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2280" yWindow="0" windowWidth="23240" windowHeight="14240" tabRatio="850" firstSheet="30" activeTab="34"/>
  </bookViews>
  <sheets>
    <sheet name="SJ0521H96" sheetId="1" r:id="rId1"/>
    <sheet name="SJ00621H96" sheetId="2" r:id="rId2"/>
    <sheet name="SJ0931H96" sheetId="3" r:id="rId3"/>
    <sheet name="SJ02812H96" sheetId="4" r:id="rId4"/>
    <sheet name="SJ027022H96" sheetId="7" r:id="rId5"/>
    <sheet name="SJ031022H96" sheetId="8" r:id="rId6"/>
    <sheet name="SJ029032H96" sheetId="9" r:id="rId7"/>
    <sheet name="SJ024032H96" sheetId="10" r:id="rId8"/>
    <sheet name="SJ2513H96" sheetId="11" r:id="rId9"/>
    <sheet name="SJ02713H96" sheetId="12" r:id="rId10"/>
    <sheet name="SJ3123H96" sheetId="13" r:id="rId11"/>
    <sheet name="SJ3223H96" sheetId="14" r:id="rId12"/>
    <sheet name="SJ03433H96" sheetId="15" r:id="rId13"/>
    <sheet name="SJ001621M96" sheetId="18" r:id="rId14"/>
    <sheet name="SJ03533H96" sheetId="16" r:id="rId15"/>
    <sheet name="SJ004021M96" sheetId="19" r:id="rId16"/>
    <sheet name="SJ005021M96" sheetId="20" r:id="rId17"/>
    <sheet name="SJ004531M96" sheetId="23" r:id="rId18"/>
    <sheet name="SJ008031M96" sheetId="24" r:id="rId19"/>
    <sheet name="SJ020012M96" sheetId="25" r:id="rId20"/>
    <sheet name="SJ023012M96" sheetId="26" r:id="rId21"/>
    <sheet name="SJ021022M96" sheetId="27" r:id="rId22"/>
    <sheet name="SJ025022M96" sheetId="28" r:id="rId23"/>
    <sheet name="SJ026032M96" sheetId="30" r:id="rId24"/>
    <sheet name="SJ032032M96" sheetId="29" r:id="rId25"/>
    <sheet name="SJ0313M96" sheetId="31" r:id="rId26"/>
    <sheet name="SJ07433M96" sheetId="33" r:id="rId27"/>
    <sheet name="SJ07233M96" sheetId="32" r:id="rId28"/>
    <sheet name="SJ022022M96" sheetId="34" r:id="rId29"/>
    <sheet name="EST. CERT." sheetId="35" r:id="rId30"/>
    <sheet name="estadisticas" sheetId="5" r:id="rId31"/>
    <sheet name="TOK Soc" sheetId="22" r:id="rId32"/>
    <sheet name="Tok Lin" sheetId="21" r:id="rId33"/>
    <sheet name="Tok crosstab" sheetId="36" r:id="rId34"/>
    <sheet name="totales" sheetId="6" r:id="rId35"/>
    <sheet name="Hoja1" sheetId="37" r:id="rId36"/>
    <sheet name="Hoja2" sheetId="38" r:id="rId37"/>
  </sheets>
  <definedNames>
    <definedName name="_xlnm._FilterDatabase" localSheetId="13" hidden="1">SJ001621M96!$A$1:$I$46</definedName>
    <definedName name="_xlnm._FilterDatabase" localSheetId="15" hidden="1">SJ004021M96!$A$1:$J$21</definedName>
    <definedName name="_xlnm._FilterDatabase" localSheetId="17" hidden="1">SJ004531M96!$A$1:$J$19</definedName>
    <definedName name="_xlnm._FilterDatabase" localSheetId="16" hidden="1">SJ005021M96!$A$1:$I$4</definedName>
    <definedName name="_xlnm._FilterDatabase" localSheetId="1" hidden="1">SJ00621H96!$A$1:$J$35</definedName>
    <definedName name="_xlnm._FilterDatabase" localSheetId="18" hidden="1">SJ008031M96!$A$1:$I$28</definedName>
    <definedName name="_xlnm._FilterDatabase" localSheetId="19" hidden="1">SJ020012M96!$A$1:$J$8</definedName>
    <definedName name="_xlnm._FilterDatabase" localSheetId="21" hidden="1">SJ021022M96!$A$1:$I$14</definedName>
    <definedName name="_xlnm._FilterDatabase" localSheetId="28" hidden="1">SJ022022M96!$A$1:$J$27</definedName>
    <definedName name="_xlnm._FilterDatabase" localSheetId="20" hidden="1">SJ023012M96!$A$1:$J$6</definedName>
    <definedName name="_xlnm._FilterDatabase" localSheetId="7" hidden="1">SJ024032H96!$A$1:$J$7</definedName>
    <definedName name="_xlnm._FilterDatabase" localSheetId="22" hidden="1">SJ025022M96!$A$1:$I$24</definedName>
    <definedName name="_xlnm._FilterDatabase" localSheetId="23" hidden="1">SJ026032M96!$A$1:$I$6</definedName>
    <definedName name="_xlnm._FilterDatabase" localSheetId="4" hidden="1">SJ027022H96!$A$1:$J$35</definedName>
    <definedName name="_xlnm._FilterDatabase" localSheetId="9" hidden="1">SJ02713H96!$A$1:$I$22</definedName>
    <definedName name="_xlnm._FilterDatabase" localSheetId="3" hidden="1">SJ02812H96!$A$1:$J$13</definedName>
    <definedName name="_xlnm._FilterDatabase" localSheetId="6" hidden="1">SJ029032H96!$A$1:$J$21</definedName>
    <definedName name="_xlnm._FilterDatabase" localSheetId="5" hidden="1">SJ031022H96!$A$1:$J$12</definedName>
    <definedName name="_xlnm._FilterDatabase" localSheetId="25" hidden="1">SJ0313M96!$A$1:$I$13</definedName>
    <definedName name="_xlnm._FilterDatabase" localSheetId="24" hidden="1">SJ032032M96!$A$1:$I$18</definedName>
    <definedName name="_xlnm._FilterDatabase" localSheetId="12" hidden="1">SJ03433H96!$A$1:$J$23</definedName>
    <definedName name="_xlnm._FilterDatabase" localSheetId="14" hidden="1">SJ03533H96!$A$1:$I$19</definedName>
    <definedName name="_xlnm._FilterDatabase" localSheetId="0" hidden="1">SJ0521H96!$A$1:$J$10</definedName>
    <definedName name="_xlnm._FilterDatabase" localSheetId="27" hidden="1">SJ07233M96!$A$1:$I$20</definedName>
    <definedName name="_xlnm._FilterDatabase" localSheetId="26" hidden="1">SJ07433M96!$A$1:$I$28</definedName>
    <definedName name="_xlnm._FilterDatabase" localSheetId="2" hidden="1">SJ0931H96!$A$1:$J$8</definedName>
    <definedName name="_xlnm._FilterDatabase" localSheetId="8" hidden="1">SJ2513H96!$A$1:$J$17</definedName>
    <definedName name="_xlnm._FilterDatabase" localSheetId="10" hidden="1">SJ3123H96!$A$1:$J$17</definedName>
    <definedName name="_xlnm._FilterDatabase" localSheetId="11" hidden="1">SJ3223H96!$A$1:$J$29</definedName>
    <definedName name="_xlnm._FilterDatabase" localSheetId="34" hidden="1">totales!$A$1:$L$522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49" i="6" l="1"/>
  <c r="C249" i="6"/>
  <c r="E249" i="6"/>
  <c r="H249" i="6"/>
  <c r="I249" i="6"/>
  <c r="J249" i="6"/>
  <c r="A1" i="21"/>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C11" i="38"/>
  <c r="C10" i="38"/>
  <c r="C9" i="38"/>
  <c r="B11" i="38"/>
  <c r="B10" i="38"/>
  <c r="B9" i="38"/>
  <c r="D5" i="38"/>
  <c r="C5" i="38"/>
  <c r="B5" i="38"/>
  <c r="D4" i="38"/>
  <c r="C4" i="38"/>
  <c r="B4" i="38"/>
  <c r="D3" i="38"/>
  <c r="C3" i="38"/>
  <c r="B3" i="38"/>
  <c r="I9" i="6"/>
  <c r="I19" i="6"/>
  <c r="I20" i="6"/>
  <c r="I21" i="6"/>
  <c r="I2" i="6"/>
  <c r="I3" i="6"/>
  <c r="I4" i="6"/>
  <c r="I5" i="6"/>
  <c r="I6" i="6"/>
  <c r="I7" i="6"/>
  <c r="I8" i="6"/>
  <c r="I10" i="6"/>
  <c r="I11" i="6"/>
  <c r="I12" i="6"/>
  <c r="I13" i="6"/>
  <c r="I14" i="6"/>
  <c r="I15" i="6"/>
  <c r="I16" i="6"/>
  <c r="I17" i="6"/>
  <c r="I18"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U4" i="5"/>
  <c r="U3" i="5"/>
  <c r="U2" i="5"/>
  <c r="T2" i="5"/>
  <c r="T3" i="5"/>
  <c r="T4" i="5"/>
  <c r="H9" i="6"/>
  <c r="H19" i="6"/>
  <c r="H20" i="6"/>
  <c r="H21" i="6"/>
  <c r="H2" i="6"/>
  <c r="H3" i="6"/>
  <c r="H4" i="6"/>
  <c r="H5" i="6"/>
  <c r="H6" i="6"/>
  <c r="H7" i="6"/>
  <c r="H8" i="6"/>
  <c r="H10" i="6"/>
  <c r="H11" i="6"/>
  <c r="H12" i="6"/>
  <c r="H13" i="6"/>
  <c r="H14" i="6"/>
  <c r="H15" i="6"/>
  <c r="H16" i="6"/>
  <c r="H17" i="6"/>
  <c r="H18"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R4" i="5"/>
  <c r="R3" i="5"/>
  <c r="R2" i="5"/>
  <c r="Q4" i="5"/>
  <c r="Q3" i="5"/>
  <c r="Q2" i="5"/>
  <c r="R5" i="5"/>
  <c r="Q5" i="5"/>
  <c r="E2" i="6"/>
  <c r="E4" i="6"/>
  <c r="E5" i="6"/>
  <c r="E6" i="6"/>
  <c r="E3"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P3" i="5"/>
  <c r="P4" i="5"/>
  <c r="B3" i="5"/>
  <c r="B2" i="5"/>
  <c r="I6" i="5"/>
  <c r="H6" i="5"/>
  <c r="G6" i="5"/>
  <c r="F6" i="5"/>
  <c r="E6" i="5"/>
  <c r="D6" i="5"/>
  <c r="C6" i="5"/>
  <c r="T5" i="5"/>
  <c r="S5" i="5"/>
  <c r="P5" i="5"/>
  <c r="O5" i="5"/>
  <c r="N5" i="5"/>
  <c r="M5" i="5"/>
  <c r="L5" i="5"/>
  <c r="K5" i="5"/>
  <c r="J5" i="5"/>
  <c r="I5" i="5"/>
  <c r="H5" i="5"/>
  <c r="G5" i="5"/>
  <c r="F5" i="5"/>
  <c r="E5" i="5"/>
  <c r="D5" i="5"/>
  <c r="C5" i="5"/>
  <c r="B5" i="5"/>
  <c r="S4" i="5"/>
  <c r="O4" i="5"/>
  <c r="N4" i="5"/>
  <c r="M4" i="5"/>
  <c r="L4" i="5"/>
  <c r="G9" i="6"/>
  <c r="G19" i="6"/>
  <c r="G20" i="6"/>
  <c r="G21" i="6"/>
  <c r="G2" i="6"/>
  <c r="G3" i="6"/>
  <c r="G4" i="6"/>
  <c r="G5" i="6"/>
  <c r="G6" i="6"/>
  <c r="G7" i="6"/>
  <c r="G8" i="6"/>
  <c r="G10" i="6"/>
  <c r="G11" i="6"/>
  <c r="G12" i="6"/>
  <c r="G13" i="6"/>
  <c r="G14" i="6"/>
  <c r="G15" i="6"/>
  <c r="G16" i="6"/>
  <c r="G17" i="6"/>
  <c r="G18"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K4" i="5"/>
  <c r="F9" i="6"/>
  <c r="F19" i="6"/>
  <c r="F20" i="6"/>
  <c r="F21" i="6"/>
  <c r="F2" i="6"/>
  <c r="F3" i="6"/>
  <c r="F4" i="6"/>
  <c r="F5" i="6"/>
  <c r="F6" i="6"/>
  <c r="F7" i="6"/>
  <c r="F8" i="6"/>
  <c r="F10" i="6"/>
  <c r="F11" i="6"/>
  <c r="F12" i="6"/>
  <c r="F13" i="6"/>
  <c r="F14" i="6"/>
  <c r="F15" i="6"/>
  <c r="F16" i="6"/>
  <c r="F17" i="6"/>
  <c r="F18"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J4" i="5"/>
  <c r="I4" i="5"/>
  <c r="H4" i="5"/>
  <c r="G4" i="5"/>
  <c r="F4" i="5"/>
  <c r="E4" i="5"/>
  <c r="D4" i="5"/>
  <c r="C4" i="5"/>
  <c r="B4" i="5"/>
  <c r="S3" i="5"/>
  <c r="O3" i="5"/>
  <c r="N3" i="5"/>
  <c r="M3" i="5"/>
  <c r="L3" i="5"/>
  <c r="K3" i="5"/>
  <c r="J3" i="5"/>
  <c r="I3" i="5"/>
  <c r="H3" i="5"/>
  <c r="G3" i="5"/>
  <c r="F3" i="5"/>
  <c r="E3" i="5"/>
  <c r="D3" i="5"/>
  <c r="C3" i="5"/>
  <c r="S2" i="5"/>
  <c r="P2" i="5"/>
  <c r="O2" i="5"/>
  <c r="N2" i="5"/>
  <c r="M2" i="5"/>
  <c r="L2" i="5"/>
  <c r="K2" i="5"/>
  <c r="J2" i="5"/>
  <c r="I2" i="5"/>
  <c r="H2" i="5"/>
  <c r="G2" i="5"/>
  <c r="F2" i="5"/>
  <c r="E2" i="5"/>
  <c r="D2" i="5"/>
  <c r="C2" i="5"/>
  <c r="A162" i="22"/>
  <c r="A163" i="22"/>
  <c r="A4" i="22"/>
  <c r="A164" i="22"/>
  <c r="A165" i="22"/>
  <c r="A166" i="22"/>
  <c r="A167" i="22"/>
  <c r="A5" i="22"/>
  <c r="A6" i="22"/>
  <c r="A168" i="22"/>
  <c r="A169" i="22"/>
  <c r="A170" i="22"/>
  <c r="A96" i="22"/>
  <c r="A306" i="22"/>
  <c r="A33" i="22"/>
  <c r="A307" i="22"/>
  <c r="A146" i="22"/>
  <c r="A147" i="22"/>
  <c r="A148" i="22"/>
  <c r="A149" i="22"/>
  <c r="A3" i="22"/>
  <c r="A150" i="22"/>
  <c r="A151" i="22"/>
  <c r="A152" i="22"/>
  <c r="A153" i="22"/>
  <c r="A154" i="22"/>
  <c r="A155" i="22"/>
  <c r="A156" i="22"/>
  <c r="A157" i="22"/>
  <c r="A158" i="22"/>
  <c r="A159" i="22"/>
  <c r="A160" i="22"/>
  <c r="A161" i="22"/>
  <c r="A94" i="22"/>
  <c r="A127" i="22"/>
  <c r="A128" i="22"/>
  <c r="A129" i="22"/>
  <c r="A130" i="22"/>
  <c r="A131" i="22"/>
  <c r="A132" i="22"/>
  <c r="A1" i="22"/>
  <c r="A2" i="22"/>
  <c r="A133" i="22"/>
  <c r="A134" i="22"/>
  <c r="A135" i="22"/>
  <c r="A136" i="22"/>
  <c r="A137" i="22"/>
  <c r="A95" i="22"/>
  <c r="A138" i="22"/>
  <c r="A139" i="22"/>
  <c r="A140" i="22"/>
  <c r="A141" i="22"/>
  <c r="A142" i="22"/>
  <c r="A143" i="22"/>
  <c r="A144" i="22"/>
  <c r="A145" i="22"/>
  <c r="A180" i="22"/>
  <c r="A181" i="22"/>
  <c r="A182" i="22"/>
  <c r="A183" i="22"/>
  <c r="A7" i="22"/>
  <c r="A184" i="22"/>
  <c r="A185" i="22"/>
  <c r="A186" i="22"/>
  <c r="A187" i="22"/>
  <c r="A188" i="22"/>
  <c r="A189" i="22"/>
  <c r="A190" i="22"/>
  <c r="A191" i="22"/>
  <c r="A192" i="22"/>
  <c r="A193" i="22"/>
  <c r="A194" i="22"/>
  <c r="A195" i="22"/>
  <c r="A196" i="22"/>
  <c r="A197" i="22"/>
  <c r="A198" i="22"/>
  <c r="A199" i="22"/>
  <c r="A200" i="22"/>
  <c r="A201" i="22"/>
  <c r="A8" i="22"/>
  <c r="A9" i="22"/>
  <c r="A97" i="22"/>
  <c r="A202" i="22"/>
  <c r="A203" i="22"/>
  <c r="A204" i="22"/>
  <c r="A205" i="22"/>
  <c r="A206" i="22"/>
  <c r="A10" i="22"/>
  <c r="A207" i="22"/>
  <c r="A208" i="22"/>
  <c r="A209" i="22"/>
  <c r="A98" i="22"/>
  <c r="A11" i="22"/>
  <c r="A99" i="22"/>
  <c r="A210" i="22"/>
  <c r="A211" i="22"/>
  <c r="A100" i="22"/>
  <c r="A212" i="22"/>
  <c r="A213" i="22"/>
  <c r="A12" i="22"/>
  <c r="A13" i="22"/>
  <c r="A14" i="22"/>
  <c r="A214" i="22"/>
  <c r="A215" i="22"/>
  <c r="A216" i="22"/>
  <c r="A217" i="22"/>
  <c r="A15" i="22"/>
  <c r="A16" i="22"/>
  <c r="A218" i="22"/>
  <c r="A219" i="22"/>
  <c r="A220" i="22"/>
  <c r="A221" i="22"/>
  <c r="A222" i="22"/>
  <c r="A101" i="22"/>
  <c r="A102" i="22"/>
  <c r="A103" i="22"/>
  <c r="A223" i="22"/>
  <c r="A224" i="22"/>
  <c r="A225" i="22"/>
  <c r="A226" i="22"/>
  <c r="A227" i="22"/>
  <c r="A228" i="22"/>
  <c r="A229" i="22"/>
  <c r="A17" i="22"/>
  <c r="A104" i="22"/>
  <c r="A230" i="22"/>
  <c r="A231" i="22"/>
  <c r="A232" i="22"/>
  <c r="A233" i="22"/>
  <c r="A234" i="22"/>
  <c r="A235" i="22"/>
  <c r="A236" i="22"/>
  <c r="A237" i="22"/>
  <c r="A105" i="22"/>
  <c r="A238" i="22"/>
  <c r="A106" i="22"/>
  <c r="A239" i="22"/>
  <c r="A240" i="22"/>
  <c r="A241" i="22"/>
  <c r="A242" i="22"/>
  <c r="A243" i="22"/>
  <c r="A244" i="22"/>
  <c r="A245" i="22"/>
  <c r="A107" i="22"/>
  <c r="A246" i="22"/>
  <c r="A247" i="22"/>
  <c r="A248" i="22"/>
  <c r="A18" i="22"/>
  <c r="A249" i="22"/>
  <c r="A93" i="22"/>
  <c r="A22" i="22"/>
  <c r="A259" i="22"/>
  <c r="A260" i="22"/>
  <c r="A261" i="22"/>
  <c r="A262" i="22"/>
  <c r="A263" i="22"/>
  <c r="A264" i="22"/>
  <c r="A265" i="22"/>
  <c r="A266" i="22"/>
  <c r="A267" i="22"/>
  <c r="A268" i="22"/>
  <c r="A269" i="22"/>
  <c r="A270" i="22"/>
  <c r="A271" i="22"/>
  <c r="A272" i="22"/>
  <c r="A23" i="22"/>
  <c r="A273" i="22"/>
  <c r="A24" i="22"/>
  <c r="A274" i="22"/>
  <c r="A275" i="22"/>
  <c r="A276" i="22"/>
  <c r="A277" i="22"/>
  <c r="A278" i="22"/>
  <c r="A279" i="22"/>
  <c r="A108" i="22"/>
  <c r="A280" i="22"/>
  <c r="A281" i="22"/>
  <c r="A282" i="22"/>
  <c r="A25" i="22"/>
  <c r="A26" i="22"/>
  <c r="A283" i="22"/>
  <c r="A284" i="22"/>
  <c r="A285" i="22"/>
  <c r="A27" i="22"/>
  <c r="A28" i="22"/>
  <c r="A29" i="22"/>
  <c r="A286" i="22"/>
  <c r="A287" i="22"/>
  <c r="A288" i="22"/>
  <c r="A289" i="22"/>
  <c r="A290" i="22"/>
  <c r="A291" i="22"/>
  <c r="A292" i="22"/>
  <c r="A293" i="22"/>
  <c r="A109" i="22"/>
  <c r="A110" i="22"/>
  <c r="A111" i="22"/>
  <c r="A294" i="22"/>
  <c r="A295" i="22"/>
  <c r="A30" i="22"/>
  <c r="A296" i="22"/>
  <c r="A297" i="22"/>
  <c r="A298" i="22"/>
  <c r="A299" i="22"/>
  <c r="A300" i="22"/>
  <c r="A301" i="22"/>
  <c r="A302" i="22"/>
  <c r="A303" i="22"/>
  <c r="A304" i="22"/>
  <c r="A305" i="22"/>
  <c r="A31" i="22"/>
  <c r="A32" i="22"/>
  <c r="A171" i="22"/>
  <c r="A172" i="22"/>
  <c r="A173" i="22"/>
  <c r="A174" i="22"/>
  <c r="A175" i="22"/>
  <c r="A176" i="22"/>
  <c r="A177" i="22"/>
  <c r="A178" i="22"/>
  <c r="A179" i="22"/>
  <c r="A430" i="22"/>
  <c r="A431" i="22"/>
  <c r="A432" i="22"/>
  <c r="A433" i="22"/>
  <c r="A434" i="22"/>
  <c r="A435" i="22"/>
  <c r="A69" i="22"/>
  <c r="A70" i="22"/>
  <c r="A436" i="22"/>
  <c r="A437" i="22"/>
  <c r="A71" i="22"/>
  <c r="A72" i="22"/>
  <c r="A438" i="22"/>
  <c r="A308" i="22"/>
  <c r="A309" i="22"/>
  <c r="A310" i="22"/>
  <c r="A311" i="22"/>
  <c r="A312" i="22"/>
  <c r="A313" i="22"/>
  <c r="A314" i="22"/>
  <c r="A315" i="22"/>
  <c r="A34" i="22"/>
  <c r="A316" i="22"/>
  <c r="A317" i="22"/>
  <c r="A35" i="22"/>
  <c r="A36" i="22"/>
  <c r="A318" i="22"/>
  <c r="A319" i="22"/>
  <c r="A320" i="22"/>
  <c r="A321" i="22"/>
  <c r="A322" i="22"/>
  <c r="A323" i="22"/>
  <c r="A324" i="22"/>
  <c r="A112" i="22"/>
  <c r="A325" i="22"/>
  <c r="A326" i="22"/>
  <c r="A327" i="22"/>
  <c r="A328" i="22"/>
  <c r="A329" i="22"/>
  <c r="A330" i="22"/>
  <c r="A331" i="22"/>
  <c r="A332" i="22"/>
  <c r="A333" i="22"/>
  <c r="A334" i="22"/>
  <c r="A37" i="22"/>
  <c r="A335" i="22"/>
  <c r="A336" i="22"/>
  <c r="A337" i="22"/>
  <c r="A338" i="22"/>
  <c r="A339" i="22"/>
  <c r="A340" i="22"/>
  <c r="A341" i="22"/>
  <c r="A38" i="22"/>
  <c r="A342" i="22"/>
  <c r="A343" i="22"/>
  <c r="A344" i="22"/>
  <c r="A39" i="22"/>
  <c r="A113" i="22"/>
  <c r="A40" i="22"/>
  <c r="A114" i="22"/>
  <c r="A345" i="22"/>
  <c r="A41" i="22"/>
  <c r="A42" i="22"/>
  <c r="A346" i="22"/>
  <c r="A43" i="22"/>
  <c r="A347" i="22"/>
  <c r="A348" i="22"/>
  <c r="A349" i="22"/>
  <c r="A350" i="22"/>
  <c r="A351" i="22"/>
  <c r="A44" i="22"/>
  <c r="A352" i="22"/>
  <c r="A45" i="22"/>
  <c r="A46" i="22"/>
  <c r="A353" i="22"/>
  <c r="A47" i="22"/>
  <c r="A354" i="22"/>
  <c r="A48" i="22"/>
  <c r="A49" i="22"/>
  <c r="A355" i="22"/>
  <c r="A356" i="22"/>
  <c r="A357" i="22"/>
  <c r="A358" i="22"/>
  <c r="A359" i="22"/>
  <c r="A360" i="22"/>
  <c r="A250" i="22"/>
  <c r="A251" i="22"/>
  <c r="A252" i="22"/>
  <c r="A253" i="22"/>
  <c r="A254" i="22"/>
  <c r="A255" i="22"/>
  <c r="A256" i="22"/>
  <c r="A257" i="22"/>
  <c r="A258" i="22"/>
  <c r="A19" i="22"/>
  <c r="A20" i="22"/>
  <c r="A21" i="22"/>
  <c r="A446" i="22"/>
  <c r="A124" i="22"/>
  <c r="A447" i="22"/>
  <c r="A448" i="22"/>
  <c r="A74" i="22"/>
  <c r="A75" i="22"/>
  <c r="A76" i="22"/>
  <c r="A77" i="22"/>
  <c r="A449" i="22"/>
  <c r="A450" i="22"/>
  <c r="A451" i="22"/>
  <c r="A78" i="22"/>
  <c r="A79" i="22"/>
  <c r="A80" i="22"/>
  <c r="A452" i="22"/>
  <c r="A453" i="22"/>
  <c r="A81" i="22"/>
  <c r="A82" i="22"/>
  <c r="A83" i="22"/>
  <c r="A454" i="22"/>
  <c r="A84" i="22"/>
  <c r="A455" i="22"/>
  <c r="A85" i="22"/>
  <c r="A86" i="22"/>
  <c r="A87" i="22"/>
  <c r="A88" i="22"/>
  <c r="A89" i="22"/>
  <c r="A90" i="22"/>
  <c r="A456" i="22"/>
  <c r="A91" i="22"/>
  <c r="A92" i="22"/>
  <c r="A125" i="22"/>
  <c r="A126" i="22"/>
  <c r="A457" i="22"/>
  <c r="A458" i="22"/>
  <c r="A361" i="22"/>
  <c r="A362" i="22"/>
  <c r="A363" i="22"/>
  <c r="A364" i="22"/>
  <c r="A365" i="22"/>
  <c r="A366" i="22"/>
  <c r="A50" i="22"/>
  <c r="A367" i="22"/>
  <c r="A51" i="22"/>
  <c r="A52" i="22"/>
  <c r="A368" i="22"/>
  <c r="A369" i="22"/>
  <c r="A370" i="22"/>
  <c r="A115" i="22"/>
  <c r="A371" i="22"/>
  <c r="A116" i="22"/>
  <c r="A372" i="22"/>
  <c r="A117" i="22"/>
  <c r="A118" i="22"/>
  <c r="A119" i="22"/>
  <c r="A373" i="22"/>
  <c r="A374" i="22"/>
  <c r="A375" i="22"/>
  <c r="A376" i="22"/>
  <c r="A377" i="22"/>
  <c r="A378" i="22"/>
  <c r="A379" i="22"/>
  <c r="A380" i="22"/>
  <c r="A381" i="22"/>
  <c r="A382" i="22"/>
  <c r="A383" i="22"/>
  <c r="A384" i="22"/>
  <c r="A385" i="22"/>
  <c r="A386" i="22"/>
  <c r="A387" i="22"/>
  <c r="A388" i="22"/>
  <c r="A389" i="22"/>
  <c r="A53" i="22"/>
  <c r="A390" i="22"/>
  <c r="A391" i="22"/>
  <c r="A392" i="22"/>
  <c r="A393" i="22"/>
  <c r="A394" i="22"/>
  <c r="A395" i="22"/>
  <c r="A54" i="22"/>
  <c r="A396" i="22"/>
  <c r="A397" i="22"/>
  <c r="A398" i="22"/>
  <c r="A399" i="22"/>
  <c r="A400" i="22"/>
  <c r="A401" i="22"/>
  <c r="A402" i="22"/>
  <c r="A55" i="22"/>
  <c r="A56" i="22"/>
  <c r="A403" i="22"/>
  <c r="A404" i="22"/>
  <c r="A405" i="22"/>
  <c r="A406" i="22"/>
  <c r="A407" i="22"/>
  <c r="A408" i="22"/>
  <c r="A409" i="22"/>
  <c r="A57" i="22"/>
  <c r="A410" i="22"/>
  <c r="A411" i="22"/>
  <c r="A412" i="22"/>
  <c r="A58" i="22"/>
  <c r="A413" i="22"/>
  <c r="A59" i="22"/>
  <c r="A60" i="22"/>
  <c r="A61" i="22"/>
  <c r="A62" i="22"/>
  <c r="A414" i="22"/>
  <c r="A415" i="22"/>
  <c r="A416" i="22"/>
  <c r="A417" i="22"/>
  <c r="A418" i="22"/>
  <c r="A419" i="22"/>
  <c r="A420" i="22"/>
  <c r="A120" i="22"/>
  <c r="A63" i="22"/>
  <c r="A64" i="22"/>
  <c r="A421" i="22"/>
  <c r="A422" i="22"/>
  <c r="A423" i="22"/>
  <c r="A424" i="22"/>
  <c r="A65" i="22"/>
  <c r="A66" i="22"/>
  <c r="A425" i="22"/>
  <c r="A426" i="22"/>
  <c r="A67" i="22"/>
  <c r="A427" i="22"/>
  <c r="A68" i="22"/>
  <c r="A121" i="22"/>
  <c r="A428" i="22"/>
  <c r="A429" i="22"/>
  <c r="A441" i="22"/>
  <c r="A442" i="22"/>
  <c r="A443" i="22"/>
  <c r="A73" i="22"/>
  <c r="A123" i="22"/>
  <c r="A444" i="22"/>
  <c r="A445" i="22"/>
  <c r="A122" i="22"/>
  <c r="A439" i="22"/>
  <c r="A440" i="22"/>
  <c r="V523" i="36"/>
  <c r="V522" i="36"/>
  <c r="I4" i="36"/>
  <c r="L4" i="36"/>
  <c r="O4" i="36"/>
  <c r="R4" i="36"/>
  <c r="I5" i="36"/>
  <c r="L5" i="36"/>
  <c r="O5" i="36"/>
  <c r="R5" i="36"/>
  <c r="I6" i="36"/>
  <c r="L6" i="36"/>
  <c r="O6" i="36"/>
  <c r="R6" i="36"/>
  <c r="I7" i="36"/>
  <c r="L7" i="36"/>
  <c r="O7" i="36"/>
  <c r="R7" i="36"/>
  <c r="I8" i="36"/>
  <c r="L8" i="36"/>
  <c r="O8" i="36"/>
  <c r="R8" i="36"/>
  <c r="I9" i="36"/>
  <c r="L9" i="36"/>
  <c r="O9" i="36"/>
  <c r="R9" i="36"/>
  <c r="I10" i="36"/>
  <c r="L10" i="36"/>
  <c r="O10" i="36"/>
  <c r="R10" i="36"/>
  <c r="I11" i="36"/>
  <c r="L11" i="36"/>
  <c r="O11" i="36"/>
  <c r="R11" i="36"/>
  <c r="I12" i="36"/>
  <c r="L12" i="36"/>
  <c r="O12" i="36"/>
  <c r="R12" i="36"/>
  <c r="I13" i="36"/>
  <c r="L13" i="36"/>
  <c r="O13" i="36"/>
  <c r="R13" i="36"/>
  <c r="I14" i="36"/>
  <c r="L14" i="36"/>
  <c r="O14" i="36"/>
  <c r="R14" i="36"/>
  <c r="I15" i="36"/>
  <c r="L15" i="36"/>
  <c r="O15" i="36"/>
  <c r="R15" i="36"/>
  <c r="I16" i="36"/>
  <c r="L16" i="36"/>
  <c r="O16" i="36"/>
  <c r="R16" i="36"/>
  <c r="I17" i="36"/>
  <c r="L17" i="36"/>
  <c r="O17" i="36"/>
  <c r="R17" i="36"/>
  <c r="I18" i="36"/>
  <c r="L18" i="36"/>
  <c r="O18" i="36"/>
  <c r="R18" i="36"/>
  <c r="I19" i="36"/>
  <c r="L19" i="36"/>
  <c r="O19" i="36"/>
  <c r="R19" i="36"/>
  <c r="I20" i="36"/>
  <c r="L20" i="36"/>
  <c r="O20" i="36"/>
  <c r="R20" i="36"/>
  <c r="I21" i="36"/>
  <c r="L21" i="36"/>
  <c r="O21" i="36"/>
  <c r="R21" i="36"/>
  <c r="I22" i="36"/>
  <c r="L22" i="36"/>
  <c r="O22" i="36"/>
  <c r="R22" i="36"/>
  <c r="I23" i="36"/>
  <c r="L23" i="36"/>
  <c r="O23" i="36"/>
  <c r="R23" i="36"/>
  <c r="I24" i="36"/>
  <c r="L24" i="36"/>
  <c r="O24" i="36"/>
  <c r="R24" i="36"/>
  <c r="I25" i="36"/>
  <c r="L25" i="36"/>
  <c r="O25" i="36"/>
  <c r="R25" i="36"/>
  <c r="I26" i="36"/>
  <c r="L26" i="36"/>
  <c r="O26" i="36"/>
  <c r="R26" i="36"/>
  <c r="I27" i="36"/>
  <c r="L27" i="36"/>
  <c r="O27" i="36"/>
  <c r="R27" i="36"/>
  <c r="I28" i="36"/>
  <c r="L28" i="36"/>
  <c r="O28" i="36"/>
  <c r="R28" i="36"/>
  <c r="I29" i="36"/>
  <c r="L29" i="36"/>
  <c r="O29" i="36"/>
  <c r="R29" i="36"/>
  <c r="I30" i="36"/>
  <c r="L30" i="36"/>
  <c r="O30" i="36"/>
  <c r="R30" i="36"/>
  <c r="I31" i="36"/>
  <c r="L31" i="36"/>
  <c r="O31" i="36"/>
  <c r="R31" i="36"/>
  <c r="I32" i="36"/>
  <c r="L32" i="36"/>
  <c r="O32" i="36"/>
  <c r="R32" i="36"/>
  <c r="I33" i="36"/>
  <c r="L33" i="36"/>
  <c r="O33" i="36"/>
  <c r="R33" i="36"/>
  <c r="I34" i="36"/>
  <c r="L34" i="36"/>
  <c r="O34" i="36"/>
  <c r="R34" i="36"/>
  <c r="I35" i="36"/>
  <c r="L35" i="36"/>
  <c r="O35" i="36"/>
  <c r="R35" i="36"/>
  <c r="I36" i="36"/>
  <c r="L36" i="36"/>
  <c r="O36" i="36"/>
  <c r="R36" i="36"/>
  <c r="I37" i="36"/>
  <c r="L37" i="36"/>
  <c r="O37" i="36"/>
  <c r="R37" i="36"/>
  <c r="I38" i="36"/>
  <c r="L38" i="36"/>
  <c r="O38" i="36"/>
  <c r="R38" i="36"/>
  <c r="I39" i="36"/>
  <c r="L39" i="36"/>
  <c r="O39" i="36"/>
  <c r="R39" i="36"/>
  <c r="I40" i="36"/>
  <c r="L40" i="36"/>
  <c r="O40" i="36"/>
  <c r="R40" i="36"/>
  <c r="I41" i="36"/>
  <c r="L41" i="36"/>
  <c r="O41" i="36"/>
  <c r="R41" i="36"/>
  <c r="I42" i="36"/>
  <c r="L42" i="36"/>
  <c r="O42" i="36"/>
  <c r="R42" i="36"/>
  <c r="I43" i="36"/>
  <c r="L43" i="36"/>
  <c r="O43" i="36"/>
  <c r="R43" i="36"/>
  <c r="I44" i="36"/>
  <c r="L44" i="36"/>
  <c r="O44" i="36"/>
  <c r="R44" i="36"/>
  <c r="I45" i="36"/>
  <c r="L45" i="36"/>
  <c r="O45" i="36"/>
  <c r="R45" i="36"/>
  <c r="I46" i="36"/>
  <c r="L46" i="36"/>
  <c r="O46" i="36"/>
  <c r="R46" i="36"/>
  <c r="I47" i="36"/>
  <c r="L47" i="36"/>
  <c r="O47" i="36"/>
  <c r="R47" i="36"/>
  <c r="I48" i="36"/>
  <c r="L48" i="36"/>
  <c r="O48" i="36"/>
  <c r="R48" i="36"/>
  <c r="I49" i="36"/>
  <c r="L49" i="36"/>
  <c r="O49" i="36"/>
  <c r="R49" i="36"/>
  <c r="I50" i="36"/>
  <c r="L50" i="36"/>
  <c r="O50" i="36"/>
  <c r="R50" i="36"/>
  <c r="I51" i="36"/>
  <c r="L51" i="36"/>
  <c r="O51" i="36"/>
  <c r="R51" i="36"/>
  <c r="I52" i="36"/>
  <c r="L52" i="36"/>
  <c r="O52" i="36"/>
  <c r="R52" i="36"/>
  <c r="I53" i="36"/>
  <c r="L53" i="36"/>
  <c r="O53" i="36"/>
  <c r="R53" i="36"/>
  <c r="I54" i="36"/>
  <c r="L54" i="36"/>
  <c r="O54" i="36"/>
  <c r="R54" i="36"/>
  <c r="I55" i="36"/>
  <c r="L55" i="36"/>
  <c r="O55" i="36"/>
  <c r="R55" i="36"/>
  <c r="I56" i="36"/>
  <c r="L56" i="36"/>
  <c r="O56" i="36"/>
  <c r="R56" i="36"/>
  <c r="I57" i="36"/>
  <c r="L57" i="36"/>
  <c r="O57" i="36"/>
  <c r="R57" i="36"/>
  <c r="I58" i="36"/>
  <c r="L58" i="36"/>
  <c r="O58" i="36"/>
  <c r="R58" i="36"/>
  <c r="I59" i="36"/>
  <c r="L59" i="36"/>
  <c r="O59" i="36"/>
  <c r="R59" i="36"/>
  <c r="I60" i="36"/>
  <c r="L60" i="36"/>
  <c r="O60" i="36"/>
  <c r="R60" i="36"/>
  <c r="I3" i="36"/>
  <c r="L3" i="36"/>
  <c r="O3" i="36"/>
  <c r="R3" i="36"/>
  <c r="I2" i="36"/>
  <c r="L2" i="36"/>
  <c r="O2" i="36"/>
  <c r="R2" i="36"/>
  <c r="R1" i="36"/>
  <c r="O1" i="36"/>
  <c r="L1" i="36"/>
  <c r="I1" i="36"/>
  <c r="B6" i="5"/>
  <c r="B294" i="6"/>
  <c r="A517" i="6"/>
  <c r="B517" i="6"/>
  <c r="J517" i="6"/>
  <c r="A518" i="6"/>
  <c r="B518" i="6"/>
  <c r="J518" i="6"/>
  <c r="A519" i="6"/>
  <c r="B519" i="6"/>
  <c r="J519" i="6"/>
  <c r="A47" i="21"/>
  <c r="A520" i="6"/>
  <c r="B520" i="6"/>
  <c r="J520" i="6"/>
  <c r="A412" i="21"/>
  <c r="A521" i="6"/>
  <c r="B521" i="6"/>
  <c r="J521" i="6"/>
  <c r="A522" i="6"/>
  <c r="B522" i="6"/>
  <c r="J522" i="6"/>
  <c r="A182" i="21"/>
  <c r="B516" i="6"/>
  <c r="J516" i="6"/>
  <c r="A516" i="6"/>
  <c r="A514" i="6"/>
  <c r="B514" i="6"/>
  <c r="J514" i="6"/>
  <c r="A286" i="21"/>
  <c r="A515" i="6"/>
  <c r="B515" i="6"/>
  <c r="J515" i="6"/>
  <c r="A366" i="21"/>
  <c r="A508" i="6"/>
  <c r="B508" i="6"/>
  <c r="J508" i="6"/>
  <c r="A67" i="21"/>
  <c r="A509" i="6"/>
  <c r="B509" i="6"/>
  <c r="J509" i="6"/>
  <c r="A510" i="6"/>
  <c r="B510" i="6"/>
  <c r="J510" i="6"/>
  <c r="A418" i="21"/>
  <c r="A511" i="6"/>
  <c r="B511" i="6"/>
  <c r="J511" i="6"/>
  <c r="A419" i="21"/>
  <c r="A512" i="6"/>
  <c r="B512" i="6"/>
  <c r="J512" i="6"/>
  <c r="A65" i="21"/>
  <c r="A513" i="6"/>
  <c r="B513" i="6"/>
  <c r="J513" i="6"/>
  <c r="A217" i="21"/>
  <c r="A498" i="6"/>
  <c r="B498" i="6"/>
  <c r="J498" i="6"/>
  <c r="A277" i="21"/>
  <c r="A499" i="6"/>
  <c r="B499" i="6"/>
  <c r="J499" i="6"/>
  <c r="A216" i="21"/>
  <c r="A500" i="6"/>
  <c r="B500" i="6"/>
  <c r="J500" i="6"/>
  <c r="A284" i="21"/>
  <c r="A501" i="6"/>
  <c r="B501" i="6"/>
  <c r="J501" i="6"/>
  <c r="A250" i="21"/>
  <c r="A502" i="6"/>
  <c r="B502" i="6"/>
  <c r="J502" i="6"/>
  <c r="A251" i="21"/>
  <c r="A503" i="6"/>
  <c r="B503" i="6"/>
  <c r="J503" i="6"/>
  <c r="A287" i="21"/>
  <c r="A504" i="6"/>
  <c r="B504" i="6"/>
  <c r="J504" i="6"/>
  <c r="A453" i="21"/>
  <c r="A505" i="6"/>
  <c r="B505" i="6"/>
  <c r="J505" i="6"/>
  <c r="A256" i="21"/>
  <c r="A506" i="6"/>
  <c r="B506" i="6"/>
  <c r="J506" i="6"/>
  <c r="A285" i="21"/>
  <c r="A507" i="6"/>
  <c r="B507" i="6"/>
  <c r="J507" i="6"/>
  <c r="A81" i="21"/>
  <c r="B497" i="6"/>
  <c r="J497" i="6"/>
  <c r="A497" i="6"/>
  <c r="A487" i="6"/>
  <c r="B487" i="6"/>
  <c r="J487" i="6"/>
  <c r="A192" i="21"/>
  <c r="A488" i="6"/>
  <c r="B488" i="6"/>
  <c r="J488" i="6"/>
  <c r="A422" i="21"/>
  <c r="A489" i="6"/>
  <c r="B489" i="6"/>
  <c r="J489" i="6"/>
  <c r="A58" i="21"/>
  <c r="A490" i="6"/>
  <c r="B490" i="6"/>
  <c r="J490" i="6"/>
  <c r="A193" i="21"/>
  <c r="A491" i="6"/>
  <c r="B491" i="6"/>
  <c r="J491" i="6"/>
  <c r="A178" i="21"/>
  <c r="A492" i="6"/>
  <c r="B492" i="6"/>
  <c r="J492" i="6"/>
  <c r="A179" i="21"/>
  <c r="A493" i="6"/>
  <c r="B493" i="6"/>
  <c r="J493" i="6"/>
  <c r="A180" i="21"/>
  <c r="A494" i="6"/>
  <c r="B494" i="6"/>
  <c r="J494" i="6"/>
  <c r="A181" i="21"/>
  <c r="A495" i="6"/>
  <c r="B495" i="6"/>
  <c r="J495" i="6"/>
  <c r="A124" i="21"/>
  <c r="A496" i="6"/>
  <c r="B496" i="6"/>
  <c r="J496" i="6"/>
  <c r="A125" i="21"/>
  <c r="A471" i="6"/>
  <c r="B471" i="6"/>
  <c r="J471" i="6"/>
  <c r="A64" i="21"/>
  <c r="A472" i="6"/>
  <c r="B472" i="6"/>
  <c r="J472" i="6"/>
  <c r="A304" i="21"/>
  <c r="A473" i="6"/>
  <c r="B473" i="6"/>
  <c r="J473" i="6"/>
  <c r="A107" i="21"/>
  <c r="A474" i="6"/>
  <c r="B474" i="6"/>
  <c r="J474" i="6"/>
  <c r="A363" i="21"/>
  <c r="A475" i="6"/>
  <c r="B475" i="6"/>
  <c r="J475" i="6"/>
  <c r="A46" i="21"/>
  <c r="A476" i="6"/>
  <c r="B476" i="6"/>
  <c r="J476" i="6"/>
  <c r="A273" i="21"/>
  <c r="A477" i="6"/>
  <c r="B477" i="6"/>
  <c r="J477" i="6"/>
  <c r="A305" i="21"/>
  <c r="A478" i="6"/>
  <c r="B478" i="6"/>
  <c r="J478" i="6"/>
  <c r="A174" i="21"/>
  <c r="A479" i="6"/>
  <c r="B479" i="6"/>
  <c r="J479" i="6"/>
  <c r="A480" i="6"/>
  <c r="B480" i="6"/>
  <c r="J480" i="6"/>
  <c r="A238" i="21"/>
  <c r="A481" i="6"/>
  <c r="B481" i="6"/>
  <c r="J481" i="6"/>
  <c r="A239" i="21"/>
  <c r="A482" i="6"/>
  <c r="B482" i="6"/>
  <c r="J482" i="6"/>
  <c r="A175" i="21"/>
  <c r="A483" i="6"/>
  <c r="B483" i="6"/>
  <c r="J483" i="6"/>
  <c r="A176" i="21"/>
  <c r="A484" i="6"/>
  <c r="B484" i="6"/>
  <c r="J484" i="6"/>
  <c r="A177" i="21"/>
  <c r="A485" i="6"/>
  <c r="B485" i="6"/>
  <c r="J485" i="6"/>
  <c r="A190" i="21"/>
  <c r="A486" i="6"/>
  <c r="B486" i="6"/>
  <c r="J486" i="6"/>
  <c r="A191" i="21"/>
  <c r="B470" i="6"/>
  <c r="J470" i="6"/>
  <c r="A63" i="21"/>
  <c r="A470" i="6"/>
  <c r="A466" i="6"/>
  <c r="B466" i="6"/>
  <c r="J466" i="6"/>
  <c r="A84" i="21"/>
  <c r="A467" i="6"/>
  <c r="B467" i="6"/>
  <c r="J467" i="6"/>
  <c r="A441" i="21"/>
  <c r="A468" i="6"/>
  <c r="B468" i="6"/>
  <c r="J468" i="6"/>
  <c r="A442" i="21"/>
  <c r="A469" i="6"/>
  <c r="B469" i="6"/>
  <c r="J469" i="6"/>
  <c r="A332" i="21"/>
  <c r="A459" i="6"/>
  <c r="B459" i="6"/>
  <c r="J459" i="6"/>
  <c r="A334" i="21"/>
  <c r="A460" i="6"/>
  <c r="B460" i="6"/>
  <c r="J460" i="6"/>
  <c r="A335" i="21"/>
  <c r="A461" i="6"/>
  <c r="B461" i="6"/>
  <c r="J461" i="6"/>
  <c r="A76" i="21"/>
  <c r="A462" i="6"/>
  <c r="B462" i="6"/>
  <c r="J462" i="6"/>
  <c r="A77" i="21"/>
  <c r="A463" i="6"/>
  <c r="B463" i="6"/>
  <c r="J463" i="6"/>
  <c r="A78" i="21"/>
  <c r="A464" i="6"/>
  <c r="B464" i="6"/>
  <c r="J464" i="6"/>
  <c r="A79" i="21"/>
  <c r="A465" i="6"/>
  <c r="B465" i="6"/>
  <c r="J465" i="6"/>
  <c r="A80" i="21"/>
  <c r="B458" i="6"/>
  <c r="J458" i="6"/>
  <c r="A458" i="6"/>
  <c r="A457" i="6"/>
  <c r="B457" i="6"/>
  <c r="J457" i="6"/>
  <c r="A452" i="6"/>
  <c r="B452" i="6"/>
  <c r="J452" i="6"/>
  <c r="A269" i="21"/>
  <c r="A453" i="6"/>
  <c r="B453" i="6"/>
  <c r="J453" i="6"/>
  <c r="A270" i="21"/>
  <c r="A454" i="6"/>
  <c r="B454" i="6"/>
  <c r="J454" i="6"/>
  <c r="A271" i="21"/>
  <c r="A455" i="6"/>
  <c r="B455" i="6"/>
  <c r="J455" i="6"/>
  <c r="A443" i="21"/>
  <c r="A456" i="6"/>
  <c r="B456" i="6"/>
  <c r="J456" i="6"/>
  <c r="A272" i="21"/>
  <c r="A441" i="6"/>
  <c r="B441" i="6"/>
  <c r="J441" i="6"/>
  <c r="A215" i="21"/>
  <c r="A442" i="6"/>
  <c r="B442" i="6"/>
  <c r="J442" i="6"/>
  <c r="A354" i="21"/>
  <c r="A443" i="6"/>
  <c r="B443" i="6"/>
  <c r="J443" i="6"/>
  <c r="A43" i="21"/>
  <c r="A444" i="6"/>
  <c r="B444" i="6"/>
  <c r="J444" i="6"/>
  <c r="A276" i="21"/>
  <c r="A445" i="6"/>
  <c r="B445" i="6"/>
  <c r="J445" i="6"/>
  <c r="A446" i="6"/>
  <c r="B446" i="6"/>
  <c r="J446" i="6"/>
  <c r="A44" i="21"/>
  <c r="A447" i="6"/>
  <c r="B447" i="6"/>
  <c r="J447" i="6"/>
  <c r="A106" i="21"/>
  <c r="A448" i="6"/>
  <c r="B448" i="6"/>
  <c r="J448" i="6"/>
  <c r="A57" i="21"/>
  <c r="A449" i="6"/>
  <c r="B449" i="6"/>
  <c r="J449" i="6"/>
  <c r="A45" i="21"/>
  <c r="A450" i="6"/>
  <c r="B450" i="6"/>
  <c r="J450" i="6"/>
  <c r="A189" i="21"/>
  <c r="A451" i="6"/>
  <c r="B451" i="6"/>
  <c r="J451" i="6"/>
  <c r="A343" i="21"/>
  <c r="B440" i="6"/>
  <c r="J440" i="6"/>
  <c r="A337" i="21"/>
  <c r="A440" i="6"/>
  <c r="A419" i="6"/>
  <c r="B419" i="6"/>
  <c r="J419" i="6"/>
  <c r="A361" i="21"/>
  <c r="A420" i="6"/>
  <c r="B420" i="6"/>
  <c r="J420" i="6"/>
  <c r="A362" i="21"/>
  <c r="A421" i="6"/>
  <c r="B421" i="6"/>
  <c r="J421" i="6"/>
  <c r="A353" i="21"/>
  <c r="A422" i="6"/>
  <c r="B422" i="6"/>
  <c r="J422" i="6"/>
  <c r="A212" i="21"/>
  <c r="A423" i="6"/>
  <c r="B423" i="6"/>
  <c r="J423" i="6"/>
  <c r="A170" i="21"/>
  <c r="A424" i="6"/>
  <c r="B424" i="6"/>
  <c r="J424" i="6"/>
  <c r="A171" i="21"/>
  <c r="A425" i="6"/>
  <c r="B425" i="6"/>
  <c r="J425" i="6"/>
  <c r="A312" i="21"/>
  <c r="A426" i="6"/>
  <c r="B426" i="6"/>
  <c r="J426" i="6"/>
  <c r="A313" i="21"/>
  <c r="A427" i="6"/>
  <c r="B427" i="6"/>
  <c r="J427" i="6"/>
  <c r="A314" i="21"/>
  <c r="A428" i="6"/>
  <c r="B428" i="6"/>
  <c r="J428" i="6"/>
  <c r="A315" i="21"/>
  <c r="A429" i="6"/>
  <c r="B429" i="6"/>
  <c r="J429" i="6"/>
  <c r="A421" i="21"/>
  <c r="A430" i="6"/>
  <c r="B430" i="6"/>
  <c r="J430" i="6"/>
  <c r="A364" i="21"/>
  <c r="A431" i="6"/>
  <c r="B431" i="6"/>
  <c r="J431" i="6"/>
  <c r="A213" i="21"/>
  <c r="A432" i="6"/>
  <c r="B432" i="6"/>
  <c r="J432" i="6"/>
  <c r="A214" i="21"/>
  <c r="A433" i="6"/>
  <c r="B433" i="6"/>
  <c r="J433" i="6"/>
  <c r="A188" i="21"/>
  <c r="A434" i="6"/>
  <c r="B434" i="6"/>
  <c r="J434" i="6"/>
  <c r="A435" i="6"/>
  <c r="B435" i="6"/>
  <c r="J435" i="6"/>
  <c r="A308" i="21"/>
  <c r="A436" i="6"/>
  <c r="B436" i="6"/>
  <c r="J436" i="6"/>
  <c r="A172" i="21"/>
  <c r="A437" i="6"/>
  <c r="B437" i="6"/>
  <c r="J437" i="6"/>
  <c r="A173" i="21"/>
  <c r="A438" i="6"/>
  <c r="B438" i="6"/>
  <c r="J438" i="6"/>
  <c r="A75" i="21"/>
  <c r="A439" i="6"/>
  <c r="B439" i="6"/>
  <c r="J439" i="6"/>
  <c r="A331" i="21"/>
  <c r="B418" i="6"/>
  <c r="J418" i="6"/>
  <c r="A211" i="21"/>
  <c r="A418" i="6"/>
  <c r="A414" i="6"/>
  <c r="B414" i="6"/>
  <c r="J414" i="6"/>
  <c r="A105" i="21"/>
  <c r="A415" i="6"/>
  <c r="B415" i="6"/>
  <c r="J415" i="6"/>
  <c r="A62" i="21"/>
  <c r="A416" i="6"/>
  <c r="B416" i="6"/>
  <c r="J416" i="6"/>
  <c r="A417" i="6"/>
  <c r="B417" i="6"/>
  <c r="J417" i="6"/>
  <c r="A405" i="6"/>
  <c r="B405" i="6"/>
  <c r="J405" i="6"/>
  <c r="A439" i="21"/>
  <c r="A406" i="6"/>
  <c r="B406" i="6"/>
  <c r="J406" i="6"/>
  <c r="A167" i="21"/>
  <c r="A407" i="6"/>
  <c r="B407" i="6"/>
  <c r="J407" i="6"/>
  <c r="A168" i="21"/>
  <c r="A408" i="6"/>
  <c r="B408" i="6"/>
  <c r="J408" i="6"/>
  <c r="A169" i="21"/>
  <c r="A409" i="6"/>
  <c r="B409" i="6"/>
  <c r="J409" i="6"/>
  <c r="A102" i="21"/>
  <c r="A410" i="6"/>
  <c r="B410" i="6"/>
  <c r="J410" i="6"/>
  <c r="A387" i="21"/>
  <c r="A411" i="6"/>
  <c r="B411" i="6"/>
  <c r="J411" i="6"/>
  <c r="A388" i="21"/>
  <c r="A412" i="6"/>
  <c r="B412" i="6"/>
  <c r="J412" i="6"/>
  <c r="A103" i="21"/>
  <c r="A413" i="6"/>
  <c r="B413" i="6"/>
  <c r="J413" i="6"/>
  <c r="A104" i="21"/>
  <c r="A391" i="6"/>
  <c r="B391" i="6"/>
  <c r="J391" i="6"/>
  <c r="A40" i="21"/>
  <c r="A392" i="6"/>
  <c r="B392" i="6"/>
  <c r="J392" i="6"/>
  <c r="A101" i="21"/>
  <c r="A393" i="6"/>
  <c r="B393" i="6"/>
  <c r="J393" i="6"/>
  <c r="A166" i="21"/>
  <c r="A394" i="6"/>
  <c r="B394" i="6"/>
  <c r="J394" i="6"/>
  <c r="A395" i="6"/>
  <c r="B395" i="6"/>
  <c r="J395" i="6"/>
  <c r="A336" i="21"/>
  <c r="A396" i="6"/>
  <c r="B396" i="6"/>
  <c r="J396" i="6"/>
  <c r="A377" i="21"/>
  <c r="A397" i="6"/>
  <c r="B397" i="6"/>
  <c r="J397" i="6"/>
  <c r="A358" i="21"/>
  <c r="A398" i="6"/>
  <c r="B398" i="6"/>
  <c r="J398" i="6"/>
  <c r="A41" i="21"/>
  <c r="A399" i="6"/>
  <c r="B399" i="6"/>
  <c r="J399" i="6"/>
  <c r="A268" i="21"/>
  <c r="A400" i="6"/>
  <c r="B400" i="6"/>
  <c r="J400" i="6"/>
  <c r="A351" i="21"/>
  <c r="A401" i="6"/>
  <c r="B401" i="6"/>
  <c r="J401" i="6"/>
  <c r="A113" i="21"/>
  <c r="A402" i="6"/>
  <c r="B402" i="6"/>
  <c r="J402" i="6"/>
  <c r="A42" i="21"/>
  <c r="A403" i="6"/>
  <c r="B403" i="6"/>
  <c r="J403" i="6"/>
  <c r="A438" i="21"/>
  <c r="A404" i="6"/>
  <c r="B404" i="6"/>
  <c r="J404" i="6"/>
  <c r="A399" i="21"/>
  <c r="B390" i="6"/>
  <c r="J390" i="6"/>
  <c r="A411" i="21"/>
  <c r="A390" i="6"/>
  <c r="A388" i="6"/>
  <c r="B388" i="6"/>
  <c r="J388" i="6"/>
  <c r="A237" i="21"/>
  <c r="A389" i="6"/>
  <c r="B389" i="6"/>
  <c r="J389" i="6"/>
  <c r="A210" i="21"/>
  <c r="A375" i="6"/>
  <c r="B375" i="6"/>
  <c r="J375" i="6"/>
  <c r="A206" i="21"/>
  <c r="A376" i="6"/>
  <c r="B376" i="6"/>
  <c r="J376" i="6"/>
  <c r="A207" i="21"/>
  <c r="A377" i="6"/>
  <c r="B377" i="6"/>
  <c r="J377" i="6"/>
  <c r="A208" i="21"/>
  <c r="A378" i="6"/>
  <c r="B378" i="6"/>
  <c r="J378" i="6"/>
  <c r="A209" i="21"/>
  <c r="A379" i="6"/>
  <c r="B379" i="6"/>
  <c r="J379" i="6"/>
  <c r="A380" i="6"/>
  <c r="B380" i="6"/>
  <c r="J380" i="6"/>
  <c r="A165" i="21"/>
  <c r="A381" i="6"/>
  <c r="B381" i="6"/>
  <c r="J381" i="6"/>
  <c r="A100" i="21"/>
  <c r="A382" i="6"/>
  <c r="B382" i="6"/>
  <c r="J382" i="6"/>
  <c r="A409" i="21"/>
  <c r="A383" i="6"/>
  <c r="B383" i="6"/>
  <c r="J383" i="6"/>
  <c r="A410" i="21"/>
  <c r="A384" i="6"/>
  <c r="B384" i="6"/>
  <c r="J384" i="6"/>
  <c r="A357" i="21"/>
  <c r="A385" i="6"/>
  <c r="B385" i="6"/>
  <c r="J385" i="6"/>
  <c r="A301" i="21"/>
  <c r="A386" i="6"/>
  <c r="B386" i="6"/>
  <c r="J386" i="6"/>
  <c r="A302" i="21"/>
  <c r="A387" i="6"/>
  <c r="B387" i="6"/>
  <c r="J387" i="6"/>
  <c r="A303" i="21"/>
  <c r="B374" i="6"/>
  <c r="J374" i="6"/>
  <c r="A164" i="21"/>
  <c r="A374" i="6"/>
  <c r="A357" i="6"/>
  <c r="B357" i="6"/>
  <c r="J357" i="6"/>
  <c r="A163" i="21"/>
  <c r="A358" i="6"/>
  <c r="B358" i="6"/>
  <c r="J358" i="6"/>
  <c r="A359" i="6"/>
  <c r="B359" i="6"/>
  <c r="J359" i="6"/>
  <c r="A360" i="6"/>
  <c r="B360" i="6"/>
  <c r="J360" i="6"/>
  <c r="A361" i="6"/>
  <c r="B361" i="6"/>
  <c r="J361" i="6"/>
  <c r="A390" i="21"/>
  <c r="A362" i="6"/>
  <c r="B362" i="6"/>
  <c r="J362" i="6"/>
  <c r="A205" i="21"/>
  <c r="A363" i="6"/>
  <c r="B363" i="6"/>
  <c r="J363" i="6"/>
  <c r="A364" i="6"/>
  <c r="B364" i="6"/>
  <c r="J364" i="6"/>
  <c r="A96" i="21"/>
  <c r="A365" i="6"/>
  <c r="B365" i="6"/>
  <c r="J365" i="6"/>
  <c r="A97" i="21"/>
  <c r="A366" i="6"/>
  <c r="B366" i="6"/>
  <c r="J366" i="6"/>
  <c r="A98" i="21"/>
  <c r="A367" i="6"/>
  <c r="B367" i="6"/>
  <c r="J367" i="6"/>
  <c r="A299" i="21"/>
  <c r="A368" i="6"/>
  <c r="B368" i="6"/>
  <c r="J368" i="6"/>
  <c r="A300" i="21"/>
  <c r="A369" i="6"/>
  <c r="B369" i="6"/>
  <c r="J369" i="6"/>
  <c r="A99" i="21"/>
  <c r="A370" i="6"/>
  <c r="B370" i="6"/>
  <c r="J370" i="6"/>
  <c r="A37" i="21"/>
  <c r="A371" i="6"/>
  <c r="B371" i="6"/>
  <c r="J371" i="6"/>
  <c r="A38" i="21"/>
  <c r="A372" i="6"/>
  <c r="B372" i="6"/>
  <c r="J372" i="6"/>
  <c r="A307" i="21"/>
  <c r="A373" i="6"/>
  <c r="B373" i="6"/>
  <c r="J373" i="6"/>
  <c r="A39" i="21"/>
  <c r="A354" i="6"/>
  <c r="B354" i="6"/>
  <c r="J354" i="6"/>
  <c r="A355" i="6"/>
  <c r="B355" i="6"/>
  <c r="J355" i="6"/>
  <c r="A36" i="21"/>
  <c r="A356" i="6"/>
  <c r="B356" i="6"/>
  <c r="J356" i="6"/>
  <c r="A162" i="21"/>
  <c r="B353" i="6"/>
  <c r="J353" i="6"/>
  <c r="A35" i="21"/>
  <c r="A353" i="6"/>
  <c r="A352" i="6"/>
  <c r="B352" i="6"/>
  <c r="J352" i="6"/>
  <c r="A345" i="6"/>
  <c r="B345" i="6"/>
  <c r="J345" i="6"/>
  <c r="A346" i="6"/>
  <c r="B346" i="6"/>
  <c r="J346" i="6"/>
  <c r="A347" i="6"/>
  <c r="B347" i="6"/>
  <c r="J347" i="6"/>
  <c r="A348" i="6"/>
  <c r="B348" i="6"/>
  <c r="J348" i="6"/>
  <c r="A349" i="6"/>
  <c r="B349" i="6"/>
  <c r="J349" i="6"/>
  <c r="A33" i="21"/>
  <c r="A350" i="6"/>
  <c r="B350" i="6"/>
  <c r="J350" i="6"/>
  <c r="A74" i="21"/>
  <c r="A351" i="6"/>
  <c r="B351" i="6"/>
  <c r="J351" i="6"/>
  <c r="A34" i="21"/>
  <c r="A338" i="6"/>
  <c r="B338" i="6"/>
  <c r="J338" i="6"/>
  <c r="A267" i="21"/>
  <c r="A339" i="6"/>
  <c r="B339" i="6"/>
  <c r="J339" i="6"/>
  <c r="A340" i="6"/>
  <c r="B340" i="6"/>
  <c r="J340" i="6"/>
  <c r="A341" i="6"/>
  <c r="B341" i="6"/>
  <c r="J341" i="6"/>
  <c r="A29" i="21"/>
  <c r="A342" i="6"/>
  <c r="B342" i="6"/>
  <c r="J342" i="6"/>
  <c r="A30" i="21"/>
  <c r="A343" i="6"/>
  <c r="B343" i="6"/>
  <c r="J343" i="6"/>
  <c r="A31" i="21"/>
  <c r="A344" i="6"/>
  <c r="B344" i="6"/>
  <c r="J344" i="6"/>
  <c r="A32" i="21"/>
  <c r="B337" i="6"/>
  <c r="J337" i="6"/>
  <c r="A266" i="21"/>
  <c r="A337" i="6"/>
  <c r="A332" i="6"/>
  <c r="B332" i="6"/>
  <c r="J332" i="6"/>
  <c r="A28" i="21"/>
  <c r="A333" i="6"/>
  <c r="B333" i="6"/>
  <c r="J333" i="6"/>
  <c r="A128" i="21"/>
  <c r="A334" i="6"/>
  <c r="B334" i="6"/>
  <c r="J334" i="6"/>
  <c r="A129" i="21"/>
  <c r="A335" i="6"/>
  <c r="B335" i="6"/>
  <c r="J335" i="6"/>
  <c r="A389" i="21"/>
  <c r="A336" i="6"/>
  <c r="B336" i="6"/>
  <c r="J336" i="6"/>
  <c r="A398" i="21"/>
  <c r="A321" i="6"/>
  <c r="B321" i="6"/>
  <c r="J321" i="6"/>
  <c r="A55" i="21"/>
  <c r="A322" i="6"/>
  <c r="B322" i="6"/>
  <c r="J322" i="6"/>
  <c r="A417" i="21"/>
  <c r="A323" i="6"/>
  <c r="B323" i="6"/>
  <c r="J323" i="6"/>
  <c r="A324" i="6"/>
  <c r="B324" i="6"/>
  <c r="J324" i="6"/>
  <c r="A325" i="6"/>
  <c r="B325" i="6"/>
  <c r="J325" i="6"/>
  <c r="A112" i="21"/>
  <c r="A326" i="6"/>
  <c r="B326" i="6"/>
  <c r="J326" i="6"/>
  <c r="A56" i="21"/>
  <c r="A327" i="6"/>
  <c r="B327" i="6"/>
  <c r="J327" i="6"/>
  <c r="A26" i="21"/>
  <c r="A328" i="6"/>
  <c r="B328" i="6"/>
  <c r="J328" i="6"/>
  <c r="A27" i="21"/>
  <c r="A329" i="6"/>
  <c r="B329" i="6"/>
  <c r="J329" i="6"/>
  <c r="A61" i="21"/>
  <c r="A330" i="6"/>
  <c r="B330" i="6"/>
  <c r="J330" i="6"/>
  <c r="A73" i="21"/>
  <c r="A331" i="6"/>
  <c r="B331" i="6"/>
  <c r="J331" i="6"/>
  <c r="A83" i="21"/>
  <c r="B320" i="6"/>
  <c r="J320" i="6"/>
  <c r="A54" i="21"/>
  <c r="A320" i="6"/>
  <c r="A316" i="6"/>
  <c r="B316" i="6"/>
  <c r="J316" i="6"/>
  <c r="A317" i="6"/>
  <c r="B317" i="6"/>
  <c r="J317" i="6"/>
  <c r="A340" i="21"/>
  <c r="A318" i="6"/>
  <c r="B318" i="6"/>
  <c r="J318" i="6"/>
  <c r="A341" i="21"/>
  <c r="A319" i="6"/>
  <c r="B319" i="6"/>
  <c r="J319" i="6"/>
  <c r="A342" i="21"/>
  <c r="B315" i="6"/>
  <c r="J315" i="6"/>
  <c r="A315" i="6"/>
  <c r="A314" i="6"/>
  <c r="B314" i="6"/>
  <c r="J314" i="6"/>
  <c r="A299" i="6"/>
  <c r="B299" i="6"/>
  <c r="J299" i="6"/>
  <c r="A300" i="6"/>
  <c r="B300" i="6"/>
  <c r="J300" i="6"/>
  <c r="A301" i="6"/>
  <c r="B301" i="6"/>
  <c r="J301" i="6"/>
  <c r="A302" i="6"/>
  <c r="B302" i="6"/>
  <c r="J302" i="6"/>
  <c r="A303" i="6"/>
  <c r="B303" i="6"/>
  <c r="J303" i="6"/>
  <c r="A304" i="6"/>
  <c r="B304" i="6"/>
  <c r="J304" i="6"/>
  <c r="A305" i="6"/>
  <c r="B305" i="6"/>
  <c r="J305" i="6"/>
  <c r="A306" i="6"/>
  <c r="B306" i="6"/>
  <c r="J306" i="6"/>
  <c r="A307" i="6"/>
  <c r="B307" i="6"/>
  <c r="J307" i="6"/>
  <c r="A308" i="6"/>
  <c r="B308" i="6"/>
  <c r="J308" i="6"/>
  <c r="A309" i="6"/>
  <c r="B309" i="6"/>
  <c r="J309" i="6"/>
  <c r="A310" i="6"/>
  <c r="B310" i="6"/>
  <c r="J310" i="6"/>
  <c r="A311" i="6"/>
  <c r="B311" i="6"/>
  <c r="J311" i="6"/>
  <c r="A312" i="6"/>
  <c r="B312" i="6"/>
  <c r="J312" i="6"/>
  <c r="A313" i="6"/>
  <c r="B313" i="6"/>
  <c r="J313" i="6"/>
  <c r="A290" i="6"/>
  <c r="B290" i="6"/>
  <c r="J290" i="6"/>
  <c r="A291" i="6"/>
  <c r="B291" i="6"/>
  <c r="J291" i="6"/>
  <c r="A292" i="6"/>
  <c r="B292" i="6"/>
  <c r="J292" i="6"/>
  <c r="A293" i="6"/>
  <c r="B293" i="6"/>
  <c r="J293" i="6"/>
  <c r="A294" i="6"/>
  <c r="J294" i="6"/>
  <c r="A295" i="6"/>
  <c r="B295" i="6"/>
  <c r="J295" i="6"/>
  <c r="A296" i="6"/>
  <c r="B296" i="6"/>
  <c r="J296" i="6"/>
  <c r="A297" i="6"/>
  <c r="B297" i="6"/>
  <c r="J297" i="6"/>
  <c r="A298" i="6"/>
  <c r="B298" i="6"/>
  <c r="J298" i="6"/>
  <c r="J289" i="6"/>
  <c r="B289" i="6"/>
  <c r="A289" i="6"/>
  <c r="A284" i="6"/>
  <c r="B284" i="6"/>
  <c r="J284" i="6"/>
  <c r="A60" i="21"/>
  <c r="A285" i="6"/>
  <c r="B285" i="6"/>
  <c r="J285" i="6"/>
  <c r="A286" i="6"/>
  <c r="B286" i="6"/>
  <c r="J286" i="6"/>
  <c r="A287" i="6"/>
  <c r="B287" i="6"/>
  <c r="J287" i="6"/>
  <c r="A158" i="21"/>
  <c r="A288" i="6"/>
  <c r="B288" i="6"/>
  <c r="J288" i="6"/>
  <c r="A279" i="6"/>
  <c r="B279" i="6"/>
  <c r="J279" i="6"/>
  <c r="A280" i="6"/>
  <c r="B280" i="6"/>
  <c r="J280" i="6"/>
  <c r="A281" i="6"/>
  <c r="B281" i="6"/>
  <c r="J281" i="6"/>
  <c r="A282" i="6"/>
  <c r="B282" i="6"/>
  <c r="J282" i="6"/>
  <c r="A283" i="6"/>
  <c r="B283" i="6"/>
  <c r="J283" i="6"/>
  <c r="A274" i="6"/>
  <c r="B274" i="6"/>
  <c r="J274" i="6"/>
  <c r="A275" i="6"/>
  <c r="B275" i="6"/>
  <c r="J275" i="6"/>
  <c r="A276" i="6"/>
  <c r="B276" i="6"/>
  <c r="J276" i="6"/>
  <c r="A277" i="6"/>
  <c r="B277" i="6"/>
  <c r="J277" i="6"/>
  <c r="A278" i="6"/>
  <c r="B278" i="6"/>
  <c r="J278" i="6"/>
  <c r="A267" i="6"/>
  <c r="B267" i="6"/>
  <c r="J267" i="6"/>
  <c r="A268" i="6"/>
  <c r="B268" i="6"/>
  <c r="J268" i="6"/>
  <c r="A269" i="6"/>
  <c r="B269" i="6"/>
  <c r="J269" i="6"/>
  <c r="A270" i="6"/>
  <c r="B270" i="6"/>
  <c r="J270" i="6"/>
  <c r="A271" i="6"/>
  <c r="B271" i="6"/>
  <c r="J271" i="6"/>
  <c r="A272" i="6"/>
  <c r="B272" i="6"/>
  <c r="J272" i="6"/>
  <c r="A273" i="6"/>
  <c r="B273" i="6"/>
  <c r="J273" i="6"/>
  <c r="B266" i="6"/>
  <c r="J266" i="6"/>
  <c r="A266" i="6"/>
  <c r="A254" i="6"/>
  <c r="B254" i="6"/>
  <c r="J254" i="6"/>
  <c r="A255" i="6"/>
  <c r="B255" i="6"/>
  <c r="J255" i="6"/>
  <c r="A256" i="6"/>
  <c r="B256" i="6"/>
  <c r="J256" i="6"/>
  <c r="A257" i="6"/>
  <c r="B257" i="6"/>
  <c r="J257" i="6"/>
  <c r="A258" i="6"/>
  <c r="B258" i="6"/>
  <c r="J258" i="6"/>
  <c r="A259" i="6"/>
  <c r="B259" i="6"/>
  <c r="J259" i="6"/>
  <c r="A260" i="6"/>
  <c r="B260" i="6"/>
  <c r="J260" i="6"/>
  <c r="A261" i="6"/>
  <c r="B261" i="6"/>
  <c r="J261" i="6"/>
  <c r="A262" i="6"/>
  <c r="B262" i="6"/>
  <c r="J262" i="6"/>
  <c r="A263" i="6"/>
  <c r="B263" i="6"/>
  <c r="J263" i="6"/>
  <c r="A264" i="6"/>
  <c r="B264" i="6"/>
  <c r="J264" i="6"/>
  <c r="A265" i="6"/>
  <c r="B265" i="6"/>
  <c r="J265" i="6"/>
  <c r="B253" i="6"/>
  <c r="J253" i="6"/>
  <c r="A253" i="6"/>
  <c r="A249" i="6"/>
  <c r="B249" i="6"/>
  <c r="A250" i="6"/>
  <c r="B250" i="6"/>
  <c r="J250" i="6"/>
  <c r="A251" i="6"/>
  <c r="B251" i="6"/>
  <c r="J251" i="6"/>
  <c r="A252" i="6"/>
  <c r="B252" i="6"/>
  <c r="J252" i="6"/>
  <c r="B248" i="6"/>
  <c r="J248" i="6"/>
  <c r="A248" i="6"/>
  <c r="A243" i="6"/>
  <c r="B243" i="6"/>
  <c r="J243" i="6"/>
  <c r="A244" i="6"/>
  <c r="B244" i="6"/>
  <c r="J244" i="6"/>
  <c r="A245" i="6"/>
  <c r="B245" i="6"/>
  <c r="J245" i="6"/>
  <c r="A246" i="6"/>
  <c r="B246" i="6"/>
  <c r="J246" i="6"/>
  <c r="A247" i="6"/>
  <c r="B247" i="6"/>
  <c r="J247" i="6"/>
  <c r="B242" i="6"/>
  <c r="J242" i="6"/>
  <c r="A242" i="6"/>
  <c r="A239" i="6"/>
  <c r="B239" i="6"/>
  <c r="J239" i="6"/>
  <c r="A240" i="6"/>
  <c r="B240" i="6"/>
  <c r="J240" i="6"/>
  <c r="A241" i="6"/>
  <c r="B241" i="6"/>
  <c r="J241" i="6"/>
  <c r="A231" i="6"/>
  <c r="B231" i="6"/>
  <c r="J231" i="6"/>
  <c r="A232" i="6"/>
  <c r="B232" i="6"/>
  <c r="J232" i="6"/>
  <c r="A233" i="6"/>
  <c r="B233" i="6"/>
  <c r="J233" i="6"/>
  <c r="A234" i="6"/>
  <c r="B234" i="6"/>
  <c r="J234" i="6"/>
  <c r="A235" i="6"/>
  <c r="B235" i="6"/>
  <c r="J235" i="6"/>
  <c r="A236" i="6"/>
  <c r="B236" i="6"/>
  <c r="J236" i="6"/>
  <c r="A237" i="6"/>
  <c r="B237" i="6"/>
  <c r="J237" i="6"/>
  <c r="A238" i="6"/>
  <c r="B238" i="6"/>
  <c r="J238" i="6"/>
  <c r="A223" i="6"/>
  <c r="B223" i="6"/>
  <c r="J223" i="6"/>
  <c r="A224" i="6"/>
  <c r="B224" i="6"/>
  <c r="J224" i="6"/>
  <c r="A225" i="6"/>
  <c r="B225" i="6"/>
  <c r="J225" i="6"/>
  <c r="A226" i="6"/>
  <c r="B226" i="6"/>
  <c r="J226" i="6"/>
  <c r="A227" i="6"/>
  <c r="B227" i="6"/>
  <c r="J227" i="6"/>
  <c r="A228" i="6"/>
  <c r="B228" i="6"/>
  <c r="J228" i="6"/>
  <c r="A229" i="6"/>
  <c r="B229" i="6"/>
  <c r="J229" i="6"/>
  <c r="A230" i="6"/>
  <c r="B230" i="6"/>
  <c r="J230" i="6"/>
  <c r="B222" i="6"/>
  <c r="J222" i="6"/>
  <c r="A222" i="6"/>
  <c r="A212" i="6"/>
  <c r="B212" i="6"/>
  <c r="J212" i="6"/>
  <c r="A213" i="6"/>
  <c r="B213" i="6"/>
  <c r="J213" i="6"/>
  <c r="A214" i="6"/>
  <c r="B214" i="6"/>
  <c r="J214" i="6"/>
  <c r="A215" i="6"/>
  <c r="B215" i="6"/>
  <c r="J215" i="6"/>
  <c r="A216" i="6"/>
  <c r="B216" i="6"/>
  <c r="J216" i="6"/>
  <c r="A217" i="6"/>
  <c r="B217" i="6"/>
  <c r="J217" i="6"/>
  <c r="A218" i="6"/>
  <c r="B218" i="6"/>
  <c r="J218" i="6"/>
  <c r="A219" i="6"/>
  <c r="B219" i="6"/>
  <c r="J219" i="6"/>
  <c r="A220" i="6"/>
  <c r="B220" i="6"/>
  <c r="J220" i="6"/>
  <c r="A221" i="6"/>
  <c r="B221" i="6"/>
  <c r="J221" i="6"/>
  <c r="B211" i="6"/>
  <c r="J211" i="6"/>
  <c r="A211" i="6"/>
  <c r="A210" i="6"/>
  <c r="A184" i="6"/>
  <c r="B184" i="6"/>
  <c r="J184" i="6"/>
  <c r="A185" i="6"/>
  <c r="B185" i="6"/>
  <c r="J185" i="6"/>
  <c r="A186" i="6"/>
  <c r="B186" i="6"/>
  <c r="J186" i="6"/>
  <c r="A187" i="6"/>
  <c r="B187" i="6"/>
  <c r="J187" i="6"/>
  <c r="A188" i="6"/>
  <c r="B188" i="6"/>
  <c r="J188" i="6"/>
  <c r="A189" i="6"/>
  <c r="B189" i="6"/>
  <c r="J189" i="6"/>
  <c r="A190" i="6"/>
  <c r="B190" i="6"/>
  <c r="J190" i="6"/>
  <c r="A191" i="6"/>
  <c r="B191" i="6"/>
  <c r="J191" i="6"/>
  <c r="A192" i="6"/>
  <c r="B192" i="6"/>
  <c r="J192" i="6"/>
  <c r="A193" i="6"/>
  <c r="B193" i="6"/>
  <c r="J193" i="6"/>
  <c r="A194" i="6"/>
  <c r="B194" i="6"/>
  <c r="J194" i="6"/>
  <c r="A195" i="6"/>
  <c r="B195" i="6"/>
  <c r="J195" i="6"/>
  <c r="A196" i="6"/>
  <c r="B196" i="6"/>
  <c r="J196" i="6"/>
  <c r="A197" i="6"/>
  <c r="B197" i="6"/>
  <c r="J197" i="6"/>
  <c r="A198" i="6"/>
  <c r="B198" i="6"/>
  <c r="J198" i="6"/>
  <c r="A199" i="6"/>
  <c r="B199" i="6"/>
  <c r="J199" i="6"/>
  <c r="A200" i="6"/>
  <c r="B200" i="6"/>
  <c r="J200" i="6"/>
  <c r="A201" i="6"/>
  <c r="B201" i="6"/>
  <c r="J201" i="6"/>
  <c r="A202" i="6"/>
  <c r="B202" i="6"/>
  <c r="J202" i="6"/>
  <c r="A203" i="6"/>
  <c r="B203" i="6"/>
  <c r="J203" i="6"/>
  <c r="A204" i="6"/>
  <c r="B204" i="6"/>
  <c r="J204" i="6"/>
  <c r="A205" i="6"/>
  <c r="B205" i="6"/>
  <c r="J205" i="6"/>
  <c r="A206" i="6"/>
  <c r="B206" i="6"/>
  <c r="J206" i="6"/>
  <c r="A207" i="6"/>
  <c r="B207" i="6"/>
  <c r="J207" i="6"/>
  <c r="A208" i="6"/>
  <c r="B208" i="6"/>
  <c r="J208" i="6"/>
  <c r="A209" i="6"/>
  <c r="B209" i="6"/>
  <c r="J209" i="6"/>
  <c r="B210" i="6"/>
  <c r="J210" i="6"/>
  <c r="A178" i="6"/>
  <c r="B178" i="6"/>
  <c r="J178" i="6"/>
  <c r="A179" i="6"/>
  <c r="B179" i="6"/>
  <c r="J179" i="6"/>
  <c r="A180" i="6"/>
  <c r="B180" i="6"/>
  <c r="J180" i="6"/>
  <c r="A181" i="6"/>
  <c r="B181" i="6"/>
  <c r="J181" i="6"/>
  <c r="A182" i="6"/>
  <c r="B182" i="6"/>
  <c r="J182" i="6"/>
  <c r="A183" i="6"/>
  <c r="B183" i="6"/>
  <c r="J183" i="6"/>
  <c r="B177" i="6"/>
  <c r="J177" i="6"/>
  <c r="A177" i="6"/>
  <c r="A166" i="6"/>
  <c r="B166" i="6"/>
  <c r="J166" i="6"/>
  <c r="A167" i="6"/>
  <c r="B167" i="6"/>
  <c r="J167" i="6"/>
  <c r="A168" i="6"/>
  <c r="B168" i="6"/>
  <c r="J168" i="6"/>
  <c r="A169" i="6"/>
  <c r="B169" i="6"/>
  <c r="J169" i="6"/>
  <c r="A170" i="6"/>
  <c r="B170" i="6"/>
  <c r="J170" i="6"/>
  <c r="A171" i="6"/>
  <c r="B171" i="6"/>
  <c r="J171" i="6"/>
  <c r="A172" i="6"/>
  <c r="B172" i="6"/>
  <c r="J172" i="6"/>
  <c r="A173" i="6"/>
  <c r="B173" i="6"/>
  <c r="J173" i="6"/>
  <c r="A174" i="6"/>
  <c r="B174" i="6"/>
  <c r="J174" i="6"/>
  <c r="A175" i="6"/>
  <c r="B175" i="6"/>
  <c r="J175" i="6"/>
  <c r="A176" i="6"/>
  <c r="B176" i="6"/>
  <c r="J176" i="6"/>
  <c r="B165" i="6"/>
  <c r="J165" i="6"/>
  <c r="A165" i="6"/>
  <c r="A159" i="6"/>
  <c r="B159" i="6"/>
  <c r="J159" i="6"/>
  <c r="A160" i="6"/>
  <c r="B160" i="6"/>
  <c r="J160" i="6"/>
  <c r="A161" i="6"/>
  <c r="B161" i="6"/>
  <c r="J161" i="6"/>
  <c r="A162" i="6"/>
  <c r="B162" i="6"/>
  <c r="J162" i="6"/>
  <c r="A163" i="6"/>
  <c r="B163" i="6"/>
  <c r="J163" i="6"/>
  <c r="A164" i="6"/>
  <c r="B164" i="6"/>
  <c r="J164" i="6"/>
  <c r="A153" i="6"/>
  <c r="B153" i="6"/>
  <c r="J153" i="6"/>
  <c r="A154" i="6"/>
  <c r="B154" i="6"/>
  <c r="J154" i="6"/>
  <c r="A155" i="6"/>
  <c r="B155" i="6"/>
  <c r="J155" i="6"/>
  <c r="A156" i="6"/>
  <c r="B156" i="6"/>
  <c r="J156" i="6"/>
  <c r="A157" i="6"/>
  <c r="B157" i="6"/>
  <c r="J157" i="6"/>
  <c r="A158" i="6"/>
  <c r="B158" i="6"/>
  <c r="J158" i="6"/>
  <c r="A148" i="6"/>
  <c r="B148" i="6"/>
  <c r="J148" i="6"/>
  <c r="A149" i="6"/>
  <c r="B149" i="6"/>
  <c r="J149" i="6"/>
  <c r="A150" i="6"/>
  <c r="B150" i="6"/>
  <c r="J150" i="6"/>
  <c r="A151" i="6"/>
  <c r="B151" i="6"/>
  <c r="J151" i="6"/>
  <c r="A152" i="6"/>
  <c r="B152" i="6"/>
  <c r="J152" i="6"/>
  <c r="A139" i="6"/>
  <c r="B139" i="6"/>
  <c r="J139" i="6"/>
  <c r="A140" i="6"/>
  <c r="B140" i="6"/>
  <c r="J140" i="6"/>
  <c r="A141" i="6"/>
  <c r="B141" i="6"/>
  <c r="J141" i="6"/>
  <c r="A142" i="6"/>
  <c r="B142" i="6"/>
  <c r="J142" i="6"/>
  <c r="A143" i="6"/>
  <c r="B143" i="6"/>
  <c r="J143" i="6"/>
  <c r="A144" i="6"/>
  <c r="B144" i="6"/>
  <c r="J144" i="6"/>
  <c r="A145" i="6"/>
  <c r="B145" i="6"/>
  <c r="J145" i="6"/>
  <c r="A146" i="6"/>
  <c r="B146" i="6"/>
  <c r="J146" i="6"/>
  <c r="A147" i="6"/>
  <c r="B147" i="6"/>
  <c r="J147" i="6"/>
  <c r="B138" i="6"/>
  <c r="J138" i="6"/>
  <c r="A138" i="6"/>
  <c r="A127" i="6"/>
  <c r="B127" i="6"/>
  <c r="J127" i="6"/>
  <c r="A128" i="6"/>
  <c r="B128" i="6"/>
  <c r="J128" i="6"/>
  <c r="A129" i="6"/>
  <c r="B129" i="6"/>
  <c r="J129" i="6"/>
  <c r="A130" i="6"/>
  <c r="B130" i="6"/>
  <c r="J130" i="6"/>
  <c r="A131" i="6"/>
  <c r="B131" i="6"/>
  <c r="J131" i="6"/>
  <c r="A132" i="6"/>
  <c r="B132" i="6"/>
  <c r="J132" i="6"/>
  <c r="A133" i="6"/>
  <c r="B133" i="6"/>
  <c r="J133" i="6"/>
  <c r="A134" i="6"/>
  <c r="B134" i="6"/>
  <c r="J134" i="6"/>
  <c r="A135" i="6"/>
  <c r="B135" i="6"/>
  <c r="J135" i="6"/>
  <c r="A136" i="6"/>
  <c r="B136" i="6"/>
  <c r="J136" i="6"/>
  <c r="A137" i="6"/>
  <c r="B137" i="6"/>
  <c r="J137" i="6"/>
  <c r="A121" i="6"/>
  <c r="B121" i="6"/>
  <c r="J121" i="6"/>
  <c r="A122" i="6"/>
  <c r="B122" i="6"/>
  <c r="J122" i="6"/>
  <c r="A123" i="6"/>
  <c r="B123" i="6"/>
  <c r="J123" i="6"/>
  <c r="A124" i="6"/>
  <c r="B124" i="6"/>
  <c r="J124" i="6"/>
  <c r="A125" i="6"/>
  <c r="B125" i="6"/>
  <c r="J125" i="6"/>
  <c r="A126" i="6"/>
  <c r="B126" i="6"/>
  <c r="J126" i="6"/>
  <c r="B120" i="6"/>
  <c r="J120" i="6"/>
  <c r="A120" i="6"/>
  <c r="A118" i="6"/>
  <c r="B118" i="6"/>
  <c r="J118" i="6"/>
  <c r="A119" i="6"/>
  <c r="B119" i="6"/>
  <c r="J119" i="6"/>
  <c r="B117" i="6"/>
  <c r="J117" i="6"/>
  <c r="A117" i="6"/>
  <c r="A114" i="6"/>
  <c r="B114" i="6"/>
  <c r="J114" i="6"/>
  <c r="A115" i="6"/>
  <c r="B115" i="6"/>
  <c r="J115" i="6"/>
  <c r="A116" i="6"/>
  <c r="B116" i="6"/>
  <c r="J116" i="6"/>
  <c r="A107" i="6"/>
  <c r="B107" i="6"/>
  <c r="J107" i="6"/>
  <c r="A108" i="6"/>
  <c r="B108" i="6"/>
  <c r="J108" i="6"/>
  <c r="A109" i="6"/>
  <c r="B109" i="6"/>
  <c r="J109" i="6"/>
  <c r="A110" i="6"/>
  <c r="B110" i="6"/>
  <c r="J110" i="6"/>
  <c r="A111" i="6"/>
  <c r="B111" i="6"/>
  <c r="J111" i="6"/>
  <c r="A112" i="6"/>
  <c r="B112" i="6"/>
  <c r="J112" i="6"/>
  <c r="A113" i="6"/>
  <c r="B113" i="6"/>
  <c r="J113" i="6"/>
  <c r="A98" i="6"/>
  <c r="B98" i="6"/>
  <c r="J98" i="6"/>
  <c r="A99" i="6"/>
  <c r="B99" i="6"/>
  <c r="J99" i="6"/>
  <c r="A100" i="6"/>
  <c r="B100" i="6"/>
  <c r="J100" i="6"/>
  <c r="A101" i="6"/>
  <c r="B101" i="6"/>
  <c r="J101" i="6"/>
  <c r="A102" i="6"/>
  <c r="B102" i="6"/>
  <c r="J102" i="6"/>
  <c r="A103" i="6"/>
  <c r="B103" i="6"/>
  <c r="J103" i="6"/>
  <c r="A104" i="6"/>
  <c r="B104" i="6"/>
  <c r="J104" i="6"/>
  <c r="A105" i="6"/>
  <c r="B105" i="6"/>
  <c r="J105" i="6"/>
  <c r="A106" i="6"/>
  <c r="B106" i="6"/>
  <c r="J106" i="6"/>
  <c r="B97" i="6"/>
  <c r="J97" i="6"/>
  <c r="A97" i="6"/>
  <c r="A91" i="6"/>
  <c r="B91" i="6"/>
  <c r="J91" i="6"/>
  <c r="A92" i="6"/>
  <c r="B92" i="6"/>
  <c r="J92" i="6"/>
  <c r="A93" i="6"/>
  <c r="B93" i="6"/>
  <c r="J93" i="6"/>
  <c r="A94" i="6"/>
  <c r="B94" i="6"/>
  <c r="J94" i="6"/>
  <c r="A95" i="6"/>
  <c r="B95" i="6"/>
  <c r="J95" i="6"/>
  <c r="A96" i="6"/>
  <c r="B96" i="6"/>
  <c r="J96" i="6"/>
  <c r="A80" i="6"/>
  <c r="B80" i="6"/>
  <c r="J80" i="6"/>
  <c r="A81" i="6"/>
  <c r="B81" i="6"/>
  <c r="J81" i="6"/>
  <c r="A82" i="6"/>
  <c r="B82" i="6"/>
  <c r="J82" i="6"/>
  <c r="A83" i="6"/>
  <c r="B83" i="6"/>
  <c r="J83" i="6"/>
  <c r="A84" i="6"/>
  <c r="B84" i="6"/>
  <c r="J84" i="6"/>
  <c r="A85" i="6"/>
  <c r="B85" i="6"/>
  <c r="J85" i="6"/>
  <c r="A86" i="6"/>
  <c r="B86" i="6"/>
  <c r="J86" i="6"/>
  <c r="A87" i="6"/>
  <c r="B87" i="6"/>
  <c r="J87" i="6"/>
  <c r="A88" i="6"/>
  <c r="B88" i="6"/>
  <c r="J88" i="6"/>
  <c r="A89" i="6"/>
  <c r="B89" i="6"/>
  <c r="J89" i="6"/>
  <c r="A90" i="6"/>
  <c r="B90" i="6"/>
  <c r="J90" i="6"/>
  <c r="A71" i="6"/>
  <c r="B71" i="6"/>
  <c r="J71" i="6"/>
  <c r="A72" i="6"/>
  <c r="B72" i="6"/>
  <c r="J72" i="6"/>
  <c r="A73" i="6"/>
  <c r="B73" i="6"/>
  <c r="J73" i="6"/>
  <c r="A74" i="6"/>
  <c r="B74" i="6"/>
  <c r="J74" i="6"/>
  <c r="A75" i="6"/>
  <c r="B75" i="6"/>
  <c r="J75" i="6"/>
  <c r="A76" i="6"/>
  <c r="B76" i="6"/>
  <c r="J76" i="6"/>
  <c r="A77" i="6"/>
  <c r="B77" i="6"/>
  <c r="J77" i="6"/>
  <c r="A78" i="6"/>
  <c r="B78" i="6"/>
  <c r="J78" i="6"/>
  <c r="A79" i="6"/>
  <c r="B79" i="6"/>
  <c r="J79" i="6"/>
  <c r="A59" i="6"/>
  <c r="B59" i="6"/>
  <c r="J59" i="6"/>
  <c r="A60" i="6"/>
  <c r="B60" i="6"/>
  <c r="J60" i="6"/>
  <c r="A61" i="6"/>
  <c r="B61" i="6"/>
  <c r="J61" i="6"/>
  <c r="A62" i="6"/>
  <c r="B62" i="6"/>
  <c r="J62" i="6"/>
  <c r="A63" i="6"/>
  <c r="B63" i="6"/>
  <c r="J63" i="6"/>
  <c r="A64" i="6"/>
  <c r="B64" i="6"/>
  <c r="J64" i="6"/>
  <c r="A65" i="6"/>
  <c r="B65" i="6"/>
  <c r="J65" i="6"/>
  <c r="A66" i="6"/>
  <c r="B66" i="6"/>
  <c r="J66" i="6"/>
  <c r="A67" i="6"/>
  <c r="B67" i="6"/>
  <c r="J67" i="6"/>
  <c r="A68" i="6"/>
  <c r="B68" i="6"/>
  <c r="J68" i="6"/>
  <c r="A69" i="6"/>
  <c r="B69" i="6"/>
  <c r="J69" i="6"/>
  <c r="A70" i="6"/>
  <c r="B70" i="6"/>
  <c r="J70" i="6"/>
  <c r="A53" i="6"/>
  <c r="B53" i="6"/>
  <c r="J53" i="6"/>
  <c r="A54" i="6"/>
  <c r="B54" i="6"/>
  <c r="J54" i="6"/>
  <c r="A55" i="6"/>
  <c r="B55" i="6"/>
  <c r="J55" i="6"/>
  <c r="A56" i="6"/>
  <c r="B56" i="6"/>
  <c r="J56" i="6"/>
  <c r="A57" i="6"/>
  <c r="B57" i="6"/>
  <c r="J57" i="6"/>
  <c r="A58" i="6"/>
  <c r="B58" i="6"/>
  <c r="J58" i="6"/>
  <c r="B52" i="6"/>
  <c r="J52" i="6"/>
  <c r="A52" i="6"/>
  <c r="A46" i="6"/>
  <c r="B46" i="6"/>
  <c r="J46" i="6"/>
  <c r="A47" i="6"/>
  <c r="B47" i="6"/>
  <c r="J47" i="6"/>
  <c r="A48" i="6"/>
  <c r="B48" i="6"/>
  <c r="J48" i="6"/>
  <c r="A49" i="6"/>
  <c r="B49" i="6"/>
  <c r="J49" i="6"/>
  <c r="A50" i="6"/>
  <c r="B50" i="6"/>
  <c r="J50" i="6"/>
  <c r="A51" i="6"/>
  <c r="B51" i="6"/>
  <c r="J51" i="6"/>
  <c r="B45" i="6"/>
  <c r="J45" i="6"/>
  <c r="A45" i="6"/>
  <c r="A40" i="6"/>
  <c r="B40" i="6"/>
  <c r="J40" i="6"/>
  <c r="A41" i="6"/>
  <c r="B41" i="6"/>
  <c r="J41" i="6"/>
  <c r="A42" i="6"/>
  <c r="B42" i="6"/>
  <c r="J42" i="6"/>
  <c r="A43" i="6"/>
  <c r="B43" i="6"/>
  <c r="J43" i="6"/>
  <c r="A44" i="6"/>
  <c r="B44" i="6"/>
  <c r="J44" i="6"/>
  <c r="A30" i="6"/>
  <c r="B30" i="6"/>
  <c r="J30" i="6"/>
  <c r="A31" i="6"/>
  <c r="B31" i="6"/>
  <c r="J31" i="6"/>
  <c r="A32" i="6"/>
  <c r="B32" i="6"/>
  <c r="J32" i="6"/>
  <c r="A33" i="6"/>
  <c r="B33" i="6"/>
  <c r="J33" i="6"/>
  <c r="A34" i="6"/>
  <c r="B34" i="6"/>
  <c r="J34" i="6"/>
  <c r="A35" i="6"/>
  <c r="B35" i="6"/>
  <c r="J35" i="6"/>
  <c r="A36" i="6"/>
  <c r="B36" i="6"/>
  <c r="J36" i="6"/>
  <c r="A37" i="6"/>
  <c r="B37" i="6"/>
  <c r="J37" i="6"/>
  <c r="A38" i="6"/>
  <c r="B38" i="6"/>
  <c r="J38" i="6"/>
  <c r="A39" i="6"/>
  <c r="B39" i="6"/>
  <c r="J39" i="6"/>
  <c r="A23" i="6"/>
  <c r="B23" i="6"/>
  <c r="J23" i="6"/>
  <c r="A24" i="6"/>
  <c r="B24" i="6"/>
  <c r="J24" i="6"/>
  <c r="A25" i="6"/>
  <c r="B25" i="6"/>
  <c r="J25" i="6"/>
  <c r="A26" i="6"/>
  <c r="B26" i="6"/>
  <c r="J26" i="6"/>
  <c r="A27" i="6"/>
  <c r="B27" i="6"/>
  <c r="J27" i="6"/>
  <c r="A28" i="6"/>
  <c r="B28" i="6"/>
  <c r="J28" i="6"/>
  <c r="A29" i="6"/>
  <c r="B29" i="6"/>
  <c r="J29" i="6"/>
  <c r="A12" i="6"/>
  <c r="B12" i="6"/>
  <c r="J12" i="6"/>
  <c r="A13" i="6"/>
  <c r="B13" i="6"/>
  <c r="J13" i="6"/>
  <c r="A14" i="6"/>
  <c r="B14" i="6"/>
  <c r="J14" i="6"/>
  <c r="A15" i="6"/>
  <c r="B15" i="6"/>
  <c r="J15" i="6"/>
  <c r="A16" i="6"/>
  <c r="B16" i="6"/>
  <c r="J16" i="6"/>
  <c r="A17" i="6"/>
  <c r="B17" i="6"/>
  <c r="J17" i="6"/>
  <c r="A18" i="6"/>
  <c r="B18" i="6"/>
  <c r="J18" i="6"/>
  <c r="A19" i="6"/>
  <c r="B19" i="6"/>
  <c r="J19" i="6"/>
  <c r="A20" i="6"/>
  <c r="B20" i="6"/>
  <c r="J20" i="6"/>
  <c r="A21" i="6"/>
  <c r="B21" i="6"/>
  <c r="J21" i="6"/>
  <c r="A22" i="6"/>
  <c r="B22" i="6"/>
  <c r="J22" i="6"/>
  <c r="B11" i="6"/>
  <c r="J11" i="6"/>
  <c r="A11" i="6"/>
  <c r="A3" i="6"/>
  <c r="B3" i="6"/>
  <c r="J3" i="6"/>
  <c r="A4" i="6"/>
  <c r="B4" i="6"/>
  <c r="J4" i="6"/>
  <c r="A5" i="6"/>
  <c r="B5" i="6"/>
  <c r="J5" i="6"/>
  <c r="A6" i="6"/>
  <c r="B6" i="6"/>
  <c r="J6" i="6"/>
  <c r="A7" i="6"/>
  <c r="B7" i="6"/>
  <c r="J7" i="6"/>
  <c r="A8" i="6"/>
  <c r="B8" i="6"/>
  <c r="J8" i="6"/>
  <c r="A9" i="6"/>
  <c r="B9" i="6"/>
  <c r="J9" i="6"/>
  <c r="A10" i="6"/>
  <c r="B10" i="6"/>
  <c r="J10" i="6"/>
  <c r="B2" i="6"/>
  <c r="B16" i="35"/>
  <c r="V1" i="36"/>
  <c r="J2" i="6"/>
  <c r="A2" i="6"/>
  <c r="P42" i="35"/>
  <c r="AI2" i="35"/>
  <c r="F16" i="35"/>
  <c r="X18" i="35"/>
  <c r="Y4" i="35"/>
  <c r="T4" i="35"/>
  <c r="P4" i="35"/>
  <c r="K4" i="35"/>
  <c r="J3" i="35"/>
  <c r="F4" i="35"/>
  <c r="E3" i="35"/>
  <c r="C2" i="35"/>
  <c r="I16" i="35"/>
  <c r="C16" i="35"/>
  <c r="I4" i="35"/>
  <c r="I2" i="35"/>
  <c r="V21" i="36"/>
  <c r="A444" i="21"/>
  <c r="V20" i="36"/>
  <c r="A401" i="21"/>
  <c r="V19" i="36"/>
  <c r="A400" i="21"/>
  <c r="V18" i="36"/>
  <c r="A397" i="21"/>
  <c r="V17" i="36"/>
  <c r="A281" i="21"/>
  <c r="V16" i="36"/>
  <c r="A318" i="21"/>
  <c r="V15" i="36"/>
  <c r="A365" i="21"/>
  <c r="V14" i="36"/>
  <c r="A241" i="21"/>
  <c r="V13" i="36"/>
  <c r="A194" i="21"/>
  <c r="V12" i="36"/>
  <c r="V11" i="36"/>
  <c r="A127" i="21"/>
  <c r="V23" i="36"/>
  <c r="A225" i="21"/>
  <c r="V22" i="36"/>
  <c r="A242" i="21"/>
  <c r="A279" i="21"/>
  <c r="A445" i="21"/>
  <c r="A367" i="21"/>
  <c r="A434" i="21"/>
  <c r="A121" i="21"/>
  <c r="A378" i="21"/>
  <c r="A382" i="21"/>
  <c r="A424" i="21"/>
  <c r="A85" i="21"/>
  <c r="A404" i="21"/>
  <c r="A131" i="21"/>
  <c r="A385" i="21"/>
  <c r="A403" i="21"/>
  <c r="A402" i="21"/>
  <c r="A66" i="21"/>
  <c r="A457" i="21"/>
  <c r="A48" i="21"/>
  <c r="A414" i="21"/>
  <c r="A413" i="21"/>
  <c r="A420" i="21"/>
  <c r="V44" i="36"/>
  <c r="A288" i="21"/>
  <c r="A240" i="21"/>
  <c r="A345" i="21"/>
  <c r="A344" i="21"/>
  <c r="V51" i="36"/>
  <c r="A405" i="21"/>
  <c r="A133" i="21"/>
  <c r="A132" i="21"/>
  <c r="A278" i="21"/>
  <c r="A114" i="21"/>
  <c r="A3" i="21"/>
  <c r="A355" i="21"/>
  <c r="A348" i="21"/>
  <c r="A134" i="21"/>
  <c r="A347" i="21"/>
  <c r="A69" i="21"/>
  <c r="A359" i="21"/>
  <c r="A196" i="21"/>
  <c r="A195" i="21"/>
  <c r="A122" i="21"/>
  <c r="A416" i="21"/>
  <c r="A415" i="21"/>
  <c r="A115" i="21"/>
  <c r="A257" i="21"/>
  <c r="A184" i="21"/>
  <c r="A4" i="21"/>
  <c r="A135" i="21"/>
  <c r="A117" i="21"/>
  <c r="A116" i="21"/>
  <c r="A275" i="21"/>
  <c r="A339" i="21"/>
  <c r="A393" i="21"/>
  <c r="A49" i="21"/>
  <c r="A7" i="21"/>
  <c r="A70" i="21"/>
  <c r="A6" i="21"/>
  <c r="A5" i="21"/>
  <c r="A197" i="21"/>
  <c r="A259" i="21"/>
  <c r="A258" i="21"/>
  <c r="A319" i="21"/>
  <c r="A289" i="21"/>
  <c r="A227" i="21"/>
  <c r="A136" i="21"/>
  <c r="A243" i="21"/>
  <c r="A8" i="21"/>
  <c r="A226" i="21"/>
  <c r="A123" i="21"/>
  <c r="V96" i="36"/>
  <c r="A395" i="21"/>
  <c r="A394" i="21"/>
  <c r="A10" i="21"/>
  <c r="A139" i="21"/>
  <c r="A138" i="21"/>
  <c r="A9" i="21"/>
  <c r="A126" i="21"/>
  <c r="A137" i="21"/>
  <c r="A245" i="21"/>
  <c r="A108" i="21"/>
  <c r="A260" i="21"/>
  <c r="A87" i="21"/>
  <c r="A86" i="21"/>
  <c r="A140" i="21"/>
  <c r="A290" i="21"/>
  <c r="A109" i="21"/>
  <c r="V116" i="36"/>
  <c r="A50" i="21"/>
  <c r="A455" i="21"/>
  <c r="V119" i="36"/>
  <c r="A374" i="21"/>
  <c r="A373" i="21"/>
  <c r="A372" i="21"/>
  <c r="A141" i="21"/>
  <c r="A406" i="21"/>
  <c r="A12" i="21"/>
  <c r="A426" i="21"/>
  <c r="A425" i="21"/>
  <c r="A356" i="21"/>
  <c r="A321" i="21"/>
  <c r="A320" i="21"/>
  <c r="A142" i="21"/>
  <c r="A293" i="21"/>
  <c r="A292" i="21"/>
  <c r="A291" i="21"/>
  <c r="A59" i="21"/>
  <c r="A375" i="21"/>
  <c r="V137" i="36"/>
  <c r="A261" i="21"/>
  <c r="A376" i="21"/>
  <c r="A110" i="21"/>
  <c r="A228" i="21"/>
  <c r="A427" i="21"/>
  <c r="A446" i="21"/>
  <c r="A316" i="21"/>
  <c r="A89" i="21"/>
  <c r="A88" i="21"/>
  <c r="A14" i="21"/>
  <c r="A13" i="21"/>
  <c r="A262" i="21"/>
  <c r="A352" i="21"/>
  <c r="A396" i="21"/>
  <c r="A368" i="21"/>
  <c r="A306" i="21"/>
  <c r="A282" i="21"/>
  <c r="A199" i="21"/>
  <c r="A309" i="21"/>
  <c r="A198" i="21"/>
  <c r="A15" i="21"/>
  <c r="A458" i="21"/>
  <c r="A447" i="21"/>
  <c r="A280" i="21"/>
  <c r="A283" i="21"/>
  <c r="A369" i="21"/>
  <c r="V164" i="36"/>
  <c r="A146" i="21"/>
  <c r="A18" i="21"/>
  <c r="A428" i="21"/>
  <c r="A51" i="21"/>
  <c r="A17" i="21"/>
  <c r="A90" i="21"/>
  <c r="A145" i="21"/>
  <c r="A144" i="21"/>
  <c r="A143" i="21"/>
  <c r="A246" i="21"/>
  <c r="V176" i="36"/>
  <c r="A52" i="21"/>
  <c r="A274" i="21"/>
  <c r="A147" i="21"/>
  <c r="A380" i="21"/>
  <c r="A94" i="21"/>
  <c r="V208" i="36"/>
  <c r="V207" i="36"/>
  <c r="V206" i="36"/>
  <c r="V205" i="36"/>
  <c r="V204" i="36"/>
  <c r="V203" i="36"/>
  <c r="V202" i="36"/>
  <c r="V201" i="36"/>
  <c r="V200" i="36"/>
  <c r="V199" i="36"/>
  <c r="V198" i="36"/>
  <c r="V197" i="36"/>
  <c r="V196" i="36"/>
  <c r="V195" i="36"/>
  <c r="V194" i="36"/>
  <c r="V193" i="36"/>
  <c r="V192" i="36"/>
  <c r="V191" i="36"/>
  <c r="V190" i="36"/>
  <c r="V189" i="36"/>
  <c r="V188" i="36"/>
  <c r="V187" i="36"/>
  <c r="V186" i="36"/>
  <c r="V185" i="36"/>
  <c r="V184" i="36"/>
  <c r="V183" i="36"/>
  <c r="V210" i="36"/>
  <c r="A72" i="21"/>
  <c r="A408" i="21"/>
  <c r="A407" i="21"/>
  <c r="A148" i="21"/>
  <c r="A350" i="21"/>
  <c r="A440" i="21"/>
  <c r="A349" i="21"/>
  <c r="A383" i="21"/>
  <c r="V221" i="36"/>
  <c r="A435" i="21"/>
  <c r="A151" i="21"/>
  <c r="A204" i="21"/>
  <c r="A254" i="21"/>
  <c r="A150" i="21"/>
  <c r="A149" i="21"/>
  <c r="A431" i="21"/>
  <c r="A430" i="21"/>
  <c r="A153" i="21"/>
  <c r="A429" i="21"/>
  <c r="A152" i="21"/>
  <c r="A436" i="21"/>
  <c r="A454" i="21"/>
  <c r="A327" i="21"/>
  <c r="A21" i="21"/>
  <c r="A294" i="21"/>
  <c r="V241" i="36"/>
  <c r="A326" i="21"/>
  <c r="A248" i="21"/>
  <c r="A323" i="21"/>
  <c r="A154" i="21"/>
  <c r="V247" i="36"/>
  <c r="A249" i="21"/>
  <c r="V252" i="36"/>
  <c r="A231" i="21"/>
  <c r="A230" i="21"/>
  <c r="A229" i="21"/>
  <c r="A432" i="21"/>
  <c r="A448" i="21"/>
  <c r="A423" i="21"/>
  <c r="A437" i="21"/>
  <c r="A330" i="21"/>
  <c r="A329" i="21"/>
  <c r="A328" i="21"/>
  <c r="A224" i="21"/>
  <c r="V265" i="36"/>
  <c r="A95" i="21"/>
  <c r="A263" i="21"/>
  <c r="A325" i="21"/>
  <c r="A324" i="21"/>
  <c r="A155" i="21"/>
  <c r="A264" i="21"/>
  <c r="A156" i="21"/>
  <c r="A295" i="21"/>
  <c r="A370" i="21"/>
  <c r="A157" i="21"/>
  <c r="A433" i="21"/>
  <c r="A296" i="21"/>
  <c r="A24" i="21"/>
  <c r="V10" i="36"/>
  <c r="V28" i="36"/>
  <c r="V27" i="36"/>
  <c r="V26" i="36"/>
  <c r="V25" i="36"/>
  <c r="V24" i="36"/>
  <c r="V38" i="36"/>
  <c r="V37" i="36"/>
  <c r="V36" i="36"/>
  <c r="V35" i="36"/>
  <c r="V34" i="36"/>
  <c r="V33" i="36"/>
  <c r="V32" i="36"/>
  <c r="V31" i="36"/>
  <c r="V30" i="36"/>
  <c r="V29" i="36"/>
  <c r="V43" i="36"/>
  <c r="V42" i="36"/>
  <c r="V41" i="36"/>
  <c r="V40" i="36"/>
  <c r="V39" i="36"/>
  <c r="A450" i="21"/>
  <c r="V50" i="36"/>
  <c r="V49" i="36"/>
  <c r="V48" i="36"/>
  <c r="V47" i="36"/>
  <c r="V46" i="36"/>
  <c r="V45" i="36"/>
  <c r="A2" i="21"/>
  <c r="V57" i="36"/>
  <c r="V56" i="36"/>
  <c r="V55" i="36"/>
  <c r="V54" i="36"/>
  <c r="V53" i="36"/>
  <c r="V52" i="36"/>
  <c r="V69" i="36"/>
  <c r="V68" i="36"/>
  <c r="V67" i="36"/>
  <c r="V66" i="36"/>
  <c r="V65" i="36"/>
  <c r="V64" i="36"/>
  <c r="V63" i="36"/>
  <c r="V62" i="36"/>
  <c r="V61" i="36"/>
  <c r="V60" i="36"/>
  <c r="V59" i="36"/>
  <c r="V58" i="36"/>
  <c r="V78" i="36"/>
  <c r="V77" i="36"/>
  <c r="V76" i="36"/>
  <c r="V75" i="36"/>
  <c r="V74" i="36"/>
  <c r="V73" i="36"/>
  <c r="V72" i="36"/>
  <c r="V71" i="36"/>
  <c r="V70" i="36"/>
  <c r="V89" i="36"/>
  <c r="V88" i="36"/>
  <c r="V87" i="36"/>
  <c r="V86" i="36"/>
  <c r="V85" i="36"/>
  <c r="V84" i="36"/>
  <c r="V83" i="36"/>
  <c r="V82" i="36"/>
  <c r="V81" i="36"/>
  <c r="V80" i="36"/>
  <c r="V79" i="36"/>
  <c r="V95" i="36"/>
  <c r="V94" i="36"/>
  <c r="V93" i="36"/>
  <c r="V92" i="36"/>
  <c r="V91" i="36"/>
  <c r="V90" i="36"/>
  <c r="A449" i="21"/>
  <c r="V105" i="36"/>
  <c r="V104" i="36"/>
  <c r="V103" i="36"/>
  <c r="V102" i="36"/>
  <c r="V101" i="36"/>
  <c r="V100" i="36"/>
  <c r="V99" i="36"/>
  <c r="V98" i="36"/>
  <c r="V97" i="36"/>
  <c r="V112" i="36"/>
  <c r="V111" i="36"/>
  <c r="V110" i="36"/>
  <c r="V109" i="36"/>
  <c r="V108" i="36"/>
  <c r="V107" i="36"/>
  <c r="V106" i="36"/>
  <c r="V115" i="36"/>
  <c r="V114" i="36"/>
  <c r="V113" i="36"/>
  <c r="V118" i="36"/>
  <c r="V117" i="36"/>
  <c r="A11" i="21"/>
  <c r="V125" i="36"/>
  <c r="V124" i="36"/>
  <c r="V123" i="36"/>
  <c r="V122" i="36"/>
  <c r="V121" i="36"/>
  <c r="V120" i="36"/>
  <c r="V136" i="36"/>
  <c r="V135" i="36"/>
  <c r="V134" i="36"/>
  <c r="V133" i="36"/>
  <c r="V132" i="36"/>
  <c r="V131" i="36"/>
  <c r="V130" i="36"/>
  <c r="V129" i="36"/>
  <c r="V128" i="36"/>
  <c r="V127" i="36"/>
  <c r="V126" i="36"/>
  <c r="A71" i="21"/>
  <c r="V146" i="36"/>
  <c r="V145" i="36"/>
  <c r="V144" i="36"/>
  <c r="V143" i="36"/>
  <c r="V142" i="36"/>
  <c r="V141" i="36"/>
  <c r="V140" i="36"/>
  <c r="V139" i="36"/>
  <c r="V138" i="36"/>
  <c r="V151" i="36"/>
  <c r="V150" i="36"/>
  <c r="V149" i="36"/>
  <c r="V148" i="36"/>
  <c r="V147" i="36"/>
  <c r="V157" i="36"/>
  <c r="V156" i="36"/>
  <c r="V155" i="36"/>
  <c r="V154" i="36"/>
  <c r="V153" i="36"/>
  <c r="V152" i="36"/>
  <c r="V163" i="36"/>
  <c r="V162" i="36"/>
  <c r="V161" i="36"/>
  <c r="V160" i="36"/>
  <c r="V159" i="36"/>
  <c r="V158" i="36"/>
  <c r="A16" i="21"/>
  <c r="V175" i="36"/>
  <c r="V174" i="36"/>
  <c r="V173" i="36"/>
  <c r="V172" i="36"/>
  <c r="V171" i="36"/>
  <c r="V170" i="36"/>
  <c r="V169" i="36"/>
  <c r="V168" i="36"/>
  <c r="V167" i="36"/>
  <c r="V166" i="36"/>
  <c r="V165" i="36"/>
  <c r="A379" i="21"/>
  <c r="V182" i="36"/>
  <c r="V181" i="36"/>
  <c r="V180" i="36"/>
  <c r="V179" i="36"/>
  <c r="V178" i="36"/>
  <c r="V177" i="36"/>
  <c r="V209" i="36"/>
  <c r="A93" i="21"/>
  <c r="A386" i="21"/>
  <c r="A247" i="21"/>
  <c r="A253" i="21"/>
  <c r="A252" i="21"/>
  <c r="A203" i="21"/>
  <c r="A310" i="21"/>
  <c r="A202" i="21"/>
  <c r="A201" i="21"/>
  <c r="A456" i="21"/>
  <c r="A200" i="21"/>
  <c r="A223" i="21"/>
  <c r="A222" i="21"/>
  <c r="A221" i="21"/>
  <c r="A220" i="21"/>
  <c r="A219" i="21"/>
  <c r="A218" i="21"/>
  <c r="A118" i="21"/>
  <c r="A92" i="21"/>
  <c r="A322" i="21"/>
  <c r="A360" i="21"/>
  <c r="A20" i="21"/>
  <c r="A19" i="21"/>
  <c r="A53" i="21"/>
  <c r="A91" i="21"/>
  <c r="A68" i="21"/>
  <c r="V220" i="36"/>
  <c r="V219" i="36"/>
  <c r="V218" i="36"/>
  <c r="V217" i="36"/>
  <c r="V216" i="36"/>
  <c r="V215" i="36"/>
  <c r="V214" i="36"/>
  <c r="V213" i="36"/>
  <c r="V212" i="36"/>
  <c r="V211" i="36"/>
  <c r="A384" i="21"/>
  <c r="V229" i="36"/>
  <c r="V228" i="36"/>
  <c r="V227" i="36"/>
  <c r="V226" i="36"/>
  <c r="V225" i="36"/>
  <c r="V224" i="36"/>
  <c r="V223" i="36"/>
  <c r="V222" i="36"/>
  <c r="V237" i="36"/>
  <c r="V236" i="36"/>
  <c r="V235" i="36"/>
  <c r="V234" i="36"/>
  <c r="V233" i="36"/>
  <c r="A255" i="21"/>
  <c r="A232" i="21"/>
  <c r="V232" i="36"/>
  <c r="V231" i="36"/>
  <c r="V230" i="36"/>
  <c r="V240" i="36"/>
  <c r="V239" i="36"/>
  <c r="V238" i="36"/>
  <c r="V246" i="36"/>
  <c r="V245" i="36"/>
  <c r="V244" i="36"/>
  <c r="V243" i="36"/>
  <c r="V242" i="36"/>
  <c r="V251" i="36"/>
  <c r="A23" i="21"/>
  <c r="V250" i="36"/>
  <c r="V249" i="36"/>
  <c r="A22" i="21"/>
  <c r="V248" i="36"/>
  <c r="V264" i="36"/>
  <c r="V263" i="36"/>
  <c r="V262" i="36"/>
  <c r="V261" i="36"/>
  <c r="V260" i="36"/>
  <c r="V259" i="36"/>
  <c r="V258" i="36"/>
  <c r="V257" i="36"/>
  <c r="V256" i="36"/>
  <c r="V255" i="36"/>
  <c r="V254" i="36"/>
  <c r="V253" i="36"/>
  <c r="V272" i="36"/>
  <c r="V271" i="36"/>
  <c r="V270" i="36"/>
  <c r="V269" i="36"/>
  <c r="V268" i="36"/>
  <c r="V267" i="36"/>
  <c r="V266" i="36"/>
  <c r="V277" i="36"/>
  <c r="V276" i="36"/>
  <c r="V275" i="36"/>
  <c r="V274" i="36"/>
  <c r="V273" i="36"/>
  <c r="V282" i="36"/>
  <c r="V281" i="36"/>
  <c r="V280" i="36"/>
  <c r="V279" i="36"/>
  <c r="V278" i="36"/>
  <c r="V287" i="36"/>
  <c r="V286" i="36"/>
  <c r="V285" i="36"/>
  <c r="V284" i="36"/>
  <c r="V283" i="36"/>
  <c r="V288" i="36"/>
  <c r="V297" i="36"/>
  <c r="V296" i="36"/>
  <c r="V295" i="36"/>
  <c r="V294" i="36"/>
  <c r="V292" i="36"/>
  <c r="V291" i="36"/>
  <c r="V290" i="36"/>
  <c r="V289" i="36"/>
  <c r="V312" i="36"/>
  <c r="V311" i="36"/>
  <c r="V310" i="36"/>
  <c r="V309" i="36"/>
  <c r="V308" i="36"/>
  <c r="V307" i="36"/>
  <c r="V306" i="36"/>
  <c r="V305" i="36"/>
  <c r="V304" i="36"/>
  <c r="V303" i="36"/>
  <c r="V302" i="36"/>
  <c r="V301" i="36"/>
  <c r="V300" i="36"/>
  <c r="V299" i="36"/>
  <c r="V298" i="36"/>
  <c r="V313" i="36"/>
  <c r="V318" i="36"/>
  <c r="V317" i="36"/>
  <c r="V316" i="36"/>
  <c r="V315" i="36"/>
  <c r="V330" i="36"/>
  <c r="V329" i="36"/>
  <c r="V328" i="36"/>
  <c r="V327" i="36"/>
  <c r="V326" i="36"/>
  <c r="V325" i="36"/>
  <c r="V324" i="36"/>
  <c r="V323" i="36"/>
  <c r="V322" i="36"/>
  <c r="V321" i="36"/>
  <c r="V320" i="36"/>
  <c r="V335" i="36"/>
  <c r="V334" i="36"/>
  <c r="V333" i="36"/>
  <c r="V332" i="36"/>
  <c r="V331" i="36"/>
  <c r="V343" i="36"/>
  <c r="V342" i="36"/>
  <c r="V341" i="36"/>
  <c r="V340" i="36"/>
  <c r="V339" i="36"/>
  <c r="V338" i="36"/>
  <c r="V337" i="36"/>
  <c r="V350" i="36"/>
  <c r="V349" i="36"/>
  <c r="V348" i="36"/>
  <c r="V347" i="36"/>
  <c r="V346" i="36"/>
  <c r="V345" i="36"/>
  <c r="V344" i="36"/>
  <c r="V351" i="36"/>
  <c r="V355" i="36"/>
  <c r="V354" i="36"/>
  <c r="V353" i="36"/>
  <c r="V372" i="36"/>
  <c r="V371" i="36"/>
  <c r="V370" i="36"/>
  <c r="V369" i="36"/>
  <c r="V368" i="36"/>
  <c r="V367" i="36"/>
  <c r="V366" i="36"/>
  <c r="V365" i="36"/>
  <c r="V364" i="36"/>
  <c r="V363" i="36"/>
  <c r="V362" i="36"/>
  <c r="V361" i="36"/>
  <c r="V360" i="36"/>
  <c r="V359" i="36"/>
  <c r="V358" i="36"/>
  <c r="V357" i="36"/>
  <c r="V356" i="36"/>
  <c r="V386" i="36"/>
  <c r="V385" i="36"/>
  <c r="V384" i="36"/>
  <c r="V383" i="36"/>
  <c r="V382" i="36"/>
  <c r="V381" i="36"/>
  <c r="V380" i="36"/>
  <c r="V379" i="36"/>
  <c r="V378" i="36"/>
  <c r="V377" i="36"/>
  <c r="V376" i="36"/>
  <c r="V375" i="36"/>
  <c r="V374" i="36"/>
  <c r="V388" i="36"/>
  <c r="V387" i="36"/>
  <c r="V403" i="36"/>
  <c r="V402" i="36"/>
  <c r="V401" i="36"/>
  <c r="V400" i="36"/>
  <c r="V399" i="36"/>
  <c r="V398" i="36"/>
  <c r="V397" i="36"/>
  <c r="V396" i="36"/>
  <c r="V395" i="36"/>
  <c r="V394" i="36"/>
  <c r="V393" i="36"/>
  <c r="V392" i="36"/>
  <c r="V391" i="36"/>
  <c r="V390" i="36"/>
  <c r="V412" i="36"/>
  <c r="V411" i="36"/>
  <c r="V410" i="36"/>
  <c r="V409" i="36"/>
  <c r="V408" i="36"/>
  <c r="V407" i="36"/>
  <c r="V406" i="36"/>
  <c r="V405" i="36"/>
  <c r="V404" i="36"/>
  <c r="V416" i="36"/>
  <c r="V415" i="36"/>
  <c r="V414" i="36"/>
  <c r="V413" i="36"/>
  <c r="V438" i="36"/>
  <c r="V437" i="36"/>
  <c r="V436" i="36"/>
  <c r="V435" i="36"/>
  <c r="V434" i="36"/>
  <c r="V433" i="36"/>
  <c r="V432" i="36"/>
  <c r="V431" i="36"/>
  <c r="V430" i="36"/>
  <c r="V429" i="36"/>
  <c r="V428" i="36"/>
  <c r="V427" i="36"/>
  <c r="V426" i="36"/>
  <c r="V425" i="36"/>
  <c r="V424" i="36"/>
  <c r="V423" i="36"/>
  <c r="V422" i="36"/>
  <c r="V421" i="36"/>
  <c r="V420" i="36"/>
  <c r="V419" i="36"/>
  <c r="V418" i="36"/>
  <c r="V450" i="36"/>
  <c r="V449" i="36"/>
  <c r="V448" i="36"/>
  <c r="V447" i="36"/>
  <c r="V446" i="36"/>
  <c r="V445" i="36"/>
  <c r="V444" i="36"/>
  <c r="V443" i="36"/>
  <c r="V442" i="36"/>
  <c r="V441" i="36"/>
  <c r="V440" i="36"/>
  <c r="V455" i="36"/>
  <c r="V454" i="36"/>
  <c r="V453" i="36"/>
  <c r="V452" i="36"/>
  <c r="V451" i="36"/>
  <c r="V456" i="36"/>
  <c r="V464" i="36"/>
  <c r="V463" i="36"/>
  <c r="V462" i="36"/>
  <c r="V461" i="36"/>
  <c r="V460" i="36"/>
  <c r="V459" i="36"/>
  <c r="V458" i="36"/>
  <c r="V468" i="36"/>
  <c r="V467" i="36"/>
  <c r="V466" i="36"/>
  <c r="V465" i="36"/>
  <c r="V485" i="36"/>
  <c r="V484" i="36"/>
  <c r="V483" i="36"/>
  <c r="V482" i="36"/>
  <c r="V481" i="36"/>
  <c r="V480" i="36"/>
  <c r="V479" i="36"/>
  <c r="V478" i="36"/>
  <c r="V477" i="36"/>
  <c r="V476" i="36"/>
  <c r="V475" i="36"/>
  <c r="V474" i="36"/>
  <c r="V473" i="36"/>
  <c r="V472" i="36"/>
  <c r="V471" i="36"/>
  <c r="V470" i="36"/>
  <c r="V495" i="36"/>
  <c r="V494" i="36"/>
  <c r="V493" i="36"/>
  <c r="V492" i="36"/>
  <c r="V491" i="36"/>
  <c r="V490" i="36"/>
  <c r="V489" i="36"/>
  <c r="V488" i="36"/>
  <c r="V487" i="36"/>
  <c r="V486" i="36"/>
  <c r="V506" i="36"/>
  <c r="V505" i="36"/>
  <c r="V504" i="36"/>
  <c r="V503" i="36"/>
  <c r="V502" i="36"/>
  <c r="V501" i="36"/>
  <c r="V500" i="36"/>
  <c r="V499" i="36"/>
  <c r="V498" i="36"/>
  <c r="V497" i="36"/>
  <c r="V512" i="36"/>
  <c r="V511" i="36"/>
  <c r="V510" i="36"/>
  <c r="V509" i="36"/>
  <c r="V508" i="36"/>
  <c r="V507" i="36"/>
  <c r="V514" i="36"/>
  <c r="V513" i="36"/>
  <c r="V521" i="36"/>
  <c r="V520" i="36"/>
  <c r="V519" i="36"/>
  <c r="V518" i="36"/>
  <c r="V517" i="36"/>
  <c r="V516" i="36"/>
  <c r="V293" i="36"/>
  <c r="V314" i="36"/>
  <c r="V319" i="36"/>
  <c r="V336" i="36"/>
  <c r="V352" i="36"/>
  <c r="V373" i="36"/>
  <c r="V389" i="36"/>
  <c r="V417" i="36"/>
  <c r="V439" i="36"/>
  <c r="V457" i="36"/>
  <c r="V469" i="36"/>
  <c r="V496" i="36"/>
  <c r="V515" i="36"/>
  <c r="A371" i="21"/>
  <c r="A183" i="21"/>
  <c r="A317" i="21"/>
  <c r="A338" i="21"/>
  <c r="N16" i="35"/>
  <c r="AC17" i="35"/>
  <c r="W17" i="35"/>
  <c r="AE2" i="35"/>
  <c r="A1" i="36"/>
  <c r="V9" i="36"/>
  <c r="V8" i="36"/>
  <c r="V7" i="36"/>
  <c r="V6" i="36"/>
  <c r="V5" i="36"/>
  <c r="V4" i="36"/>
  <c r="V3" i="36"/>
  <c r="V2" i="36"/>
  <c r="A333" i="21"/>
  <c r="A130" i="21"/>
  <c r="A120" i="21"/>
  <c r="A119" i="21"/>
  <c r="AF16" i="35"/>
  <c r="AF18" i="35"/>
  <c r="AI18" i="35"/>
  <c r="U2" i="35"/>
  <c r="U17" i="35"/>
  <c r="C18" i="35"/>
  <c r="O17" i="35"/>
  <c r="D4" i="35"/>
  <c r="F2" i="35"/>
  <c r="H2" i="35"/>
  <c r="H27" i="35"/>
  <c r="K2" i="35"/>
  <c r="N3" i="35"/>
  <c r="S3" i="35"/>
  <c r="X3" i="35"/>
  <c r="D18" i="35"/>
  <c r="H16" i="35"/>
  <c r="AH2" i="35"/>
  <c r="Q16" i="35"/>
  <c r="A451" i="21"/>
  <c r="A297" i="21"/>
  <c r="A346" i="21"/>
  <c r="A159" i="21"/>
  <c r="A236" i="21"/>
  <c r="A234" i="21"/>
  <c r="A161" i="21"/>
  <c r="A392" i="21"/>
  <c r="A25" i="21"/>
  <c r="A298" i="21"/>
  <c r="A187" i="21"/>
  <c r="A185" i="21"/>
  <c r="A82" i="21"/>
  <c r="A265" i="21"/>
  <c r="A244" i="21"/>
  <c r="A311" i="21"/>
  <c r="A111" i="21"/>
  <c r="A235" i="21"/>
  <c r="A186" i="21"/>
  <c r="A233" i="21"/>
  <c r="A381" i="21"/>
  <c r="A391" i="21"/>
  <c r="A160" i="21"/>
  <c r="A452" i="21"/>
  <c r="M2" i="35"/>
  <c r="J2" i="35"/>
  <c r="R2" i="35"/>
  <c r="T2" i="35"/>
  <c r="W2" i="35"/>
  <c r="Y2" i="35"/>
  <c r="V2" i="35"/>
  <c r="X16" i="35"/>
  <c r="Z16" i="35"/>
  <c r="F17" i="35"/>
  <c r="G17" i="35"/>
  <c r="H18" i="35"/>
  <c r="AK2" i="35"/>
  <c r="L16" i="35"/>
  <c r="P17" i="35"/>
  <c r="Q41" i="35"/>
  <c r="AA2" i="35"/>
  <c r="AK16" i="35"/>
  <c r="F27" i="35"/>
  <c r="AJ3" i="35"/>
  <c r="AK4" i="35"/>
  <c r="K18" i="35"/>
  <c r="L18" i="35"/>
  <c r="S18" i="35"/>
  <c r="S16" i="35"/>
  <c r="J16" i="35"/>
  <c r="S41" i="35"/>
  <c r="S43" i="35"/>
  <c r="AA4" i="35"/>
  <c r="AG16" i="35"/>
  <c r="AB18" i="35"/>
  <c r="AD16" i="35"/>
  <c r="AK18" i="35"/>
  <c r="AC2" i="35"/>
  <c r="AC4" i="35"/>
  <c r="AH16" i="35"/>
  <c r="AI16" i="35"/>
  <c r="AB16" i="35"/>
  <c r="B18" i="35"/>
  <c r="T17" i="35"/>
  <c r="T42" i="35"/>
  <c r="AD3" i="35"/>
  <c r="AA17" i="35"/>
  <c r="B3" i="35"/>
  <c r="O3" i="35"/>
  <c r="U4" i="35"/>
  <c r="AG3" i="35"/>
  <c r="I18" i="35"/>
  <c r="C3" i="35"/>
  <c r="G3" i="35"/>
  <c r="H4" i="35"/>
  <c r="L3" i="35"/>
  <c r="M4" i="35"/>
  <c r="M29" i="35"/>
  <c r="Q3" i="35"/>
  <c r="R4" i="35"/>
  <c r="V3" i="35"/>
  <c r="W4" i="35"/>
  <c r="Z3" i="35"/>
  <c r="V18" i="35"/>
  <c r="Y17" i="35"/>
  <c r="Z18" i="35"/>
  <c r="E17" i="35"/>
  <c r="AH3" i="35"/>
  <c r="AI4" i="35"/>
  <c r="AL3" i="35"/>
  <c r="AL28" i="35"/>
  <c r="J18" i="35"/>
  <c r="M18" i="35"/>
  <c r="N18" i="35"/>
  <c r="Q18" i="35"/>
  <c r="R17" i="35"/>
  <c r="R42" i="35"/>
  <c r="Q43" i="35"/>
  <c r="AB3" i="35"/>
  <c r="AF3" i="35"/>
  <c r="AE4" i="35"/>
  <c r="AE29" i="35"/>
  <c r="AG18" i="35"/>
  <c r="AG43" i="35"/>
  <c r="AH18" i="35"/>
  <c r="AJ17" i="35"/>
  <c r="AL18" i="35"/>
  <c r="AE17" i="35"/>
  <c r="AD18" i="35"/>
  <c r="B17" i="35"/>
  <c r="O42" i="35"/>
  <c r="O2" i="35"/>
  <c r="I3" i="35"/>
  <c r="J28" i="35"/>
  <c r="U3" i="35"/>
  <c r="O4" i="35"/>
  <c r="P29" i="35"/>
  <c r="U16" i="35"/>
  <c r="X41" i="35"/>
  <c r="U18" i="35"/>
  <c r="X43" i="35"/>
  <c r="C17" i="35"/>
  <c r="C19" i="35"/>
  <c r="F63" i="35"/>
  <c r="AG2" i="35"/>
  <c r="AH27" i="35"/>
  <c r="AG4" i="35"/>
  <c r="I17" i="35"/>
  <c r="O16" i="35"/>
  <c r="O41" i="35"/>
  <c r="O18" i="35"/>
  <c r="O43" i="35"/>
  <c r="D3" i="35"/>
  <c r="D28" i="35"/>
  <c r="C4" i="35"/>
  <c r="E2" i="35"/>
  <c r="E4" i="35"/>
  <c r="F3" i="35"/>
  <c r="F28" i="35"/>
  <c r="G2" i="35"/>
  <c r="G4" i="35"/>
  <c r="H3" i="35"/>
  <c r="D2" i="35"/>
  <c r="D27" i="35"/>
  <c r="J4" i="35"/>
  <c r="K3" i="35"/>
  <c r="L2" i="35"/>
  <c r="L4" i="35"/>
  <c r="L29" i="35"/>
  <c r="M3" i="35"/>
  <c r="N2" i="35"/>
  <c r="N27" i="35"/>
  <c r="N4" i="35"/>
  <c r="P3" i="35"/>
  <c r="Q2" i="35"/>
  <c r="Q4" i="35"/>
  <c r="R3" i="35"/>
  <c r="S2" i="35"/>
  <c r="S4" i="35"/>
  <c r="T3" i="35"/>
  <c r="P2" i="35"/>
  <c r="V4" i="35"/>
  <c r="V29" i="35"/>
  <c r="W3" i="35"/>
  <c r="X2" i="35"/>
  <c r="X27" i="35"/>
  <c r="X4" i="35"/>
  <c r="Y3" i="35"/>
  <c r="Y28" i="35"/>
  <c r="Z2" i="35"/>
  <c r="Z4" i="35"/>
  <c r="V17" i="35"/>
  <c r="W16" i="35"/>
  <c r="W18" i="35"/>
  <c r="X17" i="35"/>
  <c r="Y16" i="35"/>
  <c r="Y18" i="35"/>
  <c r="Z17" i="35"/>
  <c r="D17" i="35"/>
  <c r="E16" i="35"/>
  <c r="E18" i="35"/>
  <c r="E43" i="35"/>
  <c r="F18" i="35"/>
  <c r="G16" i="35"/>
  <c r="G18" i="35"/>
  <c r="H17" i="35"/>
  <c r="D16" i="35"/>
  <c r="AH4" i="35"/>
  <c r="AI3" i="35"/>
  <c r="AJ2" i="35"/>
  <c r="AJ4" i="35"/>
  <c r="AK3" i="35"/>
  <c r="AL2" i="35"/>
  <c r="AL4" i="35"/>
  <c r="J17" i="35"/>
  <c r="K16" i="35"/>
  <c r="K17" i="35"/>
  <c r="K42" i="35"/>
  <c r="L17" i="35"/>
  <c r="M16" i="35"/>
  <c r="M17" i="35"/>
  <c r="N17" i="35"/>
  <c r="T18" i="35"/>
  <c r="R18" i="35"/>
  <c r="P18" i="35"/>
  <c r="S17" i="35"/>
  <c r="Q17" i="35"/>
  <c r="T16" i="35"/>
  <c r="R16" i="35"/>
  <c r="P16" i="35"/>
  <c r="P41" i="35"/>
  <c r="R41" i="35"/>
  <c r="T41" i="35"/>
  <c r="Q42" i="35"/>
  <c r="S42" i="35"/>
  <c r="P43" i="35"/>
  <c r="R43" i="35"/>
  <c r="T43" i="35"/>
  <c r="AA3" i="35"/>
  <c r="AA5" i="35"/>
  <c r="AE49" i="35"/>
  <c r="AB2" i="35"/>
  <c r="AD2" i="35"/>
  <c r="AF2" i="35"/>
  <c r="AC3" i="35"/>
  <c r="AE3" i="35"/>
  <c r="AB4" i="35"/>
  <c r="AD4" i="35"/>
  <c r="AF4" i="35"/>
  <c r="AG17" i="35"/>
  <c r="V16" i="35"/>
  <c r="AH17" i="35"/>
  <c r="AL16" i="35"/>
  <c r="AJ16" i="35"/>
  <c r="AI17" i="35"/>
  <c r="AJ18" i="35"/>
  <c r="AK17" i="35"/>
  <c r="AL17" i="35"/>
  <c r="AA16" i="35"/>
  <c r="AD41" i="35"/>
  <c r="AA18" i="35"/>
  <c r="AC16" i="35"/>
  <c r="AE16" i="35"/>
  <c r="AB17" i="35"/>
  <c r="AD17" i="35"/>
  <c r="AF17" i="35"/>
  <c r="AC18" i="35"/>
  <c r="AE18" i="35"/>
  <c r="B2" i="35"/>
  <c r="B4" i="35"/>
  <c r="I5" i="35"/>
  <c r="K51" i="35"/>
  <c r="U5" i="35"/>
  <c r="Y51" i="35"/>
  <c r="I19" i="35"/>
  <c r="N63" i="35"/>
  <c r="V28" i="35"/>
  <c r="W27" i="35"/>
  <c r="W29" i="35"/>
  <c r="Y27" i="35"/>
  <c r="Y29" i="35"/>
  <c r="V27" i="35"/>
  <c r="W42" i="35"/>
  <c r="Y42" i="35"/>
  <c r="AI43" i="35"/>
  <c r="AK43" i="35"/>
  <c r="AB41" i="35"/>
  <c r="AC42" i="35"/>
  <c r="AE42" i="35"/>
  <c r="X29" i="35"/>
  <c r="Z27" i="35"/>
  <c r="V42" i="35"/>
  <c r="W43" i="35"/>
  <c r="Y41" i="35"/>
  <c r="Z42" i="35"/>
  <c r="O5" i="35"/>
  <c r="P51" i="35"/>
  <c r="C41" i="35"/>
  <c r="I41" i="35"/>
  <c r="O19" i="35"/>
  <c r="E27" i="35"/>
  <c r="H28" i="35"/>
  <c r="E29" i="35"/>
  <c r="G28" i="35"/>
  <c r="H29" i="35"/>
  <c r="K27" i="35"/>
  <c r="K29" i="35"/>
  <c r="L28" i="35"/>
  <c r="M27" i="35"/>
  <c r="J27" i="35"/>
  <c r="Q28" i="35"/>
  <c r="S28" i="35"/>
  <c r="F43" i="35"/>
  <c r="AL27" i="35"/>
  <c r="J29" i="35"/>
  <c r="L27" i="35"/>
  <c r="M28" i="35"/>
  <c r="N29" i="35"/>
  <c r="S29" i="35"/>
  <c r="D43" i="35"/>
  <c r="E42" i="35"/>
  <c r="G42" i="35"/>
  <c r="H43" i="35"/>
  <c r="AI27" i="35"/>
  <c r="AC29" i="35"/>
  <c r="AG41" i="35"/>
  <c r="AA42" i="35"/>
  <c r="AG42" i="35"/>
  <c r="B19" i="35"/>
  <c r="B27" i="35"/>
  <c r="I43" i="35"/>
  <c r="Q29" i="35"/>
  <c r="Z28" i="35"/>
  <c r="C43" i="35"/>
  <c r="AG5" i="35"/>
  <c r="AI49" i="35"/>
  <c r="V43" i="35"/>
  <c r="F42" i="35"/>
  <c r="W28" i="35"/>
  <c r="Z41" i="35"/>
  <c r="Z43" i="35"/>
  <c r="X28" i="35"/>
  <c r="D29" i="35"/>
  <c r="AD49" i="35"/>
  <c r="AE50" i="35"/>
  <c r="AF49" i="35"/>
  <c r="AB49" i="35"/>
  <c r="AD42" i="35"/>
  <c r="AL42" i="35"/>
  <c r="N42" i="35"/>
  <c r="N64" i="35"/>
  <c r="J42" i="35"/>
  <c r="J64" i="35"/>
  <c r="AI28" i="35"/>
  <c r="G43" i="35"/>
  <c r="G65" i="35"/>
  <c r="R28" i="35"/>
  <c r="R50" i="35"/>
  <c r="G27" i="35"/>
  <c r="M63" i="35"/>
  <c r="K64" i="35"/>
  <c r="AJ51" i="35"/>
  <c r="D63" i="35"/>
  <c r="F65" i="35"/>
  <c r="E63" i="35"/>
  <c r="Z49" i="35"/>
  <c r="X51" i="35"/>
  <c r="W50" i="35"/>
  <c r="P49" i="35"/>
  <c r="S51" i="35"/>
  <c r="Q49" i="35"/>
  <c r="N51" i="35"/>
  <c r="M50" i="35"/>
  <c r="L49" i="35"/>
  <c r="J51" i="35"/>
  <c r="AF50" i="35"/>
  <c r="N65" i="35"/>
  <c r="J65" i="35"/>
  <c r="E64" i="35"/>
  <c r="Z50" i="35"/>
  <c r="V50" i="35"/>
  <c r="Q50" i="35"/>
  <c r="L50" i="35"/>
  <c r="AC51" i="35"/>
  <c r="L65" i="35"/>
  <c r="AK49" i="35"/>
  <c r="G64" i="35"/>
  <c r="V49" i="35"/>
  <c r="W49" i="35"/>
  <c r="R49" i="35"/>
  <c r="M49" i="35"/>
  <c r="AH49" i="35"/>
  <c r="H63" i="35"/>
  <c r="D65" i="35"/>
  <c r="X50" i="35"/>
  <c r="S50" i="35"/>
  <c r="N50" i="35"/>
  <c r="J50" i="35"/>
  <c r="AJ43" i="35"/>
  <c r="AH42" i="35"/>
  <c r="AD29" i="35"/>
  <c r="AD51" i="35"/>
  <c r="AF42" i="35"/>
  <c r="AB42" i="35"/>
  <c r="V41" i="35"/>
  <c r="AF29" i="35"/>
  <c r="AF51" i="35"/>
  <c r="AB29" i="35"/>
  <c r="AB51" i="35"/>
  <c r="AC28" i="35"/>
  <c r="AC50" i="35"/>
  <c r="M42" i="35"/>
  <c r="M64" i="35"/>
  <c r="AJ27" i="35"/>
  <c r="H42" i="35"/>
  <c r="H64" i="35"/>
  <c r="D42" i="35"/>
  <c r="D64" i="35"/>
  <c r="X42" i="35"/>
  <c r="W41" i="35"/>
  <c r="Z29" i="35"/>
  <c r="Z51" i="35"/>
  <c r="AH28" i="35"/>
  <c r="AH50" i="35"/>
  <c r="L64" i="35"/>
  <c r="K63" i="35"/>
  <c r="AL51" i="35"/>
  <c r="AK50" i="35"/>
  <c r="AH51" i="35"/>
  <c r="G63" i="35"/>
  <c r="E65" i="35"/>
  <c r="Y50" i="35"/>
  <c r="X49" i="35"/>
  <c r="V51" i="35"/>
  <c r="T50" i="35"/>
  <c r="S49" i="35"/>
  <c r="Q51" i="35"/>
  <c r="P50" i="35"/>
  <c r="N49" i="35"/>
  <c r="L51" i="35"/>
  <c r="K50" i="35"/>
  <c r="AE51" i="35"/>
  <c r="AB50" i="35"/>
  <c r="M65" i="35"/>
  <c r="AL50" i="35"/>
  <c r="W51" i="35"/>
  <c r="R51" i="35"/>
  <c r="M51" i="35"/>
  <c r="AD50" i="35"/>
  <c r="AC49" i="35"/>
  <c r="J63" i="35"/>
  <c r="K65" i="35"/>
  <c r="AJ50" i="35"/>
  <c r="L63" i="35"/>
  <c r="H65" i="35"/>
  <c r="F64" i="35"/>
  <c r="Y49" i="35"/>
  <c r="T49" i="35"/>
  <c r="J49" i="35"/>
  <c r="K49" i="35"/>
  <c r="T51" i="35"/>
  <c r="B50" i="35"/>
  <c r="AC41" i="35"/>
  <c r="AA41" i="35"/>
  <c r="C42" i="35"/>
  <c r="AB28" i="35"/>
  <c r="AE41" i="35"/>
  <c r="AF41" i="35"/>
  <c r="AF28" i="35"/>
  <c r="AD28" i="35"/>
  <c r="AA19" i="35"/>
  <c r="AD64" i="35"/>
  <c r="AE28" i="35"/>
  <c r="I42" i="35"/>
  <c r="AL43" i="35"/>
  <c r="AH43" i="35"/>
  <c r="G29" i="35"/>
  <c r="R29" i="35"/>
  <c r="C5" i="35"/>
  <c r="Y63" i="35"/>
  <c r="AK28" i="35"/>
  <c r="P28" i="35"/>
  <c r="AJ28" i="35"/>
  <c r="T28" i="35"/>
  <c r="K28" i="35"/>
  <c r="L42" i="35"/>
  <c r="T29" i="35"/>
  <c r="N28" i="35"/>
  <c r="F29" i="35"/>
  <c r="E28" i="35"/>
  <c r="AA43" i="35"/>
  <c r="AG19" i="35"/>
  <c r="AJ63" i="35"/>
  <c r="U19" i="35"/>
  <c r="S63" i="35"/>
  <c r="AK42" i="35"/>
  <c r="AI42" i="35"/>
  <c r="Y43" i="35"/>
  <c r="AJ42" i="35"/>
  <c r="B29" i="35"/>
  <c r="G52" i="5"/>
  <c r="G75" i="5"/>
  <c r="G34" i="5"/>
  <c r="G68" i="5"/>
  <c r="G84" i="5"/>
  <c r="G83" i="5"/>
  <c r="G82" i="5"/>
  <c r="G25" i="5"/>
  <c r="G43" i="5"/>
  <c r="G60" i="5"/>
  <c r="G22" i="5"/>
  <c r="G23" i="5"/>
  <c r="G24" i="5"/>
  <c r="G31" i="5"/>
  <c r="G32" i="5"/>
  <c r="G33" i="5"/>
  <c r="G40" i="5"/>
  <c r="G41" i="5"/>
  <c r="G42" i="5"/>
  <c r="G49" i="5"/>
  <c r="G50" i="5"/>
  <c r="G51" i="5"/>
  <c r="G57" i="5"/>
  <c r="G58" i="5"/>
  <c r="G59" i="5"/>
  <c r="G65" i="5"/>
  <c r="G66" i="5"/>
  <c r="G67" i="5"/>
  <c r="G73" i="5"/>
  <c r="G74" i="5"/>
  <c r="G81" i="5"/>
  <c r="G76" i="5"/>
  <c r="I51" i="5"/>
  <c r="H83" i="5"/>
  <c r="H82" i="5"/>
  <c r="H81" i="5"/>
  <c r="H75" i="5"/>
  <c r="H74" i="5"/>
  <c r="H73" i="5"/>
  <c r="H67" i="5"/>
  <c r="H66" i="5"/>
  <c r="H65" i="5"/>
  <c r="H59" i="5"/>
  <c r="H58" i="5"/>
  <c r="H57" i="5"/>
  <c r="H51" i="5"/>
  <c r="H50" i="5"/>
  <c r="H49" i="5"/>
  <c r="H42" i="5"/>
  <c r="H41" i="5"/>
  <c r="H40" i="5"/>
  <c r="H33" i="5"/>
  <c r="H32" i="5"/>
  <c r="H31" i="5"/>
  <c r="H24" i="5"/>
  <c r="H23" i="5"/>
  <c r="H22" i="5"/>
  <c r="P84" i="5"/>
  <c r="N84" i="5"/>
  <c r="L84" i="5"/>
  <c r="J84" i="5"/>
  <c r="F84" i="5"/>
  <c r="D84" i="5"/>
  <c r="B84" i="5"/>
  <c r="O83" i="5"/>
  <c r="M83" i="5"/>
  <c r="I83" i="5"/>
  <c r="E83" i="5"/>
  <c r="C83" i="5"/>
  <c r="O82" i="5"/>
  <c r="M82" i="5"/>
  <c r="F82" i="5"/>
  <c r="B82" i="5"/>
  <c r="P81" i="5"/>
  <c r="N81" i="5"/>
  <c r="L81" i="5"/>
  <c r="J81" i="5"/>
  <c r="F81" i="5"/>
  <c r="D81" i="5"/>
  <c r="B81" i="5"/>
  <c r="O76" i="5"/>
  <c r="M76" i="5"/>
  <c r="I76" i="5"/>
  <c r="E76" i="5"/>
  <c r="C76" i="5"/>
  <c r="P75" i="5"/>
  <c r="N75" i="5"/>
  <c r="L75" i="5"/>
  <c r="J75" i="5"/>
  <c r="F75" i="5"/>
  <c r="D75" i="5"/>
  <c r="B75" i="5"/>
  <c r="P74" i="5"/>
  <c r="N74" i="5"/>
  <c r="L74" i="5"/>
  <c r="J74" i="5"/>
  <c r="E74" i="5"/>
  <c r="B74" i="5"/>
  <c r="P73" i="5"/>
  <c r="N73" i="5"/>
  <c r="L73" i="5"/>
  <c r="J73" i="5"/>
  <c r="F73" i="5"/>
  <c r="D73" i="5"/>
  <c r="B73" i="5"/>
  <c r="O68" i="5"/>
  <c r="M68" i="5"/>
  <c r="I68" i="5"/>
  <c r="E68" i="5"/>
  <c r="C68" i="5"/>
  <c r="P67" i="5"/>
  <c r="N67" i="5"/>
  <c r="L67" i="5"/>
  <c r="J67" i="5"/>
  <c r="F67" i="5"/>
  <c r="D67" i="5"/>
  <c r="B67" i="5"/>
  <c r="P66" i="5"/>
  <c r="N66" i="5"/>
  <c r="L66" i="5"/>
  <c r="J66" i="5"/>
  <c r="E66" i="5"/>
  <c r="B66" i="5"/>
  <c r="P65" i="5"/>
  <c r="N65" i="5"/>
  <c r="L65" i="5"/>
  <c r="J65" i="5"/>
  <c r="F65" i="5"/>
  <c r="D65" i="5"/>
  <c r="B65" i="5"/>
  <c r="O60" i="5"/>
  <c r="M60" i="5"/>
  <c r="I60" i="5"/>
  <c r="E60" i="5"/>
  <c r="C60" i="5"/>
  <c r="P59" i="5"/>
  <c r="N59" i="5"/>
  <c r="L59" i="5"/>
  <c r="J59" i="5"/>
  <c r="F59" i="5"/>
  <c r="D59" i="5"/>
  <c r="B59" i="5"/>
  <c r="P58" i="5"/>
  <c r="N58" i="5"/>
  <c r="L58" i="5"/>
  <c r="J58" i="5"/>
  <c r="E58" i="5"/>
  <c r="B58" i="5"/>
  <c r="P57" i="5"/>
  <c r="N57" i="5"/>
  <c r="L57" i="5"/>
  <c r="J57" i="5"/>
  <c r="F57" i="5"/>
  <c r="D57" i="5"/>
  <c r="B57" i="5"/>
  <c r="O52" i="5"/>
  <c r="M52" i="5"/>
  <c r="P51" i="5"/>
  <c r="N51" i="5"/>
  <c r="L51" i="5"/>
  <c r="J51" i="5"/>
  <c r="P50" i="5"/>
  <c r="N50" i="5"/>
  <c r="L50" i="5"/>
  <c r="J50" i="5"/>
  <c r="P49" i="5"/>
  <c r="N49" i="5"/>
  <c r="L49" i="5"/>
  <c r="J49" i="5"/>
  <c r="O43" i="5"/>
  <c r="M43" i="5"/>
  <c r="P42" i="5"/>
  <c r="N42" i="5"/>
  <c r="L42" i="5"/>
  <c r="J42" i="5"/>
  <c r="P41" i="5"/>
  <c r="N41" i="5"/>
  <c r="L41" i="5"/>
  <c r="J41" i="5"/>
  <c r="P40" i="5"/>
  <c r="N40" i="5"/>
  <c r="L40" i="5"/>
  <c r="J40" i="5"/>
  <c r="O34" i="5"/>
  <c r="M34" i="5"/>
  <c r="P33" i="5"/>
  <c r="N33" i="5"/>
  <c r="L33" i="5"/>
  <c r="J33" i="5"/>
  <c r="P32" i="5"/>
  <c r="N32" i="5"/>
  <c r="L32" i="5"/>
  <c r="J32" i="5"/>
  <c r="P31" i="5"/>
  <c r="N31" i="5"/>
  <c r="L31" i="5"/>
  <c r="J31" i="5"/>
  <c r="O25" i="5"/>
  <c r="M25" i="5"/>
  <c r="P24" i="5"/>
  <c r="N24" i="5"/>
  <c r="L24" i="5"/>
  <c r="J24" i="5"/>
  <c r="P23" i="5"/>
  <c r="N23" i="5"/>
  <c r="L23" i="5"/>
  <c r="J23" i="5"/>
  <c r="M10" i="5"/>
  <c r="B22" i="5"/>
  <c r="B24" i="5"/>
  <c r="E22" i="5"/>
  <c r="C23" i="5"/>
  <c r="I23" i="5"/>
  <c r="E24" i="5"/>
  <c r="D25" i="5"/>
  <c r="C31" i="5"/>
  <c r="I31" i="5"/>
  <c r="C32" i="5"/>
  <c r="I32" i="5"/>
  <c r="C33" i="5"/>
  <c r="I33" i="5"/>
  <c r="E34" i="5"/>
  <c r="B40" i="5"/>
  <c r="F40" i="5"/>
  <c r="B41" i="5"/>
  <c r="F41" i="5"/>
  <c r="B42" i="5"/>
  <c r="F42" i="5"/>
  <c r="D43" i="5"/>
  <c r="E49" i="5"/>
  <c r="E50" i="5"/>
  <c r="E51" i="5"/>
  <c r="C52" i="5"/>
  <c r="I52" i="5"/>
  <c r="M22" i="5"/>
  <c r="O23" i="5"/>
  <c r="J25" i="5"/>
  <c r="L34" i="5"/>
  <c r="M40" i="5"/>
  <c r="O41" i="5"/>
  <c r="J43" i="5"/>
  <c r="H11" i="5"/>
  <c r="N11" i="5"/>
  <c r="B25" i="5"/>
  <c r="D22" i="5"/>
  <c r="F22" i="5"/>
  <c r="D23" i="5"/>
  <c r="F23" i="5"/>
  <c r="D24" i="5"/>
  <c r="F24" i="5"/>
  <c r="C25" i="5"/>
  <c r="E25" i="5"/>
  <c r="I25" i="5"/>
  <c r="B31" i="5"/>
  <c r="D31" i="5"/>
  <c r="F31" i="5"/>
  <c r="B32" i="5"/>
  <c r="D32" i="5"/>
  <c r="F32" i="5"/>
  <c r="B33" i="5"/>
  <c r="D33" i="5"/>
  <c r="F33" i="5"/>
  <c r="B34" i="5"/>
  <c r="D34" i="5"/>
  <c r="F34" i="5"/>
  <c r="C40" i="5"/>
  <c r="E40" i="5"/>
  <c r="I40" i="5"/>
  <c r="C41" i="5"/>
  <c r="E41" i="5"/>
  <c r="I41" i="5"/>
  <c r="C42" i="5"/>
  <c r="E42" i="5"/>
  <c r="I42" i="5"/>
  <c r="C43" i="5"/>
  <c r="E43" i="5"/>
  <c r="I43" i="5"/>
  <c r="B49" i="5"/>
  <c r="D49" i="5"/>
  <c r="F49" i="5"/>
  <c r="B50" i="5"/>
  <c r="D50" i="5"/>
  <c r="F50" i="5"/>
  <c r="B51" i="5"/>
  <c r="D51" i="5"/>
  <c r="F51" i="5"/>
  <c r="B52" i="5"/>
  <c r="D52" i="5"/>
  <c r="F52" i="5"/>
  <c r="J22" i="5"/>
  <c r="L22" i="5"/>
  <c r="N22" i="5"/>
  <c r="P22" i="5"/>
  <c r="M23" i="5"/>
  <c r="O24" i="5"/>
  <c r="L25" i="5"/>
  <c r="P25" i="5"/>
  <c r="M31" i="5"/>
  <c r="O32" i="5"/>
  <c r="M33" i="5"/>
  <c r="J34" i="5"/>
  <c r="N34" i="5"/>
  <c r="O40" i="5"/>
  <c r="M41" i="5"/>
  <c r="O42" i="5"/>
  <c r="L43" i="5"/>
  <c r="P43" i="5"/>
  <c r="M49" i="5"/>
  <c r="O50" i="5"/>
  <c r="M51" i="5"/>
  <c r="J52" i="5"/>
  <c r="N52" i="5"/>
  <c r="C57" i="5"/>
  <c r="I57" i="5"/>
  <c r="M57" i="5"/>
  <c r="I58" i="5"/>
  <c r="M58" i="5"/>
  <c r="E59" i="5"/>
  <c r="O59" i="5"/>
  <c r="D60" i="5"/>
  <c r="J60" i="5"/>
  <c r="N60" i="5"/>
  <c r="C65" i="5"/>
  <c r="I65" i="5"/>
  <c r="M65" i="5"/>
  <c r="I66" i="5"/>
  <c r="M66" i="5"/>
  <c r="E67" i="5"/>
  <c r="O67" i="5"/>
  <c r="D68" i="5"/>
  <c r="J68" i="5"/>
  <c r="N68" i="5"/>
  <c r="C73" i="5"/>
  <c r="I73" i="5"/>
  <c r="M73" i="5"/>
  <c r="I74" i="5"/>
  <c r="M74" i="5"/>
  <c r="E75" i="5"/>
  <c r="O75" i="5"/>
  <c r="D76" i="5"/>
  <c r="J76" i="5"/>
  <c r="N76" i="5"/>
  <c r="C81" i="5"/>
  <c r="I81" i="5"/>
  <c r="M81" i="5"/>
  <c r="L82" i="5"/>
  <c r="P82" i="5"/>
  <c r="D83" i="5"/>
  <c r="J83" i="5"/>
  <c r="N83" i="5"/>
  <c r="C84" i="5"/>
  <c r="I84" i="5"/>
  <c r="M84" i="5"/>
  <c r="H25" i="5"/>
  <c r="H43" i="5"/>
  <c r="H60" i="5"/>
  <c r="H76" i="5"/>
  <c r="B23" i="5"/>
  <c r="C22" i="5"/>
  <c r="I22" i="5"/>
  <c r="E23" i="5"/>
  <c r="C24" i="5"/>
  <c r="I24" i="5"/>
  <c r="F25" i="5"/>
  <c r="E31" i="5"/>
  <c r="E32" i="5"/>
  <c r="E33" i="5"/>
  <c r="C34" i="5"/>
  <c r="I34" i="5"/>
  <c r="D40" i="5"/>
  <c r="D41" i="5"/>
  <c r="D42" i="5"/>
  <c r="B43" i="5"/>
  <c r="F43" i="5"/>
  <c r="C49" i="5"/>
  <c r="I49" i="5"/>
  <c r="C50" i="5"/>
  <c r="I50" i="5"/>
  <c r="C51" i="5"/>
  <c r="E52" i="5"/>
  <c r="O22" i="5"/>
  <c r="M24" i="5"/>
  <c r="N25" i="5"/>
  <c r="O31" i="5"/>
  <c r="M32" i="5"/>
  <c r="O33" i="5"/>
  <c r="P34" i="5"/>
  <c r="M42" i="5"/>
  <c r="N43" i="5"/>
  <c r="O49" i="5"/>
  <c r="M50" i="5"/>
  <c r="O51" i="5"/>
  <c r="L52" i="5"/>
  <c r="P52" i="5"/>
  <c r="E57" i="5"/>
  <c r="O57" i="5"/>
  <c r="C58" i="5"/>
  <c r="O58" i="5"/>
  <c r="C59" i="5"/>
  <c r="I59" i="5"/>
  <c r="I61" i="5"/>
  <c r="M59" i="5"/>
  <c r="B60" i="5"/>
  <c r="B61" i="5"/>
  <c r="F60" i="5"/>
  <c r="L60" i="5"/>
  <c r="P60" i="5"/>
  <c r="E65" i="5"/>
  <c r="O65" i="5"/>
  <c r="C66" i="5"/>
  <c r="O66" i="5"/>
  <c r="C67" i="5"/>
  <c r="I67" i="5"/>
  <c r="M67" i="5"/>
  <c r="B68" i="5"/>
  <c r="F68" i="5"/>
  <c r="L68" i="5"/>
  <c r="P68" i="5"/>
  <c r="E73" i="5"/>
  <c r="O73" i="5"/>
  <c r="C74" i="5"/>
  <c r="O74" i="5"/>
  <c r="C75" i="5"/>
  <c r="I75" i="5"/>
  <c r="I77" i="5"/>
  <c r="M75" i="5"/>
  <c r="B76" i="5"/>
  <c r="F76" i="5"/>
  <c r="L76" i="5"/>
  <c r="P76" i="5"/>
  <c r="E81" i="5"/>
  <c r="O81" i="5"/>
  <c r="D82" i="5"/>
  <c r="N82" i="5"/>
  <c r="B83" i="5"/>
  <c r="F83" i="5"/>
  <c r="F85" i="5"/>
  <c r="L83" i="5"/>
  <c r="P83" i="5"/>
  <c r="E84" i="5"/>
  <c r="O84" i="5"/>
  <c r="H34" i="5"/>
  <c r="H52" i="5"/>
  <c r="H68" i="5"/>
  <c r="H84" i="5"/>
  <c r="J82" i="5"/>
  <c r="I82" i="5"/>
  <c r="D58" i="5"/>
  <c r="F58" i="5"/>
  <c r="D66" i="5"/>
  <c r="F66" i="5"/>
  <c r="D74" i="5"/>
  <c r="F74" i="5"/>
  <c r="C82" i="5"/>
  <c r="E82" i="5"/>
  <c r="E10" i="5"/>
  <c r="C10" i="5"/>
  <c r="C11" i="5"/>
  <c r="I11" i="5"/>
  <c r="J11" i="5"/>
  <c r="B51" i="35"/>
  <c r="B28" i="35"/>
  <c r="B49" i="35"/>
  <c r="AJ49" i="35"/>
  <c r="AK51" i="35"/>
  <c r="AI51" i="35"/>
  <c r="AL49" i="35"/>
  <c r="AI50" i="35"/>
  <c r="B77" i="5"/>
  <c r="S65" i="35"/>
  <c r="AD63" i="35"/>
  <c r="T64" i="35"/>
  <c r="R63" i="35"/>
  <c r="R65" i="35"/>
  <c r="AC65" i="35"/>
  <c r="AE64" i="35"/>
  <c r="S64" i="35"/>
  <c r="Q65" i="35"/>
  <c r="P65" i="35"/>
  <c r="AC63" i="35"/>
  <c r="P63" i="35"/>
  <c r="Q63" i="35"/>
  <c r="P64" i="35"/>
  <c r="AF63" i="35"/>
  <c r="AC64" i="35"/>
  <c r="AF65" i="35"/>
  <c r="AB63" i="35"/>
  <c r="Z65" i="35"/>
  <c r="AH65" i="35"/>
  <c r="AD65" i="35"/>
  <c r="E49" i="35"/>
  <c r="G51" i="35"/>
  <c r="Y65" i="35"/>
  <c r="T65" i="35"/>
  <c r="Q64" i="35"/>
  <c r="AL63" i="35"/>
  <c r="AK64" i="35"/>
  <c r="AE65" i="35"/>
  <c r="T63" i="35"/>
  <c r="AE63" i="35"/>
  <c r="W63" i="35"/>
  <c r="X64" i="35"/>
  <c r="V63" i="35"/>
  <c r="AB64" i="35"/>
  <c r="AF64" i="35"/>
  <c r="AH64" i="35"/>
  <c r="AJ65" i="35"/>
  <c r="AB65" i="35"/>
  <c r="G50" i="35"/>
  <c r="R64" i="35"/>
  <c r="AJ64" i="35"/>
  <c r="E51" i="35"/>
  <c r="V64" i="35"/>
  <c r="AI65" i="35"/>
  <c r="AK63" i="35"/>
  <c r="F51" i="35"/>
  <c r="X65" i="35"/>
  <c r="F49" i="35"/>
  <c r="X63" i="35"/>
  <c r="E50" i="35"/>
  <c r="W64" i="35"/>
  <c r="D51" i="35"/>
  <c r="H49" i="35"/>
  <c r="Z63" i="35"/>
  <c r="AH63" i="35"/>
  <c r="H51" i="35"/>
  <c r="V65" i="35"/>
  <c r="AL65" i="35"/>
  <c r="D50" i="35"/>
  <c r="F50" i="35"/>
  <c r="D49" i="35"/>
  <c r="AI64" i="35"/>
  <c r="AK65" i="35"/>
  <c r="AI63" i="35"/>
  <c r="Y64" i="35"/>
  <c r="H50" i="35"/>
  <c r="W65" i="35"/>
  <c r="Z64" i="35"/>
  <c r="G49" i="35"/>
  <c r="AL64" i="35"/>
  <c r="B52" i="35"/>
  <c r="B30" i="35"/>
  <c r="U43" i="35"/>
  <c r="AA29" i="35"/>
  <c r="AG29" i="35"/>
  <c r="AA28" i="35"/>
  <c r="AG28" i="35"/>
  <c r="AA27" i="35"/>
  <c r="AG27" i="35"/>
  <c r="O29" i="35"/>
  <c r="I29" i="35"/>
  <c r="U29" i="35"/>
  <c r="C29" i="35"/>
  <c r="I28" i="35"/>
  <c r="C28" i="35"/>
  <c r="U42" i="35"/>
  <c r="U28" i="35"/>
  <c r="O28" i="35"/>
  <c r="U27" i="35"/>
  <c r="O27" i="35"/>
  <c r="U41" i="35"/>
  <c r="C27" i="35"/>
  <c r="I27" i="35"/>
  <c r="B5" i="35"/>
  <c r="T12" i="5"/>
  <c r="Q12" i="5"/>
  <c r="K10" i="5"/>
  <c r="K12" i="5"/>
  <c r="K11" i="5"/>
  <c r="T11" i="5"/>
  <c r="Q11" i="5"/>
  <c r="T10" i="5"/>
  <c r="Q10" i="5"/>
  <c r="F10" i="5"/>
  <c r="O11" i="5"/>
  <c r="P11" i="5"/>
  <c r="N10" i="5"/>
  <c r="I10" i="5"/>
  <c r="D10" i="5"/>
  <c r="B85" i="5"/>
  <c r="D11" i="5"/>
  <c r="E11" i="5"/>
  <c r="O10" i="5"/>
  <c r="F11" i="5"/>
  <c r="B69" i="5"/>
  <c r="C61" i="5"/>
  <c r="I69" i="5"/>
  <c r="D26" i="5"/>
  <c r="E12" i="5"/>
  <c r="D12" i="5"/>
  <c r="I12" i="5"/>
  <c r="H12" i="5"/>
  <c r="G11" i="5"/>
  <c r="G10" i="5"/>
  <c r="F12" i="5"/>
  <c r="C12" i="5"/>
  <c r="H10" i="5"/>
  <c r="G12" i="5"/>
  <c r="P10" i="5"/>
  <c r="L10" i="5"/>
  <c r="B12" i="5"/>
  <c r="P12" i="5"/>
  <c r="O12" i="5"/>
  <c r="J12" i="5"/>
  <c r="L11" i="5"/>
  <c r="N12" i="5"/>
  <c r="M11" i="5"/>
  <c r="J10" i="5"/>
  <c r="M12" i="5"/>
  <c r="L12" i="5"/>
  <c r="G35" i="5"/>
  <c r="G61" i="5"/>
  <c r="G44" i="5"/>
  <c r="G26" i="5"/>
  <c r="G69" i="5"/>
  <c r="G53" i="5"/>
  <c r="G77" i="5"/>
  <c r="G85" i="5"/>
  <c r="E61" i="5"/>
  <c r="F61" i="5"/>
  <c r="H61" i="5"/>
  <c r="B35" i="5"/>
  <c r="D61" i="5"/>
  <c r="E26" i="5"/>
  <c r="B26" i="5"/>
  <c r="H77" i="5"/>
  <c r="E77" i="5"/>
  <c r="H44" i="5"/>
  <c r="I26" i="5"/>
  <c r="E69" i="5"/>
  <c r="D69" i="5"/>
  <c r="C69" i="5"/>
  <c r="C26" i="5"/>
  <c r="F69" i="5"/>
  <c r="C85" i="5"/>
  <c r="D77" i="5"/>
  <c r="H53" i="5"/>
  <c r="D85" i="5"/>
  <c r="C77" i="5"/>
  <c r="F26" i="5"/>
  <c r="H26" i="5"/>
  <c r="E85" i="5"/>
  <c r="F77" i="5"/>
  <c r="I85" i="5"/>
  <c r="H69" i="5"/>
  <c r="H85" i="5"/>
  <c r="H35" i="5"/>
  <c r="I53" i="5"/>
  <c r="E35" i="5"/>
  <c r="D53" i="5"/>
  <c r="I44" i="5"/>
  <c r="C44" i="5"/>
  <c r="F35" i="5"/>
  <c r="E53" i="5"/>
  <c r="F44" i="5"/>
  <c r="C35" i="5"/>
  <c r="C53" i="5"/>
  <c r="D44" i="5"/>
  <c r="F53" i="5"/>
  <c r="B53" i="5"/>
  <c r="E44" i="5"/>
  <c r="D35" i="5"/>
  <c r="B44" i="5"/>
  <c r="I35" i="5"/>
  <c r="B64" i="35"/>
  <c r="B63" i="35"/>
  <c r="B65" i="35"/>
  <c r="B41" i="35"/>
  <c r="B42" i="35"/>
  <c r="B43" i="35"/>
  <c r="U30" i="35"/>
  <c r="I44" i="35"/>
  <c r="O30" i="35"/>
  <c r="AG30" i="35"/>
  <c r="C30" i="35"/>
  <c r="I30" i="35"/>
  <c r="AA44" i="35"/>
  <c r="U44" i="35"/>
  <c r="AK27" i="35"/>
  <c r="AG44" i="35"/>
  <c r="C44" i="35"/>
  <c r="AA30" i="35"/>
  <c r="O44" i="35"/>
  <c r="B10" i="5"/>
  <c r="B13" i="5"/>
  <c r="B11" i="5"/>
  <c r="B66" i="35"/>
  <c r="B44" i="35"/>
  <c r="B14" i="5"/>
</calcChain>
</file>

<file path=xl/sharedStrings.xml><?xml version="1.0" encoding="utf-8"?>
<sst xmlns="http://schemas.openxmlformats.org/spreadsheetml/2006/main" count="4007" uniqueCount="715">
  <si>
    <t>informante</t>
  </si>
  <si>
    <t>oc</t>
  </si>
  <si>
    <t>uso</t>
  </si>
  <si>
    <t>persona</t>
  </si>
  <si>
    <t>expresion temp</t>
  </si>
  <si>
    <t>tiempo</t>
  </si>
  <si>
    <t>analítico</t>
  </si>
  <si>
    <t>morfológico</t>
  </si>
  <si>
    <t>temporal</t>
  </si>
  <si>
    <r>
      <t xml:space="preserve">SJ0521H96/145-146 Aparentemente, la señora no frenó y le dio un, lo atropelló, </t>
    </r>
    <r>
      <rPr>
        <b/>
        <sz val="12"/>
        <color theme="1"/>
        <rFont val="Times New Roman"/>
        <family val="1"/>
      </rPr>
      <t>vamos a decirlo</t>
    </r>
    <r>
      <rPr>
        <sz val="12"/>
        <color theme="1"/>
        <rFont val="Times New Roman"/>
        <family val="1"/>
      </rPr>
      <t xml:space="preserve"> así con el carro y allí estaba él en la calle tirado, ensangrentado, una cosa muy, muy, muy mala, una experiencia mala le pasó a él. </t>
    </r>
  </si>
  <si>
    <r>
      <t xml:space="preserve">SJ0521H96/173-176 No, no participé porque aún soy un menor, pero para las próximas </t>
    </r>
    <r>
      <rPr>
        <b/>
        <sz val="11"/>
        <color theme="1"/>
        <rFont val="Calibri"/>
        <family val="2"/>
        <scheme val="minor"/>
      </rPr>
      <t>participaré</t>
    </r>
    <r>
      <rPr>
        <sz val="11"/>
        <color theme="1"/>
        <rFont val="Calibri"/>
        <family val="2"/>
        <scheme val="minor"/>
      </rPr>
      <t>. Este, bueno, déjame ver que te digo porque de verdad que, sinceramente, hablando por la voz del pueblo, hablando como un, como uno, como uno más como cualquier persona, como una persona que se quiere comunicar con el, con la sociedad.</t>
    </r>
  </si>
  <si>
    <r>
      <t xml:space="preserve">SJ0521H96/36-38  Esos fines de semana son una cosa terrible uno tiene que trabajar en exceso, y a la misma vez tiene que trabajar bien porque si no, sinceramente, no </t>
    </r>
    <r>
      <rPr>
        <b/>
        <sz val="12"/>
        <color theme="1"/>
        <rFont val="Times New Roman"/>
        <family val="1"/>
      </rPr>
      <t>vas a llegar</t>
    </r>
    <r>
      <rPr>
        <sz val="12"/>
        <color theme="1"/>
        <rFont val="Times New Roman"/>
        <family val="1"/>
      </rPr>
      <t xml:space="preserve"> a ningún lado.</t>
    </r>
  </si>
  <si>
    <r>
      <t xml:space="preserve">SJ0521H96/38-40 Como te digo, este, si no te propones luchar, qué sé yo, trabajar bien, como se debe con todas las normas, pues en verdad, no </t>
    </r>
    <r>
      <rPr>
        <b/>
        <sz val="12"/>
        <color theme="1"/>
        <rFont val="Times New Roman"/>
        <family val="1"/>
      </rPr>
      <t>vas a llegar</t>
    </r>
    <r>
      <rPr>
        <sz val="12"/>
        <color theme="1"/>
        <rFont val="Times New Roman"/>
        <family val="1"/>
      </rPr>
      <t xml:space="preserve"> a ningún lado porque sinceramente lo que toman en cuenta es eso... y pues sí, este...</t>
    </r>
  </si>
  <si>
    <r>
      <t xml:space="preserve">SJ0521H96/70-71 Pero ser alguien, ser, ser alguien en el futuro porque básicamente si uno no lucha por uno mismo nadie </t>
    </r>
    <r>
      <rPr>
        <b/>
        <sz val="12"/>
        <color theme="1"/>
        <rFont val="Times New Roman"/>
        <family val="1"/>
      </rPr>
      <t>va a luchar</t>
    </r>
    <r>
      <rPr>
        <sz val="12"/>
        <color theme="1"/>
        <rFont val="Times New Roman"/>
        <family val="1"/>
      </rPr>
      <t xml:space="preserve"> por uno</t>
    </r>
  </si>
  <si>
    <r>
      <t xml:space="preserve">SJ0521H96/122-124 Para mí que sí que simplemente la fanaticada allá ya para mí no </t>
    </r>
    <r>
      <rPr>
        <b/>
        <sz val="12"/>
        <color theme="1"/>
        <rFont val="Times New Roman"/>
        <family val="1"/>
      </rPr>
      <t>va a ser</t>
    </r>
    <r>
      <rPr>
        <sz val="12"/>
        <color theme="1"/>
        <rFont val="Times New Roman"/>
        <family val="1"/>
      </rPr>
      <t xml:space="preserve"> igual entre, respecto a, hacia, hacia ese jugador por lo menos. </t>
    </r>
  </si>
  <si>
    <r>
      <t xml:space="preserve">SJ0521H96/89-90 Pues, no sé, este, van lentas, van lentas todavía pero dicen que cuando cojan auge </t>
    </r>
    <r>
      <rPr>
        <b/>
        <sz val="12"/>
        <color theme="1"/>
        <rFont val="Times New Roman"/>
        <family val="1"/>
      </rPr>
      <t xml:space="preserve">van a ser </t>
    </r>
    <r>
      <rPr>
        <sz val="12"/>
        <color theme="1"/>
        <rFont val="Times New Roman"/>
        <family val="1"/>
      </rPr>
      <t>estragos.</t>
    </r>
  </si>
  <si>
    <t>negación</t>
  </si>
  <si>
    <r>
      <t xml:space="preserve">SJ0521H96/100-101A Si así </t>
    </r>
    <r>
      <rPr>
        <b/>
        <sz val="12"/>
        <color theme="1"/>
        <rFont val="Times New Roman"/>
        <family val="1"/>
      </rPr>
      <t>puedo hacerlo</t>
    </r>
    <r>
      <rPr>
        <sz val="12"/>
        <color theme="1"/>
        <rFont val="Times New Roman"/>
        <family val="1"/>
      </rPr>
      <t>, pues, así lo haré.</t>
    </r>
  </si>
  <si>
    <t>presente</t>
  </si>
  <si>
    <t>hipótesis</t>
  </si>
  <si>
    <t>exhortación</t>
  </si>
  <si>
    <t>SJ0521H96</t>
  </si>
  <si>
    <r>
      <t xml:space="preserve">SJ00621H96/12 </t>
    </r>
    <r>
      <rPr>
        <b/>
        <sz val="12"/>
        <color theme="1"/>
        <rFont val="Times New Roman"/>
        <family val="1"/>
      </rPr>
      <t>Vamos a ver</t>
    </r>
    <r>
      <rPr>
        <sz val="12"/>
        <color theme="1"/>
        <rFont val="Times New Roman"/>
        <family val="1"/>
      </rPr>
      <t xml:space="preserve"> cómo dice aquí.  </t>
    </r>
  </si>
  <si>
    <r>
      <t xml:space="preserve">SJ00621H96/27-30 No, no, no pero, o sea, tú lo que quieres decir, este, cuál serían los pasos, pues primero, como siempre, lo primero es el local,  ponlo frente a un “Blockbuster”, yo creo que esa es la mejor idea que hay, al contrario, en vez de cogerle miedo, pónteles al frente, que </t>
    </r>
    <r>
      <rPr>
        <b/>
        <sz val="12"/>
        <color theme="1"/>
        <rFont val="Times New Roman"/>
        <family val="1"/>
      </rPr>
      <t>vas a tener</t>
    </r>
    <r>
      <rPr>
        <sz val="12"/>
        <color theme="1"/>
        <rFont val="Times New Roman"/>
        <family val="1"/>
      </rPr>
      <t xml:space="preserve"> siempre tu clientela porque tienes unos precios más baratos.  </t>
    </r>
  </si>
  <si>
    <r>
      <t>SJ00621H96/39-41</t>
    </r>
    <r>
      <rPr>
        <b/>
        <sz val="12"/>
        <color theme="1"/>
        <rFont val="Times New Roman"/>
        <family val="1"/>
      </rPr>
      <t xml:space="preserve"> Saldrán </t>
    </r>
    <r>
      <rPr>
        <sz val="12"/>
        <color theme="1"/>
        <rFont val="Times New Roman"/>
        <family val="1"/>
      </rPr>
      <t>como algunas diez, y de esas tú escoges, tres, cuatro, dependiendo del volumen de venta tuyo, pues, tú escoges y compras películas.</t>
    </r>
  </si>
  <si>
    <r>
      <t xml:space="preserve">SJ00621H96/111-115A Eso es, de todas formas, eso es nuevo en Puerto Rico, fue la primera que hicieron, y me enteré por correo, porque la compañía a la que tú le compras películas fue la que me informó por medio de una carta, este, fue la primera vez que la hicieron, creo que se </t>
    </r>
    <r>
      <rPr>
        <b/>
        <sz val="12"/>
        <color theme="1"/>
        <rFont val="Times New Roman"/>
        <family val="1"/>
      </rPr>
      <t>va a seguir haciendo</t>
    </r>
    <r>
      <rPr>
        <sz val="12"/>
        <color theme="1"/>
        <rFont val="Times New Roman"/>
        <family val="1"/>
      </rPr>
      <t>, este, porque vieron que, que hubo una respuesta, fue mucha gente, y creo que para el año que viene se va a volver a hacer</t>
    </r>
  </si>
  <si>
    <r>
      <t xml:space="preserve">SJ00621H96/111-115B Eso es, de todas formas, eso es nuevo en Puerto Rico, fue la primera que hicieron, y me enteré por correo, porque la compañía a la que tú le compras películas fue la que me informó por medio de una carta, este, fue la primera vez que la hicieron, creo que se va a seguir haciendo, este, porque vieron que, que hubo una respuesta, fue mucha gente, y creo que para el año que viene se </t>
    </r>
    <r>
      <rPr>
        <b/>
        <sz val="12"/>
        <color theme="1"/>
        <rFont val="Times New Roman"/>
        <family val="1"/>
      </rPr>
      <t>va a volver a hacer.</t>
    </r>
  </si>
  <si>
    <r>
      <t xml:space="preserve">SJ00621H96/115-116 Y allí </t>
    </r>
    <r>
      <rPr>
        <b/>
        <sz val="12"/>
        <color theme="1"/>
        <rFont val="Times New Roman"/>
        <family val="1"/>
      </rPr>
      <t>estaremos</t>
    </r>
    <r>
      <rPr>
        <sz val="12"/>
        <color theme="1"/>
        <rFont val="Times New Roman"/>
        <family val="1"/>
      </rPr>
      <t xml:space="preserve"> también el año que viene.</t>
    </r>
  </si>
  <si>
    <r>
      <t xml:space="preserve">SJ00621H96/123-127E Que aunque sea un video pequeño y ya, ya la gente este, te van a, a  ver así de esa manera, que tú estás adelante en cuestión de sonido y te preocupas por el sonido, sabes de eso, este, salió “laser”, pues vamos a meterle “laser” al video, aunque no se te alquile mucho pero </t>
    </r>
    <r>
      <rPr>
        <b/>
        <sz val="12"/>
        <color theme="1"/>
        <rFont val="Times New Roman"/>
        <family val="1"/>
      </rPr>
      <t>tienes</t>
    </r>
    <r>
      <rPr>
        <sz val="12"/>
        <color theme="1"/>
        <rFont val="Times New Roman"/>
        <family val="1"/>
      </rPr>
      <t xml:space="preserve"> una sección ahí que la gente va y se dice “wow, con ‘laser’ y todo” o sea, esta gente, y cuando salgan las películas en “laser” pequeño, le metemos también eso</t>
    </r>
  </si>
  <si>
    <r>
      <t xml:space="preserve">SJ00621H96/123-127F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t>
    </r>
    <r>
      <rPr>
        <b/>
        <sz val="12"/>
        <color theme="1"/>
        <rFont val="Times New Roman"/>
        <family val="1"/>
      </rPr>
      <t>va</t>
    </r>
    <r>
      <rPr>
        <sz val="12"/>
        <color theme="1"/>
        <rFont val="Times New Roman"/>
        <family val="1"/>
      </rPr>
      <t xml:space="preserve"> y se dice “wow, con ‘laser’ y todo” o sea, esta gente, y cuando salgan las películas en “laser” pequeño, le metemos también eso</t>
    </r>
  </si>
  <si>
    <r>
      <t xml:space="preserve">SJ00621H96/123-127G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t>
    </r>
    <r>
      <rPr>
        <b/>
        <sz val="12"/>
        <color theme="1"/>
        <rFont val="Times New Roman"/>
        <family val="1"/>
      </rPr>
      <t>dice</t>
    </r>
    <r>
      <rPr>
        <sz val="12"/>
        <color theme="1"/>
        <rFont val="Times New Roman"/>
        <family val="1"/>
      </rPr>
      <t xml:space="preserve"> “wow, con ‘laser’ y todo” o sea, esta gente, y cuando salgan las películas en “laser” pequeño, le metemos también eso</t>
    </r>
  </si>
  <si>
    <r>
      <t xml:space="preserve">SJ00621H96/123-127H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t>
    </r>
    <r>
      <rPr>
        <b/>
        <sz val="12"/>
        <color theme="1"/>
        <rFont val="Times New Roman"/>
        <family val="1"/>
      </rPr>
      <t>metemos</t>
    </r>
    <r>
      <rPr>
        <sz val="12"/>
        <color theme="1"/>
        <rFont val="Times New Roman"/>
        <family val="1"/>
      </rPr>
      <t xml:space="preserve"> también eso</t>
    </r>
  </si>
  <si>
    <r>
      <t xml:space="preserve">SJ00621H96/134A Pero yo se que sí, que esto </t>
    </r>
    <r>
      <rPr>
        <b/>
        <sz val="12"/>
        <color theme="1"/>
        <rFont val="Times New Roman"/>
        <family val="1"/>
      </rPr>
      <t xml:space="preserve">va a echar </t>
    </r>
    <r>
      <rPr>
        <sz val="12"/>
        <color theme="1"/>
        <rFont val="Times New Roman"/>
        <family val="1"/>
      </rPr>
      <t>para alante y va a estar mejor, y más conforme en el futuro.</t>
    </r>
  </si>
  <si>
    <r>
      <t xml:space="preserve">SJ00621H96/134B Pero yo se que sí, que esto va a echar para alante y </t>
    </r>
    <r>
      <rPr>
        <b/>
        <sz val="12"/>
        <color theme="1"/>
        <rFont val="Times New Roman"/>
        <family val="1"/>
      </rPr>
      <t>va a estar</t>
    </r>
    <r>
      <rPr>
        <sz val="12"/>
        <color theme="1"/>
        <rFont val="Times New Roman"/>
        <family val="1"/>
      </rPr>
      <t xml:space="preserve"> mejor, y más conforme en el futuro.</t>
    </r>
  </si>
  <si>
    <r>
      <t xml:space="preserve">SJ00621H96/148A Al año, tú vuelves allá y con un reporte de tus ventas en todo ese año entonces ellos te dicen cuánto es que tú </t>
    </r>
    <r>
      <rPr>
        <b/>
        <sz val="12"/>
        <color theme="1"/>
        <rFont val="Times New Roman"/>
        <family val="1"/>
      </rPr>
      <t>vas a pagar</t>
    </r>
    <r>
      <rPr>
        <sz val="12"/>
        <color theme="1"/>
        <rFont val="Times New Roman"/>
        <family val="1"/>
      </rPr>
      <t xml:space="preserve"> de patenta, dependiendo de las cuentas que tú tengas, del primer año.</t>
    </r>
  </si>
  <si>
    <r>
      <t xml:space="preserve">SJ00621H96/153-156A Estamos pensando en eso, eso es bien, bien importante, que a veces uno dice: “ay, pero pagar un contable”, pero cuando vayan aumentando las ventas sí, ya inclusive se supone, ah, y, ay, se supone que el viernes </t>
    </r>
    <r>
      <rPr>
        <b/>
        <sz val="12"/>
        <color theme="1"/>
        <rFont val="Times New Roman"/>
        <family val="1"/>
      </rPr>
      <t xml:space="preserve">viene </t>
    </r>
    <r>
      <rPr>
        <sz val="12"/>
        <color theme="1"/>
        <rFont val="Times New Roman"/>
        <family val="1"/>
      </rPr>
      <t>una persona aquí a darme una orientación de contabilidad y de cómo yo puedo mane, este, poner mi negocio con un contable.</t>
    </r>
  </si>
  <si>
    <r>
      <t>SJ00621H96/153-156B Estamos pensando en eso, eso es bien, bien importante, que a veces uno dice: “ay, pero pagar un contable”, pero cuando vayan aumentando las ventas sí, ya inclusive se supone, ah, y, ay, se supone que el viernes viene</t>
    </r>
    <r>
      <rPr>
        <b/>
        <sz val="12"/>
        <color theme="1"/>
        <rFont val="Times New Roman"/>
        <family val="1"/>
      </rPr>
      <t xml:space="preserve"> </t>
    </r>
    <r>
      <rPr>
        <sz val="12"/>
        <color theme="1"/>
        <rFont val="Times New Roman"/>
        <family val="1"/>
      </rPr>
      <t xml:space="preserve">una persona aquí a darme una orientación de contabilidad y de cómo yo </t>
    </r>
    <r>
      <rPr>
        <b/>
        <sz val="12"/>
        <color theme="1"/>
        <rFont val="Times New Roman"/>
        <family val="1"/>
      </rPr>
      <t>puedo</t>
    </r>
    <r>
      <rPr>
        <sz val="12"/>
        <color theme="1"/>
        <rFont val="Times New Roman"/>
        <family val="1"/>
      </rPr>
      <t xml:space="preserve"> mane, este, </t>
    </r>
    <r>
      <rPr>
        <b/>
        <sz val="12"/>
        <color theme="1"/>
        <rFont val="Times New Roman"/>
        <family val="1"/>
      </rPr>
      <t>poner</t>
    </r>
    <r>
      <rPr>
        <sz val="12"/>
        <color theme="1"/>
        <rFont val="Times New Roman"/>
        <family val="1"/>
      </rPr>
      <t xml:space="preserve"> mi negocio con un contable.</t>
    </r>
  </si>
  <si>
    <r>
      <t xml:space="preserve">SJ00621H96/196-198 No, o sea no ceo que de, en el futuro, lo que hemos pensado es cuando “Blockbuster” este se conozca más y más gente vengan aquí, entonces </t>
    </r>
    <r>
      <rPr>
        <b/>
        <sz val="12"/>
        <color theme="1"/>
        <rFont val="Times New Roman"/>
        <family val="1"/>
      </rPr>
      <t>vamos a extender</t>
    </r>
    <r>
      <rPr>
        <sz val="12"/>
        <color theme="1"/>
        <rFont val="Times New Roman"/>
        <family val="1"/>
      </rPr>
      <t xml:space="preserve"> un poquito más como hasta las diez de la noche.</t>
    </r>
  </si>
  <si>
    <r>
      <t xml:space="preserve">SJ00621H96/203-204 Y mientras vaya ven..., mientras yo venda los días feriados </t>
    </r>
    <r>
      <rPr>
        <b/>
        <sz val="12"/>
        <color theme="1"/>
        <rFont val="Times New Roman"/>
        <family val="1"/>
      </rPr>
      <t>voy a seguir</t>
    </r>
    <r>
      <rPr>
        <sz val="12"/>
        <color theme="1"/>
        <rFont val="Times New Roman"/>
        <family val="1"/>
      </rPr>
      <t xml:space="preserve"> abriendo los días feriados.</t>
    </r>
  </si>
  <si>
    <r>
      <t>SJ00621H96/214B Mira, pues ahí yo tengo</t>
    </r>
    <r>
      <rPr>
        <b/>
        <sz val="12"/>
        <color theme="1"/>
        <rFont val="Times New Roman"/>
        <family val="1"/>
      </rPr>
      <t xml:space="preserve"> </t>
    </r>
    <r>
      <rPr>
        <sz val="12"/>
        <color theme="1"/>
        <rFont val="Times New Roman"/>
        <family val="1"/>
      </rPr>
      <t xml:space="preserve">un árbol, ahí, </t>
    </r>
    <r>
      <rPr>
        <b/>
        <sz val="12"/>
        <color theme="1"/>
        <rFont val="Times New Roman"/>
        <family val="1"/>
      </rPr>
      <t xml:space="preserve">viene </t>
    </r>
    <r>
      <rPr>
        <sz val="12"/>
        <color theme="1"/>
        <rFont val="Times New Roman"/>
        <family val="1"/>
      </rPr>
      <t>un arbolito, ese arbolito me lo regaló una clienta.</t>
    </r>
  </si>
  <si>
    <r>
      <t xml:space="preserve">SJ00621H96/242-243A Fíjate, pues “anyway”, sí se podría porque tú le </t>
    </r>
    <r>
      <rPr>
        <b/>
        <sz val="12"/>
        <color theme="1"/>
        <rFont val="Times New Roman"/>
        <family val="1"/>
      </rPr>
      <t>cambias</t>
    </r>
    <r>
      <rPr>
        <sz val="12"/>
        <color theme="1"/>
        <rFont val="Times New Roman"/>
        <family val="1"/>
      </rPr>
      <t xml:space="preserve"> la ropa y quién va a</t>
    </r>
    <r>
      <rPr>
        <b/>
        <sz val="12"/>
        <color theme="1"/>
        <rFont val="Times New Roman"/>
        <family val="1"/>
      </rPr>
      <t xml:space="preserve"> </t>
    </r>
    <r>
      <rPr>
        <sz val="12"/>
        <color theme="1"/>
        <rFont val="Times New Roman"/>
        <family val="1"/>
      </rPr>
      <t>saber, se le cambia el pelo, adiós cará’.</t>
    </r>
  </si>
  <si>
    <r>
      <t xml:space="preserve">SJ00621H96/242-243B Fíjate, pues “anyway”, sí se podría porque tú le cambias la ropa y quién </t>
    </r>
    <r>
      <rPr>
        <b/>
        <sz val="12"/>
        <color theme="1"/>
        <rFont val="Times New Roman"/>
        <family val="1"/>
      </rPr>
      <t>va a saber</t>
    </r>
    <r>
      <rPr>
        <sz val="12"/>
        <color theme="1"/>
        <rFont val="Times New Roman"/>
        <family val="1"/>
      </rPr>
      <t>, se le cambia el pelo, adiós cará’.</t>
    </r>
  </si>
  <si>
    <r>
      <t xml:space="preserve">SJ00621H96/242-243C Fíjate, pues “anyway”, sí se podría porque tú le cambias la ropa y quién va a saber, se le </t>
    </r>
    <r>
      <rPr>
        <b/>
        <sz val="12"/>
        <color theme="1"/>
        <rFont val="Times New Roman"/>
        <family val="1"/>
      </rPr>
      <t>cambia</t>
    </r>
    <r>
      <rPr>
        <sz val="12"/>
        <color theme="1"/>
        <rFont val="Times New Roman"/>
        <family val="1"/>
      </rPr>
      <t xml:space="preserve"> el pelo, adiós cará’.</t>
    </r>
  </si>
  <si>
    <r>
      <t xml:space="preserve">SJ00621H96/283 Este,  ¿y qué </t>
    </r>
    <r>
      <rPr>
        <b/>
        <sz val="12"/>
        <color theme="1"/>
        <rFont val="Times New Roman"/>
        <family val="1"/>
      </rPr>
      <t>vas a poner,</t>
    </r>
    <r>
      <rPr>
        <sz val="12"/>
        <color theme="1"/>
        <rFont val="Times New Roman"/>
        <family val="1"/>
      </rPr>
      <t xml:space="preserve"> muchos dulces así, por todos lados?</t>
    </r>
  </si>
  <si>
    <r>
      <t xml:space="preserve">SJ00621H96/510-511A Y ahí entonces </t>
    </r>
    <r>
      <rPr>
        <b/>
        <sz val="12"/>
        <color theme="1"/>
        <rFont val="Times New Roman"/>
        <family val="1"/>
      </rPr>
      <t xml:space="preserve">es </t>
    </r>
    <r>
      <rPr>
        <sz val="12"/>
        <color theme="1"/>
        <rFont val="Times New Roman"/>
        <family val="1"/>
      </rPr>
      <t xml:space="preserve">que yo puedo comprar tres películas, dos películas de cada una.  </t>
    </r>
  </si>
  <si>
    <r>
      <t xml:space="preserve">SJ00621H96/510-511B Y ahí entonces es que yo </t>
    </r>
    <r>
      <rPr>
        <b/>
        <sz val="12"/>
        <color theme="1"/>
        <rFont val="Times New Roman"/>
        <family val="1"/>
      </rPr>
      <t>puedo</t>
    </r>
    <r>
      <rPr>
        <sz val="12"/>
        <color theme="1"/>
        <rFont val="Times New Roman"/>
        <family val="1"/>
      </rPr>
      <t xml:space="preserve"> </t>
    </r>
    <r>
      <rPr>
        <b/>
        <sz val="12"/>
        <color theme="1"/>
        <rFont val="Times New Roman"/>
        <family val="1"/>
      </rPr>
      <t>comprar</t>
    </r>
    <r>
      <rPr>
        <sz val="12"/>
        <color theme="1"/>
        <rFont val="Times New Roman"/>
        <family val="1"/>
      </rPr>
      <t xml:space="preserve"> tres películas, dos películas de cada una.  </t>
    </r>
  </si>
  <si>
    <r>
      <t xml:space="preserve">SJ00621H96/541-543A O sea, que yo creo que a este video yo le </t>
    </r>
    <r>
      <rPr>
        <b/>
        <sz val="12"/>
        <color theme="1"/>
        <rFont val="Times New Roman"/>
        <family val="1"/>
      </rPr>
      <t>puedo</t>
    </r>
    <r>
      <rPr>
        <sz val="12"/>
        <color theme="1"/>
        <rFont val="Times New Roman"/>
        <family val="1"/>
      </rPr>
      <t xml:space="preserve"> meter dos mil películas más, porque yo vi ese tipo de práctica y la, las aguanta.  No hace falta todavía, este, expandirse.</t>
    </r>
  </si>
  <si>
    <r>
      <t xml:space="preserve">SJ00621H96/541-543B O sea, que yo creo que a este video yo le puedo meter dos mil películas más, porque yo vi ese tipo de práctica y la, las </t>
    </r>
    <r>
      <rPr>
        <b/>
        <sz val="12"/>
        <color theme="1"/>
        <rFont val="Times New Roman"/>
        <family val="1"/>
      </rPr>
      <t>aguanta</t>
    </r>
    <r>
      <rPr>
        <sz val="12"/>
        <color theme="1"/>
        <rFont val="Times New Roman"/>
        <family val="1"/>
      </rPr>
      <t>.  No hace falta todavía, este, expandirse</t>
    </r>
  </si>
  <si>
    <r>
      <t xml:space="preserve">SJ00621H96/556-561A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t>
    </r>
    <r>
      <rPr>
        <b/>
        <sz val="12"/>
        <color theme="1"/>
        <rFont val="Times New Roman"/>
        <family val="1"/>
      </rPr>
      <t>deja</t>
    </r>
    <r>
      <rPr>
        <sz val="12"/>
        <color theme="1"/>
        <rFont val="Times New Roman"/>
        <family val="1"/>
      </rPr>
      <t xml:space="preserve"> los estrenos, no te los alquila, dice: “para qué yo voy a pagar dos cincuenta por una película, por una película nueva, si con dos cincuenta me llevo dos películas de las otras.</t>
    </r>
  </si>
  <si>
    <r>
      <t xml:space="preserve">SJ00621H96/556-561B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deja los estrenos, no te los </t>
    </r>
    <r>
      <rPr>
        <b/>
        <sz val="12"/>
        <color theme="1"/>
        <rFont val="Times New Roman"/>
        <family val="1"/>
      </rPr>
      <t>alquila</t>
    </r>
    <r>
      <rPr>
        <sz val="12"/>
        <color theme="1"/>
        <rFont val="Times New Roman"/>
        <family val="1"/>
      </rPr>
      <t>, dice: “para qué yo voy a pagar dos cincuenta por una película, por una película nueva, si con dos cincuenta me llevo dos películas de las otras.</t>
    </r>
  </si>
  <si>
    <r>
      <t xml:space="preserve">SJ00621H96/556-561C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deja los estrenos, no te los alquila, dice: “para qué yo </t>
    </r>
    <r>
      <rPr>
        <b/>
        <sz val="12"/>
        <color theme="1"/>
        <rFont val="Times New Roman"/>
        <family val="1"/>
      </rPr>
      <t>voy a pagar</t>
    </r>
    <r>
      <rPr>
        <sz val="12"/>
        <color theme="1"/>
        <rFont val="Times New Roman"/>
        <family val="1"/>
      </rPr>
      <t xml:space="preserve"> dos cincuenta por una película, por una película nueva, si con dos cincuenta me llevo dos películas de las otras.</t>
    </r>
  </si>
  <si>
    <r>
      <t xml:space="preserve">SJ00621H96/564-565 ¿Qué pasa si tú las pones al mismo precio?  Que aquéllas entonces no se te </t>
    </r>
    <r>
      <rPr>
        <b/>
        <sz val="12"/>
        <color theme="1"/>
        <rFont val="Times New Roman"/>
        <family val="1"/>
      </rPr>
      <t xml:space="preserve">alquilan </t>
    </r>
    <r>
      <rPr>
        <sz val="12"/>
        <color theme="1"/>
        <rFont val="Times New Roman"/>
        <family val="1"/>
      </rPr>
      <t>nunca.</t>
    </r>
  </si>
  <si>
    <t>SJ00621H96</t>
  </si>
  <si>
    <r>
      <t xml:space="preserve">SJ00621H96/169-171 Y yo creo que al aumentar inventario y, este, pues le </t>
    </r>
    <r>
      <rPr>
        <b/>
        <sz val="12"/>
        <color theme="1"/>
        <rFont val="Times New Roman"/>
        <family val="1"/>
      </rPr>
      <t>ponemo</t>
    </r>
    <r>
      <rPr>
        <sz val="12"/>
        <color theme="1"/>
        <rFont val="Times New Roman"/>
        <family val="1"/>
      </rPr>
      <t>s la computadora también yo creo que eso ya ayudaría un poco las ventas y las aumentaría.</t>
    </r>
  </si>
  <si>
    <t>sorpresa</t>
  </si>
  <si>
    <r>
      <t xml:space="preserve">SJ0931H96/74 O sea, que en un mes </t>
    </r>
    <r>
      <rPr>
        <b/>
        <sz val="12"/>
        <color theme="1"/>
        <rFont val="Times New Roman"/>
        <family val="1"/>
      </rPr>
      <t>hablamos.</t>
    </r>
  </si>
  <si>
    <r>
      <t xml:space="preserve">SJ0931H96/74-75 Si en un mes no consigo nada entonces te </t>
    </r>
    <r>
      <rPr>
        <b/>
        <sz val="12"/>
        <color theme="1"/>
        <rFont val="Times New Roman"/>
        <family val="1"/>
      </rPr>
      <t>diré</t>
    </r>
    <r>
      <rPr>
        <sz val="12"/>
        <color theme="1"/>
        <rFont val="Times New Roman"/>
        <family val="1"/>
      </rPr>
      <t xml:space="preserve"> que está difícil.</t>
    </r>
  </si>
  <si>
    <r>
      <t xml:space="preserve">SJ0931H96/101-103 yo no, yo no sabía que él no lo había hecho, o sea, en todo momento cuando lo había interrogado pues, pensaba que era inocente, entonces surge eso en la vista y te </t>
    </r>
    <r>
      <rPr>
        <b/>
        <sz val="12"/>
        <color theme="1"/>
        <rFont val="Times New Roman"/>
        <family val="1"/>
      </rPr>
      <t xml:space="preserve">podrás </t>
    </r>
    <r>
      <rPr>
        <sz val="12"/>
        <color theme="1"/>
        <rFont val="Times New Roman"/>
        <family val="1"/>
      </rPr>
      <t>imaginar (risa).</t>
    </r>
  </si>
  <si>
    <r>
      <t xml:space="preserve">SJ0931H96/218-225 En esos días pues, eh, en esas eh, mi Universidad daba muy pocos eh, días libres solamente teníamos el Labor Day en septiembre, eh, entonces pues obviamente en la universidad, no había clases por un día, pero todo estaba abierto o sea que, pues ahí uno, uno no hacía nada o sea se quedaba y… “jangueaba” por ahí verdad eh… entonces pero te </t>
    </r>
    <r>
      <rPr>
        <b/>
        <sz val="12"/>
        <color theme="1"/>
        <rFont val="Times New Roman"/>
        <family val="1"/>
      </rPr>
      <t xml:space="preserve">diré </t>
    </r>
    <r>
      <rPr>
        <sz val="12"/>
        <color theme="1"/>
        <rFont val="Times New Roman"/>
        <family val="1"/>
      </rPr>
      <t>lo, pues lo que le dicen Spring Break que es la semana que no necesariamente coincide con semana santa pues me iba con amistades a sus casas y fue bien bueno porque eh, eh visité diferentes ciudades, eh, fui a, un año fui a Chicago otro año a Washington D.C., a Nueva York a Boston, o sea, que aprovechaba y visitaba distintas ciudades.</t>
    </r>
  </si>
  <si>
    <r>
      <t xml:space="preserve">SJ0931H96/294-295 Es una cuestión de economía, costos y esa persona, ¿qué </t>
    </r>
    <r>
      <rPr>
        <b/>
        <sz val="12"/>
        <color theme="1"/>
        <rFont val="Times New Roman"/>
        <family val="1"/>
      </rPr>
      <t>va a aportar</t>
    </r>
    <r>
      <rPr>
        <sz val="12"/>
        <color theme="1"/>
        <rFont val="Times New Roman"/>
        <family val="1"/>
      </rPr>
      <t xml:space="preserve"> a la sociedad? Nada.</t>
    </r>
  </si>
  <si>
    <r>
      <t xml:space="preserve">SJ0931H96/311-312 O sea, no por robarte una cartera te </t>
    </r>
    <r>
      <rPr>
        <b/>
        <sz val="12"/>
        <color theme="1"/>
        <rFont val="Times New Roman"/>
        <family val="1"/>
      </rPr>
      <t>van a mandar</t>
    </r>
    <r>
      <rPr>
        <sz val="12"/>
        <color theme="1"/>
        <rFont val="Times New Roman"/>
        <family val="1"/>
      </rPr>
      <t xml:space="preserve"> a una silla eléctrica, tú sabes.</t>
    </r>
  </si>
  <si>
    <t>SJ0931H96</t>
  </si>
  <si>
    <t>concesión</t>
  </si>
  <si>
    <r>
      <t xml:space="preserve">SJ02812H96/170-171 A veces, cuando las noticias. Cuando </t>
    </r>
    <r>
      <rPr>
        <b/>
        <sz val="12"/>
        <color theme="1"/>
        <rFont val="Times New Roman"/>
        <family val="1"/>
      </rPr>
      <t>voy a ir</t>
    </r>
    <r>
      <rPr>
        <sz val="12"/>
        <color theme="1"/>
        <rFont val="Times New Roman"/>
        <family val="1"/>
      </rPr>
      <t xml:space="preserve"> a un culto, pero que casi el, el televisor casi yo no lo veo.</t>
    </r>
  </si>
  <si>
    <r>
      <t xml:space="preserve">SJ02812H96/379-382A Que, cuando Noé estaba haciendo la barca para el diluv, para el diluvio que venía, él le decía a la gente que le a, le ayudaran, o sea, a los del pueblo que le ayudaran entonces la gente se reían de él que decían: “Ah, cómo </t>
    </r>
    <r>
      <rPr>
        <b/>
        <sz val="12"/>
        <color theme="1"/>
        <rFont val="Times New Roman"/>
        <family val="1"/>
      </rPr>
      <t>va a llover</t>
    </r>
    <r>
      <rPr>
        <sz val="12"/>
        <color theme="1"/>
        <rFont val="Times New Roman"/>
        <family val="1"/>
      </rPr>
      <t xml:space="preserve"> en este tiempo. Este, va a venir una tormenta. Va a venir un diluvio”.</t>
    </r>
  </si>
  <si>
    <r>
      <t xml:space="preserve">SJ02812H96/379-382B Que, cuando Noé estaba haciendo la barca para el diluv, para el diluvio que venía, él le decía a la gente que le a, le ayudaran, o sea, a los del pueblo que le ayudaran entonces la gente se reían de él que decían: “Ah, cómo va a llover en este tiempo. Este, </t>
    </r>
    <r>
      <rPr>
        <b/>
        <sz val="12"/>
        <color theme="1"/>
        <rFont val="Times New Roman"/>
        <family val="1"/>
      </rPr>
      <t>va a venir</t>
    </r>
    <r>
      <rPr>
        <sz val="12"/>
        <color theme="1"/>
        <rFont val="Times New Roman"/>
        <family val="1"/>
      </rPr>
      <t xml:space="preserve"> una tormenta. Va a venir un diluvio”.</t>
    </r>
  </si>
  <si>
    <r>
      <t xml:space="preserve">SJ02812H96/379-382C Que, cuando Noé estaba haciendo la barca para el diluv, para el diluvio que venía, él le decía a la gente que le a, le ayudaran, o sea, a los del pueblo que le ayudaran entonces la gente se reían de él que decían: “Ah, cómo va a llover en este tiempo. Este, va a venir una tormenta. </t>
    </r>
    <r>
      <rPr>
        <b/>
        <sz val="12"/>
        <color theme="1"/>
        <rFont val="Times New Roman"/>
        <family val="1"/>
      </rPr>
      <t>Va a venir</t>
    </r>
    <r>
      <rPr>
        <sz val="12"/>
        <color theme="1"/>
        <rFont val="Times New Roman"/>
        <family val="1"/>
      </rPr>
      <t xml:space="preserve"> un diluvio”.</t>
    </r>
  </si>
  <si>
    <r>
      <t xml:space="preserve">SJ02812H96/421-422 . Si tú te la quitas entonces los problemas siguen. Entonces el que no tiene culpa </t>
    </r>
    <r>
      <rPr>
        <b/>
        <sz val="12"/>
        <color theme="1"/>
        <rFont val="Times New Roman"/>
        <family val="1"/>
      </rPr>
      <t>va a seguir</t>
    </r>
    <r>
      <rPr>
        <sz val="12"/>
        <color theme="1"/>
        <rFont val="Times New Roman"/>
        <family val="1"/>
      </rPr>
      <t xml:space="preserve"> con esos problemas.</t>
    </r>
  </si>
  <si>
    <r>
      <t xml:space="preserve">SJ02812H96/424-425 ¿Por qué te </t>
    </r>
    <r>
      <rPr>
        <b/>
        <sz val="12"/>
        <color theme="1"/>
        <rFont val="Times New Roman"/>
        <family val="1"/>
      </rPr>
      <t>vas a quit</t>
    </r>
    <r>
      <rPr>
        <sz val="12"/>
        <color theme="1"/>
        <rFont val="Times New Roman"/>
        <family val="1"/>
      </rPr>
      <t xml:space="preserve">, te </t>
    </r>
    <r>
      <rPr>
        <b/>
        <sz val="12"/>
        <color theme="1"/>
        <rFont val="Times New Roman"/>
        <family val="1"/>
      </rPr>
      <t>vas a</t>
    </r>
    <r>
      <rPr>
        <sz val="12"/>
        <color theme="1"/>
        <rFont val="Times New Roman"/>
        <family val="1"/>
      </rPr>
      <t xml:space="preserve"> </t>
    </r>
    <r>
      <rPr>
        <b/>
        <sz val="12"/>
        <color theme="1"/>
        <rFont val="Times New Roman"/>
        <family val="1"/>
      </rPr>
      <t xml:space="preserve">quitarte </t>
    </r>
    <r>
      <rPr>
        <sz val="12"/>
        <color theme="1"/>
        <rFont val="Times New Roman"/>
        <family val="1"/>
      </rPr>
      <t>la vida de un momento a otro, así de puro chiste?</t>
    </r>
  </si>
  <si>
    <r>
      <t xml:space="preserve">SJ02812H96/426-427 Te </t>
    </r>
    <r>
      <rPr>
        <b/>
        <sz val="12"/>
        <color theme="1"/>
        <rFont val="Times New Roman"/>
        <family val="1"/>
      </rPr>
      <t>voy a ayudar</t>
    </r>
    <r>
      <rPr>
        <sz val="12"/>
        <color theme="1"/>
        <rFont val="Times New Roman"/>
        <family val="1"/>
      </rPr>
      <t xml:space="preserve"> dime, dime, qué es lo que tú tiene, qué es lo qué te pasa y así trato de, de ayudarlo.</t>
    </r>
  </si>
  <si>
    <r>
      <t xml:space="preserve">SJ02812H96/463-464 Pues a los familiares más,  los familiares más, más, más cercanos y si hab, y si se </t>
    </r>
    <r>
      <rPr>
        <b/>
        <sz val="12"/>
        <color theme="1"/>
        <rFont val="Times New Roman"/>
        <family val="1"/>
      </rPr>
      <t xml:space="preserve">habrán </t>
    </r>
    <r>
      <rPr>
        <sz val="12"/>
        <color theme="1"/>
        <rFont val="Times New Roman"/>
        <family val="1"/>
      </rPr>
      <t>dos o tres vecinos que, que están ahí también reunidos ahí en la misma familia.</t>
    </r>
  </si>
  <si>
    <r>
      <t xml:space="preserve">SJ02812H96/582-583 Que no había tanta discusión en eso mismo de los mismos  de eso, los partidos, no de que si yo, que si yo </t>
    </r>
    <r>
      <rPr>
        <b/>
        <sz val="12"/>
        <color theme="1"/>
        <rFont val="Times New Roman"/>
        <family val="1"/>
      </rPr>
      <t>voy a ganar.</t>
    </r>
  </si>
  <si>
    <r>
      <t xml:space="preserve">SJ02812H96/646 Bueno, </t>
    </r>
    <r>
      <rPr>
        <b/>
        <sz val="12"/>
        <color theme="1"/>
        <rFont val="Times New Roman"/>
        <family val="1"/>
      </rPr>
      <t>voy a ver</t>
    </r>
    <r>
      <rPr>
        <sz val="12"/>
        <color theme="1"/>
        <rFont val="Times New Roman"/>
        <family val="1"/>
      </rPr>
      <t xml:space="preserve"> como para mí yo diría como algunos trece, trece de trece a catorce años por ahí.</t>
    </r>
  </si>
  <si>
    <t>SJ02812H96</t>
  </si>
  <si>
    <r>
      <t>SJ02812H96/610-612</t>
    </r>
    <r>
      <rPr>
        <b/>
        <sz val="12"/>
        <color theme="1"/>
        <rFont val="Times New Roman"/>
        <family val="1"/>
      </rPr>
      <t xml:space="preserve"> </t>
    </r>
    <r>
      <rPr>
        <sz val="12"/>
        <color theme="1"/>
        <rFont val="Times New Roman"/>
        <family val="1"/>
      </rPr>
      <t xml:space="preserve">(Umm. ¿Y, y lo del habla en inglés? Que se legalice, que se hable el inglés solamente)Entonces sí que la cosa </t>
    </r>
    <r>
      <rPr>
        <b/>
        <sz val="12"/>
        <color theme="1"/>
        <rFont val="Times New Roman"/>
        <family val="1"/>
      </rPr>
      <t xml:space="preserve">está </t>
    </r>
    <r>
      <rPr>
        <sz val="12"/>
        <color theme="1"/>
        <rFont val="Times New Roman"/>
        <family val="1"/>
      </rPr>
      <t>mala porque acá en Puerto Rico hay muchos que no sabemos hablar en inglés.</t>
    </r>
  </si>
  <si>
    <t>marcador</t>
  </si>
  <si>
    <t>Futuro morfológico</t>
  </si>
  <si>
    <t>Futuro analítico</t>
  </si>
  <si>
    <t>Presente de indicativo</t>
  </si>
  <si>
    <t>Presente continuo</t>
  </si>
  <si>
    <t>1a persona</t>
  </si>
  <si>
    <t>2a persona</t>
  </si>
  <si>
    <t>3a persona</t>
  </si>
  <si>
    <t>4a persona</t>
  </si>
  <si>
    <t>6a persona</t>
  </si>
  <si>
    <t>comp. Temp.</t>
  </si>
  <si>
    <t>Total</t>
  </si>
  <si>
    <t>Totales</t>
  </si>
  <si>
    <t>Generación</t>
  </si>
  <si>
    <t>género</t>
  </si>
  <si>
    <t>PRIMERA GENERACION</t>
  </si>
  <si>
    <t>SEGUNDA GENERACION</t>
  </si>
  <si>
    <t>TERCERA GENERACION</t>
  </si>
  <si>
    <t>EDUCACION GRADO 1</t>
  </si>
  <si>
    <t>EDUCACION GRADO 2</t>
  </si>
  <si>
    <t>EDUCACION GRADO 3</t>
  </si>
  <si>
    <t>GENERO: MUJER</t>
  </si>
  <si>
    <t>GENERO: HOMBRE</t>
  </si>
  <si>
    <r>
      <t xml:space="preserve">SJ027022H96/47 Y ella me </t>
    </r>
    <r>
      <rPr>
        <b/>
        <sz val="12"/>
        <color theme="1"/>
        <rFont val="Times New Roman"/>
        <family val="1"/>
      </rPr>
      <t>va a, a, a dar</t>
    </r>
    <r>
      <rPr>
        <sz val="12"/>
        <color theme="1"/>
        <rFont val="Times New Roman"/>
        <family val="1"/>
      </rPr>
      <t xml:space="preserve"> información”.</t>
    </r>
  </si>
  <si>
    <r>
      <t xml:space="preserve">SJ027022H96/54-59 Bueno mira te te </t>
    </r>
    <r>
      <rPr>
        <b/>
        <sz val="12"/>
        <color theme="1"/>
        <rFont val="Times New Roman"/>
        <family val="1"/>
      </rPr>
      <t>diré</t>
    </r>
    <r>
      <rPr>
        <sz val="12"/>
        <color theme="1"/>
        <rFont val="Times New Roman"/>
        <family val="1"/>
      </rPr>
      <t xml:space="preserve"> que e mi gran pasatiempo favorito es jugar, jugar y juego “softball” tengo un equipo en la comunidad donde yo me crié de muchacho eh que son los Atléticos de Manuel A. Pérez donde yo viví, donde yo viví de muchacho y ese equipo tiene de fundado veinte años ahora mismito cumplimos en el mil novecientos noventa  y siete el equipo cumple veinte años de organizado y de los pioneros de ese equipo, fundadores, todavía quedamos cinco en el equipo. Somos fundadores.</t>
    </r>
  </si>
  <si>
    <r>
      <t xml:space="preserve">SJ027022H96/177-178A Pues te </t>
    </r>
    <r>
      <rPr>
        <b/>
        <sz val="12"/>
        <color theme="1"/>
        <rFont val="Times New Roman"/>
        <family val="1"/>
      </rPr>
      <t>diré</t>
    </r>
    <r>
      <rPr>
        <sz val="12"/>
        <color theme="1"/>
        <rFont val="Times New Roman"/>
        <family val="1"/>
      </rPr>
      <t>, para esa época yo estaba ya en noveno grado, me gradúo, me voy a estudiar a la Baldorioty de Castro en San Juan y cuando, tú sabes, cuando tú eres un muchacho de esa edad…</t>
    </r>
  </si>
  <si>
    <r>
      <t xml:space="preserve">SJ027022H96/189-191. Y muchacho me estaba perdiendo en la escuela, el primer año mío allá en Baldorioty yo dije:  Si yo no me voy de aquí para mi casa, </t>
    </r>
    <r>
      <rPr>
        <b/>
        <sz val="12"/>
        <color theme="1"/>
        <rFont val="Times New Roman"/>
        <family val="1"/>
      </rPr>
      <t>voy a fracasar</t>
    </r>
    <r>
      <rPr>
        <sz val="12"/>
        <color theme="1"/>
        <rFont val="Times New Roman"/>
        <family val="1"/>
      </rPr>
      <t>” y efectivamente eso hice.</t>
    </r>
  </si>
  <si>
    <r>
      <t xml:space="preserve">SJ027022H96/257-258 Todas esas cosas y, tú sabes, y yo decía: “Contra”, ¿cómo esa gente </t>
    </r>
    <r>
      <rPr>
        <b/>
        <sz val="12"/>
        <color theme="1"/>
        <rFont val="Times New Roman"/>
        <family val="1"/>
      </rPr>
      <t>podrán</t>
    </r>
    <r>
      <rPr>
        <sz val="12"/>
        <color theme="1"/>
        <rFont val="Times New Roman"/>
        <family val="1"/>
      </rPr>
      <t xml:space="preserve"> hacer esas cosas ahí dentro de ese radio, tú sabes?</t>
    </r>
  </si>
  <si>
    <r>
      <t xml:space="preserve">SJ027022H96/397-399 Fíjate, este, yo, yo verdaderamente no, no sé porque tendría yo que que la la naturaleza del ser humano es en un tipo de situación como esa, este, ¿cómo tú </t>
    </r>
    <r>
      <rPr>
        <b/>
        <sz val="12"/>
        <color theme="1"/>
        <rFont val="Times New Roman"/>
        <family val="1"/>
      </rPr>
      <t xml:space="preserve">vas a reaccionar </t>
    </r>
    <r>
      <rPr>
        <sz val="12"/>
        <color theme="1"/>
        <rFont val="Times New Roman"/>
        <family val="1"/>
      </rPr>
      <t xml:space="preserve">ante algo así, porque yo te podría decir ahora mismito, ¡ah! </t>
    </r>
  </si>
  <si>
    <r>
      <t xml:space="preserve">SJ027022H96/400 Que si se me presenta algo así yo </t>
    </r>
    <r>
      <rPr>
        <b/>
        <sz val="12"/>
        <color theme="1"/>
        <rFont val="Times New Roman"/>
        <family val="1"/>
      </rPr>
      <t>voy hacer</t>
    </r>
    <r>
      <rPr>
        <sz val="12"/>
        <color theme="1"/>
        <rFont val="Times New Roman"/>
        <family val="1"/>
      </rPr>
      <t>, no, no, tú sabes, verdaderamente no no te, no te sabría decir</t>
    </r>
  </si>
  <si>
    <r>
      <t xml:space="preserve">SJ027022H96/446 No, yo estoy en contra de eso, yo estoy en contra de eso y te </t>
    </r>
    <r>
      <rPr>
        <b/>
        <sz val="12"/>
        <color theme="1"/>
        <rFont val="Times New Roman"/>
        <family val="1"/>
      </rPr>
      <t>voy a decir</t>
    </r>
    <r>
      <rPr>
        <sz val="12"/>
        <color theme="1"/>
        <rFont val="Times New Roman"/>
        <family val="1"/>
      </rPr>
      <t xml:space="preserve"> por qué.</t>
    </r>
  </si>
  <si>
    <r>
      <t xml:space="preserve">SJ027022H96/454 -456 Y mira te </t>
    </r>
    <r>
      <rPr>
        <b/>
        <sz val="12"/>
        <color theme="1"/>
        <rFont val="Times New Roman"/>
        <family val="1"/>
      </rPr>
      <t>voy a dar</t>
    </r>
    <r>
      <rPr>
        <sz val="12"/>
        <color theme="1"/>
        <rFont val="Times New Roman"/>
        <family val="1"/>
      </rPr>
      <t xml:space="preserve"> un caso sencillito y rápido, el caso de Mollinari, el hijo del, del, del compadre del Gobernador, para darte un caso así rápido a la soltá’.</t>
    </r>
  </si>
  <si>
    <r>
      <t xml:space="preserve">SJ027022H96/461-466 Yo espero en Dios fíjate que ese muchacho con el pasar del tiempo pueda, a través de su persona, crear tú sabes, conciencia de la oportunidad que se le dio a él y, y sepa, tú sabes,  pues agradecer primero a, a Dios esa oportunidad que se le brindó de seguir hacia adelante, con su vida, de rehacer su vida porque yo me imagino que ese muchacho en algún momento </t>
    </r>
    <r>
      <rPr>
        <b/>
        <sz val="12"/>
        <color theme="1"/>
        <rFont val="Times New Roman"/>
        <family val="1"/>
      </rPr>
      <t>tendrá</t>
    </r>
    <r>
      <rPr>
        <sz val="12"/>
        <color theme="1"/>
        <rFont val="Times New Roman"/>
        <family val="1"/>
      </rPr>
      <t xml:space="preserve"> que, que, que verse envuelto en una situación tan embarazosa como esa, porque imagínate que tú le quites la vida a otra persona y tú sabiendo que tú estabas haciendo una cosa mal hecha.</t>
    </r>
  </si>
  <si>
    <r>
      <t xml:space="preserve">SJ027022H96/485-486 Tú entiendes, y entonces, que le </t>
    </r>
    <r>
      <rPr>
        <b/>
        <sz val="12"/>
        <color theme="1"/>
        <rFont val="Times New Roman"/>
        <family val="1"/>
      </rPr>
      <t>van a decir</t>
    </r>
    <r>
      <rPr>
        <sz val="12"/>
        <color theme="1"/>
        <rFont val="Times New Roman"/>
        <family val="1"/>
      </rPr>
      <t xml:space="preserve"> después a los que quedan de esa familia de esa persona, perdón nos equivocamos. Mira yo estoy en desa, completamente en desacuerdo con eso.</t>
    </r>
  </si>
  <si>
    <r>
      <t xml:space="preserve">SJ027022H96/489A No, tú ya le quitaste la vida qué </t>
    </r>
    <r>
      <rPr>
        <b/>
        <sz val="12"/>
        <color theme="1"/>
        <rFont val="Times New Roman"/>
        <family val="1"/>
      </rPr>
      <t>vas a hacer</t>
    </r>
    <r>
      <rPr>
        <sz val="12"/>
        <color theme="1"/>
        <rFont val="Times New Roman"/>
        <family val="1"/>
      </rPr>
      <t>, no lo vas a revivir.</t>
    </r>
  </si>
  <si>
    <r>
      <t xml:space="preserve">SJ027022H96/489B No, tú ya le quitaste la vida qué </t>
    </r>
    <r>
      <rPr>
        <b/>
        <sz val="12"/>
        <color theme="1"/>
        <rFont val="Times New Roman"/>
        <family val="1"/>
      </rPr>
      <t>v</t>
    </r>
    <r>
      <rPr>
        <sz val="12"/>
        <color theme="1"/>
        <rFont val="Times New Roman"/>
        <family val="1"/>
      </rPr>
      <t xml:space="preserve">as a hacer, no lo </t>
    </r>
    <r>
      <rPr>
        <b/>
        <sz val="12"/>
        <color theme="1"/>
        <rFont val="Times New Roman"/>
        <family val="1"/>
      </rPr>
      <t>vas a revivir</t>
    </r>
    <r>
      <rPr>
        <sz val="12"/>
        <color theme="1"/>
        <rFont val="Times New Roman"/>
        <family val="1"/>
      </rPr>
      <t>.</t>
    </r>
  </si>
  <si>
    <r>
      <t xml:space="preserve">SJ027022H96/499-501A Si no tiene fuerza de voluntad está chava’o, porque pueden meterlo al mejor programa del mundo y no </t>
    </r>
    <r>
      <rPr>
        <b/>
        <sz val="12"/>
        <color theme="1"/>
        <rFont val="Times New Roman"/>
        <family val="1"/>
      </rPr>
      <t>se va recuperar</t>
    </r>
    <r>
      <rPr>
        <sz val="12"/>
        <color theme="1"/>
        <rFont val="Times New Roman"/>
        <family val="1"/>
      </rPr>
      <t xml:space="preserve"> nunca va a volver a caer.</t>
    </r>
  </si>
  <si>
    <r>
      <t xml:space="preserve">SJ027022H96/499-501B Si no tiene fuerza de voluntad está chava’o, porque pueden meterlo al mejor programa del mundo y no se va recuperar nunca </t>
    </r>
    <r>
      <rPr>
        <b/>
        <sz val="12"/>
        <color theme="1"/>
        <rFont val="Times New Roman"/>
        <family val="1"/>
      </rPr>
      <t>va a volver a caer</t>
    </r>
    <r>
      <rPr>
        <sz val="12"/>
        <color theme="1"/>
        <rFont val="Times New Roman"/>
        <family val="1"/>
      </rPr>
      <t>.</t>
    </r>
  </si>
  <si>
    <r>
      <t xml:space="preserve">SJ027022H96/512-515 Sabes pues si pasa por eso que tú dices, pero eso no es son muchas cosas que, eso, no, no, no es un solo, no es una, no le, no le tratemos de buscar un solo mal sino son muchas cosas, tú sabes, que le pasan y si la persona no tiene mucha fuerza de voluntad, como te digo, </t>
    </r>
    <r>
      <rPr>
        <b/>
        <sz val="12"/>
        <color theme="1"/>
        <rFont val="Times New Roman"/>
        <family val="1"/>
      </rPr>
      <t>va a caer</t>
    </r>
    <r>
      <rPr>
        <sz val="12"/>
        <color theme="1"/>
        <rFont val="Times New Roman"/>
        <family val="1"/>
      </rPr>
      <t>.</t>
    </r>
  </si>
  <si>
    <r>
      <t xml:space="preserve">SJ027022H96/518-519A </t>
    </r>
    <r>
      <rPr>
        <b/>
        <sz val="12"/>
        <color theme="1"/>
        <rFont val="Times New Roman"/>
        <family val="1"/>
      </rPr>
      <t>Va a caer</t>
    </r>
    <r>
      <rPr>
        <sz val="12"/>
        <color theme="1"/>
        <rFont val="Times New Roman"/>
        <family val="1"/>
      </rPr>
      <t xml:space="preserve"> si no tiene fuerza de voluntad va a caer y si después que cae no tiene la fuerza de voluntad para quitarse va a continuar en lo mismo.</t>
    </r>
  </si>
  <si>
    <r>
      <t xml:space="preserve">SJ027022H96/518-519B Va a caer si no tiene fuerza de voluntad </t>
    </r>
    <r>
      <rPr>
        <b/>
        <sz val="12"/>
        <color theme="1"/>
        <rFont val="Times New Roman"/>
        <family val="1"/>
      </rPr>
      <t>va a caer</t>
    </r>
    <r>
      <rPr>
        <sz val="12"/>
        <color theme="1"/>
        <rFont val="Times New Roman"/>
        <family val="1"/>
      </rPr>
      <t xml:space="preserve"> y si después que cae no tiene la fuerza de voluntad para quitarse va a continuar en lo mismo.</t>
    </r>
  </si>
  <si>
    <r>
      <t xml:space="preserve">SJ027022H96/518-519E Va a caer si no tiene fuerza de voluntad va a caer y si después que cae no tiene la fuerza de voluntad para quitarse </t>
    </r>
    <r>
      <rPr>
        <b/>
        <sz val="12"/>
        <color theme="1"/>
        <rFont val="Times New Roman"/>
        <family val="1"/>
      </rPr>
      <t>va a continuar</t>
    </r>
    <r>
      <rPr>
        <sz val="12"/>
        <color theme="1"/>
        <rFont val="Times New Roman"/>
        <family val="1"/>
      </rPr>
      <t xml:space="preserve"> en lo mismo.</t>
    </r>
  </si>
  <si>
    <r>
      <t xml:space="preserve">SJ027022H96/533-535A Y </t>
    </r>
    <r>
      <rPr>
        <b/>
        <sz val="12"/>
        <color theme="1"/>
        <rFont val="Times New Roman"/>
        <family val="1"/>
      </rPr>
      <t>va a seguir</t>
    </r>
    <r>
      <rPr>
        <sz val="12"/>
        <color theme="1"/>
        <rFont val="Times New Roman"/>
        <family val="1"/>
      </rPr>
      <t xml:space="preserve"> y lo llevan mil veces a la corte y va a continuar haciendo lo mismo. Va a seguir haciéndolo, porque le han ya la autoridad para hacerlo y como él van a salir otros y hasta que no le ponga un corte a eso va va a seguir pasándolo.</t>
    </r>
  </si>
  <si>
    <r>
      <t xml:space="preserve">SJ027022H96/533-535B Y va a seguir y lo </t>
    </r>
    <r>
      <rPr>
        <b/>
        <sz val="12"/>
        <color theme="1"/>
        <rFont val="Times New Roman"/>
        <family val="1"/>
      </rPr>
      <t>llevan</t>
    </r>
    <r>
      <rPr>
        <sz val="12"/>
        <color theme="1"/>
        <rFont val="Times New Roman"/>
        <family val="1"/>
      </rPr>
      <t xml:space="preserve"> mil veces a la corte y va a continuar haciendo lo mismo. Va a seguir haciéndolo, porque le han ya la autoridad para hacerlo y como él van a salir otros y hasta que no le ponga un corte a eso va va a seguir pasándolo.</t>
    </r>
  </si>
  <si>
    <r>
      <t xml:space="preserve">SJ027022H96/533-535C Y va a seguir y lo llevan mil veces a la corte y </t>
    </r>
    <r>
      <rPr>
        <b/>
        <sz val="12"/>
        <color theme="1"/>
        <rFont val="Times New Roman"/>
        <family val="1"/>
      </rPr>
      <t>va a continuar haciendo</t>
    </r>
    <r>
      <rPr>
        <sz val="12"/>
        <color theme="1"/>
        <rFont val="Times New Roman"/>
        <family val="1"/>
      </rPr>
      <t xml:space="preserve"> lo mismo. Va a seguir haciéndolo, porque le han ya la autoridad para hacerlo y como él van a salir otros y hasta que no le ponga un corte a eso va va a seguir pasándolo.</t>
    </r>
  </si>
  <si>
    <r>
      <t xml:space="preserve">SJ027022H96/533-535D Y va a seguir y lo llevan mil veces a la corte y va a continuar haciendo lo mismo. </t>
    </r>
    <r>
      <rPr>
        <b/>
        <sz val="12"/>
        <color theme="1"/>
        <rFont val="Times New Roman"/>
        <family val="1"/>
      </rPr>
      <t>Va a seguir haciéndolo</t>
    </r>
    <r>
      <rPr>
        <sz val="12"/>
        <color theme="1"/>
        <rFont val="Times New Roman"/>
        <family val="1"/>
      </rPr>
      <t>, porque le han ya la autoridad para hacerlo y como él van a salir otros y hasta que no le ponga un corte a eso va va a seguir pasándolo.</t>
    </r>
  </si>
  <si>
    <r>
      <t xml:space="preserve">SJ027022H96/533-535E Y va a seguir y lo llevan mil veces a la corte y va a continuar haciendo lo mismo. Va a seguir haciéndolo, porque le han ya la autoridad para hacerlo y como él </t>
    </r>
    <r>
      <rPr>
        <b/>
        <sz val="12"/>
        <color theme="1"/>
        <rFont val="Times New Roman"/>
        <family val="1"/>
      </rPr>
      <t>van a salir</t>
    </r>
    <r>
      <rPr>
        <sz val="12"/>
        <color theme="1"/>
        <rFont val="Times New Roman"/>
        <family val="1"/>
      </rPr>
      <t xml:space="preserve"> otros y hasta que no le ponga un corte a eso va va a seguir pasándolo.</t>
    </r>
  </si>
  <si>
    <r>
      <t xml:space="preserve">SJ027022H96/533-535F Y va a seguir y lo llevan mil veces a la corte y va a continuar haciendo lo mismo. Va a seguir haciéndolo, porque le han ya la autoridad para hacerlo y como él van a salir otros y hasta que no le ponga un corte a eso </t>
    </r>
    <r>
      <rPr>
        <b/>
        <sz val="12"/>
        <color theme="1"/>
        <rFont val="Times New Roman"/>
        <family val="1"/>
      </rPr>
      <t>va va a seguir pasándolo</t>
    </r>
    <r>
      <rPr>
        <sz val="12"/>
        <color theme="1"/>
        <rFont val="Times New Roman"/>
        <family val="1"/>
      </rPr>
      <t>.</t>
    </r>
  </si>
  <si>
    <r>
      <t xml:space="preserve">SJ027022H96/560-566A Lo, lo hacen pero, tú no ves que lo anuncian, sabes que te dan a ti un programa de actividades, qué sé yo, quizás lo hacen pa’ la gente del pueblo de ellos, pero para la comunidad como tal lo que te anuncian es esta noche </t>
    </r>
    <r>
      <rPr>
        <b/>
        <sz val="12"/>
        <color theme="1"/>
        <rFont val="Times New Roman"/>
        <family val="1"/>
      </rPr>
      <t>va a estar</t>
    </r>
    <r>
      <rPr>
        <sz val="12"/>
        <color theme="1"/>
        <rFont val="Times New Roman"/>
        <family val="1"/>
      </rPr>
      <t xml:space="preserve"> Toño Rosario y la Máquina y entonces va a estar este Grupomanía y va a estar Gran Combo, o sea, para que tú vayas a ver eso, no te invitan a que tú vayas a esa otra celebración, a la de ir a la de la peregrinación de la Virgen, a llevarle flores a la Virgen, sabes o al santo que se le dedica esa, esa, esa fiesta, en Loíza se hace de esa forma todavía.</t>
    </r>
  </si>
  <si>
    <r>
      <t xml:space="preserve">SJ027022H96/560-566B Lo, lo hacen pero, tú no ves que lo anuncian, sabes que te dan a ti un programa de actividades, qué sé yo, quizás lo hacen pa’ la gente del pueblo de ellos, pero para la comunidad como tal lo que te anuncian es esta noche va a estar Toño Rosario y la Máquina y entonces </t>
    </r>
    <r>
      <rPr>
        <b/>
        <sz val="12"/>
        <color theme="1"/>
        <rFont val="Times New Roman"/>
        <family val="1"/>
      </rPr>
      <t>va a estar</t>
    </r>
    <r>
      <rPr>
        <sz val="12"/>
        <color theme="1"/>
        <rFont val="Times New Roman"/>
        <family val="1"/>
      </rPr>
      <t xml:space="preserve"> este Grupomanía y va a estar Gran Combo, o sea, para que tú vayas a ver eso, no te invitan a que tú vayas a esa otra celebración, a la de ir a la de la peregrinación de la Virgen, a llevarle flores a la Virgen, sabes o al santo que se le dedica esa, esa, esa fiesta, en Loíza se hace de esa forma todavía.</t>
    </r>
  </si>
  <si>
    <r>
      <t xml:space="preserve">SJ027022H96/560-566C Lo, lo hacen pero, tú no ves que lo anuncian, sabes que te dan a ti un programa de actividades, qué sé yo, quizás lo hacen pa’ la gente del pueblo de ellos, pero para la comunidad como tal lo que te anuncian es esta noche va a estar Toño Rosario y la Máquina y entonces va a estar este Grupomanía y </t>
    </r>
    <r>
      <rPr>
        <b/>
        <sz val="12"/>
        <color theme="1"/>
        <rFont val="Times New Roman"/>
        <family val="1"/>
      </rPr>
      <t>va a estar</t>
    </r>
    <r>
      <rPr>
        <sz val="12"/>
        <color theme="1"/>
        <rFont val="Times New Roman"/>
        <family val="1"/>
      </rPr>
      <t xml:space="preserve"> Gran Combo, o sea, para que tú vayas a ver eso, no te invitan a que tú vayas a esa otra celebración, a la de ir a la de la peregrinación de la Virgen, a llevarle flores a la Virgen, sabes o al santo que se le dedica esa, esa, esa fiesta, en Loíza se hace de esa forma todavía.</t>
    </r>
  </si>
  <si>
    <r>
      <t xml:space="preserve">SJ027022H96/581-583 Qué tú tienes que firmar eso ahí para cuando entras a solicitar un servicio, qué documentos que tú </t>
    </r>
    <r>
      <rPr>
        <b/>
        <sz val="12"/>
        <color theme="1"/>
        <rFont val="Times New Roman"/>
        <family val="1"/>
      </rPr>
      <t>tienes</t>
    </r>
    <r>
      <rPr>
        <sz val="12"/>
        <color theme="1"/>
        <rFont val="Times New Roman"/>
        <family val="1"/>
      </rPr>
      <t xml:space="preserve"> </t>
    </r>
    <r>
      <rPr>
        <b/>
        <sz val="12"/>
        <color theme="1"/>
        <rFont val="Times New Roman"/>
        <family val="1"/>
      </rPr>
      <t>que tener</t>
    </r>
    <r>
      <rPr>
        <sz val="12"/>
        <color theme="1"/>
        <rFont val="Times New Roman"/>
        <family val="1"/>
      </rPr>
      <t xml:space="preserve"> a la mano para cuando vengas a pedir un servicio.</t>
    </r>
  </si>
  <si>
    <r>
      <t xml:space="preserve">SJ027022H96/597-604A No, yo no tengo preferencia con ninguna lectura, yo cayó en mis manos este periodiquito lo leí, y puede estar hablando de quizás un tema científico que yo no sepa de lo que es para ver quién pueda captar algo por qué, porque la diversidad de temas, cuando tú te encuentras que, tú sabes, que yo tengo mi guisito de lo de “Disc Jockey” los fines de semana y hay veces que porque yo tengo actividades con personas verdad pues, doctores, médicos, licenciados y estas cosas así y muchas veces tú </t>
    </r>
    <r>
      <rPr>
        <b/>
        <sz val="12"/>
        <color theme="1"/>
        <rFont val="Times New Roman"/>
        <family val="1"/>
      </rPr>
      <t>vas a hablar</t>
    </r>
    <r>
      <rPr>
        <sz val="12"/>
        <color theme="1"/>
        <rFont val="Times New Roman"/>
        <family val="1"/>
      </rPr>
      <t xml:space="preserve"> con una persona de esas y de qué le vas a hablar, de caballos, pues tú sabes, tienes que decir pues si te pone un tema de algo relacionado con, con su con su vida, pues así tú sabes, tú ??? </t>
    </r>
  </si>
  <si>
    <r>
      <t xml:space="preserve">SJ027022H96/597-604B No, yo no tengo preferencia con ninguna lectura, yo cayó en mis manos este periodiquito lo leí, y puede estar hablando de quizás un tema científico que yo no sepa de lo que es para ver quién pueda captar algo por qué, porque la diversidad de temas, cuando tú te encuentras que, tú sabes, que yo tengo mi guisito de lo de “Disc Jockey” los fines de semana y hay veces que porque yo tengo actividades con personas verdad pues, doctores, médicos, licenciados y estas cosas así y muchas veces tú vas a hablar con una persona de esas y de qué le </t>
    </r>
    <r>
      <rPr>
        <b/>
        <sz val="12"/>
        <color theme="1"/>
        <rFont val="Times New Roman"/>
        <family val="1"/>
      </rPr>
      <t>vas a hablar</t>
    </r>
    <r>
      <rPr>
        <sz val="12"/>
        <color theme="1"/>
        <rFont val="Times New Roman"/>
        <family val="1"/>
      </rPr>
      <t>, de caballos, pues tú sabes, tienes que decir pues si te pone un tema de algo relacionado con, con su con su vida, pues así tú sabes, tú ???</t>
    </r>
  </si>
  <si>
    <t>SJ027022H96</t>
  </si>
  <si>
    <r>
      <t xml:space="preserve">SJ027022H96/132-137 Tú sabes, el gobierno, tú sabes lo que hace, si te </t>
    </r>
    <r>
      <rPr>
        <b/>
        <sz val="12"/>
        <color theme="1"/>
        <rFont val="Times New Roman"/>
        <family val="1"/>
      </rPr>
      <t>vamos a dar</t>
    </r>
    <r>
      <rPr>
        <sz val="12"/>
        <color theme="1"/>
        <rFont val="Times New Roman"/>
        <family val="1"/>
      </rPr>
      <t xml:space="preserve"> doscientos pesos pa’ que compres bates y cascos y qué sé yo si tú vas a recreación y te dan dos bates y una caja de bolas y qué sé yo y ahí y ahí te los sueltan y sigue tú bregando con eso, pero no envían un técnico de recreación para que ayude a esa persona que quizás lo que tiene es un poco de conocimientos porque jugó cuando era muchacho pelota y lo poquito que sabe se lo trata de transmitir a esos niños sin ninguna educación sobre eso.</t>
    </r>
  </si>
  <si>
    <t>SJ027022H95</t>
  </si>
  <si>
    <r>
      <t>SJ027022H96/43-44A Algunos dicen: “Olvídate como tengo la computadora pues</t>
    </r>
    <r>
      <rPr>
        <b/>
        <sz val="12"/>
        <color theme="1"/>
        <rFont val="Times New Roman"/>
        <family val="1"/>
      </rPr>
      <t xml:space="preserve"> voy</t>
    </r>
    <r>
      <rPr>
        <sz val="12"/>
        <color theme="1"/>
        <rFont val="Times New Roman"/>
        <family val="1"/>
      </rPr>
      <t xml:space="preserve"> allí y le doy dedos a la computadora…</t>
    </r>
  </si>
  <si>
    <r>
      <t xml:space="preserve">SJ027022H96/43-44B Algunos dicen: “Olvídate como tengo la computadora pues voy allí y le </t>
    </r>
    <r>
      <rPr>
        <b/>
        <sz val="12"/>
        <color theme="1"/>
        <rFont val="Times New Roman"/>
        <family val="1"/>
      </rPr>
      <t>doy</t>
    </r>
    <r>
      <rPr>
        <sz val="12"/>
        <color theme="1"/>
        <rFont val="Times New Roman"/>
        <family val="1"/>
      </rPr>
      <t xml:space="preserve"> dedos a la computadora…</t>
    </r>
  </si>
  <si>
    <r>
      <t xml:space="preserve">SJ031022H96/12B Aquí veintisiete, voy en julio del año que viene </t>
    </r>
    <r>
      <rPr>
        <b/>
        <sz val="12"/>
        <color theme="1"/>
        <rFont val="Times New Roman"/>
        <family val="1"/>
      </rPr>
      <t>cumplo</t>
    </r>
    <r>
      <rPr>
        <sz val="12"/>
        <color theme="1"/>
        <rFont val="Times New Roman"/>
        <family val="1"/>
      </rPr>
      <t xml:space="preserve"> veintisiete años.</t>
    </r>
  </si>
  <si>
    <r>
      <t xml:space="preserve">SJ031022H96/50-52 (¿Y pero tú crees, que bueno habría pues alguna solución para eso, pues, que esa [hacer de Río Piedras otra vez un municipio] sería una de las mejores soluciones?) Sí, sí, ya creo que sí ahora, uhm cómo </t>
    </r>
    <r>
      <rPr>
        <b/>
        <sz val="12"/>
        <color theme="1"/>
        <rFont val="Times New Roman"/>
        <family val="1"/>
      </rPr>
      <t>será</t>
    </r>
    <r>
      <rPr>
        <sz val="12"/>
        <color theme="1"/>
        <rFont val="Times New Roman"/>
        <family val="1"/>
      </rPr>
      <t xml:space="preserve"> y cómo y cuándo.</t>
    </r>
  </si>
  <si>
    <r>
      <t xml:space="preserve">SJ031022H96/151-155A Bueno, por lo menos en mi familia yo te podría hablar de mi familia, pues ahora </t>
    </r>
    <r>
      <rPr>
        <b/>
        <sz val="12"/>
        <color theme="1"/>
        <rFont val="Times New Roman"/>
        <family val="1"/>
      </rPr>
      <t>viene</t>
    </r>
    <r>
      <rPr>
        <sz val="12"/>
        <color theme="1"/>
        <rFont val="Times New Roman"/>
        <family val="1"/>
      </rPr>
      <t xml:space="preserve"> “Thanksgiving” que nos reunimos y eso año tras año siempre lo hemos hecho, nos reunimos la familia y compartimos ese día ¿no? y damos gracias al Señor por todas las cosas cual nos ha brindado y las comidas y etcétera, igual que las navidades pues también nos tenemos unos días para reunirnos y hacer este, nuestra fiestecita y un intercambio de regalo y así por el estilo</t>
    </r>
  </si>
  <si>
    <r>
      <t xml:space="preserve">SJ031022H96/357-359A Porque aquel que incurre a, a usar es usuario de drogas, tiende a robar sino pues ya va en camino de también de asesinar, no. Porque el desempleado pues </t>
    </r>
    <r>
      <rPr>
        <b/>
        <sz val="12"/>
        <color theme="1"/>
        <rFont val="Times New Roman"/>
        <family val="1"/>
      </rPr>
      <t>hará</t>
    </r>
    <r>
      <rPr>
        <sz val="12"/>
        <color theme="1"/>
        <rFont val="Times New Roman"/>
        <family val="1"/>
      </rPr>
      <t xml:space="preserve"> su fechoría, pero no, no llega a tanto, a ese nivel.</t>
    </r>
  </si>
  <si>
    <r>
      <t xml:space="preserve">SJ031022H96/544-549 . Fue un Motorola, no sé si todavía existe ese tipo de marca y la verdad es que, eh, yo me prendí el televisor y, y decía que </t>
    </r>
    <r>
      <rPr>
        <b/>
        <sz val="12"/>
        <color theme="1"/>
        <rFont val="Times New Roman"/>
        <family val="1"/>
      </rPr>
      <t>pasará</t>
    </r>
    <r>
      <rPr>
        <sz val="12"/>
        <color theme="1"/>
        <rFont val="Times New Roman"/>
        <family val="1"/>
      </rPr>
      <t xml:space="preserve"> que no, que no sale imaginen, tú sabes, polque salía un ruidito piuuuuu y un tipo de indio en el centro en forma como de, de, de, de cruz o, o, o una hélice y yo me pasaba los minutos y las horas mirando eso a ver si se salía una imagen a la larga no porque comenzaba tarde ya como a las, no sé si eran al a las tres, a las cuatro o a las cinco que comenzaban las actividades de la televisión.</t>
    </r>
  </si>
  <si>
    <r>
      <t xml:space="preserve">SJ031022H96/606-610 Mira yo te diría que no, porque es que tú no puedes, eh controlar, eh, una ???, eh, tú contraes matrimonio con una persona que el noviazgo pues, okey, </t>
    </r>
    <r>
      <rPr>
        <b/>
        <sz val="12"/>
        <color theme="1"/>
        <rFont val="Times New Roman"/>
        <family val="1"/>
      </rPr>
      <t>será</t>
    </r>
    <r>
      <rPr>
        <sz val="12"/>
        <color theme="1"/>
        <rFont val="Times New Roman"/>
        <family val="1"/>
      </rPr>
      <t xml:space="preserve"> bien chévere todo color de rosa, cada cual tiene una diferente forma de pensar, pero ya ellos cuando llegan al matrimonio pues que están unidos, surgen este unos problemas como te dije anteriormente pueden ser económicos, puede ser diferentes problemas que entonces, se siguen agravando.</t>
    </r>
  </si>
  <si>
    <r>
      <t xml:space="preserve">SJ031022H96/642-644A Sí, pero fíjate el que </t>
    </r>
    <r>
      <rPr>
        <b/>
        <sz val="12"/>
        <color theme="1"/>
        <rFont val="Times New Roman"/>
        <family val="1"/>
      </rPr>
      <t>va a matar</t>
    </r>
    <r>
      <rPr>
        <sz val="12"/>
        <color theme="1"/>
        <rFont val="Times New Roman"/>
        <family val="1"/>
      </rPr>
      <t>, no le importa si hay la pena de muerte o hay la pena de muerte si tienen un problema, está envuelto como dicen por ahí y demás y un asalto que sea mira, eh,… no le importa nada de eso.</t>
    </r>
  </si>
  <si>
    <r>
      <t xml:space="preserve">SJ031022H96/642-644B Sí, pero fíjate el que va a matar, no le </t>
    </r>
    <r>
      <rPr>
        <b/>
        <sz val="12"/>
        <color theme="1"/>
        <rFont val="Times New Roman"/>
        <family val="1"/>
      </rPr>
      <t>importa</t>
    </r>
    <r>
      <rPr>
        <sz val="12"/>
        <color theme="1"/>
        <rFont val="Times New Roman"/>
        <family val="1"/>
      </rPr>
      <t xml:space="preserve"> si hay la pena de muerte o hay la pena de muerte si tienen un problema, está envuelto como dicen por ahí y demás y un asalto que sea mira, eh,… no le importa nada de eso.</t>
    </r>
  </si>
  <si>
    <r>
      <t xml:space="preserve">SJ031022H96/642-644C Sí, pero fíjate el que va a matar, no le importa si hay la pena de muerte o hay la pena de muerte si tienen un problema, está envuelto como dicen por ahí y demás y un asalto que sea mira, eh,… no le </t>
    </r>
    <r>
      <rPr>
        <b/>
        <sz val="12"/>
        <color theme="1"/>
        <rFont val="Times New Roman"/>
        <family val="1"/>
      </rPr>
      <t>importa</t>
    </r>
    <r>
      <rPr>
        <sz val="12"/>
        <color theme="1"/>
        <rFont val="Times New Roman"/>
        <family val="1"/>
      </rPr>
      <t xml:space="preserve"> nada de eso.</t>
    </r>
  </si>
  <si>
    <r>
      <t xml:space="preserve">SJ031022H96/654 Te lo digo porque fíjate tuve una experiencia y te lo </t>
    </r>
    <r>
      <rPr>
        <b/>
        <sz val="12"/>
        <color theme="1"/>
        <rFont val="Times New Roman"/>
        <family val="1"/>
      </rPr>
      <t>voy a decir</t>
    </r>
    <r>
      <rPr>
        <sz val="12"/>
        <color theme="1"/>
        <rFont val="Times New Roman"/>
        <family val="1"/>
      </rPr>
      <t xml:space="preserve"> aquí</t>
    </r>
  </si>
  <si>
    <t>SJ031022H96</t>
  </si>
  <si>
    <r>
      <t xml:space="preserve">SJ031022H96/12A Aquí veintisiete, </t>
    </r>
    <r>
      <rPr>
        <b/>
        <sz val="12"/>
        <color theme="1"/>
        <rFont val="Times New Roman"/>
        <family val="1"/>
      </rPr>
      <t>voy [a cumplir]</t>
    </r>
    <r>
      <rPr>
        <sz val="12"/>
        <color theme="1"/>
        <rFont val="Times New Roman"/>
        <family val="1"/>
      </rPr>
      <t xml:space="preserve"> en julio del año que viene cumplo veintisiete años.</t>
    </r>
  </si>
  <si>
    <t>SJ029032H96</t>
  </si>
  <si>
    <r>
      <t xml:space="preserve">SJ029032H96/39-44 Bueno yo, cuando me retire </t>
    </r>
    <r>
      <rPr>
        <b/>
        <sz val="12"/>
        <color theme="1"/>
        <rFont val="Times New Roman"/>
        <family val="1"/>
      </rPr>
      <t>tengo</t>
    </r>
    <r>
      <rPr>
        <sz val="12"/>
        <color theme="1"/>
        <rFont val="Times New Roman"/>
        <family val="1"/>
      </rPr>
      <t xml:space="preserve"> montones de cosas que hacer, por ejemplo: yo me, me, pierdo aquí montones aquí de conferencias que me gustaría ir por estar trabajando, yo estaría mucho en la Universidad, definitivamente para, lograrme debates que se dan aquí de, literatura, de política, de, de cuantos temas de la cultura y me gustaría mucho, o sea, tener acceso a eso del, además cosas que uno quiere hacer, exposiciones que uno quiere ver que quizás por el tiempo tan limitado…</t>
    </r>
  </si>
  <si>
    <r>
      <t xml:space="preserve">SJ029032H96/109-112 Me crié en Manatí y, en aquellos tiempos, una cosa que creo que es más ventajosa que la de ahora, </t>
    </r>
    <r>
      <rPr>
        <b/>
        <sz val="12"/>
        <color theme="1"/>
        <rFont val="Times New Roman"/>
        <family val="1"/>
      </rPr>
      <t>vamos a decir</t>
    </r>
    <r>
      <rPr>
        <sz val="12"/>
        <color theme="1"/>
        <rFont val="Times New Roman"/>
        <family val="1"/>
      </rPr>
      <t xml:space="preserve"> si uno se pone con las cosas de antes, era que habían  muchos juegos, pues yo, yo me acuerdo que yo cuando niño, pues jugaba trompo, este, la televisión no lo consumía a uno como ahora.</t>
    </r>
  </si>
  <si>
    <r>
      <t xml:space="preserve">SJ029032H96/248-249 Que tenía sobre ochenta años estaba y ahí te va gente mayor pero, principalmente </t>
    </r>
    <r>
      <rPr>
        <b/>
        <sz val="12"/>
        <color theme="1"/>
        <rFont val="Times New Roman"/>
        <family val="1"/>
      </rPr>
      <t>vamos a decir</t>
    </r>
    <r>
      <rPr>
        <sz val="12"/>
        <color theme="1"/>
        <rFont val="Times New Roman"/>
        <family val="1"/>
      </rPr>
      <t>, de día.</t>
    </r>
  </si>
  <si>
    <r>
      <t xml:space="preserve">SJ029032H96/269-271A Este, viendo a ver si van hacer el catálogo, si el rector ese de los colegios regionales esos, </t>
    </r>
    <r>
      <rPr>
        <b/>
        <sz val="12"/>
        <color theme="1"/>
        <rFont val="Times New Roman"/>
        <family val="1"/>
      </rPr>
      <t>va a dar</t>
    </r>
    <r>
      <rPr>
        <sz val="12"/>
        <color theme="1"/>
        <rFont val="Times New Roman"/>
        <family val="1"/>
      </rPr>
      <t xml:space="preserve"> el presupuesto o no lo va a dar.</t>
    </r>
  </si>
  <si>
    <r>
      <t xml:space="preserve">SJ029032H96/271-273 En, pero además d’eso, pues estoy también, yo soy delegado de la Hermandad de Empleados Exentos no Docentes y estamos en una exposición que se </t>
    </r>
    <r>
      <rPr>
        <b/>
        <sz val="12"/>
        <color theme="1"/>
        <rFont val="Times New Roman"/>
        <family val="1"/>
      </rPr>
      <t>va a abrir</t>
    </r>
    <r>
      <rPr>
        <sz val="12"/>
        <color theme="1"/>
        <rFont val="Times New Roman"/>
        <family val="1"/>
      </rPr>
      <t xml:space="preserve"> el lunes.</t>
    </r>
  </si>
  <si>
    <r>
      <t xml:space="preserve">SJ029032H96/273-275 Que de hecho hoy estuve, se </t>
    </r>
    <r>
      <rPr>
        <b/>
        <sz val="12"/>
        <color theme="1"/>
        <rFont val="Times New Roman"/>
        <family val="1"/>
      </rPr>
      <t>va a abrir</t>
    </r>
    <r>
      <rPr>
        <sz val="12"/>
        <color theme="1"/>
        <rFont val="Times New Roman"/>
        <family val="1"/>
      </rPr>
      <t xml:space="preserve"> en la sala de exposiciones de aquí de la biblioteca y estuvimos trayendo los cuadros ayer de, de toda la trayectoria de la Hermandad de los últimos veinticinco años, de mil novecientos setenta y dos que fue cuando nos fundamos…</t>
    </r>
  </si>
  <si>
    <r>
      <t xml:space="preserve">SJ029032H96/279-280A Entonces, este, partici, este, en ese certamen que el lunes </t>
    </r>
    <r>
      <rPr>
        <b/>
        <sz val="12"/>
        <color theme="1"/>
        <rFont val="Times New Roman"/>
        <family val="1"/>
      </rPr>
      <t xml:space="preserve">es </t>
    </r>
    <r>
      <rPr>
        <sz val="12"/>
        <color theme="1"/>
        <rFont val="Times New Roman"/>
        <family val="1"/>
      </rPr>
      <t>que van a dar el laudo.</t>
    </r>
  </si>
  <si>
    <r>
      <t xml:space="preserve">SJ029032H96/279-280B Entonces, este, partici, este, en ese certamen que el lunes es que </t>
    </r>
    <r>
      <rPr>
        <b/>
        <sz val="12"/>
        <color theme="1"/>
        <rFont val="Times New Roman"/>
        <family val="1"/>
      </rPr>
      <t>van a dar</t>
    </r>
    <r>
      <rPr>
        <sz val="12"/>
        <color theme="1"/>
        <rFont val="Times New Roman"/>
        <family val="1"/>
      </rPr>
      <t xml:space="preserve"> el laudo.</t>
    </r>
  </si>
  <si>
    <r>
      <t xml:space="preserve">SJ029032H96/280-281A Los, jurados </t>
    </r>
    <r>
      <rPr>
        <b/>
        <sz val="12"/>
        <color theme="1"/>
        <rFont val="Times New Roman"/>
        <family val="1"/>
      </rPr>
      <t>son</t>
    </r>
    <r>
      <rPr>
        <sz val="12"/>
        <color theme="1"/>
        <rFont val="Times New Roman"/>
        <family val="1"/>
      </rPr>
      <t xml:space="preserve"> Nelson Sambolín, Ernesto Álvarez y Antonio Martorell y el lunes es la exposición.</t>
    </r>
  </si>
  <si>
    <r>
      <t xml:space="preserve">SJ029032H96/280-281B Los, jurados son Nelson Sambolín, Ernesto Álvarez y Antonio Martorell y el lunes </t>
    </r>
    <r>
      <rPr>
        <b/>
        <sz val="12"/>
        <color theme="1"/>
        <rFont val="Times New Roman"/>
        <family val="1"/>
      </rPr>
      <t>es</t>
    </r>
    <r>
      <rPr>
        <sz val="12"/>
        <color theme="1"/>
        <rFont val="Times New Roman"/>
        <family val="1"/>
      </rPr>
      <t xml:space="preserve"> la exposición.</t>
    </r>
  </si>
  <si>
    <r>
      <t xml:space="preserve">SJ029032H96/281-283A Ese cartel </t>
    </r>
    <r>
      <rPr>
        <b/>
        <sz val="12"/>
        <color theme="1"/>
        <rFont val="Times New Roman"/>
        <family val="1"/>
      </rPr>
      <t xml:space="preserve">va a ser </t>
    </r>
    <r>
      <rPr>
        <sz val="12"/>
        <color theme="1"/>
        <rFont val="Times New Roman"/>
        <family val="1"/>
      </rPr>
      <t>el representativo de los veinticinco años de la Hermandad y ahí se, cuando se sepa quién es el que ganó, hay un premio de ochocientos…</t>
    </r>
  </si>
  <si>
    <r>
      <t>SJ029032H96/281-283B Ese cartel va a ser</t>
    </r>
    <r>
      <rPr>
        <b/>
        <sz val="12"/>
        <color theme="1"/>
        <rFont val="Times New Roman"/>
        <family val="1"/>
      </rPr>
      <t xml:space="preserve"> </t>
    </r>
    <r>
      <rPr>
        <sz val="12"/>
        <color theme="1"/>
        <rFont val="Times New Roman"/>
        <family val="1"/>
      </rPr>
      <t xml:space="preserve">el representativo de los veinticinco años de la Hermandad y ahí se, cuando se sepa quién </t>
    </r>
    <r>
      <rPr>
        <b/>
        <sz val="12"/>
        <color theme="1"/>
        <rFont val="Times New Roman"/>
        <family val="1"/>
      </rPr>
      <t>es</t>
    </r>
    <r>
      <rPr>
        <sz val="12"/>
        <color theme="1"/>
        <rFont val="Times New Roman"/>
        <family val="1"/>
      </rPr>
      <t xml:space="preserve"> el que ganó, hay un premio de ochocientos…</t>
    </r>
  </si>
  <si>
    <r>
      <t xml:space="preserve">SJ029032H96/286-287A Uno de quinientos y otro de trescientos, pero ese cartel </t>
    </r>
    <r>
      <rPr>
        <b/>
        <sz val="12"/>
        <color theme="1"/>
        <rFont val="Times New Roman"/>
        <family val="1"/>
      </rPr>
      <t>va a ser</t>
    </r>
    <r>
      <rPr>
        <sz val="12"/>
        <color theme="1"/>
        <rFont val="Times New Roman"/>
        <family val="1"/>
      </rPr>
      <t xml:space="preserve"> el representativo de los veinticinco años. Se tira en “offset” y después se le da a todos los miembros.</t>
    </r>
  </si>
  <si>
    <r>
      <t xml:space="preserve">SJ029032H96/287A Se </t>
    </r>
    <r>
      <rPr>
        <b/>
        <sz val="12"/>
        <color theme="1"/>
        <rFont val="Times New Roman"/>
        <family val="1"/>
      </rPr>
      <t>tira</t>
    </r>
    <r>
      <rPr>
        <sz val="12"/>
        <color theme="1"/>
        <rFont val="Times New Roman"/>
        <family val="1"/>
      </rPr>
      <t xml:space="preserve"> en “offset” y después se le da a todos los miembros.</t>
    </r>
  </si>
  <si>
    <r>
      <t xml:space="preserve">SJ029032H96/287A Se tira en “offset” y después se le </t>
    </r>
    <r>
      <rPr>
        <b/>
        <sz val="12"/>
        <color theme="1"/>
        <rFont val="Times New Roman"/>
        <family val="1"/>
      </rPr>
      <t>da</t>
    </r>
    <r>
      <rPr>
        <sz val="12"/>
        <color theme="1"/>
        <rFont val="Times New Roman"/>
        <family val="1"/>
      </rPr>
      <t xml:space="preserve"> a todos los miembros.</t>
    </r>
  </si>
  <si>
    <r>
      <t xml:space="preserve">SJ029032H96/392-395 Ahí uno trabaja haciendo guardia por la noche que puede ser, este… para que no se estacionen carro donde los artistas </t>
    </r>
    <r>
      <rPr>
        <b/>
        <sz val="12"/>
        <color theme="1"/>
        <rFont val="Times New Roman"/>
        <family val="1"/>
      </rPr>
      <t>van a poner</t>
    </r>
    <r>
      <rPr>
        <sz val="12"/>
        <color theme="1"/>
        <rFont val="Times New Roman"/>
        <family val="1"/>
      </rPr>
      <t xml:space="preserve"> su instrumento para trabajar y también el, un quiosco que puede ser… en este caso a me toco el quiosco de, de o  de sindical que me me trabajé de dos a siete de la, el sábado de dos a siete de la tarde;</t>
    </r>
  </si>
  <si>
    <r>
      <t xml:space="preserve">SJ029032H96/499-502 En aquel tiempo los que impulsaron la causa mía, </t>
    </r>
    <r>
      <rPr>
        <b/>
        <sz val="12"/>
        <color theme="1"/>
        <rFont val="Times New Roman"/>
        <family val="1"/>
      </rPr>
      <t>vamos a decirlo</t>
    </r>
    <r>
      <rPr>
        <sz val="12"/>
        <color theme="1"/>
        <rFont val="Times New Roman"/>
        <family val="1"/>
      </rPr>
      <t xml:space="preserve"> así fue: Luis Nieves Falcón, Monelisa Lima Pérez Marchán, que era doctora en filosofía, profesora de Filosofía, profesora Emeritus de aquí, pero que se tuvieron que reunir en Humanidades.</t>
    </r>
  </si>
  <si>
    <r>
      <t xml:space="preserve">SJ029032H96/551-555 Creo que una orientación porque puede en un momento decir, pues no </t>
    </r>
    <r>
      <rPr>
        <b/>
        <sz val="12"/>
        <color theme="1"/>
        <rFont val="Times New Roman"/>
        <family val="1"/>
      </rPr>
      <t>voy a abortar</t>
    </r>
    <r>
      <rPr>
        <sz val="12"/>
        <color theme="1"/>
        <rFont val="Times New Roman"/>
        <family val="1"/>
      </rPr>
      <t xml:space="preserve"> porque tengo s, yo creo en una orientación de unos profesionales, como trabajadores sociales, psicólogos, antes de que tome esa, en eso se debieran enfarizar más que en la cuestión de que no aborte o que aborte, pues yo creo que, que, que en esa dirección de una orientación de profesionales verdaderos que la puedan, y que la persona decida.</t>
    </r>
  </si>
  <si>
    <r>
      <t xml:space="preserve">SJ029032H96/278-279  </t>
    </r>
    <r>
      <rPr>
        <b/>
        <sz val="12"/>
        <color theme="1"/>
        <rFont val="Times New Roman"/>
        <family val="1"/>
      </rPr>
      <t>Va a ver</t>
    </r>
    <r>
      <rPr>
        <sz val="12"/>
        <color theme="1"/>
        <rFont val="Times New Roman"/>
        <family val="1"/>
      </rPr>
      <t xml:space="preserve"> un certamen de carteles que yo fui uno de los que propicié para que trataran de participar los más que se pu… eh… pudieran.</t>
    </r>
  </si>
  <si>
    <r>
      <t xml:space="preserve">SJ029032H96/269-271B Este, viendo a ver si van hacer el catálogo, si el rector ese de los colegios regionales esos, va a dar el presupuesto o no lo </t>
    </r>
    <r>
      <rPr>
        <b/>
        <sz val="12"/>
        <color theme="1"/>
        <rFont val="Times New Roman"/>
        <family val="1"/>
      </rPr>
      <t>va a dar</t>
    </r>
    <r>
      <rPr>
        <sz val="12"/>
        <color theme="1"/>
        <rFont val="Times New Roman"/>
        <family val="1"/>
      </rPr>
      <t>.</t>
    </r>
  </si>
  <si>
    <t>SJ024032H96</t>
  </si>
  <si>
    <r>
      <t xml:space="preserve">SJ024032H96/50 A los… si </t>
    </r>
    <r>
      <rPr>
        <b/>
        <sz val="12"/>
        <color theme="1"/>
        <rFont val="Times New Roman"/>
        <family val="1"/>
      </rPr>
      <t>vamos a ver</t>
    </r>
    <r>
      <rPr>
        <sz val="12"/>
        <color theme="1"/>
        <rFont val="Times New Roman"/>
        <family val="1"/>
      </rPr>
      <t xml:space="preserve"> casi a los eran a los dieciséis años.</t>
    </r>
  </si>
  <si>
    <r>
      <t xml:space="preserve">SJ024032H96/183-189 Por tanto, tenemos que tener una política de desarrollo de colecciones, eh, que vaya acorde con los cambios que están surgiendo desapareciendo cursos, esto, van surgiendo cursos especiales o cursos nuevos, y pues, la biblioteca tiene que, que, que responder para que hayan los recursos para esos cursos que se </t>
    </r>
    <r>
      <rPr>
        <b/>
        <sz val="12"/>
        <color theme="1"/>
        <rFont val="Times New Roman"/>
        <family val="1"/>
      </rPr>
      <t>van a enseñar</t>
    </r>
    <r>
      <rPr>
        <sz val="12"/>
        <color theme="1"/>
        <rFont val="Times New Roman"/>
        <family val="1"/>
      </rPr>
      <t xml:space="preserve"> pues y a la misma vez la biblioteca también tiene que integrarse más a la tecnología y desarrollarse más en lo, en el campo tecnológico que es otro método, otra técnica de dar referencia y de encontrar recursos para satisfacer las necesidades de información.</t>
    </r>
  </si>
  <si>
    <r>
      <t xml:space="preserve">SJ024032H96/210-216 Hay una compañía que es ah, “Sirsi” (SERSE) en Estados Unidos tiene… se </t>
    </r>
    <r>
      <rPr>
        <b/>
        <sz val="12"/>
        <color theme="1"/>
        <rFont val="Times New Roman"/>
        <family val="1"/>
      </rPr>
      <t xml:space="preserve">va a dar </t>
    </r>
    <r>
      <rPr>
        <sz val="12"/>
        <color theme="1"/>
        <rFont val="Times New Roman"/>
        <family val="1"/>
      </rPr>
      <t>una demostración recient, esto, próximamente sobre el sistema de adquisiciones que ellos tienen el sistema que fue seleccionado fue el sistema Notis que tiene la Universidad de Puerto Rico y el módulo de adquisiciones, pues, se le han determinado algunas fallas hasta el momento y creo que por lo que he escuchado el sistema Notis no tiene, esto,… más, diciéndolo así más futuro, o sea, que no, no puede como acelerar o, o, o traer cosas nuevas por lo que, por lo que se está contemplando tal vez sea adquirir otro sistema.</t>
    </r>
  </si>
  <si>
    <r>
      <t xml:space="preserve">SJ024032H96/SJ024032H96/388-393 Por ejemplo sin, lo del aire que yo lo puedo mencionar, cuando estuvimos aquí en el mil novecientos noven,  ochenta y cinco teníamos el mismo problema y ya estamos en el mil novecientos noventa y seis y todavía no, no vemos una solución aunque ya han prometido que dentro de uno o dos meses </t>
    </r>
    <r>
      <rPr>
        <b/>
        <sz val="12"/>
        <color theme="1"/>
        <rFont val="Times New Roman"/>
        <family val="1"/>
      </rPr>
      <t>van a instalar</t>
    </r>
    <r>
      <rPr>
        <sz val="12"/>
        <color theme="1"/>
        <rFont val="Times New Roman"/>
        <family val="1"/>
      </rPr>
      <t xml:space="preserve"> unidades independientes para este piso y que se pueda solucionar el problema, pero realmente llevamos once años esperando por, por resolver el problema.</t>
    </r>
  </si>
  <si>
    <r>
      <t xml:space="preserve">SJ024032H96/398-399 Ay Dios, siempre los recuerdo por,  los que se han quedado porque (risa) por lo que me relajaban a mí </t>
    </r>
    <r>
      <rPr>
        <b/>
        <sz val="12"/>
        <color theme="1"/>
        <rFont val="Times New Roman"/>
        <family val="1"/>
      </rPr>
      <t>será</t>
    </r>
    <r>
      <rPr>
        <sz val="12"/>
        <color theme="1"/>
        <rFont val="Times New Roman"/>
        <family val="1"/>
      </rPr>
      <t>. [Siempre recuerdo los que se han quedado, será porque me relajaban]</t>
    </r>
  </si>
  <si>
    <r>
      <t xml:space="preserve">SJ024032H96/108-109A Eh, eh los objetivos cambian y por lo tanto </t>
    </r>
    <r>
      <rPr>
        <b/>
        <sz val="12"/>
        <color theme="1"/>
        <rFont val="Times New Roman"/>
        <family val="1"/>
      </rPr>
      <t>va, va [a] haber</t>
    </r>
    <r>
      <rPr>
        <sz val="12"/>
        <color theme="1"/>
        <rFont val="Times New Roman"/>
        <family val="1"/>
      </rPr>
      <t xml:space="preserve"> más cosas que hacer y se ven, nos vemos en la obligación de cambiarle en nombre.</t>
    </r>
  </si>
  <si>
    <r>
      <t xml:space="preserve">SJ2513H96/51-54A Ah, pues, pues...igual que ahora por invitación.  Invitábamos: “le </t>
    </r>
    <r>
      <rPr>
        <b/>
        <sz val="12"/>
        <color theme="1"/>
        <rFont val="Times New Roman"/>
        <family val="1"/>
      </rPr>
      <t>vamos a llevar</t>
    </r>
    <r>
      <rPr>
        <sz val="12"/>
        <color theme="1"/>
        <rFont val="Times New Roman"/>
        <family val="1"/>
      </rPr>
      <t xml:space="preserve"> una parranda a fulano de tal, a...al compay tal, a la comay tal,” y nos reuníamos y entonces, pues “vamos a estar en tal sitio” y entonces el que no se reunía en algún lado, pues, iba personalmente y sabía ya donde iba, donde íbamos a estar.</t>
    </r>
  </si>
  <si>
    <r>
      <t>SJ2513H96/51-54B Ah, pues, pues...igual que ahora por invitación.  Invitábamos: “le vamos a llevar una parranda a fulano de tal, a...al compay tal, a la comay tal,” y nos reuníamos y entonces, pues “</t>
    </r>
    <r>
      <rPr>
        <b/>
        <sz val="12"/>
        <color theme="1"/>
        <rFont val="Times New Roman"/>
        <family val="1"/>
      </rPr>
      <t>vamos a estar</t>
    </r>
    <r>
      <rPr>
        <sz val="12"/>
        <color theme="1"/>
        <rFont val="Times New Roman"/>
        <family val="1"/>
      </rPr>
      <t xml:space="preserve"> en tal sitio” y entonces el que no se reunía en algún lado, pues, iba personalmente y sabía ya donde iba, donde íbamos a estar.</t>
    </r>
  </si>
  <si>
    <r>
      <t>SJ2513H96/148-149 Bueno, con los...eh, eso es un ejemplar como...</t>
    </r>
    <r>
      <rPr>
        <b/>
        <sz val="12"/>
        <color theme="1"/>
        <rFont val="Times New Roman"/>
        <family val="1"/>
      </rPr>
      <t xml:space="preserve">vamos a decir </t>
    </r>
    <r>
      <rPr>
        <sz val="12"/>
        <color theme="1"/>
        <rFont val="Times New Roman"/>
        <family val="1"/>
      </rPr>
      <t>el caballo, usted tiene un caballo, un ejemplar, el gallo es un ejemplar.</t>
    </r>
  </si>
  <si>
    <r>
      <t xml:space="preserve">SJ2513H96/151-152 </t>
    </r>
    <r>
      <rPr>
        <b/>
        <sz val="12"/>
        <color theme="1"/>
        <rFont val="Times New Roman"/>
        <family val="1"/>
      </rPr>
      <t xml:space="preserve">Vamos a decir </t>
    </r>
    <r>
      <rPr>
        <sz val="12"/>
        <color theme="1"/>
        <rFont val="Times New Roman"/>
        <family val="1"/>
      </rPr>
      <t>tres cuatro o tres siete, tres, tres ocho, tres diez, tres y doce.</t>
    </r>
  </si>
  <si>
    <r>
      <t xml:space="preserve">SJ2513H96/200 Lo que le </t>
    </r>
    <r>
      <rPr>
        <b/>
        <sz val="12"/>
        <color theme="1"/>
        <rFont val="Times New Roman"/>
        <family val="1"/>
      </rPr>
      <t>voy a contar</t>
    </r>
    <r>
      <rPr>
        <sz val="12"/>
        <color theme="1"/>
        <rFont val="Times New Roman"/>
        <family val="1"/>
      </rPr>
      <t xml:space="preserve"> y esto es realidad, no es un cuento.</t>
    </r>
  </si>
  <si>
    <r>
      <t xml:space="preserve">SJ2513H96/268-272A Hay quien lo haga, hay mucha gente que lo hacen porque hay ciertas razones como...de...muchas personas que no le gustan que nadie le haga nada, que se sienten aburridos de la vida, que piensan que “ya yo no voy para ningún lado”, que “no </t>
    </r>
    <r>
      <rPr>
        <b/>
        <sz val="12"/>
        <color theme="1"/>
        <rFont val="Times New Roman"/>
        <family val="1"/>
      </rPr>
      <t>voy a hacer</t>
    </r>
    <r>
      <rPr>
        <sz val="12"/>
        <color theme="1"/>
        <rFont val="Times New Roman"/>
        <family val="1"/>
      </rPr>
      <t xml:space="preserve"> esto, que no voy hacer esto otro”, “ya pasó mi juventud”, “yo perdí mi tiempo y mi juventud”, “ya me pasó”, “ ¿qué yo voy a hacer ahora?” y muchas veces por esa razón ellos se matan, ellos mismos.</t>
    </r>
  </si>
  <si>
    <r>
      <t xml:space="preserve">SJ2513H96/268-272B Hay quien lo haga, hay mucha gente que lo hacen porque hay ciertas razones como...de...muchas personas que no le gustan que nadie le haga nada, que se sienten aburridos de la vida, que piensan que “ya yo no voy para ningún lado”, que “no voy a hacer esto, que no </t>
    </r>
    <r>
      <rPr>
        <b/>
        <sz val="12"/>
        <color theme="1"/>
        <rFont val="Times New Roman"/>
        <family val="1"/>
      </rPr>
      <t>voy [a] hacer</t>
    </r>
    <r>
      <rPr>
        <sz val="12"/>
        <color theme="1"/>
        <rFont val="Times New Roman"/>
        <family val="1"/>
      </rPr>
      <t xml:space="preserve"> esto otro”, “ya pasó mi juventud”, “yo perdí mi tiempo y mi juventud”, “ya me pasó”, “ ¿qué yo voy a hacer ahora?” y muchas veces por esa razón ellos se matan, ellos mismos.</t>
    </r>
  </si>
  <si>
    <r>
      <t xml:space="preserve">SJ2513H96/268-272C Hay quien lo haga, hay mucha gente que lo hacen porque hay ciertas razones como...de...muchas personas que no le gustan que nadie le haga nada, que se sienten aburridos de la vida, que piensan que “ya yo no voy para ningún lado”, que “no voy a hacer esto, que no voy hacer esto otro”, “ya pasó mi juventud”, “yo perdí mi tiempo y mi juventud”, “ya me pasó”, “ ¿qué yo </t>
    </r>
    <r>
      <rPr>
        <b/>
        <sz val="12"/>
        <color theme="1"/>
        <rFont val="Times New Roman"/>
        <family val="1"/>
      </rPr>
      <t>voy a hacer</t>
    </r>
    <r>
      <rPr>
        <sz val="12"/>
        <color theme="1"/>
        <rFont val="Times New Roman"/>
        <family val="1"/>
      </rPr>
      <t xml:space="preserve"> ahora?” y muchas veces por esa razón ellos se matan, ellos mismos.</t>
    </r>
  </si>
  <si>
    <r>
      <t xml:space="preserve">SJ2513H96/276-277A Bueno, eso... fuera en la familia entre todos, o unos o otros </t>
    </r>
    <r>
      <rPr>
        <b/>
        <sz val="12"/>
        <color theme="1"/>
        <rFont val="Times New Roman"/>
        <family val="1"/>
      </rPr>
      <t>vamos a hacer</t>
    </r>
    <r>
      <rPr>
        <sz val="12"/>
        <color theme="1"/>
        <rFont val="Times New Roman"/>
        <family val="1"/>
      </rPr>
      <t xml:space="preserve"> esto, vamos a hacer esto otro.  </t>
    </r>
  </si>
  <si>
    <r>
      <t xml:space="preserve">SJ2513H96/276-277B Bueno, eso... fuera en la familia entre todos, o unos o otros vamos a hacer esto, </t>
    </r>
    <r>
      <rPr>
        <b/>
        <sz val="12"/>
        <color theme="1"/>
        <rFont val="Times New Roman"/>
        <family val="1"/>
      </rPr>
      <t>vamos a hacer</t>
    </r>
    <r>
      <rPr>
        <sz val="12"/>
        <color theme="1"/>
        <rFont val="Times New Roman"/>
        <family val="1"/>
      </rPr>
      <t xml:space="preserve"> esto otro.  </t>
    </r>
  </si>
  <si>
    <r>
      <t xml:space="preserve">SJ2513H96/293-297 Bueno, yo compro las frutas </t>
    </r>
    <r>
      <rPr>
        <b/>
        <sz val="12"/>
        <color theme="1"/>
        <rFont val="Times New Roman"/>
        <family val="1"/>
      </rPr>
      <t>vamos a decirle</t>
    </r>
    <r>
      <rPr>
        <sz val="12"/>
        <color theme="1"/>
        <rFont val="Times New Roman"/>
        <family val="1"/>
      </rPr>
      <t>, esto...el coco yo lo compro para vender agua de coco, compro la parcha, saco la pulpa de la parcha, me la llevo a mi hogar y ahí yo con mi osteraiser, pues, yo preparo, saco, le quito la, la semilla y saco el líquido puro, lo traigo aquí a mi negocio y aquí tengo la azúcar y tengo mi conteiner y todo para prepararlo aquí mismo, más compro hielo, en los puestos de hielo.</t>
    </r>
  </si>
  <si>
    <r>
      <t>SJ2513H96/389-393 […] [P]ues estábamos reunidos juntos y ahí mismo tenían espacio en donde cocinaban por lo menos, un poco de viandas y freían algunas carnes de los mismos ejemplares que...que...</t>
    </r>
    <r>
      <rPr>
        <b/>
        <sz val="12"/>
        <color theme="1"/>
        <rFont val="Times New Roman"/>
        <family val="1"/>
      </rPr>
      <t>vamos a decir</t>
    </r>
    <r>
      <rPr>
        <sz val="12"/>
        <color theme="1"/>
        <rFont val="Times New Roman"/>
        <family val="1"/>
      </rPr>
      <t xml:space="preserve"> animales que mataba la tormenta, los vientos y eso, pues, algunas personas que se consideran más de esto los traían al sitio, la tormentera y ahí los preparábamos para darle comida a la familia que habíamos ahí en esa tormentera.</t>
    </r>
  </si>
  <si>
    <r>
      <t xml:space="preserve">SJ2513H96/410-412 Entonces, él le dice, salió así como hacían los viejos de antes y miraban para todas las esquinas del cielo y demás.  “ay, que tormenta compadre deme un palo que me </t>
    </r>
    <r>
      <rPr>
        <b/>
        <sz val="12"/>
        <color theme="1"/>
        <rFont val="Times New Roman"/>
        <family val="1"/>
      </rPr>
      <t>voy a dar</t>
    </r>
    <r>
      <rPr>
        <sz val="12"/>
        <color theme="1"/>
        <rFont val="Times New Roman"/>
        <family val="1"/>
      </rPr>
      <t xml:space="preserve"> un palo” y...siguió trabajando.</t>
    </r>
  </si>
  <si>
    <r>
      <t xml:space="preserve">SJ2513H96/413-416 Y le decía compadre riéguese dos caballos de yaguas ahí que mañana le </t>
    </r>
    <r>
      <rPr>
        <b/>
        <sz val="12"/>
        <color theme="1"/>
        <rFont val="Times New Roman"/>
        <family val="1"/>
      </rPr>
      <t>voy a insertar</t>
    </r>
    <r>
      <rPr>
        <sz val="12"/>
        <color theme="1"/>
        <rFont val="Times New Roman"/>
        <family val="1"/>
      </rPr>
      <t xml:space="preserve"> la casa, y mi padre le contestó: “compadre, hay tormenta”, “¡qué tormenta, riéguela que no hay ninguna tormenta, mire como está de clarito, está bonito el día, está precioso”.</t>
    </r>
  </si>
  <si>
    <r>
      <t xml:space="preserve">SJ2513H96/418-420 Entonces, cuando...como a las nueve de la noche se tiró esa ventolera y un aguacero, pero una brisa, pero bien fuerte y mi padre dice: “vente que te </t>
    </r>
    <r>
      <rPr>
        <b/>
        <sz val="12"/>
        <color theme="1"/>
        <rFont val="Times New Roman"/>
        <family val="1"/>
      </rPr>
      <t>voy a llevar</t>
    </r>
    <r>
      <rPr>
        <sz val="12"/>
        <color theme="1"/>
        <rFont val="Times New Roman"/>
        <family val="1"/>
      </rPr>
      <t xml:space="preserve"> a la tormentera de compay Goyo, porque ya empezó la tormenta.  </t>
    </r>
  </si>
  <si>
    <r>
      <t>SJ2513H96/423-430 Entonces, él empezó a apagarla y cuando...lo que le llaman en una tormenta la revirada él apareció allá todo quemado, la cara quemada, los brazos quemados y...la demás familias que habían allí y siguió esa tormenta soplando y poniéndose más fuerte y más fuerte y la dueña de la casa de...</t>
    </r>
    <r>
      <rPr>
        <b/>
        <sz val="12"/>
        <color theme="1"/>
        <rFont val="Times New Roman"/>
        <family val="1"/>
      </rPr>
      <t>vamos a decir</t>
    </r>
    <r>
      <rPr>
        <sz val="12"/>
        <color theme="1"/>
        <rFont val="Times New Roman"/>
        <family val="1"/>
      </rPr>
      <t xml:space="preserve"> de la casa, la tormentera decía,...esto...”no pasa nada si los coquíes ehh están cantando” y la tormenta desbaratando el mundo y... “están cantando” y cuando hizo lo que llaman la revirada, que se estremeció la tormentera y se rompieron varas y todo, de eso partió la fuerza del viento, ella decía: “ay yo no creo más en los coquíes, yo no creo nada más que en Dios y la Virgen”.  </t>
    </r>
  </si>
  <si>
    <t>SJ2513H96</t>
  </si>
  <si>
    <r>
      <t>SJ02713H96</t>
    </r>
    <r>
      <rPr>
        <b/>
        <sz val="12"/>
        <color theme="1"/>
        <rFont val="Times New Roman"/>
        <family val="1"/>
      </rPr>
      <t>/</t>
    </r>
    <r>
      <rPr>
        <sz val="12"/>
        <color theme="1"/>
        <rFont val="Times New Roman"/>
        <family val="1"/>
      </rPr>
      <t xml:space="preserve">55-62 De que me </t>
    </r>
    <r>
      <rPr>
        <b/>
        <sz val="12"/>
        <color theme="1"/>
        <rFont val="Times New Roman"/>
        <family val="1"/>
      </rPr>
      <t>voy a fastidiar</t>
    </r>
    <r>
      <rPr>
        <sz val="12"/>
        <color theme="1"/>
        <rFont val="Times New Roman"/>
        <family val="1"/>
      </rPr>
      <t xml:space="preserve"> yo porque yo no sé si él cogió una, una herencia y tuvo el  el d’eso de de hacer esa deso y entonces yo me voy con la envidia detrás de eso, que hoy en día lo que hay es una seria envidia y cosa por tener lo que no puedo, pero voy con un préstamo y me pongo hasta aquí, y después sigue, cómo se dice, el sistema, a lo mejor él ya pagó eso, pero yo soy el que me enredé por estar con la envidia y mirando, por eso es que hoy en día están así, nosotros vivíamos allá, pero entonces cuando cambiamos acá al campo, porque yo estuve allá en la escuela también, pero yo creo que primer grado así y estuve en la Gautier Benítez allá en Santurce</t>
    </r>
  </si>
  <si>
    <r>
      <t>SJ02713H96</t>
    </r>
    <r>
      <rPr>
        <b/>
        <sz val="12"/>
        <color theme="1"/>
        <rFont val="Times New Roman"/>
        <family val="1"/>
      </rPr>
      <t>/</t>
    </r>
    <r>
      <rPr>
        <sz val="12"/>
        <color theme="1"/>
        <rFont val="Times New Roman"/>
        <family val="1"/>
      </rPr>
      <t xml:space="preserve">79-85 durante la semana era un pantalón azul, corbata azul y camisa blanca y su bulto, y cuando llego acá, entonces ya, ya eso ya cambia, eso es otra cosa, entonces allá el viernes era, este, era blanco, los sábados, que diga los, los, los (los viernes) los viernes era de palomo, había que ir vestido de blanco, entonces, o sea, cuando uno llega al campo, pues mira, se, se agarra a lo que hay, había que andar a pie y había que.... las cosas cambiaron, entonces ya hay que andar este descalzo también porque uno se acostumbra y como uno ve a todo el mundo así pues uno dice, ah pues </t>
    </r>
    <r>
      <rPr>
        <b/>
        <sz val="12"/>
        <color theme="1"/>
        <rFont val="Times New Roman"/>
        <family val="1"/>
      </rPr>
      <t>vamos a andar</t>
    </r>
    <r>
      <rPr>
        <sz val="12"/>
        <color theme="1"/>
        <rFont val="Times New Roman"/>
        <family val="1"/>
      </rPr>
      <t xml:space="preserve"> así también, qué, digo</t>
    </r>
  </si>
  <si>
    <r>
      <t>SJ02713H96</t>
    </r>
    <r>
      <rPr>
        <b/>
        <sz val="12"/>
        <color theme="1"/>
        <rFont val="Times New Roman"/>
        <family val="1"/>
      </rPr>
      <t>/</t>
    </r>
    <r>
      <rPr>
        <sz val="12"/>
        <color theme="1"/>
        <rFont val="Times New Roman"/>
        <family val="1"/>
      </rPr>
      <t xml:space="preserve">127-133 […] y antes, te </t>
    </r>
    <r>
      <rPr>
        <b/>
        <sz val="12"/>
        <color theme="1"/>
        <rFont val="Times New Roman"/>
        <family val="1"/>
      </rPr>
      <t>voy a decir</t>
    </r>
    <r>
      <rPr>
        <sz val="12"/>
        <color theme="1"/>
        <rFont val="Times New Roman"/>
        <family val="1"/>
      </rPr>
      <t xml:space="preserve"> una cosa, y antes, yo sé porque yo llegué a ver, antes las mujeres no se raspaban debajo del, ahí debajo de de las axilas, no se raspaban, hoy en día las mujeres se raspan todas, entonces no se quieren ver un vellito ahí, no, no, no, y antes era escaso el jabón, el jabón también era escaso porque la gente antes no tenía ese privilegio de tener mucho perfume, hoy el pobre tiene mucho perfume en la casa, tiene desodorante, mire que uno sale así a “rompe y raja” como dicen, salían bien olorosos y bien arregladitos […]</t>
    </r>
  </si>
  <si>
    <r>
      <t>SJ02713H96</t>
    </r>
    <r>
      <rPr>
        <b/>
        <sz val="12"/>
        <color theme="1"/>
        <rFont val="Times New Roman"/>
        <family val="1"/>
      </rPr>
      <t>/</t>
    </r>
    <r>
      <rPr>
        <sz val="12"/>
        <color theme="1"/>
        <rFont val="Times New Roman"/>
        <family val="1"/>
      </rPr>
      <t xml:space="preserve">166-170A […] hoy día usted ve al pobre, mire, cuida’o, ustedes ahí usted le </t>
    </r>
    <r>
      <rPr>
        <b/>
        <sz val="12"/>
        <color theme="1"/>
        <rFont val="Times New Roman"/>
        <family val="1"/>
      </rPr>
      <t>va a ver</t>
    </r>
    <r>
      <rPr>
        <sz val="12"/>
        <color theme="1"/>
        <rFont val="Times New Roman"/>
        <family val="1"/>
      </rPr>
      <t xml:space="preserve"> el microonda y va a ver tiene un libro de cocina que se pone a cocinar allí, antes no, antes las amas de casa lo que tenían era un de su mente de lo que hacía y que rico era, era bueno porque como no había que pensar que había que pagar agua, no había que pagar luz, no había que pagar la mueblería, había que pagar este el préstamo</t>
    </r>
  </si>
  <si>
    <r>
      <t>SJ02713H96</t>
    </r>
    <r>
      <rPr>
        <b/>
        <sz val="12"/>
        <color theme="1"/>
        <rFont val="Times New Roman"/>
        <family val="1"/>
      </rPr>
      <t>/</t>
    </r>
    <r>
      <rPr>
        <sz val="12"/>
        <color theme="1"/>
        <rFont val="Times New Roman"/>
        <family val="1"/>
      </rPr>
      <t xml:space="preserve">166-170B […] hoy día usted ve al pobre, mire, cuida’o, ustedes ahí usted le va a ver el microonda y </t>
    </r>
    <r>
      <rPr>
        <b/>
        <sz val="12"/>
        <color theme="1"/>
        <rFont val="Times New Roman"/>
        <family val="1"/>
      </rPr>
      <t>va a ver</t>
    </r>
    <r>
      <rPr>
        <sz val="12"/>
        <color theme="1"/>
        <rFont val="Times New Roman"/>
        <family val="1"/>
      </rPr>
      <t xml:space="preserve"> tiene un libro de cocina que se pone a cocinar allí, antes no, antes las amas de casa lo que tenían era un de su mente de lo que hacía y que rico era, era bueno porque como no había que pensar que había que pagar agua, no había que pagar luz, no había que pagar la mueblería, había que pagar este el préstamo</t>
    </r>
  </si>
  <si>
    <r>
      <t>SJ02713H96</t>
    </r>
    <r>
      <rPr>
        <b/>
        <sz val="12"/>
        <color theme="1"/>
        <rFont val="Times New Roman"/>
        <family val="1"/>
      </rPr>
      <t>/</t>
    </r>
    <r>
      <rPr>
        <sz val="12"/>
        <color theme="1"/>
        <rFont val="Times New Roman"/>
        <family val="1"/>
      </rPr>
      <t xml:space="preserve">191 No, por aquí, ¿qué fiesta </t>
    </r>
    <r>
      <rPr>
        <b/>
        <sz val="12"/>
        <color theme="1"/>
        <rFont val="Times New Roman"/>
        <family val="1"/>
      </rPr>
      <t>va a haber</t>
    </r>
    <r>
      <rPr>
        <sz val="12"/>
        <color theme="1"/>
        <rFont val="Times New Roman"/>
        <family val="1"/>
      </rPr>
      <t>?</t>
    </r>
  </si>
  <si>
    <r>
      <t>SJ02713H96</t>
    </r>
    <r>
      <rPr>
        <b/>
        <sz val="12"/>
        <color theme="1"/>
        <rFont val="Times New Roman"/>
        <family val="1"/>
      </rPr>
      <t>/</t>
    </r>
    <r>
      <rPr>
        <sz val="12"/>
        <color theme="1"/>
        <rFont val="Times New Roman"/>
        <family val="1"/>
      </rPr>
      <t xml:space="preserve">242-246 ... no y hablando de, de, de las cosas porque legalmente hoy en día es un privilegio porque se ha visto tantas cosas y tanto adelanto, y </t>
    </r>
    <r>
      <rPr>
        <b/>
        <sz val="12"/>
        <color theme="1"/>
        <rFont val="Times New Roman"/>
        <family val="1"/>
      </rPr>
      <t>vamos a ver</t>
    </r>
    <r>
      <rPr>
        <sz val="12"/>
        <color theme="1"/>
        <rFont val="Times New Roman"/>
        <family val="1"/>
      </rPr>
      <t xml:space="preserve"> ese adelanto parece que tembién ha sido un poquito, se pone uno bien en las cosas porque uno está bien pero pa’ otro sistema, es un gasto terrible porque hoy en día y ese... antes no había cupones, había una PRA como decían la PRA, pero no había cupones</t>
    </r>
  </si>
  <si>
    <r>
      <t>SJ02713H96</t>
    </r>
    <r>
      <rPr>
        <b/>
        <sz val="12"/>
        <color theme="1"/>
        <rFont val="Times New Roman"/>
        <family val="1"/>
      </rPr>
      <t>/</t>
    </r>
    <r>
      <rPr>
        <sz val="12"/>
        <color theme="1"/>
        <rFont val="Times New Roman"/>
        <family val="1"/>
      </rPr>
      <t xml:space="preserve">343-349 y antes los muertos había que llevarlos a mano, y hoy en día tú bajas en el gran fúnebre, y en el gran fúnebre y vas tú montá ahí, durmiendo, mire ahí pa’llá pa’l hoyo y usted va en su buen coche montaíta, antes era a mano que muchos jamaquiones daba, y párate aquí ahora, y uno cambiando de mano... toma, cógelo tú ahora, cógela tú ahora y decían después cuando estaban llegando al cementerio, siempre decían, qué mucho pesa y se ponían y que a pesar a los muertos y qué </t>
    </r>
    <r>
      <rPr>
        <b/>
        <sz val="12"/>
        <color theme="1"/>
        <rFont val="Times New Roman"/>
        <family val="1"/>
      </rPr>
      <t>será</t>
    </r>
    <r>
      <rPr>
        <sz val="12"/>
        <color theme="1"/>
        <rFont val="Times New Roman"/>
        <family val="1"/>
      </rPr>
      <t xml:space="preserve"> eso, yo mismo decía qué es eso, ¿tú has oido eso? Qué mucho pesa, ¡tú también estás viejita sabes!</t>
    </r>
  </si>
  <si>
    <r>
      <t>SJ02713H96</t>
    </r>
    <r>
      <rPr>
        <b/>
        <sz val="12"/>
        <color theme="1"/>
        <rFont val="Times New Roman"/>
        <family val="1"/>
      </rPr>
      <t>/</t>
    </r>
    <r>
      <rPr>
        <sz val="12"/>
        <color theme="1"/>
        <rFont val="Times New Roman"/>
        <family val="1"/>
      </rPr>
      <t xml:space="preserve">357-359A hoy en día lo, lo, lo, eso sale de allá de la funeraria, bueno, pa’tal hora tienes que ir allá y si no tienes carro y no tienes quién te lleve, no </t>
    </r>
    <r>
      <rPr>
        <b/>
        <sz val="12"/>
        <color theme="1"/>
        <rFont val="Times New Roman"/>
        <family val="1"/>
      </rPr>
      <t>puedes</t>
    </r>
    <r>
      <rPr>
        <sz val="12"/>
        <color theme="1"/>
        <rFont val="Times New Roman"/>
        <family val="1"/>
      </rPr>
      <t xml:space="preserve"> ver el muerto, y aunque el muerto no te va a ver a ti tampoco, pero ahí vamos, entonces la vida era...</t>
    </r>
  </si>
  <si>
    <r>
      <t>SJ02713H96</t>
    </r>
    <r>
      <rPr>
        <b/>
        <sz val="12"/>
        <color theme="1"/>
        <rFont val="Times New Roman"/>
        <family val="1"/>
      </rPr>
      <t>/</t>
    </r>
    <r>
      <rPr>
        <sz val="12"/>
        <color theme="1"/>
        <rFont val="Times New Roman"/>
        <family val="1"/>
      </rPr>
      <t xml:space="preserve">357-359B hoy en día lo, lo, lo, eso sale de allá de la funeraria, bueno, pa’tal hora tienes que ir allá y si no tienes carro y no tienes quién te lleve, no puedes ver el muerto, y aunque el muerto no te </t>
    </r>
    <r>
      <rPr>
        <b/>
        <sz val="12"/>
        <color theme="1"/>
        <rFont val="Times New Roman"/>
        <family val="1"/>
      </rPr>
      <t xml:space="preserve">va a ver </t>
    </r>
    <r>
      <rPr>
        <sz val="12"/>
        <color theme="1"/>
        <rFont val="Times New Roman"/>
        <family val="1"/>
      </rPr>
      <t>a ti tampoco, pero ahí vamos, entonces la vida era...</t>
    </r>
  </si>
  <si>
    <r>
      <t>SJ02713H96</t>
    </r>
    <r>
      <rPr>
        <b/>
        <sz val="12"/>
        <color theme="1"/>
        <rFont val="Times New Roman"/>
        <family val="1"/>
      </rPr>
      <t>/</t>
    </r>
    <r>
      <rPr>
        <sz val="12"/>
        <color theme="1"/>
        <rFont val="Times New Roman"/>
        <family val="1"/>
      </rPr>
      <t xml:space="preserve">371-375 no había luz, y cualquiera iba y hacía cualquier invento o algo pero que como tal árbol de navidad hoy en día el más pobre el que no lo tenía antes y quiere llegar a eso, rápido va y lo compra, </t>
    </r>
    <r>
      <rPr>
        <b/>
        <sz val="12"/>
        <color theme="1"/>
        <rFont val="Times New Roman"/>
        <family val="1"/>
      </rPr>
      <t>vamos a ver</t>
    </r>
    <r>
      <rPr>
        <sz val="12"/>
        <color theme="1"/>
        <rFont val="Times New Roman"/>
        <family val="1"/>
      </rPr>
      <t xml:space="preserve"> cómo funciona esto, y se compra un montón de, de estrellas y bombillas y dice esto era lo que usaban antes aquellos que tenían luz, pero nosotros no teníamos […]</t>
    </r>
  </si>
  <si>
    <r>
      <t>SJ02713H96</t>
    </r>
    <r>
      <rPr>
        <b/>
        <sz val="12"/>
        <color theme="1"/>
        <rFont val="Times New Roman"/>
        <family val="1"/>
      </rPr>
      <t>/</t>
    </r>
    <r>
      <rPr>
        <sz val="12"/>
        <color theme="1"/>
        <rFont val="Times New Roman"/>
        <family val="1"/>
      </rPr>
      <t xml:space="preserve">387-392A de ahora yo le señalo no, coge allí a la derecha, allí dobla y a la izquierda, </t>
    </r>
    <r>
      <rPr>
        <b/>
        <sz val="12"/>
        <color theme="1"/>
        <rFont val="Times New Roman"/>
        <family val="1"/>
      </rPr>
      <t>vas a ver</t>
    </r>
    <r>
      <rPr>
        <sz val="12"/>
        <color theme="1"/>
        <rFont val="Times New Roman"/>
        <family val="1"/>
      </rPr>
      <t xml:space="preserve"> el letrero, ah, pero antes como no había que decirle vas a doblar allí a la izquierda, porque eso, antes lo que había era una carretera de ahí, de ahí a allá, y la de Caguas de allá a allá, pero que tú sabes que era el sistema, y antes no había que decirle mire, doble aquí doble, porque esto era recta, ahora no, ahora hay caminos que en esa misma carrtera que esa era la 842</t>
    </r>
  </si>
  <si>
    <r>
      <t>SJ02713H96</t>
    </r>
    <r>
      <rPr>
        <b/>
        <sz val="12"/>
        <color theme="1"/>
        <rFont val="Times New Roman"/>
        <family val="1"/>
      </rPr>
      <t>/</t>
    </r>
    <r>
      <rPr>
        <sz val="12"/>
        <color theme="1"/>
        <rFont val="Times New Roman"/>
        <family val="1"/>
      </rPr>
      <t xml:space="preserve">387-392B de ahora yo le señalo no, coge allí a la derecha, allí dobla y a la izquierda, vas a ver el letrero, ah, pero antes como no había que decirle </t>
    </r>
    <r>
      <rPr>
        <b/>
        <sz val="12"/>
        <color theme="1"/>
        <rFont val="Times New Roman"/>
        <family val="1"/>
      </rPr>
      <t xml:space="preserve">vas a doblar </t>
    </r>
    <r>
      <rPr>
        <sz val="12"/>
        <color theme="1"/>
        <rFont val="Times New Roman"/>
        <family val="1"/>
      </rPr>
      <t>allí a la izquierda, porque eso, antes lo que había era una carretera de ahí, de ahí a allá, y la de Caguas de allá a allá, pero que tú sabes que era el sistema, y antes no había que decirle mire, doble aquí doble, porque esto era recta, ahora no, ahora hay caminos que en esa misma carrtera que esa era la 842</t>
    </r>
  </si>
  <si>
    <r>
      <t>SJ02713H96</t>
    </r>
    <r>
      <rPr>
        <b/>
        <sz val="12"/>
        <color theme="1"/>
        <rFont val="Times New Roman"/>
        <family val="1"/>
      </rPr>
      <t>/</t>
    </r>
    <r>
      <rPr>
        <sz val="12"/>
        <color theme="1"/>
        <rFont val="Times New Roman"/>
        <family val="1"/>
      </rPr>
      <t xml:space="preserve">407-413A El que atiende es otro personal, antes te atendían los de aquí, pero ahora tú </t>
    </r>
    <r>
      <rPr>
        <b/>
        <sz val="12"/>
        <color theme="1"/>
        <rFont val="Times New Roman"/>
        <family val="1"/>
      </rPr>
      <t>vas a pagar</t>
    </r>
    <r>
      <rPr>
        <sz val="12"/>
        <color theme="1"/>
        <rFont val="Times New Roman"/>
        <family val="1"/>
      </rPr>
      <t xml:space="preserve">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t>
    </r>
  </si>
  <si>
    <r>
      <t>SJ02713H96</t>
    </r>
    <r>
      <rPr>
        <b/>
        <sz val="12"/>
        <color theme="1"/>
        <rFont val="Times New Roman"/>
        <family val="1"/>
      </rPr>
      <t>/</t>
    </r>
    <r>
      <rPr>
        <sz val="12"/>
        <color theme="1"/>
        <rFont val="Times New Roman"/>
        <family val="1"/>
      </rPr>
      <t xml:space="preserve">407-413B El que atiende es otro personal, antes te atendían los de aquí, pero ahora tú vas a pagar al mercado te </t>
    </r>
    <r>
      <rPr>
        <b/>
        <sz val="12"/>
        <color theme="1"/>
        <rFont val="Times New Roman"/>
        <family val="1"/>
      </rPr>
      <t>van a atender</t>
    </r>
    <r>
      <rPr>
        <sz val="12"/>
        <color theme="1"/>
        <rFont val="Times New Roman"/>
        <family val="1"/>
      </rPr>
      <t xml:space="preserve">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t>
    </r>
  </si>
  <si>
    <r>
      <t>SJ02713H96</t>
    </r>
    <r>
      <rPr>
        <b/>
        <sz val="12"/>
        <color theme="1"/>
        <rFont val="Times New Roman"/>
        <family val="1"/>
      </rPr>
      <t>/</t>
    </r>
    <r>
      <rPr>
        <sz val="12"/>
        <color theme="1"/>
        <rFont val="Times New Roman"/>
        <family val="1"/>
      </rPr>
      <t xml:space="preserve">407-413C El que atiende es otro personal, antes te atendían los de aquí, pero ahora tú vas a pagar al mercado te van a atender los dominicanos son los que te </t>
    </r>
    <r>
      <rPr>
        <b/>
        <sz val="12"/>
        <color theme="1"/>
        <rFont val="Times New Roman"/>
        <family val="1"/>
      </rPr>
      <t>van a atender</t>
    </r>
    <r>
      <rPr>
        <sz val="12"/>
        <color theme="1"/>
        <rFont val="Times New Roman"/>
        <family val="1"/>
      </rPr>
      <t xml:space="preserve">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t>
    </r>
  </si>
  <si>
    <r>
      <t>SJ02713H96</t>
    </r>
    <r>
      <rPr>
        <b/>
        <sz val="12"/>
        <color theme="1"/>
        <rFont val="Times New Roman"/>
        <family val="1"/>
      </rPr>
      <t>/</t>
    </r>
    <r>
      <rPr>
        <sz val="12"/>
        <color theme="1"/>
        <rFont val="Times New Roman"/>
        <family val="1"/>
      </rPr>
      <t xml:space="preserve">407-413D El que atiende es otro personal, antes te atendían los de aquí, pero ahora tú vas a pagar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t>
    </r>
    <r>
      <rPr>
        <b/>
        <sz val="12"/>
        <color theme="1"/>
        <rFont val="Times New Roman"/>
        <family val="1"/>
      </rPr>
      <t>vas a compartir</t>
    </r>
    <r>
      <rPr>
        <sz val="12"/>
        <color theme="1"/>
        <rFont val="Times New Roman"/>
        <family val="1"/>
      </rPr>
      <t xml:space="preserve"> con el dominicano, que es el que, ellos se han adueñado de eso ahí, de esa plaza, yo quisiera que tu fueras para que tú chequiaras cómo está eso.</t>
    </r>
  </si>
  <si>
    <r>
      <t>SJ02713H96</t>
    </r>
    <r>
      <rPr>
        <b/>
        <sz val="12"/>
        <color theme="1"/>
        <rFont val="Times New Roman"/>
        <family val="1"/>
      </rPr>
      <t>/</t>
    </r>
    <r>
      <rPr>
        <sz val="12"/>
        <color theme="1"/>
        <rFont val="Times New Roman"/>
        <family val="1"/>
      </rPr>
      <t xml:space="preserve">564-567 entoces si ustedes se ponen a hacer tesoros aquí acuérdense que el otro los está velando, no </t>
    </r>
    <r>
      <rPr>
        <b/>
        <sz val="12"/>
        <color theme="1"/>
        <rFont val="Times New Roman"/>
        <family val="1"/>
      </rPr>
      <t>van a dormir</t>
    </r>
    <r>
      <rPr>
        <sz val="12"/>
        <color theme="1"/>
        <rFont val="Times New Roman"/>
        <family val="1"/>
      </rPr>
      <t xml:space="preserve"> tranquilos porque puede venir a media noche un ladrón, y hoy en día lo que hay es pistola, hoy en día es pum, pum, hoy en día no hay, no hay ese break, ese día, hoy en día es pistola</t>
    </r>
  </si>
  <si>
    <r>
      <t>SJ02713H96</t>
    </r>
    <r>
      <rPr>
        <b/>
        <sz val="12"/>
        <color theme="1"/>
        <rFont val="Times New Roman"/>
        <family val="1"/>
      </rPr>
      <t>/</t>
    </r>
    <r>
      <rPr>
        <sz val="12"/>
        <color theme="1"/>
        <rFont val="Times New Roman"/>
        <family val="1"/>
      </rPr>
      <t xml:space="preserve">571-574 yo me </t>
    </r>
    <r>
      <rPr>
        <b/>
        <sz val="12"/>
        <color theme="1"/>
        <rFont val="Times New Roman"/>
        <family val="1"/>
      </rPr>
      <t>voy a sacrificar</t>
    </r>
    <r>
      <rPr>
        <sz val="12"/>
        <color theme="1"/>
        <rFont val="Times New Roman"/>
        <family val="1"/>
      </rPr>
      <t xml:space="preserve"> por esto, pero que no tiene obediencia, y si usted no tiene obediencia no, no esté buscando reino del cielo, no diga, yo le digo a veces para dónde va, para dónde va, qué busca porque realmente a veces uno busca lo más lo material, que lo espiritual, que lo espiritual</t>
    </r>
  </si>
  <si>
    <t>SJ02713H96</t>
  </si>
  <si>
    <r>
      <t>SJ02713H96</t>
    </r>
    <r>
      <rPr>
        <b/>
        <sz val="12"/>
        <color theme="1"/>
        <rFont val="Times New Roman"/>
        <family val="1"/>
      </rPr>
      <t>/</t>
    </r>
    <r>
      <rPr>
        <sz val="12"/>
        <color theme="1"/>
        <rFont val="Times New Roman"/>
        <family val="1"/>
      </rPr>
      <t>453-455A quiero hacer</t>
    </r>
    <r>
      <rPr>
        <b/>
        <sz val="12"/>
        <color theme="1"/>
        <rFont val="Times New Roman"/>
        <family val="1"/>
      </rPr>
      <t xml:space="preserve"> voy a pintarme</t>
    </r>
    <r>
      <rPr>
        <sz val="12"/>
        <color theme="1"/>
        <rFont val="Times New Roman"/>
        <family val="1"/>
      </rPr>
      <t xml:space="preserve"> el pelo y voy a ver .... a veces con cinco pantallas en una oreja, seis y siete, tú sabes lo que es eso verdad, seis pantallitas metidas en la oreja</t>
    </r>
  </si>
  <si>
    <r>
      <t>SJ02713H96</t>
    </r>
    <r>
      <rPr>
        <b/>
        <sz val="12"/>
        <color theme="1"/>
        <rFont val="Times New Roman"/>
        <family val="1"/>
      </rPr>
      <t>/</t>
    </r>
    <r>
      <rPr>
        <sz val="12"/>
        <color theme="1"/>
        <rFont val="Times New Roman"/>
        <family val="1"/>
      </rPr>
      <t xml:space="preserve">453-455B quiero hacer voy a pintarme el pelo y </t>
    </r>
    <r>
      <rPr>
        <b/>
        <sz val="12"/>
        <color theme="1"/>
        <rFont val="Times New Roman"/>
        <family val="1"/>
      </rPr>
      <t>voy a ver</t>
    </r>
    <r>
      <rPr>
        <sz val="12"/>
        <color theme="1"/>
        <rFont val="Times New Roman"/>
        <family val="1"/>
      </rPr>
      <t xml:space="preserve"> .... a veces con cinco pantallas en una oreja, seis y siete, tú sabes lo que es eso verdad, seis pantallitas metidas en la oreja</t>
    </r>
  </si>
  <si>
    <t>SJ3123H96</t>
  </si>
  <si>
    <r>
      <t xml:space="preserve">SJ3123H96/152-157A Tiene que ser hacerlo [divorciarse], porque si uno vive con una pareja no se supone que no, que no se llevan, verdad, que no pueden estar de acuerdo y es una pelea, es un infierno todo el tiempo, pues, en ese caso el divorcio, pues, sería la solución, pero yo me creo que uno antes de...cuando se </t>
    </r>
    <r>
      <rPr>
        <b/>
        <sz val="12"/>
        <color theme="1"/>
        <rFont val="Times New Roman"/>
        <family val="1"/>
      </rPr>
      <t>va a casar</t>
    </r>
    <r>
      <rPr>
        <sz val="12"/>
        <color theme="1"/>
        <rFont val="Times New Roman"/>
        <family val="1"/>
      </rPr>
      <t>, pues, buscar la pareja, tú sabes, para que por lo menos eso no...suceda el mismo, siempre va a suceder.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t>
    </r>
  </si>
  <si>
    <r>
      <t xml:space="preserve">SJ3123H96/152-157B Tiene que ser hacerlo [divorciarse], porque si uno vive con una pareja no se supone que no, que no se llevan, verdad, que no pueden estar de acuerdo y es una pelea, es un infierno todo el tiempo, pues, en ese caso el divorcio, pues, sería la solución, pero yo me creo que uno antes de...cuando se va a casar, pues, buscar la pareja, tú sabes, para que por lo menos eso no...suceda el mismo, siempre </t>
    </r>
    <r>
      <rPr>
        <b/>
        <sz val="12"/>
        <color theme="1"/>
        <rFont val="Times New Roman"/>
        <family val="1"/>
      </rPr>
      <t>va a suceder</t>
    </r>
    <r>
      <rPr>
        <sz val="12"/>
        <color theme="1"/>
        <rFont val="Times New Roman"/>
        <family val="1"/>
      </rPr>
      <t xml:space="preserve">.  </t>
    </r>
  </si>
  <si>
    <r>
      <t xml:space="preserve">SJ3123H96/157-161A El divorcio siempre </t>
    </r>
    <r>
      <rPr>
        <b/>
        <sz val="12"/>
        <color theme="1"/>
        <rFont val="Times New Roman"/>
        <family val="1"/>
      </rPr>
      <t>va a existir</t>
    </r>
    <r>
      <rPr>
        <sz val="12"/>
        <color theme="1"/>
        <rFont val="Times New Roman"/>
        <family val="1"/>
      </rPr>
      <t>,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t>
    </r>
  </si>
  <si>
    <r>
      <t xml:space="preserve">SJ3123H96/157-161B El divorcio siempre va a existir, no creo que tampoco...yo creo que esas partes, como te digo si tú antes de llegar a un con... puedes escoger la pareja bien, pues tienen un setenta y cinco porciento a que no, a que no tenga ese problema de divorcio, pero siempre en algunas parejas </t>
    </r>
    <r>
      <rPr>
        <b/>
        <sz val="12"/>
        <color theme="1"/>
        <rFont val="Times New Roman"/>
        <family val="1"/>
      </rPr>
      <t>va a suceder</t>
    </r>
    <r>
      <rPr>
        <sz val="12"/>
        <color theme="1"/>
        <rFont val="Times New Roman"/>
        <family val="1"/>
      </rPr>
      <t xml:space="preserve"> porque...y va a ser necesaria, ya tú sabes como está hoy día la...muchas personas que se matan.</t>
    </r>
  </si>
  <si>
    <r>
      <t xml:space="preserve">SJ3123H96/157-161A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t>
    </r>
    <r>
      <rPr>
        <b/>
        <sz val="12"/>
        <color theme="1"/>
        <rFont val="Times New Roman"/>
        <family val="1"/>
      </rPr>
      <t>va a ser</t>
    </r>
    <r>
      <rPr>
        <sz val="12"/>
        <color theme="1"/>
        <rFont val="Times New Roman"/>
        <family val="1"/>
      </rPr>
      <t xml:space="preserve"> necesaria, ya tú sabes como está hoy día la...muchas personas que se matan.</t>
    </r>
  </si>
  <si>
    <r>
      <t xml:space="preserve">SJ3123H96/203-211 Todo ha ido cambiando, </t>
    </r>
    <r>
      <rPr>
        <b/>
        <sz val="12"/>
        <color theme="1"/>
        <rFont val="Times New Roman"/>
        <family val="1"/>
      </rPr>
      <t>vamos a poner</t>
    </r>
    <r>
      <rPr>
        <sz val="12"/>
        <color theme="1"/>
        <rFont val="Times New Roman"/>
        <family val="1"/>
      </rPr>
      <t xml:space="preserve"> la política, pues, ya hoy día...yo no sé como que la mayoría de los líderes, la mayoría de la gente no... ni confiamos en ellos, a veces votamos, a veces hasta por votar y a veces uno no, no le dan ni deseos de ir a votar, porque los líderes hoy día pues, no sé, como que ya no son líderes, ya no es como antes, aquellos líderes de antes pues, eran como que más rectos y, venía con al misma situación de la vida ahora, quizás como ha cambiado también, el mundo, pues, que los políticos como que han cambiado también ahora y son bastantes diferentes, como que están pensando más en ellos que...que en el pueblo, y eso pasa en todos los partidos, por eso no hay, yo no veo diferencia en ninguno.  </t>
    </r>
  </si>
  <si>
    <r>
      <t xml:space="preserve">SJ3123H96/232-238 Yo antes votaba íntegro también así, por el partido y ya...ahora pienso que hay que votar por los mejores candidatos, tú sabes, escoger de todos los partidos, todos los partidos tienen...gente buena y tienen gente mala y regular y hay que ir buscando de todos los partidos hay que buscar la gente para que Puerto Rico mejore en cuanto a eso, tú sabes, por ejemplo si uno ve que un independentista es bueno, si ve que un estadista es bueno, pues hay que votar por él...o popular, lo que...tú sabes lo que sea, socialista, quien sea después que uno piense que </t>
    </r>
    <r>
      <rPr>
        <b/>
        <sz val="12"/>
        <color theme="1"/>
        <rFont val="Times New Roman"/>
        <family val="1"/>
      </rPr>
      <t xml:space="preserve">va a hacer </t>
    </r>
    <r>
      <rPr>
        <sz val="12"/>
        <color theme="1"/>
        <rFont val="Times New Roman"/>
        <family val="1"/>
      </rPr>
      <t>el trabajo...yo creo que lo que hay que votar mixto, es lo que yo creo, actualmente.</t>
    </r>
  </si>
  <si>
    <r>
      <t xml:space="preserve">SJ3123H96/260-266 Seguro, porque fíjate que tú llegas a alcalde de San Juan y por ejemplo y...y ¿cómo se llama? ese es un paso para la gobernación y a veces los mismos tuyos cuando ven que tú </t>
    </r>
    <r>
      <rPr>
        <b/>
        <sz val="12"/>
        <color theme="1"/>
        <rFont val="Times New Roman"/>
        <family val="1"/>
      </rPr>
      <t>vas a ganar</t>
    </r>
    <r>
      <rPr>
        <sz val="12"/>
        <color theme="1"/>
        <rFont val="Times New Roman"/>
        <family val="1"/>
      </rPr>
      <t xml:space="preserve"> ese paso, pues a veces hasta no te ayudan para que tú pierdas, para que, para que no, porque saben que está peligrando el..la gobernación de ellos, o sea, el puesto de ellos y a veces pues te aterrochan, y eso mismo pasa con Cucuza y eso pasa con todo, y hay tú sabes, ahí tú sabes tienes el caso de Melo Muñoz, ese es otro caso, que tú sabes, que los mismos populares fue la que no, como quien dice la...le troncharon la carrera.  </t>
    </r>
  </si>
  <si>
    <r>
      <t xml:space="preserve">SJ3123H96/267-268 Cuando ellas suben, suben y suben hasta que...tienen un límite, después de ese último paso ese </t>
    </r>
    <r>
      <rPr>
        <b/>
        <sz val="12"/>
        <color theme="1"/>
        <rFont val="Times New Roman"/>
        <family val="1"/>
      </rPr>
      <t>es</t>
    </r>
    <r>
      <rPr>
        <sz val="12"/>
        <color theme="1"/>
        <rFont val="Times New Roman"/>
        <family val="1"/>
      </rPr>
      <t xml:space="preserve"> el que se le hace difícil.</t>
    </r>
  </si>
  <si>
    <r>
      <t xml:space="preserve">SJ3123H96/267-268 Cuando ellas suben, suben y suben hasta que...tienen un límite, después de ese último paso ese es el que se le </t>
    </r>
    <r>
      <rPr>
        <b/>
        <sz val="12"/>
        <color theme="1"/>
        <rFont val="Times New Roman"/>
        <family val="1"/>
      </rPr>
      <t>hace</t>
    </r>
    <r>
      <rPr>
        <sz val="12"/>
        <color theme="1"/>
        <rFont val="Times New Roman"/>
        <family val="1"/>
      </rPr>
      <t xml:space="preserve"> difícil.</t>
    </r>
  </si>
  <si>
    <r>
      <t xml:space="preserve">SJ3123H96/279-281A </t>
    </r>
    <r>
      <rPr>
        <b/>
        <sz val="12"/>
        <color theme="1"/>
        <rFont val="Times New Roman"/>
        <family val="1"/>
      </rPr>
      <t>Llegará</t>
    </r>
    <r>
      <rPr>
        <sz val="12"/>
        <color theme="1"/>
        <rFont val="Times New Roman"/>
        <family val="1"/>
      </rPr>
      <t xml:space="preserve"> el día en que en Puerto Rico haya una gobernadora y que eso, tú sabes como se llama, que se le haga más fácil a ellas, pero, pero ellas van a ser, ellas van a ser las ¿cómo se llama? las que van a abrir el camino de eso, las que están abriendo el camino.</t>
    </r>
  </si>
  <si>
    <r>
      <t xml:space="preserve">SJ3123H96/279-281B Llegará el día en que en Puerto Rico haya una gobernadora y que eso, tú sabes como se llama, que se le haga más fácil a ellas, pero, pero ellas </t>
    </r>
    <r>
      <rPr>
        <b/>
        <sz val="12"/>
        <color theme="1"/>
        <rFont val="Times New Roman"/>
        <family val="1"/>
      </rPr>
      <t>van a ser</t>
    </r>
    <r>
      <rPr>
        <sz val="12"/>
        <color theme="1"/>
        <rFont val="Times New Roman"/>
        <family val="1"/>
      </rPr>
      <t>, ellas van a ser las ¿cómo se llama? las que van a abrir el camino de eso, las que están abriendo el camino.</t>
    </r>
  </si>
  <si>
    <r>
      <t xml:space="preserve">SJ3123H96/279-281C Llegará el día en que en Puerto Rico haya una gobernadora y que eso, tú sabes como se llama, que se le haga más fácil a ellas, pero, pero ellas van a ser, ellas </t>
    </r>
    <r>
      <rPr>
        <b/>
        <sz val="12"/>
        <color theme="1"/>
        <rFont val="Times New Roman"/>
        <family val="1"/>
      </rPr>
      <t xml:space="preserve">van a ser </t>
    </r>
    <r>
      <rPr>
        <sz val="12"/>
        <color theme="1"/>
        <rFont val="Times New Roman"/>
        <family val="1"/>
      </rPr>
      <t>las ¿cómo se llama? las que van a abrir el camino de eso, las que están abriendo el camino.</t>
    </r>
  </si>
  <si>
    <r>
      <t xml:space="preserve">SJ3123H96/279-281D Llegará el día en que en Puerto Rico haya una gobernadora y que eso, tú sabes como se llama, que se le haga más fácil a ellas, pero, pero ellas van a ser, ellas van a ser las ¿cómo se llama? las que </t>
    </r>
    <r>
      <rPr>
        <b/>
        <sz val="12"/>
        <color theme="1"/>
        <rFont val="Times New Roman"/>
        <family val="1"/>
      </rPr>
      <t>van a abrir</t>
    </r>
    <r>
      <rPr>
        <sz val="12"/>
        <color theme="1"/>
        <rFont val="Times New Roman"/>
        <family val="1"/>
      </rPr>
      <t xml:space="preserve"> el camino de eso, las que están abriendo el camino.</t>
    </r>
  </si>
  <si>
    <r>
      <t>SJ3123H96/288-291 Sabe, en Puerto Rico, y es más y es posible que todo lo que estamos hablando verdad...verdad de...las cosas cómo cambian, pero eso es una de las cosas también que ...que nos dividen en Puerto Rico porque, tú sabes los partidos están divididos y los...mientras no resuelvan el estatus, pues, olvídate que ...</t>
    </r>
    <r>
      <rPr>
        <b/>
        <sz val="12"/>
        <color theme="1"/>
        <rFont val="Times New Roman"/>
        <family val="1"/>
      </rPr>
      <t>va a estar</t>
    </r>
    <r>
      <rPr>
        <sz val="12"/>
        <color theme="1"/>
        <rFont val="Times New Roman"/>
        <family val="1"/>
      </rPr>
      <t xml:space="preserve"> esto así.  </t>
    </r>
  </si>
  <si>
    <r>
      <t xml:space="preserve">SJ3123H96/383-384 El pequeño es el que yo creo que </t>
    </r>
    <r>
      <rPr>
        <b/>
        <sz val="12"/>
        <color theme="1"/>
        <rFont val="Times New Roman"/>
        <family val="1"/>
      </rPr>
      <t>va a salir</t>
    </r>
    <r>
      <rPr>
        <sz val="12"/>
        <color theme="1"/>
        <rFont val="Times New Roman"/>
        <family val="1"/>
      </rPr>
      <t>, también, comerciante.</t>
    </r>
  </si>
  <si>
    <t>duda</t>
  </si>
  <si>
    <t>SJ3223H96</t>
  </si>
  <si>
    <r>
      <t xml:space="preserve">SJ3223H96/78-79A De aquí si te cuento una anécdota que me pasó ayer, tú no me lo </t>
    </r>
    <r>
      <rPr>
        <b/>
        <sz val="12"/>
        <color theme="1"/>
        <rFont val="Times New Roman"/>
        <family val="1"/>
      </rPr>
      <t>crees</t>
    </r>
    <r>
      <rPr>
        <sz val="12"/>
        <color theme="1"/>
        <rFont val="Times New Roman"/>
        <family val="1"/>
      </rPr>
      <t xml:space="preserve">, pero no te la voy a contar eso es un espergrullo.  </t>
    </r>
  </si>
  <si>
    <r>
      <t xml:space="preserve">SJ3223H96/78-79B De aquí si te cuento una anécdota que me pasó ayer, tú no me lo crees, pero no te la </t>
    </r>
    <r>
      <rPr>
        <b/>
        <sz val="12"/>
        <color theme="1"/>
        <rFont val="Times New Roman"/>
        <family val="1"/>
      </rPr>
      <t>voy a contar</t>
    </r>
    <r>
      <rPr>
        <sz val="12"/>
        <color theme="1"/>
        <rFont val="Times New Roman"/>
        <family val="1"/>
      </rPr>
      <t xml:space="preserve"> eso es un espergrullo.  </t>
    </r>
  </si>
  <si>
    <r>
      <t xml:space="preserve">SJ3223H96/129-136 En un lado, la liberación femenina tiene que ver y tú me perdonas que seas mujer o una dama, perdón, porque ahora el matrimonio es un contrato, ahora...tú te </t>
    </r>
    <r>
      <rPr>
        <b/>
        <sz val="12"/>
        <color theme="1"/>
        <rFont val="Times New Roman"/>
        <family val="1"/>
      </rPr>
      <t>vas a...trabajar,</t>
    </r>
    <r>
      <rPr>
        <sz val="12"/>
        <color theme="1"/>
        <rFont val="Times New Roman"/>
        <family val="1"/>
      </rPr>
      <t xml:space="preserve"> tu mujer también tiene que trabajar, tú pagas una parte, él paga otra, ya el niño está en la escuela solo, lo suel, lo suel, lo sueltan en el colegio, se fueron a trabajar cuando vinieron el hijo está en la casa no saben si hicieron asignación, si están jugando misterio o están jugando baraja o están jugando parchí, o cualquier clase de juego, pero no está pendiente a la escuela, ya el padre no le pregunta: “Mira, hiciste la asignación, mira, hiciste esto.”, nada.</t>
    </r>
  </si>
  <si>
    <r>
      <t xml:space="preserve">SJ3223H96/142-146 Yo cocinaba por la mañana y mi hermana cocinaba por la tarde, pues, ahora dime de un niño que cocine ahora, que no saben, no saben ni hacer un huevo frito, sino, vamos para Burguer King o Kentuky, papi me </t>
    </r>
    <r>
      <rPr>
        <b/>
        <sz val="12"/>
        <color theme="1"/>
        <rFont val="Times New Roman"/>
        <family val="1"/>
      </rPr>
      <t>va a dar</t>
    </r>
    <r>
      <rPr>
        <sz val="12"/>
        <color theme="1"/>
        <rFont val="Times New Roman"/>
        <family val="1"/>
      </rPr>
      <t xml:space="preserve"> chavos, por eso hoy en día están, como están  las cosas porque los padres no se ocupan de los niños, nada, ni religión le enseñan tan siquiera unos para un lado y otros para otro, así es que se vive hoy en día negrita.  </t>
    </r>
  </si>
  <si>
    <r>
      <t xml:space="preserve">SJ3223H96/174 No sé cómo </t>
    </r>
    <r>
      <rPr>
        <b/>
        <sz val="12"/>
        <color theme="1"/>
        <rFont val="Times New Roman"/>
        <family val="1"/>
      </rPr>
      <t>estará</t>
    </r>
    <r>
      <rPr>
        <sz val="12"/>
        <color theme="1"/>
        <rFont val="Times New Roman"/>
        <family val="1"/>
      </rPr>
      <t xml:space="preserve">, porque hace tiempo que no paso por ahí.  </t>
    </r>
  </si>
  <si>
    <r>
      <t xml:space="preserve">SJ3223H96/190-191 Siempre, siempre, siempre, siempre </t>
    </r>
    <r>
      <rPr>
        <b/>
        <sz val="12"/>
        <color theme="1"/>
        <rFont val="Times New Roman"/>
        <family val="1"/>
      </rPr>
      <t>anhelaré</t>
    </r>
    <r>
      <rPr>
        <sz val="12"/>
        <color theme="1"/>
        <rFont val="Times New Roman"/>
        <family val="1"/>
      </rPr>
      <t xml:space="preserve"> usar un uniforme o ser policía o pertenecer a la ----civil.  </t>
    </r>
  </si>
  <si>
    <r>
      <t xml:space="preserve">SJ3223H96/211 Si me pegko [la lotería] </t>
    </r>
    <r>
      <rPr>
        <b/>
        <sz val="12"/>
        <color theme="1"/>
        <rFont val="Times New Roman"/>
        <family val="1"/>
      </rPr>
      <t>hago</t>
    </r>
    <r>
      <rPr>
        <sz val="12"/>
        <color theme="1"/>
        <rFont val="Times New Roman"/>
        <family val="1"/>
      </rPr>
      <t xml:space="preserve"> un parque para los niños.</t>
    </r>
  </si>
  <si>
    <r>
      <t xml:space="preserve">SJ3223H96/228-229 (Sí.  ¿Qué harás cuando te retires?) Cuando Dios me retire </t>
    </r>
    <r>
      <rPr>
        <b/>
        <sz val="12"/>
        <color theme="1"/>
        <rFont val="Times New Roman"/>
        <family val="1"/>
      </rPr>
      <t>será</t>
    </r>
    <r>
      <rPr>
        <sz val="12"/>
        <color theme="1"/>
        <rFont val="Times New Roman"/>
        <family val="1"/>
      </rPr>
      <t xml:space="preserve"> que ma entierren.</t>
    </r>
  </si>
  <si>
    <r>
      <t xml:space="preserve">SJ3223H96/252-253 Voy para casa de Marabia, tengo ahí hecho arroz con vegetales </t>
    </r>
    <r>
      <rPr>
        <b/>
        <sz val="12"/>
        <color theme="1"/>
        <rFont val="Times New Roman"/>
        <family val="1"/>
      </rPr>
      <t>voy a comprar</t>
    </r>
    <r>
      <rPr>
        <sz val="12"/>
        <color theme="1"/>
        <rFont val="Times New Roman"/>
        <family val="1"/>
      </rPr>
      <t xml:space="preserve"> un, un crepo para hacer una ensalada y comer, bañarme y ver televisión.  </t>
    </r>
  </si>
  <si>
    <r>
      <t>SJ3223H96/262-263 O toda la noche si tengo que estarlo o nos</t>
    </r>
    <r>
      <rPr>
        <b/>
        <sz val="12"/>
        <color theme="1"/>
        <rFont val="Times New Roman"/>
        <family val="1"/>
      </rPr>
      <t xml:space="preserve"> vamos a pasear </t>
    </r>
    <r>
      <rPr>
        <sz val="12"/>
        <color theme="1"/>
        <rFont val="Times New Roman"/>
        <family val="1"/>
      </rPr>
      <t>por la isla a dar una vuelta por ahí a..a..ver ---de baile, ver las muchachas, las viejas y esas cosas, así.</t>
    </r>
  </si>
  <si>
    <r>
      <t xml:space="preserve">SJ3223H96/265-266 Ahora si decimos herencia </t>
    </r>
    <r>
      <rPr>
        <b/>
        <sz val="12"/>
        <color theme="1"/>
        <rFont val="Times New Roman"/>
        <family val="1"/>
      </rPr>
      <t>será</t>
    </r>
    <r>
      <rPr>
        <sz val="12"/>
        <color theme="1"/>
        <rFont val="Times New Roman"/>
        <family val="1"/>
      </rPr>
      <t xml:space="preserve"> ayudar a la…a mis hijos, a mis nietos, ayudarlos a que estudien y eso.  </t>
    </r>
  </si>
  <si>
    <r>
      <t xml:space="preserve">SJ3223H96/311-312 “Pero mira, muchacho, ¿cómo tú diablos tú </t>
    </r>
    <r>
      <rPr>
        <b/>
        <sz val="12"/>
        <color theme="1"/>
        <rFont val="Times New Roman"/>
        <family val="1"/>
      </rPr>
      <t>vas a pedir</t>
    </r>
    <r>
      <rPr>
        <sz val="12"/>
        <color theme="1"/>
        <rFont val="Times New Roman"/>
        <family val="1"/>
      </rPr>
      <t xml:space="preserve"> a pedir una muchacha si tú no usas ni pantaloncillos, canto descarado, so puerco, so fresco.”  </t>
    </r>
  </si>
  <si>
    <r>
      <t xml:space="preserve">SJ3223H96/329-314  Entonces, pues la mamá le dijo:  “Váyase, váyase al, al a la tienda y cómprese dos yardas de tela que el </t>
    </r>
    <r>
      <rPr>
        <b/>
        <sz val="12"/>
        <color theme="1"/>
        <rFont val="Times New Roman"/>
        <family val="1"/>
      </rPr>
      <t>voy a hacer</t>
    </r>
    <r>
      <rPr>
        <sz val="12"/>
        <color theme="1"/>
        <rFont val="Times New Roman"/>
        <family val="1"/>
      </rPr>
      <t xml:space="preserve"> unos pantaloncillos.”</t>
    </r>
  </si>
  <si>
    <r>
      <t xml:space="preserve">SJ3223H96/329-330 Entonces, pues viene, viene...el el... compadre y le dice a ...el.... esposo le dice a la mujer: “Esta noche </t>
    </r>
    <r>
      <rPr>
        <b/>
        <sz val="12"/>
        <color theme="1"/>
        <rFont val="Times New Roman"/>
        <family val="1"/>
      </rPr>
      <t>viene</t>
    </r>
    <r>
      <rPr>
        <sz val="12"/>
        <color theme="1"/>
        <rFont val="Times New Roman"/>
        <family val="1"/>
      </rPr>
      <t xml:space="preserve"> el compadre me lo atiendes”  “Ah, no hay problema”.</t>
    </r>
  </si>
  <si>
    <r>
      <t xml:space="preserve">SJ3223H96/330-332 Entonces cuando sale dice la cotorra: “Cotorrín si el compadre viene me lo </t>
    </r>
    <r>
      <rPr>
        <b/>
        <sz val="12"/>
        <color theme="1"/>
        <rFont val="Times New Roman"/>
        <family val="1"/>
      </rPr>
      <t>velas</t>
    </r>
    <r>
      <rPr>
        <sz val="12"/>
        <color theme="1"/>
        <rFont val="Times New Roman"/>
        <family val="1"/>
      </rPr>
      <t>”  “No hay problema, ----al compadre,---al compadre.”.</t>
    </r>
  </si>
  <si>
    <r>
      <t xml:space="preserve">SJ3223H96/334-335 Por la noche el hombre el hombre trabaja otra vez: “Cotorrrín, --el compadre”.  “---el compadre, el compadre </t>
    </r>
    <r>
      <rPr>
        <b/>
        <sz val="12"/>
        <color theme="1"/>
        <rFont val="Times New Roman"/>
        <family val="1"/>
      </rPr>
      <t>trae</t>
    </r>
    <r>
      <rPr>
        <sz val="12"/>
        <color theme="1"/>
        <rFont val="Times New Roman"/>
        <family val="1"/>
      </rPr>
      <t xml:space="preserve"> dulce”.  </t>
    </r>
  </si>
  <si>
    <r>
      <t xml:space="preserve">SJ3223H96/349-350A Y el hombre estaba caliente y le </t>
    </r>
    <r>
      <rPr>
        <b/>
        <sz val="12"/>
        <color theme="1"/>
        <rFont val="Times New Roman"/>
        <family val="1"/>
      </rPr>
      <t>va a echar</t>
    </r>
    <r>
      <rPr>
        <sz val="12"/>
        <color theme="1"/>
        <rFont val="Times New Roman"/>
        <family val="1"/>
      </rPr>
      <t xml:space="preserve"> mano a la muchacha y cuando ella va a brincar ella brinca y ¡fua! cae en una esquina.  </t>
    </r>
  </si>
  <si>
    <r>
      <t xml:space="preserve">SJ3223H96/349-350B Y el hombre estaba caliente y le va a echar mano a la muchacha y cuando ella </t>
    </r>
    <r>
      <rPr>
        <b/>
        <sz val="12"/>
        <color theme="1"/>
        <rFont val="Times New Roman"/>
        <family val="1"/>
      </rPr>
      <t>va a brincar</t>
    </r>
    <r>
      <rPr>
        <sz val="12"/>
        <color theme="1"/>
        <rFont val="Times New Roman"/>
        <family val="1"/>
      </rPr>
      <t xml:space="preserve"> ella brinca y ¡fua! cae en una esquina.  </t>
    </r>
  </si>
  <si>
    <r>
      <t xml:space="preserve">SJ3223H96/351-352A Y </t>
    </r>
    <r>
      <rPr>
        <b/>
        <sz val="12"/>
        <color theme="1"/>
        <rFont val="Times New Roman"/>
        <family val="1"/>
      </rPr>
      <t xml:space="preserve">va a correr </t>
    </r>
    <r>
      <rPr>
        <sz val="12"/>
        <color theme="1"/>
        <rFont val="Times New Roman"/>
        <family val="1"/>
      </rPr>
      <t>y ¡fua!, y cae en la otra esquina.  “Pero, negra ¿qué te pasa –vas a aplastar”  y la muchacha viene y cae en la otra esquina.</t>
    </r>
  </si>
  <si>
    <r>
      <t>SJ3223H96/351-352B Y va a correr y ¡fua!, y cae en la otra esquina.  “Pero, negra ¿qué te pasa –</t>
    </r>
    <r>
      <rPr>
        <b/>
        <sz val="12"/>
        <color theme="1"/>
        <rFont val="Times New Roman"/>
        <family val="1"/>
      </rPr>
      <t>vas a aplastar</t>
    </r>
    <r>
      <rPr>
        <sz val="12"/>
        <color theme="1"/>
        <rFont val="Times New Roman"/>
        <family val="1"/>
      </rPr>
      <t>”  y la muchacha viene y cae en la otra esquina.</t>
    </r>
  </si>
  <si>
    <r>
      <t xml:space="preserve">SJ3223H96/484-486A Si no sabes soportar eso, mija, entonces…la facilidad es “no </t>
    </r>
    <r>
      <rPr>
        <b/>
        <sz val="12"/>
        <color theme="1"/>
        <rFont val="Times New Roman"/>
        <family val="1"/>
      </rPr>
      <t>voy a matar</t>
    </r>
    <r>
      <rPr>
        <sz val="12"/>
        <color theme="1"/>
        <rFont val="Times New Roman"/>
        <family val="1"/>
      </rPr>
      <t>, aunque que me maten.  ---cuando un es joven, uno tiene edad las experiencias que uno coge.</t>
    </r>
  </si>
  <si>
    <r>
      <t xml:space="preserve">SJ3223H96/501-503 Yo me imagino que la viejita sea la mamá, del señor y la señora está dicendo que ella no quiere comer, a ver qué podían hacer.  Me imagino que </t>
    </r>
    <r>
      <rPr>
        <b/>
        <sz val="12"/>
        <color theme="1"/>
        <rFont val="Times New Roman"/>
        <family val="1"/>
      </rPr>
      <t>será</t>
    </r>
    <r>
      <rPr>
        <sz val="12"/>
        <color theme="1"/>
        <rFont val="Times New Roman"/>
        <family val="1"/>
      </rPr>
      <t xml:space="preserve"> meterla en un asilo o algo.  </t>
    </r>
  </si>
  <si>
    <r>
      <t xml:space="preserve">SJ3223H96/509 Una gorda ahí pamplona---mira, no </t>
    </r>
    <r>
      <rPr>
        <b/>
        <sz val="12"/>
        <color theme="1"/>
        <rFont val="Times New Roman"/>
        <family val="1"/>
      </rPr>
      <t>será</t>
    </r>
    <r>
      <rPr>
        <sz val="12"/>
        <color theme="1"/>
        <rFont val="Times New Roman"/>
        <family val="1"/>
      </rPr>
      <t xml:space="preserve"> familia tuya.  </t>
    </r>
  </si>
  <si>
    <r>
      <t xml:space="preserve">SJ3223H96/482-484A Cristo es el que dice a ti: “Ahora es que te </t>
    </r>
    <r>
      <rPr>
        <b/>
        <sz val="12"/>
        <color theme="1"/>
        <rFont val="Times New Roman"/>
        <family val="1"/>
      </rPr>
      <t>vas</t>
    </r>
    <r>
      <rPr>
        <sz val="12"/>
        <color theme="1"/>
        <rFont val="Times New Roman"/>
        <family val="1"/>
      </rPr>
      <t xml:space="preserve">.”, Cristo es que te dice:  “Ahora es que te quedas”, Cristo es el que te dice: “Ahora es que tú vasa sufrir”, “Ahora es que tú vas a llorar”, “Ahora es que vas a echar para arriba”.  </t>
    </r>
  </si>
  <si>
    <r>
      <t xml:space="preserve">SJ3223H96/482-484B Cristo es el que dice a ti: “Ahora es que te vas.”, Cristo es que te dice:  “Ahora es que te </t>
    </r>
    <r>
      <rPr>
        <b/>
        <sz val="12"/>
        <color theme="1"/>
        <rFont val="Times New Roman"/>
        <family val="1"/>
      </rPr>
      <t>quedas</t>
    </r>
    <r>
      <rPr>
        <sz val="12"/>
        <color theme="1"/>
        <rFont val="Times New Roman"/>
        <family val="1"/>
      </rPr>
      <t xml:space="preserve">”, Cristo es el que te dice: “Ahora es que tú vasa sufrir”, “Ahora es que tú vas a llorar”, “Ahora es que vas a echar para arriba”.  </t>
    </r>
  </si>
  <si>
    <r>
      <t xml:space="preserve">SJ3223H96/482-484C Cristo es el que dice a ti: “Ahora es que te vas.”, Cristo es que te dice:  “Ahora es que te quedas”, Cristo es el que te dice: “Ahora es que tú </t>
    </r>
    <r>
      <rPr>
        <b/>
        <sz val="12"/>
        <color theme="1"/>
        <rFont val="Times New Roman"/>
        <family val="1"/>
      </rPr>
      <t>vasa sufrir</t>
    </r>
    <r>
      <rPr>
        <sz val="12"/>
        <color theme="1"/>
        <rFont val="Times New Roman"/>
        <family val="1"/>
      </rPr>
      <t xml:space="preserve">”, “Ahora es que tú vas a llorar”, “Ahora es que vas a echar para arriba”.  </t>
    </r>
  </si>
  <si>
    <r>
      <t xml:space="preserve">SJ3223H96/482-484D Cristo es el que dice a ti: “Ahora es que te vas.”, Cristo es que te dice:  “Ahora es que te quedas”, Cristo es el que te dice: “Ahora es que tú vasa sufrir”, “Ahora es que tú </t>
    </r>
    <r>
      <rPr>
        <b/>
        <sz val="12"/>
        <color theme="1"/>
        <rFont val="Times New Roman"/>
        <family val="1"/>
      </rPr>
      <t>vas a llorar</t>
    </r>
    <r>
      <rPr>
        <sz val="12"/>
        <color theme="1"/>
        <rFont val="Times New Roman"/>
        <family val="1"/>
      </rPr>
      <t xml:space="preserve">”, “Ahora es que vas a echar para arriba”.  </t>
    </r>
  </si>
  <si>
    <r>
      <t xml:space="preserve">SJ3223H96/482-484E Cristo es el que dice a ti: “Ahora es que te vas.”, Cristo es que te dice:  “Ahora es que te quedas”, Cristo es el que te dice: “Ahora es que tú vasa sufrir”, “Ahora es que tú vas a llorar”, “Ahora es que </t>
    </r>
    <r>
      <rPr>
        <b/>
        <sz val="12"/>
        <color theme="1"/>
        <rFont val="Times New Roman"/>
        <family val="1"/>
      </rPr>
      <t>vas a echar</t>
    </r>
    <r>
      <rPr>
        <sz val="12"/>
        <color theme="1"/>
        <rFont val="Times New Roman"/>
        <family val="1"/>
      </rPr>
      <t xml:space="preserve"> para arriba”.  </t>
    </r>
  </si>
  <si>
    <t>SJ03433H96</t>
  </si>
  <si>
    <r>
      <t xml:space="preserve">SJ03533H96/95 Unos esto, unos talleres, así, así y así,” nunca me </t>
    </r>
    <r>
      <rPr>
        <b/>
        <sz val="12"/>
        <color theme="1"/>
        <rFont val="Times New Roman"/>
        <family val="1"/>
      </rPr>
      <t>olvidaré</t>
    </r>
    <r>
      <rPr>
        <sz val="12"/>
        <color theme="1"/>
        <rFont val="Times New Roman"/>
        <family val="1"/>
      </rPr>
      <t>.</t>
    </r>
  </si>
  <si>
    <r>
      <t xml:space="preserve">SJ03533H96/95-97A Yo le digo: “le aseguro que por lo menos la gente </t>
    </r>
    <r>
      <rPr>
        <b/>
        <sz val="12"/>
        <color theme="1"/>
        <rFont val="Times New Roman"/>
        <family val="1"/>
      </rPr>
      <t>va a venir</t>
    </r>
    <r>
      <rPr>
        <sz val="12"/>
        <color theme="1"/>
        <rFont val="Times New Roman"/>
        <family val="1"/>
      </rPr>
      <t xml:space="preserve"> a la plaza y que cuando cesen en la, esta tipo de actividad, este tipo de festejo, la gente continuará viniendo a la plaza.</t>
    </r>
  </si>
  <si>
    <r>
      <t xml:space="preserve">SJ03533H96/95-97B Yo le digo: “le aseguro que por lo menos la gente va a venir a la plaza y que cuando cesen en la, esta tipo de actividad, este tipo de festejo, la gente </t>
    </r>
    <r>
      <rPr>
        <b/>
        <sz val="12"/>
        <color theme="1"/>
        <rFont val="Times New Roman"/>
        <family val="1"/>
      </rPr>
      <t>continuará</t>
    </r>
    <r>
      <rPr>
        <sz val="12"/>
        <color theme="1"/>
        <rFont val="Times New Roman"/>
        <family val="1"/>
      </rPr>
      <t xml:space="preserve"> viniendo a la plaza.</t>
    </r>
  </si>
  <si>
    <r>
      <t xml:space="preserve">SJ03533H96/222-226 Y cuando salió empezó a buscar el carro y busca y busca el carro. Bueno, la clase se reunía eh, eh, Moneda y Banca se reunía martes, jueves, martes y jueves, martes y jueves, sí, el próximo martes, él era un hombre alto, grande, fornido, el primer anuncio después de decir los buenos días en la clase dice: "yo le </t>
    </r>
    <r>
      <rPr>
        <b/>
        <sz val="12"/>
        <color theme="1"/>
        <rFont val="Times New Roman"/>
        <family val="1"/>
      </rPr>
      <t>voy a dar</t>
    </r>
    <r>
      <rPr>
        <sz val="12"/>
        <color theme="1"/>
        <rFont val="Times New Roman"/>
        <family val="1"/>
      </rPr>
      <t xml:space="preserve"> una A al que sea el machito que me diga quien me movió y me escondió el carro.”</t>
    </r>
  </si>
  <si>
    <r>
      <t xml:space="preserve">SJ03533H96/230-234 Y dice: “carajo, yo sabía,  desearía saber quién fue, todavía, quién?  Entonces pego a reirme, y me dice: “¿fuiste tú hijo?”, “Sí, señor, allí en Siberia se lo pusimos”, “y, ¿por qué?”, “porque como yo era el único que sabía guiar supuestamente, vino fulano de tal y me dijo: ‘¿tú te atreves a guiar?,’ seguro, va, </t>
    </r>
    <r>
      <rPr>
        <b/>
        <sz val="12"/>
        <color theme="1"/>
        <rFont val="Times New Roman"/>
        <family val="1"/>
      </rPr>
      <t>vamos a movérselo</t>
    </r>
    <r>
      <rPr>
        <sz val="12"/>
        <color theme="1"/>
        <rFont val="Times New Roman"/>
        <family val="1"/>
      </rPr>
      <t xml:space="preserve">,” y como usted lo dejaba abierto con las llaves puestas allí.”  </t>
    </r>
  </si>
  <si>
    <r>
      <t xml:space="preserve">SJ03533H96/249-252 </t>
    </r>
    <r>
      <rPr>
        <b/>
        <sz val="12"/>
        <color theme="1"/>
        <rFont val="Times New Roman"/>
        <family val="1"/>
      </rPr>
      <t>Habrá</t>
    </r>
    <r>
      <rPr>
        <sz val="12"/>
        <color theme="1"/>
        <rFont val="Times New Roman"/>
        <family val="1"/>
      </rPr>
      <t xml:space="preserve"> casos sus excepciones, pero yo creo que son son excepciones, excepcionales, entonces cuando uno, eh, le ofrece matrimonio a esa persona por primera vez en la vida de uno, que uno, y se cree que, que es todo miel sobre ruedas.</t>
    </r>
  </si>
  <si>
    <r>
      <t xml:space="preserve">SJ03533H96/252-254A La falta de preparación, la falta de madurez, la falta de, de conocimiento a nivel de, eh, eh, yo diría eh, eh, personal en el sentido que yo no te </t>
    </r>
    <r>
      <rPr>
        <b/>
        <sz val="12"/>
        <color theme="1"/>
        <rFont val="Times New Roman"/>
        <family val="1"/>
      </rPr>
      <t>voy a cambiar</t>
    </r>
    <r>
      <rPr>
        <sz val="12"/>
        <color theme="1"/>
        <rFont val="Times New Roman"/>
        <family val="1"/>
      </rPr>
      <t xml:space="preserve"> a ti, ni tú me vas a cambiar a mí.</t>
    </r>
  </si>
  <si>
    <r>
      <t xml:space="preserve">SJ03533H96/252-254 La falta de preparación, la falta de madurez, la falta de, de conocimiento a nivel de, eh, eh, yo diría eh, eh, personal en el sentido que yo no te voy a cambiar a ti, ni tú me </t>
    </r>
    <r>
      <rPr>
        <b/>
        <sz val="12"/>
        <color theme="1"/>
        <rFont val="Times New Roman"/>
        <family val="1"/>
      </rPr>
      <t>vas a cambiar</t>
    </r>
    <r>
      <rPr>
        <sz val="12"/>
        <color theme="1"/>
        <rFont val="Times New Roman"/>
        <family val="1"/>
      </rPr>
      <t xml:space="preserve"> a mí.</t>
    </r>
  </si>
  <si>
    <r>
      <t xml:space="preserve">SJ03533H96/254-256 Que yo te tengo que aceptar, no que te debo sino que te tengo que aceptar a ti como tú eres, si queremos sobrellevar y, y, y conducir la nave a puerto seguro, y vice versa, si tú me conociste a mí eh, eh tocando guitarra yo dificil, difícilmente </t>
    </r>
    <r>
      <rPr>
        <b/>
        <sz val="12"/>
        <color theme="1"/>
        <rFont val="Times New Roman"/>
        <family val="1"/>
      </rPr>
      <t>voy a dejar</t>
    </r>
    <r>
      <rPr>
        <sz val="12"/>
        <color theme="1"/>
        <rFont val="Times New Roman"/>
        <family val="1"/>
      </rPr>
      <t xml:space="preserve"> la guitarra</t>
    </r>
  </si>
  <si>
    <r>
      <t xml:space="preserve">SJ03533H96/256-259A Si tú me conociste a mi amigo eh, de comer carne de cerdo, a menos que no sea que tenga que por cuestión de vida o muerte, </t>
    </r>
    <r>
      <rPr>
        <b/>
        <sz val="12"/>
        <color theme="1"/>
        <rFont val="Times New Roman"/>
        <family val="1"/>
      </rPr>
      <t>voy a buscar</t>
    </r>
    <r>
      <rPr>
        <sz val="12"/>
        <color theme="1"/>
        <rFont val="Times New Roman"/>
        <family val="1"/>
      </rPr>
      <t xml:space="preserve"> la manera por lo menos una vez en la semana de comer carne cerdo.</t>
    </r>
  </si>
  <si>
    <r>
      <t xml:space="preserve">SJ03533H96/259-260 O vice versa, si yo te conocí a ti que te gusta el baile, te gusta el arte o te gusta pintar, tú </t>
    </r>
    <r>
      <rPr>
        <b/>
        <sz val="12"/>
        <color theme="1"/>
        <rFont val="Times New Roman"/>
        <family val="1"/>
      </rPr>
      <t>va a seguir</t>
    </r>
    <r>
      <rPr>
        <sz val="12"/>
        <color theme="1"/>
        <rFont val="Times New Roman"/>
        <family val="1"/>
      </rPr>
      <t xml:space="preserve"> con, gustándote el arte, pintar o bailar, lo que sea.</t>
    </r>
  </si>
  <si>
    <r>
      <t xml:space="preserve">SJ03533H96/272-278 Y yo creo que si nosotros nos concientizáramos de eso, el dolor que acarrea un divorcio, especialmente cuando hay hijos, y yo por desgracia pasé por eso, fue dolorosísimo, le </t>
    </r>
    <r>
      <rPr>
        <b/>
        <sz val="12"/>
        <color theme="1"/>
        <rFont val="Times New Roman"/>
        <family val="1"/>
      </rPr>
      <t>agradeceré</t>
    </r>
    <r>
      <rPr>
        <sz val="12"/>
        <color theme="1"/>
        <rFont val="Times New Roman"/>
        <family val="1"/>
      </rPr>
      <t xml:space="preserve"> a Doña Sylvia Bunker que mora en la eternidad lo, la ayuda que me dio, pero no, no me divorcié de mis hijos siempre los, continuamente, casi diariamente iba a verlos a Villa Nevárez, y a Dios gracias, pues, eh, sufrirían ellos, y de eso estoy conciente, verdad, cada día le pido perdón al Señor y les pido perdón a ellos porque es como una continua lucha.</t>
    </r>
  </si>
  <si>
    <r>
      <t xml:space="preserve">SJ03533H96/301-302 [E]h, qué </t>
    </r>
    <r>
      <rPr>
        <b/>
        <sz val="12"/>
        <color theme="1"/>
        <rFont val="Times New Roman"/>
        <family val="1"/>
      </rPr>
      <t>vamos a dar</t>
    </r>
    <r>
      <rPr>
        <sz val="12"/>
        <color theme="1"/>
        <rFont val="Times New Roman"/>
        <family val="1"/>
      </rPr>
      <t>, si... en casa pues nos cuidamos de la dieta, decir mi casa pues me refiero a mis otros dos hermanos y a mí.</t>
    </r>
  </si>
  <si>
    <r>
      <t xml:space="preserve">SJ03533H96/332-334 Eh, las actividades allá cuando hacemos estas rifas, los bingos, este, pues yo me siento con Sor Carmen Gloria para, número uno, determinar con qué recursos humanos </t>
    </r>
    <r>
      <rPr>
        <b/>
        <sz val="12"/>
        <color theme="1"/>
        <rFont val="Times New Roman"/>
        <family val="1"/>
      </rPr>
      <t>vamos a contar</t>
    </r>
    <r>
      <rPr>
        <sz val="12"/>
        <color theme="1"/>
        <rFont val="Times New Roman"/>
        <family val="1"/>
      </rPr>
      <t>, ves.</t>
    </r>
  </si>
  <si>
    <r>
      <t xml:space="preserve">SJ03533H96/334-336 No obstante, la gente de Loíza igual que la gente de todos los pueblos tienen su propia idiosincracia y a veces pues, no les gusta que venga uno de afuera que es de Barranquitas a decirle mira </t>
    </r>
    <r>
      <rPr>
        <b/>
        <sz val="12"/>
        <color theme="1"/>
        <rFont val="Times New Roman"/>
        <family val="1"/>
      </rPr>
      <t>vamos a hacer</t>
    </r>
    <r>
      <rPr>
        <sz val="12"/>
        <color theme="1"/>
        <rFont val="Times New Roman"/>
        <family val="1"/>
      </rPr>
      <t xml:space="preserve"> esto porque es esto, ves.</t>
    </r>
  </si>
  <si>
    <r>
      <t xml:space="preserve">SJ03533H96/373-375 Depende eh, eh Madelin básicamente de, del, ah,  una cosa que tratamos de hacer es averiguar lo que, lo más que podamos sobre esa persona, la persona a quien nos </t>
    </r>
    <r>
      <rPr>
        <b/>
        <sz val="12"/>
        <color theme="1"/>
        <rFont val="Times New Roman"/>
        <family val="1"/>
      </rPr>
      <t>vamos a, a dirigir</t>
    </r>
    <r>
      <rPr>
        <sz val="12"/>
        <color theme="1"/>
        <rFont val="Times New Roman"/>
        <family val="1"/>
      </rPr>
      <t>.</t>
    </r>
  </si>
  <si>
    <r>
      <t xml:space="preserve">SJ03533H96/422-423 Una cosa ahí redonda, ve aquí, yo no se que </t>
    </r>
    <r>
      <rPr>
        <b/>
        <sz val="12"/>
        <color theme="1"/>
        <rFont val="Times New Roman"/>
        <family val="1"/>
      </rPr>
      <t>serán</t>
    </r>
    <r>
      <rPr>
        <sz val="12"/>
        <color theme="1"/>
        <rFont val="Times New Roman"/>
        <family val="1"/>
      </rPr>
      <t xml:space="preserve"> esas cosas.</t>
    </r>
  </si>
  <si>
    <t>SJ03533H96</t>
  </si>
  <si>
    <r>
      <t xml:space="preserve">SJ03533H96/352-353A Nos está consiguiendo una información críticamente importante para ver si </t>
    </r>
    <r>
      <rPr>
        <b/>
        <sz val="12"/>
        <color theme="1"/>
        <rFont val="Times New Roman"/>
        <family val="1"/>
      </rPr>
      <t>obtenemos</t>
    </r>
    <r>
      <rPr>
        <sz val="12"/>
        <color theme="1"/>
        <rFont val="Times New Roman"/>
        <family val="1"/>
      </rPr>
      <t xml:space="preserve"> unos fondos en fundaciones norteamericanas.</t>
    </r>
  </si>
  <si>
    <r>
      <t xml:space="preserve">SJ001621M96/27 Pues te </t>
    </r>
    <r>
      <rPr>
        <b/>
        <sz val="12"/>
        <color theme="1"/>
        <rFont val="Times New Roman"/>
        <family val="1"/>
      </rPr>
      <t>voy a hacer</t>
    </r>
    <r>
      <rPr>
        <sz val="12"/>
        <color theme="1"/>
        <rFont val="Times New Roman"/>
        <family val="1"/>
      </rPr>
      <t xml:space="preserve"> dos.</t>
    </r>
  </si>
  <si>
    <r>
      <t xml:space="preserve">SJ001621M96/38-41 Y el triste fue cuando corriendo bicicleta, aprendiendo a correr bicicleta, me caí contra unos, unos drones de... mi mamá no estaba y la cogí prestada, atrevidamente, la cogí prestada y quería saber  cómo correr bicicleta y la señora me dice: “Acaba de recoger esos drones porque se lo </t>
    </r>
    <r>
      <rPr>
        <b/>
        <sz val="12"/>
        <color theme="1"/>
        <rFont val="Times New Roman"/>
        <family val="1"/>
      </rPr>
      <t>voy a decir</t>
    </r>
    <r>
      <rPr>
        <sz val="12"/>
        <color theme="1"/>
        <rFont val="Times New Roman"/>
        <family val="1"/>
      </rPr>
      <t xml:space="preserve"> a tu mamá”.</t>
    </r>
  </si>
  <si>
    <r>
      <t xml:space="preserve">SJ001621M96/65-66  Siempre yo me acuerdo que en la escuela le decían a mi mamá: “Esa nena </t>
    </r>
    <r>
      <rPr>
        <b/>
        <sz val="12"/>
        <color theme="1"/>
        <rFont val="Times New Roman"/>
        <family val="1"/>
      </rPr>
      <t>vas a tener</t>
    </r>
    <r>
      <rPr>
        <sz val="12"/>
        <color theme="1"/>
        <rFont val="Times New Roman"/>
        <family val="1"/>
      </rPr>
      <t xml:space="preserve"> que llevarla a un sicólogo porque esa niña siempre está buscando adultos.</t>
    </r>
  </si>
  <si>
    <r>
      <t xml:space="preserve">SJ001621M96/77-81 Y es actualmente y siempre busco la persona mayor, siempre he dicho que las personas mayores  saben un poco más y, y al no saber, o sea, al saber más nos pueden prevenir de ciertas cosas que por lo menos, si cuando </t>
    </r>
    <r>
      <rPr>
        <b/>
        <sz val="12"/>
        <color theme="1"/>
        <rFont val="Times New Roman"/>
        <family val="1"/>
      </rPr>
      <t>vamos a pasarlas</t>
    </r>
    <r>
      <rPr>
        <sz val="12"/>
        <color theme="1"/>
        <rFont val="Times New Roman"/>
        <family val="1"/>
      </rPr>
      <t xml:space="preserve"> ya yo tengo el consuelo de que ya otra persona la pasó y que sobrevivió a la tragedia, tú sabes, puede ser con su esposo, con su novio.</t>
    </r>
  </si>
  <si>
    <r>
      <t xml:space="preserve">SJ001621M96/111-114 O sea, la persona ingenua no se puede poner en el caso, no puedes prevenir, la persona que, como tú puedes prevenir siempre algo es teniendo la mente igual que la persona que te </t>
    </r>
    <r>
      <rPr>
        <b/>
        <sz val="12"/>
        <color theme="1"/>
        <rFont val="Times New Roman"/>
        <family val="1"/>
      </rPr>
      <t>va a hacer</t>
    </r>
    <r>
      <rPr>
        <sz val="12"/>
        <color theme="1"/>
        <rFont val="Times New Roman"/>
        <family val="1"/>
      </rPr>
      <t xml:space="preserve"> algo o ponerte en la situación que tú dices: “Sí a lo mejor yo fuera él cómo yo podría robar”.</t>
    </r>
  </si>
  <si>
    <r>
      <t xml:space="preserve">SJ001621M96/116-117A Como la persona que </t>
    </r>
    <r>
      <rPr>
        <b/>
        <sz val="12"/>
        <color theme="1"/>
        <rFont val="Times New Roman"/>
        <family val="1"/>
      </rPr>
      <t>va a violar</t>
    </r>
    <r>
      <rPr>
        <sz val="12"/>
        <color theme="1"/>
        <rFont val="Times New Roman"/>
        <family val="1"/>
      </rPr>
      <t>: te habla, te mira, te, si te tiene que ayudar te ayuda, para después hacer el daño.</t>
    </r>
  </si>
  <si>
    <r>
      <t xml:space="preserve">SJ001621M96/117-118 Siempre se dice que cuando tú </t>
    </r>
    <r>
      <rPr>
        <b/>
        <sz val="12"/>
        <color theme="1"/>
        <rFont val="Times New Roman"/>
        <family val="1"/>
      </rPr>
      <t>vas a ser</t>
    </r>
    <r>
      <rPr>
        <sz val="12"/>
        <color theme="1"/>
        <rFont val="Times New Roman"/>
        <family val="1"/>
      </rPr>
      <t xml:space="preserve"> víctima, en muchos casos, se te conoce perfectamente.</t>
    </r>
  </si>
  <si>
    <r>
      <t xml:space="preserve">SJ001621M96/118-119A Si tú no tienes esposo policía, si, si la persona puede sacar ese provecho de ti completamente, sin riesgos, lo </t>
    </r>
    <r>
      <rPr>
        <b/>
        <sz val="12"/>
        <color theme="1"/>
        <rFont val="Times New Roman"/>
        <family val="1"/>
      </rPr>
      <t>hace</t>
    </r>
    <r>
      <rPr>
        <sz val="12"/>
        <color theme="1"/>
        <rFont val="Times New Roman"/>
        <family val="1"/>
      </rPr>
      <t xml:space="preserve">, ni lo piensa ni dos veces. </t>
    </r>
  </si>
  <si>
    <r>
      <t xml:space="preserve">SJ001621M96/118-119B Si tú no tienes esposo policía, si, si la persona puede sacar ese provecho de ti completamente, sin riesgos, lo hace, ni lo </t>
    </r>
    <r>
      <rPr>
        <b/>
        <sz val="12"/>
        <color theme="1"/>
        <rFont val="Times New Roman"/>
        <family val="1"/>
      </rPr>
      <t>piensa</t>
    </r>
    <r>
      <rPr>
        <sz val="12"/>
        <color theme="1"/>
        <rFont val="Times New Roman"/>
        <family val="1"/>
      </rPr>
      <t xml:space="preserve"> ni dos veces. </t>
    </r>
  </si>
  <si>
    <r>
      <t xml:space="preserve">SJ001621M96/130-132 Y, vivía engañada, vivía engañada y esa es una de las cosas que, pues, con el tiempo es que tú te </t>
    </r>
    <r>
      <rPr>
        <b/>
        <sz val="12"/>
        <color theme="1"/>
        <rFont val="Times New Roman"/>
        <family val="1"/>
      </rPr>
      <t xml:space="preserve">vas a dar </t>
    </r>
    <r>
      <rPr>
        <sz val="12"/>
        <color theme="1"/>
        <rFont val="Times New Roman"/>
        <family val="1"/>
      </rPr>
      <t>cuenta, vivía engañada porque mis padres me decían: “no te conviene, Mary”.</t>
    </r>
  </si>
  <si>
    <r>
      <t xml:space="preserve">SJ001621M96/141 Por eso yo digo que, siempre, el que </t>
    </r>
    <r>
      <rPr>
        <b/>
        <sz val="12"/>
        <color theme="1"/>
        <rFont val="Times New Roman"/>
        <family val="1"/>
      </rPr>
      <t>va a hacer</t>
    </r>
    <r>
      <rPr>
        <sz val="12"/>
        <color theme="1"/>
        <rFont val="Times New Roman"/>
        <family val="1"/>
      </rPr>
      <t xml:space="preserve"> algo, tiene que conocer la víctima.</t>
    </r>
  </si>
  <si>
    <r>
      <t xml:space="preserve">SJ001621M96/151-152 Porque siente que el dolor </t>
    </r>
    <r>
      <rPr>
        <b/>
        <sz val="12"/>
        <color theme="1"/>
        <rFont val="Times New Roman"/>
        <family val="1"/>
      </rPr>
      <t xml:space="preserve">va a seguir </t>
    </r>
    <r>
      <rPr>
        <sz val="12"/>
        <color theme="1"/>
        <rFont val="Times New Roman"/>
        <family val="1"/>
      </rPr>
      <t>hasta que no te provean algo efectivo que te pueda quitar el dolor.</t>
    </r>
  </si>
  <si>
    <r>
      <t xml:space="preserve">SJ001621M96/152 Yo creo que esa persona se </t>
    </r>
    <r>
      <rPr>
        <b/>
        <sz val="12"/>
        <color theme="1"/>
        <rFont val="Times New Roman"/>
        <family val="1"/>
      </rPr>
      <t>acordará</t>
    </r>
    <r>
      <rPr>
        <sz val="12"/>
        <color theme="1"/>
        <rFont val="Times New Roman"/>
        <family val="1"/>
      </rPr>
      <t xml:space="preserve"> de ti para toda la vida.</t>
    </r>
  </si>
  <si>
    <r>
      <t xml:space="preserve">SJ001621M96/162 Sí. Eh, </t>
    </r>
    <r>
      <rPr>
        <b/>
        <sz val="12"/>
        <color theme="1"/>
        <rFont val="Times New Roman"/>
        <family val="1"/>
      </rPr>
      <t>voy a empezar</t>
    </r>
    <r>
      <rPr>
        <sz val="12"/>
        <color theme="1"/>
        <rFont val="Times New Roman"/>
        <family val="1"/>
      </rPr>
      <t xml:space="preserve"> ahora a estudiar farmacia.</t>
    </r>
  </si>
  <si>
    <r>
      <t xml:space="preserve">SJ001621M96/175-176A Hay muchas intrigas que uno se acuesta y dice: “Cómo </t>
    </r>
    <r>
      <rPr>
        <b/>
        <sz val="12"/>
        <color theme="1"/>
        <rFont val="Times New Roman"/>
        <family val="1"/>
      </rPr>
      <t>será</t>
    </r>
    <r>
      <rPr>
        <sz val="12"/>
        <color theme="1"/>
        <rFont val="Times New Roman"/>
        <family val="1"/>
      </rPr>
      <t>, qué, có… a quién se va a parecer, cua…”</t>
    </r>
  </si>
  <si>
    <r>
      <t xml:space="preserve">SJ001621M96/175-176B Hay muchas intrigas que uno se acuesta y dice: “Cómo será, qué, có… a quién se </t>
    </r>
    <r>
      <rPr>
        <b/>
        <sz val="12"/>
        <color theme="1"/>
        <rFont val="Times New Roman"/>
        <family val="1"/>
      </rPr>
      <t>va a parecer</t>
    </r>
    <r>
      <rPr>
        <sz val="12"/>
        <color theme="1"/>
        <rFont val="Times New Roman"/>
        <family val="1"/>
      </rPr>
      <t>, cua…”</t>
    </r>
  </si>
  <si>
    <r>
      <t>SJ001621M96/177-179 En ese lapso de tiempo de nueve meses. El por qué, porque empezaste primero, no sientes nada, ya cuando tú empiezas a sentir que hay otra persona que vive dentro de ti tú dices: “</t>
    </r>
    <r>
      <rPr>
        <b/>
        <sz val="12"/>
        <color theme="1"/>
        <rFont val="Times New Roman"/>
        <family val="1"/>
      </rPr>
      <t>será</t>
    </r>
    <r>
      <rPr>
        <sz val="12"/>
        <color theme="1"/>
        <rFont val="Times New Roman"/>
        <family val="1"/>
      </rPr>
      <t xml:space="preserve"> com…”</t>
    </r>
  </si>
  <si>
    <r>
      <t xml:space="preserve">SJ001621M96/179-180 Entonces tú haces una conversación con distintas personas o contigo misma tú dices: “contra cuando sea anciana, ¿me </t>
    </r>
    <r>
      <rPr>
        <b/>
        <sz val="12"/>
        <color theme="1"/>
        <rFont val="Times New Roman"/>
        <family val="1"/>
      </rPr>
      <t>cuidará</t>
    </r>
    <r>
      <rPr>
        <sz val="12"/>
        <color theme="1"/>
        <rFont val="Times New Roman"/>
        <family val="1"/>
      </rPr>
      <t>?”</t>
    </r>
  </si>
  <si>
    <r>
      <t xml:space="preserve">SJ001621M96/180-185A Este, y, y, y tú te transportas  a tantas etapas en tu vida de que cuando yo tenga una tristeza cómo yo se la </t>
    </r>
    <r>
      <rPr>
        <b/>
        <sz val="12"/>
        <color theme="1"/>
        <rFont val="Times New Roman"/>
        <family val="1"/>
      </rPr>
      <t>podré</t>
    </r>
    <r>
      <rPr>
        <sz val="12"/>
        <color theme="1"/>
        <rFont val="Times New Roman"/>
        <family val="1"/>
      </rPr>
      <t xml:space="preserve"> consultar, si me entendería o, o me apreciaría, tú sabes, y, y son cosas que solamente las puedes sentir tan adentro y cuando tú estás llorando tú hablas con esa persona aunque te puedan decir lo que te digan que ni ha nacido ni lo conoces, tú dices: “Tú viste lo que me pasó, no te preocupes, vamos a salir de esto”.</t>
    </r>
  </si>
  <si>
    <r>
      <t xml:space="preserve">SJ001621M96/180-185 Este, y, y, y tú te transportas  a tantas etapas en tu vida de que cuando yo tenga una tristeza cómo yo se la podré consultar, si me entendería o, o me apreciaría, tú sabes, y, y son cosas que solamente las puedes sentir tan adentro y cuando tú estás llorando tú hablas con esa persona aunque te puedan decir lo que te digan que ni ha nacido ni lo conoces, tú dices: “Tú viste lo que me pasó, no te preocupes, </t>
    </r>
    <r>
      <rPr>
        <b/>
        <sz val="12"/>
        <color theme="1"/>
        <rFont val="Times New Roman"/>
        <family val="1"/>
      </rPr>
      <t>vamos a salir</t>
    </r>
    <r>
      <rPr>
        <sz val="12"/>
        <color theme="1"/>
        <rFont val="Times New Roman"/>
        <family val="1"/>
      </rPr>
      <t xml:space="preserve"> de esto”.</t>
    </r>
  </si>
  <si>
    <r>
      <t xml:space="preserve">SJ001621M96/187-189A Cuando ya tú pasas un problema tú sientes que el, el, el vientre se te mueve desesperadamente es que tú </t>
    </r>
    <r>
      <rPr>
        <b/>
        <sz val="12"/>
        <color theme="1"/>
        <rFont val="Times New Roman"/>
        <family val="1"/>
      </rPr>
      <t>vas a sentir</t>
    </r>
    <r>
      <rPr>
        <sz val="12"/>
        <color theme="1"/>
        <rFont val="Times New Roman"/>
        <family val="1"/>
      </rPr>
      <t xml:space="preserve"> que sí, tienes a alguien en qué apoyarte, que ya te conoce y casi igual como tú la vas a conocer a la otra persona. ¡Y eso es lindo!</t>
    </r>
  </si>
  <si>
    <r>
      <t xml:space="preserve">SJ001621M96/187-189B Cuando ya tú pasas un problema tú sientes que el, el, el vientre se te mueve desesperadamente es que tú vas a sentir que sí, tienes a alguien en qué apoyarte, que ya te conoce y casi igual como tú la </t>
    </r>
    <r>
      <rPr>
        <b/>
        <sz val="12"/>
        <color theme="1"/>
        <rFont val="Times New Roman"/>
        <family val="1"/>
      </rPr>
      <t>vas a conocer</t>
    </r>
    <r>
      <rPr>
        <sz val="12"/>
        <color theme="1"/>
        <rFont val="Times New Roman"/>
        <family val="1"/>
      </rPr>
      <t xml:space="preserve"> a la otra persona. ¡Y eso es lindo!</t>
    </r>
  </si>
  <si>
    <r>
      <t xml:space="preserve">SJ001621M96/200 Solamente te </t>
    </r>
    <r>
      <rPr>
        <b/>
        <sz val="12"/>
        <color theme="1"/>
        <rFont val="Times New Roman"/>
        <family val="1"/>
      </rPr>
      <t>va a dar</t>
    </r>
    <r>
      <rPr>
        <sz val="12"/>
        <color theme="1"/>
        <rFont val="Times New Roman"/>
        <family val="1"/>
      </rPr>
      <t xml:space="preserve"> un deseo, un instinto más fuerte.</t>
    </r>
  </si>
  <si>
    <r>
      <t xml:space="preserve">SJ001621M96/200-202 Te </t>
    </r>
    <r>
      <rPr>
        <b/>
        <sz val="12"/>
        <color theme="1"/>
        <rFont val="Times New Roman"/>
        <family val="1"/>
      </rPr>
      <t>voy a contar</t>
    </r>
    <r>
      <rPr>
        <sz val="12"/>
        <color theme="1"/>
        <rFont val="Times New Roman"/>
        <family val="1"/>
      </rPr>
      <t xml:space="preserve"> algo brevecito cuando, ejemplo, yo me levantaba por las noches y eso era llorando y llorando y llorando y por la mañana trataba  que mi hija no me viera así de bebé.</t>
    </r>
  </si>
  <si>
    <r>
      <t xml:space="preserve">SJ001621M96/220-221A Es, </t>
    </r>
    <r>
      <rPr>
        <b/>
        <sz val="12"/>
        <color theme="1"/>
        <rFont val="Times New Roman"/>
        <family val="1"/>
      </rPr>
      <t>vamos a [ver],</t>
    </r>
    <r>
      <rPr>
        <sz val="12"/>
        <color theme="1"/>
        <rFont val="Times New Roman"/>
        <family val="1"/>
      </rPr>
      <t xml:space="preserve"> no me acuerdo el tema, él, entonces cuando iban a la familia, o sea, iban a sentarse en la mesa y todo el mundo se criticaba.</t>
    </r>
  </si>
  <si>
    <r>
      <t xml:space="preserve">SJ001621M96/248-250 Y si no nos uníamos dando un poquito de cada uno, este mundo, pues, nos trajo a, a, a la situación actual; </t>
    </r>
    <r>
      <rPr>
        <b/>
        <sz val="12"/>
        <color theme="1"/>
        <rFont val="Times New Roman"/>
        <family val="1"/>
      </rPr>
      <t>va a ser</t>
    </r>
    <r>
      <rPr>
        <sz val="12"/>
        <color theme="1"/>
        <rFont val="Times New Roman"/>
        <family val="1"/>
      </rPr>
      <t xml:space="preserve"> un desastre.</t>
    </r>
  </si>
  <si>
    <r>
      <t xml:space="preserve">SJ001621M96/263-265A Entonces nos vamos a, a, a </t>
    </r>
    <r>
      <rPr>
        <b/>
        <sz val="12"/>
        <color theme="1"/>
        <rFont val="Times New Roman"/>
        <family val="1"/>
      </rPr>
      <t>vamos a abusar</t>
    </r>
    <r>
      <rPr>
        <sz val="12"/>
        <color theme="1"/>
        <rFont val="Times New Roman"/>
        <family val="1"/>
      </rPr>
      <t xml:space="preserve"> de eso porque yo no te puede leer tu mente, entonces tal vez el que lo hizo con sus hechos, tal vez que no pudo controlar sus emociones, lo van a decapitar.</t>
    </r>
  </si>
  <si>
    <r>
      <t xml:space="preserve">SJ001621M96/263-265B Entonces nos vamos a, a, a vamos a abusar de eso porque yo no te puede leer tu mente, entonces tal vez el que lo hizo con sus hechos, tal vez que no pudo controlar sus emociones, lo </t>
    </r>
    <r>
      <rPr>
        <b/>
        <sz val="12"/>
        <color theme="1"/>
        <rFont val="Times New Roman"/>
        <family val="1"/>
      </rPr>
      <t>van a decapitar</t>
    </r>
    <r>
      <rPr>
        <sz val="12"/>
        <color theme="1"/>
        <rFont val="Times New Roman"/>
        <family val="1"/>
      </rPr>
      <t>.</t>
    </r>
  </si>
  <si>
    <r>
      <t xml:space="preserve">SJ001621M96/270-272 Otras personas se </t>
    </r>
    <r>
      <rPr>
        <b/>
        <sz val="12"/>
        <color theme="1"/>
        <rFont val="Times New Roman"/>
        <family val="1"/>
      </rPr>
      <t>van a pasear</t>
    </r>
    <r>
      <rPr>
        <sz val="12"/>
        <color theme="1"/>
        <rFont val="Times New Roman"/>
        <family val="1"/>
      </rPr>
      <t>, otras personas no duermen tranquilas hasta que le diga dos o tres a la otra persona, otras personas pueden decir que: “pues, si tu crees que ese es tu punto de opinión pues te lo respeto”.</t>
    </r>
  </si>
  <si>
    <r>
      <t xml:space="preserve">SJ001621M96/310-312A ¿Cómo lo podemos resolver? </t>
    </r>
    <r>
      <rPr>
        <b/>
        <sz val="12"/>
        <color theme="1"/>
        <rFont val="Times New Roman"/>
        <family val="1"/>
      </rPr>
      <t>Vamos a quedarnos</t>
    </r>
    <r>
      <rPr>
        <sz val="12"/>
        <color theme="1"/>
        <rFont val="Times New Roman"/>
        <family val="1"/>
      </rPr>
      <t xml:space="preserve"> intermediarios, vamos a buscar una persona que, que diga la última palabra”.</t>
    </r>
  </si>
  <si>
    <r>
      <t xml:space="preserve">SJ001621M96/310-312 B¿Cómo lo podemos resolver? Vamos a quedarnos intermediarios, </t>
    </r>
    <r>
      <rPr>
        <b/>
        <sz val="12"/>
        <color theme="1"/>
        <rFont val="Times New Roman"/>
        <family val="1"/>
      </rPr>
      <t>vamos a buscar</t>
    </r>
    <r>
      <rPr>
        <sz val="12"/>
        <color theme="1"/>
        <rFont val="Times New Roman"/>
        <family val="1"/>
      </rPr>
      <t xml:space="preserve"> una persona que, que diga la última palabra”.</t>
    </r>
  </si>
  <si>
    <r>
      <t xml:space="preserve">SJ001621M96/312-314 Si ahora tú ves que tu matrimonio después de veinte años no </t>
    </r>
    <r>
      <rPr>
        <b/>
        <sz val="12"/>
        <color theme="1"/>
        <rFont val="Times New Roman"/>
        <family val="1"/>
      </rPr>
      <t>va a</t>
    </r>
    <r>
      <rPr>
        <sz val="12"/>
        <color theme="1"/>
        <rFont val="Times New Roman"/>
        <family val="1"/>
      </rPr>
      <t xml:space="preserve"> </t>
    </r>
    <r>
      <rPr>
        <b/>
        <sz val="12"/>
        <color theme="1"/>
        <rFont val="Times New Roman"/>
        <family val="1"/>
      </rPr>
      <t>resultar</t>
    </r>
    <r>
      <rPr>
        <sz val="12"/>
        <color theme="1"/>
        <rFont val="Times New Roman"/>
        <family val="1"/>
      </rPr>
      <t xml:space="preserve"> y tú eres un pobre infeliz, porque no pudiste resolver ese problema hace veinte años atrás...</t>
    </r>
  </si>
  <si>
    <r>
      <t xml:space="preserve">SJ001621M96/327-328 ¿A qué te estoy trayendo esto a colación? Te lo </t>
    </r>
    <r>
      <rPr>
        <b/>
        <sz val="12"/>
        <color theme="1"/>
        <rFont val="Times New Roman"/>
        <family val="1"/>
      </rPr>
      <t>voy a decir</t>
    </r>
    <r>
      <rPr>
        <sz val="12"/>
        <color theme="1"/>
        <rFont val="Times New Roman"/>
        <family val="1"/>
      </rPr>
      <t>.</t>
    </r>
  </si>
  <si>
    <r>
      <t xml:space="preserve">SJ001621M96/332-334 . Y eso a mí me impactó tanto, el coraje que yo tuve, o sea, te lo </t>
    </r>
    <r>
      <rPr>
        <b/>
        <sz val="12"/>
        <color theme="1"/>
        <rFont val="Times New Roman"/>
        <family val="1"/>
      </rPr>
      <t>voy a definir</t>
    </r>
    <r>
      <rPr>
        <sz val="12"/>
        <color theme="1"/>
        <rFont val="Times New Roman"/>
        <family val="1"/>
      </rPr>
      <t xml:space="preserve"> más claro.</t>
    </r>
  </si>
  <si>
    <r>
      <t xml:space="preserve">SJ001621M96/334-335 Ya te he dado unos, unos “la” de la, de lo que yo te </t>
    </r>
    <r>
      <rPr>
        <b/>
        <sz val="12"/>
        <color theme="1"/>
        <rFont val="Times New Roman"/>
        <family val="1"/>
      </rPr>
      <t>voy a opinar</t>
    </r>
    <r>
      <rPr>
        <sz val="12"/>
        <color theme="1"/>
        <rFont val="Times New Roman"/>
        <family val="1"/>
      </rPr>
      <t xml:space="preserve"> ahora.</t>
    </r>
  </si>
  <si>
    <r>
      <t xml:space="preserve">SJ001621M96/340-341 O sea, yo no te </t>
    </r>
    <r>
      <rPr>
        <b/>
        <sz val="12"/>
        <color theme="1"/>
        <rFont val="Times New Roman"/>
        <family val="1"/>
      </rPr>
      <t>voy a decir</t>
    </r>
    <r>
      <rPr>
        <sz val="12"/>
        <color theme="1"/>
        <rFont val="Times New Roman"/>
        <family val="1"/>
      </rPr>
      <t>, Dolores, que si mi hija le pasara algo así, o a mi esp, a mí, al, al que, que sea esposo mío o a, algún familiar cercano.</t>
    </r>
  </si>
  <si>
    <r>
      <t xml:space="preserve">SJ001621M96/341-342 Yo no le </t>
    </r>
    <r>
      <rPr>
        <b/>
        <sz val="12"/>
        <color theme="1"/>
        <rFont val="Times New Roman"/>
        <family val="1"/>
      </rPr>
      <t>voy a poner</t>
    </r>
    <r>
      <rPr>
        <sz val="12"/>
        <color theme="1"/>
        <rFont val="Times New Roman"/>
        <family val="1"/>
      </rPr>
      <t xml:space="preserve"> precio.</t>
    </r>
  </si>
  <si>
    <r>
      <t xml:space="preserve">SJ001621M96/342-344 Después que va pasando el tiempo, entonces tú </t>
    </r>
    <r>
      <rPr>
        <b/>
        <sz val="12"/>
        <color theme="1"/>
        <rFont val="Times New Roman"/>
        <family val="1"/>
      </rPr>
      <t>puedes</t>
    </r>
    <r>
      <rPr>
        <sz val="12"/>
        <color theme="1"/>
        <rFont val="Times New Roman"/>
        <family val="1"/>
      </rPr>
      <t xml:space="preserve"> </t>
    </r>
    <r>
      <rPr>
        <b/>
        <sz val="12"/>
        <color theme="1"/>
        <rFont val="Times New Roman"/>
        <family val="1"/>
      </rPr>
      <t>decir</t>
    </r>
    <r>
      <rPr>
        <sz val="12"/>
        <color theme="1"/>
        <rFont val="Times New Roman"/>
        <family val="1"/>
      </rPr>
      <t>: “Pues mira, mi amor, si ya tú no puedes trabajar más, esto nos ha afectado a todos...”</t>
    </r>
  </si>
  <si>
    <r>
      <t xml:space="preserve">SJ001621M96/345-347A Entonces cómo tú le </t>
    </r>
    <r>
      <rPr>
        <b/>
        <sz val="12"/>
        <color theme="1"/>
        <rFont val="Times New Roman"/>
        <family val="1"/>
      </rPr>
      <t>vas a ir</t>
    </r>
    <r>
      <rPr>
        <sz val="12"/>
        <color theme="1"/>
        <rFont val="Times New Roman"/>
        <family val="1"/>
      </rPr>
      <t xml:space="preserve"> a comprar un carro, cómo mucha gente va a ir allí a comprar casa, carro a costillas de un ser humano que se le fue tronchada la vida.</t>
    </r>
  </si>
  <si>
    <r>
      <t xml:space="preserve">SJ001621M96/345-347B Entonces cómo tú le vas a ir a comprar un carro, cómo mucha gente </t>
    </r>
    <r>
      <rPr>
        <b/>
        <sz val="12"/>
        <color theme="1"/>
        <rFont val="Times New Roman"/>
        <family val="1"/>
      </rPr>
      <t>va a ir</t>
    </r>
    <r>
      <rPr>
        <sz val="12"/>
        <color theme="1"/>
        <rFont val="Times New Roman"/>
        <family val="1"/>
      </rPr>
      <t xml:space="preserve"> allí a comprar casa, carro a costillas de un ser humano que se le fue tronchada la vida.</t>
    </r>
  </si>
  <si>
    <r>
      <t xml:space="preserve">SJ001621M96/366-368 Qué, qué, qué persona puede decirle “le </t>
    </r>
    <r>
      <rPr>
        <b/>
        <sz val="12"/>
        <color theme="1"/>
        <rFont val="Times New Roman"/>
        <family val="1"/>
      </rPr>
      <t xml:space="preserve">voy a recuper </t>
    </r>
    <r>
      <rPr>
        <sz val="12"/>
        <color theme="1"/>
        <rFont val="Times New Roman"/>
        <family val="1"/>
      </rPr>
      <t>tu madre; no te preocupes que no ha pasado nada”.</t>
    </r>
  </si>
  <si>
    <r>
      <t xml:space="preserve">SJ001621M96/369-371 No miramos la, la, la, la, este sentimiento de que tú por lo menos lo puedes expresar, pero el niño nunca lo </t>
    </r>
    <r>
      <rPr>
        <b/>
        <sz val="12"/>
        <color theme="1"/>
        <rFont val="Times New Roman"/>
        <family val="1"/>
      </rPr>
      <t>va a expresar</t>
    </r>
    <r>
      <rPr>
        <sz val="12"/>
        <color theme="1"/>
        <rFont val="Times New Roman"/>
        <family val="1"/>
      </rPr>
      <t xml:space="preserve"> hasta que sea adulto, no lo actualiza, la, la, la vivencia que le tocó…</t>
    </r>
  </si>
  <si>
    <r>
      <t xml:space="preserve">SJ001621M96/371-372 Y quién le </t>
    </r>
    <r>
      <rPr>
        <b/>
        <sz val="12"/>
        <color theme="1"/>
        <rFont val="Times New Roman"/>
        <family val="1"/>
      </rPr>
      <t>va [a] recuperar</t>
    </r>
    <r>
      <rPr>
        <sz val="12"/>
        <color theme="1"/>
        <rFont val="Times New Roman"/>
        <family val="1"/>
      </rPr>
      <t>, día a día, minuto a minuto lo que vivieron esos niños? ¿Con qué dinero se repara un daño? Con ninguno.</t>
    </r>
  </si>
  <si>
    <r>
      <t xml:space="preserve">SJ001621M96/377-378 El niño </t>
    </r>
    <r>
      <rPr>
        <b/>
        <sz val="12"/>
        <color theme="1"/>
        <rFont val="Times New Roman"/>
        <family val="1"/>
      </rPr>
      <t>va a vivir</t>
    </r>
    <r>
      <rPr>
        <sz val="12"/>
        <color theme="1"/>
        <rFont val="Times New Roman"/>
        <family val="1"/>
      </rPr>
      <t xml:space="preserve"> con ese sufrimiento hasta que pueda llevarse a un sicólogo…</t>
    </r>
  </si>
  <si>
    <t>SJ001621M96</t>
  </si>
  <si>
    <r>
      <t xml:space="preserve">SJ001621M96/116-117B Como la persona que va a violar: te habla, te mira, te, si te tiene que ayudar te </t>
    </r>
    <r>
      <rPr>
        <b/>
        <sz val="12"/>
        <color theme="1"/>
        <rFont val="Times New Roman"/>
        <family val="1"/>
      </rPr>
      <t>ayuda</t>
    </r>
    <r>
      <rPr>
        <sz val="12"/>
        <color theme="1"/>
        <rFont val="Times New Roman"/>
        <family val="1"/>
      </rPr>
      <t>, para después hacer el daño.</t>
    </r>
  </si>
  <si>
    <t>PORCENTAJES</t>
  </si>
  <si>
    <r>
      <t xml:space="preserve">SJ004021M96/180-181 Sí, ahora precisamente el día veintinueve de noviembre </t>
    </r>
    <r>
      <rPr>
        <b/>
        <sz val="12"/>
        <color theme="1"/>
        <rFont val="Times New Roman"/>
        <family val="1"/>
      </rPr>
      <t>hacemos</t>
    </r>
    <r>
      <rPr>
        <sz val="12"/>
        <color theme="1"/>
        <rFont val="Times New Roman"/>
        <family val="1"/>
      </rPr>
      <t xml:space="preserve"> la feria. La feria es una fiesta de pueblo de la Congregación y de todo el que desee venir.</t>
    </r>
  </si>
  <si>
    <r>
      <t xml:space="preserve">SJ004021M96/184-185 Se hace un desfile en el cual yo he participado, donde nos ponemos trajes típicos o de acuerdo a lo que se escoja ese año que se </t>
    </r>
    <r>
      <rPr>
        <b/>
        <sz val="12"/>
        <color theme="1"/>
        <rFont val="Times New Roman"/>
        <family val="1"/>
      </rPr>
      <t>va a representar</t>
    </r>
    <r>
      <rPr>
        <sz val="12"/>
        <color theme="1"/>
        <rFont val="Times New Roman"/>
        <family val="1"/>
      </rPr>
      <t xml:space="preserve"> y es, la...</t>
    </r>
  </si>
  <si>
    <r>
      <t xml:space="preserve">SJ004021M96/195-197 Este año, pues, se han escogido, este, símbolos como es el amor, este, la paz y cada cual, pues, el que </t>
    </r>
    <r>
      <rPr>
        <b/>
        <sz val="12"/>
        <color theme="1"/>
        <rFont val="Times New Roman"/>
        <family val="1"/>
      </rPr>
      <t>va a representar</t>
    </r>
    <r>
      <rPr>
        <sz val="12"/>
        <color theme="1"/>
        <rFont val="Times New Roman"/>
        <family val="1"/>
      </rPr>
      <t xml:space="preserve"> la luz, pues, tiene que traer su carroza llena de luces, se han tomado temas más espirituales.</t>
    </r>
  </si>
  <si>
    <r>
      <t xml:space="preserve">SJ004021M96/220-224 Pero dedicamos mucho tiempo a eso y los consideramos baluartes en la Congregación, joyas, columnas, porque dentro de como era el Puerto Rico de antes ellos gozaban de algo que nosotros no gozamos que fue de mucha paz y seguridad, que ahora lo que hay es mucha violencia, pero este, para nosotros son bien importantes y si observas un día que vengas a la Congregación </t>
    </r>
    <r>
      <rPr>
        <b/>
        <sz val="12"/>
        <color theme="1"/>
        <rFont val="Times New Roman"/>
        <family val="1"/>
      </rPr>
      <t>vas a ver</t>
    </r>
    <r>
      <rPr>
        <sz val="12"/>
        <color theme="1"/>
        <rFont val="Times New Roman"/>
        <family val="1"/>
      </rPr>
      <t xml:space="preserve"> muchas personas mayores, a pesar de que hay mucha juventud.</t>
    </r>
  </si>
  <si>
    <r>
      <t xml:space="preserve">SJ004021M96/264-266 Son bien tiernas, las antiguas, los musicales de Fred Astaire me gustan, aunque muy pocos se dan, por la música, West Side Story es bonita, o sea, me gustan las antiguas pero le </t>
    </r>
    <r>
      <rPr>
        <b/>
        <sz val="12"/>
        <color theme="1"/>
        <rFont val="Times New Roman"/>
        <family val="1"/>
      </rPr>
      <t>voy a confesar</t>
    </r>
    <r>
      <rPr>
        <sz val="12"/>
        <color theme="1"/>
        <rFont val="Times New Roman"/>
        <family val="1"/>
      </rPr>
      <t>, me gusta ITI (E. T) que es preciosa pero que hay muchas de acción que me gustan.</t>
    </r>
  </si>
  <si>
    <r>
      <t>SJ004021M96/341 Pues, le</t>
    </r>
    <r>
      <rPr>
        <b/>
        <sz val="12"/>
        <color theme="1"/>
        <rFont val="Times New Roman"/>
        <family val="1"/>
      </rPr>
      <t xml:space="preserve"> voy a con[tar]</t>
    </r>
    <r>
      <rPr>
        <sz val="12"/>
        <color theme="1"/>
        <rFont val="Times New Roman"/>
        <family val="1"/>
      </rPr>
      <t>, es algo, que me sorprendió.</t>
    </r>
  </si>
  <si>
    <r>
      <t xml:space="preserve">SJ004021M96/352-355A ¿Qué te parece si un verano te </t>
    </r>
    <r>
      <rPr>
        <b/>
        <sz val="12"/>
        <color theme="1"/>
        <rFont val="Times New Roman"/>
        <family val="1"/>
      </rPr>
      <t>vas</t>
    </r>
    <r>
      <rPr>
        <sz val="12"/>
        <color theme="1"/>
        <rFont val="Times New Roman"/>
        <family val="1"/>
      </rPr>
      <t xml:space="preserve"> dos meses, por lo menos, le das lo teórico, lo básico, para que vayan aprendiendo música, pues, en, cuando yo llegué aquel sitio, a pesar de que yo vengo de un hogar que no es, no es, no somos ricos, pero uno tiene tantas comodidades, pues, era un lugar bastante humilde.</t>
    </r>
  </si>
  <si>
    <r>
      <t xml:space="preserve">SJ004021M96/352-355B ¿Qué te parece si un verano te vas dos meses, por lo menos, le </t>
    </r>
    <r>
      <rPr>
        <b/>
        <sz val="12"/>
        <color theme="1"/>
        <rFont val="Times New Roman"/>
        <family val="1"/>
      </rPr>
      <t>das</t>
    </r>
    <r>
      <rPr>
        <sz val="12"/>
        <color theme="1"/>
        <rFont val="Times New Roman"/>
        <family val="1"/>
      </rPr>
      <t xml:space="preserve"> lo teórico, lo básico, para que vayan aprendiendo música, pues, en, cuando yo llegué aquel sitio, a pesar de que yo vengo de un hogar que no es, no es, no somos ricos, pero uno tiene tantas comodidades, pues, era un lugar bastante humilde.</t>
    </r>
  </si>
  <si>
    <r>
      <t xml:space="preserve">SJ004021M96/609-612A Ajá, la campiña entonces si te vas a la ciudad, lamentablemente, por el, como es un país subdesarrollado, este, hay mucha basura, en las calles, no hay desagües ni en el centro que es donde, </t>
    </r>
    <r>
      <rPr>
        <b/>
        <sz val="12"/>
        <color theme="1"/>
        <rFont val="Times New Roman"/>
        <family val="1"/>
      </rPr>
      <t>vamos a decir</t>
    </r>
    <r>
      <rPr>
        <sz val="12"/>
        <color theme="1"/>
        <rFont val="Times New Roman"/>
        <family val="1"/>
      </rPr>
      <t xml:space="preserve"> que, vamos a decir que fuéramos a Río Piedras aquí, a las tiendas, este, la basura corre y las aguas negras sin...</t>
    </r>
  </si>
  <si>
    <r>
      <t xml:space="preserve">SJ004021M96/609-612B Ajá, la campiña entonces si te vas a la ciudad, lamentablemente, por el, como es un país subdesarrollado, este, hay mucha basura, en las calles, no hay desagües ni en el centro que es donde, vamos a decir que, </t>
    </r>
    <r>
      <rPr>
        <b/>
        <sz val="12"/>
        <color theme="1"/>
        <rFont val="Times New Roman"/>
        <family val="1"/>
      </rPr>
      <t xml:space="preserve">vamos a decir </t>
    </r>
    <r>
      <rPr>
        <sz val="12"/>
        <color theme="1"/>
        <rFont val="Times New Roman"/>
        <family val="1"/>
      </rPr>
      <t>que fuéramos a Río Piedras aquí, a las tiendas, este, la basura corre y las aguas negras sin...</t>
    </r>
  </si>
  <si>
    <r>
      <t xml:space="preserve">SJ004021M96/629-632 [N]o hay tortas de cemento arriba, porque si pues, se mueve, pues no, no, hace muchísimo menos daño a las, a las personas que habitan las casas, entonces, </t>
    </r>
    <r>
      <rPr>
        <b/>
        <sz val="12"/>
        <color theme="1"/>
        <rFont val="Times New Roman"/>
        <family val="1"/>
      </rPr>
      <t>vas a ver</t>
    </r>
    <r>
      <rPr>
        <sz val="12"/>
        <color theme="1"/>
        <rFont val="Times New Roman"/>
        <family val="1"/>
      </rPr>
      <t xml:space="preserve"> muchas casitas con techos en rojo, techos en blanco, los pintan en verde.</t>
    </r>
  </si>
  <si>
    <r>
      <t xml:space="preserve">SJ004021M96/648-649 Y te hace un corte de pastelillo y entonces, te </t>
    </r>
    <r>
      <rPr>
        <b/>
        <sz val="12"/>
        <color theme="1"/>
        <rFont val="Times New Roman"/>
        <family val="1"/>
      </rPr>
      <t>vas a estacionar</t>
    </r>
    <r>
      <rPr>
        <sz val="12"/>
        <color theme="1"/>
        <rFont val="Times New Roman"/>
        <family val="1"/>
      </rPr>
      <t xml:space="preserve"> y te dicen, no yo llegué primero, y te chilla la goma al frente y se te estaciona, no eso es, eso es...</t>
    </r>
  </si>
  <si>
    <r>
      <t xml:space="preserve">SJ004021M96/655-657 Sí, en cuestión de edificios y mucho, este, mucho infraestructura, muchas avenidas, muchas conexiones, museos, este, tiendas, este, igual que aquí en Puerto Rico en el Condado pues, están, este, </t>
    </r>
    <r>
      <rPr>
        <b/>
        <sz val="12"/>
        <color theme="1"/>
        <rFont val="Times New Roman"/>
        <family val="1"/>
      </rPr>
      <t>vamos a decir</t>
    </r>
    <r>
      <rPr>
        <sz val="12"/>
        <color theme="1"/>
        <rFont val="Times New Roman"/>
        <family val="1"/>
      </rPr>
      <t xml:space="preserve"> estos, de París, este, Lancome, este, todas éstas...</t>
    </r>
  </si>
  <si>
    <r>
      <t xml:space="preserve">SJ004021M96/660-662 Las grandes compañías, pues Venezuela tiene este, sucursales que no las vamos, no las </t>
    </r>
    <r>
      <rPr>
        <b/>
        <sz val="12"/>
        <color theme="1"/>
        <rFont val="Times New Roman"/>
        <family val="1"/>
      </rPr>
      <t xml:space="preserve">vamos a encontrar </t>
    </r>
    <r>
      <rPr>
        <sz val="12"/>
        <color theme="1"/>
        <rFont val="Times New Roman"/>
        <family val="1"/>
      </rPr>
      <t>en Costa Rica ni otros sitios, o sea, tiene gente que va allí, pero, el venezolano como tal, la persona, yo sé que me están grabando pero, si algún venezolano, yo espero que no lo oiga.</t>
    </r>
  </si>
  <si>
    <r>
      <t xml:space="preserve">SJ004021M96/701-702A Y por eso yo me sentí tan, tan rara. El país en sí me gusta, hay bastantes comodidades, si tú tienes di, dinero pues </t>
    </r>
    <r>
      <rPr>
        <b/>
        <sz val="12"/>
        <color theme="1"/>
        <rFont val="Times New Roman"/>
        <family val="1"/>
      </rPr>
      <t>vas a comerte</t>
    </r>
    <r>
      <rPr>
        <sz val="12"/>
        <color theme="1"/>
        <rFont val="Times New Roman"/>
        <family val="1"/>
      </rPr>
      <t xml:space="preserve"> lo que tú quieras, vas a encontrar lo que tú quieras.</t>
    </r>
  </si>
  <si>
    <r>
      <t xml:space="preserve">SJ004021M96/701-702B Y por eso yo me sentí tan, tan rara. El país en sí me gusta, hay bastantes comodidades, si tú tienes di, dinero pues vas a comerte lo que tú quieras, </t>
    </r>
    <r>
      <rPr>
        <b/>
        <sz val="12"/>
        <color theme="1"/>
        <rFont val="Times New Roman"/>
        <family val="1"/>
      </rPr>
      <t>vas a encontrar</t>
    </r>
    <r>
      <rPr>
        <sz val="12"/>
        <color theme="1"/>
        <rFont val="Times New Roman"/>
        <family val="1"/>
      </rPr>
      <t xml:space="preserve"> lo que tú quieras.</t>
    </r>
  </si>
  <si>
    <r>
      <t xml:space="preserve">SJ004021M96/708-709 Es más difícil aunque por eso, pues, no todos se </t>
    </r>
    <r>
      <rPr>
        <b/>
        <sz val="12"/>
        <color theme="1"/>
        <rFont val="Times New Roman"/>
        <family val="1"/>
      </rPr>
      <t>van a señalar</t>
    </r>
    <r>
      <rPr>
        <sz val="12"/>
        <color theme="1"/>
        <rFont val="Times New Roman"/>
        <family val="1"/>
      </rPr>
      <t xml:space="preserve"> y ellos hacen buenas obras y se han destacado en muchas cosas, pero, pues, eso no, no, fíjate la gente, pero el país...</t>
    </r>
  </si>
  <si>
    <t>SJ004021M96</t>
  </si>
  <si>
    <r>
      <t>SJ004021M96/718 Costa Rica te</t>
    </r>
    <r>
      <rPr>
        <b/>
        <sz val="12"/>
        <color theme="1"/>
        <rFont val="Times New Roman"/>
        <family val="1"/>
      </rPr>
      <t xml:space="preserve"> va a gustar.</t>
    </r>
  </si>
  <si>
    <r>
      <t xml:space="preserve">SJ005021M96/42-44 Ahora mismo, yo no tengo hijo pero si a mis sobrinos, me encanta, este, llevarlos con mi hermana y decirle, </t>
    </r>
    <r>
      <rPr>
        <b/>
        <sz val="12"/>
        <color theme="1"/>
        <rFont val="Times New Roman"/>
        <family val="1"/>
      </rPr>
      <t>vamos a recoger</t>
    </r>
    <r>
      <rPr>
        <sz val="12"/>
        <color theme="1"/>
        <rFont val="Times New Roman"/>
        <family val="1"/>
      </rPr>
      <t xml:space="preserve"> la, a poner la caja y si no me ponen caja no hay regalo en casa.</t>
    </r>
  </si>
  <si>
    <r>
      <t xml:space="preserve">SJ005021M96/133-134 [P]orque ahora, prácticamente, el padre ya no tiene no autoridad pero si le pega a un niño, ya lo </t>
    </r>
    <r>
      <rPr>
        <b/>
        <sz val="12"/>
        <color theme="1"/>
        <rFont val="Times New Roman"/>
        <family val="1"/>
      </rPr>
      <t>acusan</t>
    </r>
    <r>
      <rPr>
        <sz val="12"/>
        <color theme="1"/>
        <rFont val="Times New Roman"/>
        <family val="1"/>
      </rPr>
      <t xml:space="preserve"> de maltrato.</t>
    </r>
  </si>
  <si>
    <r>
      <t xml:space="preserve">SJ005021M96/134-135 Y a veces hasta los mismos niños los amenazan, te </t>
    </r>
    <r>
      <rPr>
        <b/>
        <sz val="12"/>
        <color theme="1"/>
        <rFont val="Times New Roman"/>
        <family val="1"/>
      </rPr>
      <t>voy a llamar</t>
    </r>
    <r>
      <rPr>
        <sz val="12"/>
        <color theme="1"/>
        <rFont val="Times New Roman"/>
        <family val="1"/>
      </rPr>
      <t xml:space="preserve"> a Servicios Sociales.</t>
    </r>
  </si>
  <si>
    <t>SJ005021M96</t>
  </si>
  <si>
    <t>SJ004531M96</t>
  </si>
  <si>
    <r>
      <t xml:space="preserve">SJ004531M96/28-30 Yo estaba histérica, histérica nunca se me va olvidar ese cumpleaños porque tenía el pelo corto y yo le decía a mi mamá: “mama, pero yo </t>
    </r>
    <r>
      <rPr>
        <b/>
        <sz val="12"/>
        <color theme="1"/>
        <rFont val="Times New Roman"/>
        <family val="1"/>
      </rPr>
      <t>voy a quedar</t>
    </r>
    <r>
      <rPr>
        <sz val="12"/>
        <color theme="1"/>
        <rFont val="Times New Roman"/>
        <family val="1"/>
      </rPr>
      <t xml:space="preserve"> fea en la, en las fotos porque no tengo pelo largo y todos los niños tienen pelo largo”.</t>
    </r>
  </si>
  <si>
    <r>
      <t xml:space="preserve">SJ004531M96/226-228 Pues, me gustaría, ahora mismo no sé en qué exactamente es lo que </t>
    </r>
    <r>
      <rPr>
        <b/>
        <sz val="12"/>
        <color theme="1"/>
        <rFont val="Times New Roman"/>
        <family val="1"/>
      </rPr>
      <t>voy [a] hacerla</t>
    </r>
    <r>
      <rPr>
        <sz val="12"/>
        <color theme="1"/>
        <rFont val="Times New Roman"/>
        <family val="1"/>
      </rPr>
      <t xml:space="preserve"> me gustaría que fuera en sicología industrial pues me, me centr, trataría de conseg, de encontrar un trabajo donde pudiera desempeñarme en el área que estudié que fue sicología industrial.</t>
    </r>
  </si>
  <si>
    <r>
      <t xml:space="preserve">SJ004531M96/255-257 “Oh, my God”, pues, yo creo que yo tengo la capacidad para afrontar una, digo, siempre pensando en que Dios le </t>
    </r>
    <r>
      <rPr>
        <b/>
        <sz val="12"/>
        <color theme="1"/>
        <rFont val="Times New Roman"/>
        <family val="1"/>
      </rPr>
      <t>da</t>
    </r>
    <r>
      <rPr>
        <sz val="12"/>
        <color theme="1"/>
        <rFont val="Times New Roman"/>
        <family val="1"/>
      </rPr>
      <t>, le dará la fortaleza para, para poder sobrellevarla y pues trataría también de superarme.</t>
    </r>
  </si>
  <si>
    <r>
      <t xml:space="preserve">SJ004531M96/255-257 “Oh, my God”, pues, yo creo que yo tengo la capacidad para afrontar una, digo, siempre pensando en que Dios le da, le </t>
    </r>
    <r>
      <rPr>
        <b/>
        <sz val="12"/>
        <color theme="1"/>
        <rFont val="Times New Roman"/>
        <family val="1"/>
      </rPr>
      <t>dará</t>
    </r>
    <r>
      <rPr>
        <sz val="12"/>
        <color theme="1"/>
        <rFont val="Times New Roman"/>
        <family val="1"/>
      </rPr>
      <t xml:space="preserve"> la fortaleza para, para poder sobrellevarla y pues trataría también de superarme.</t>
    </r>
  </si>
  <si>
    <r>
      <t xml:space="preserve">SJ004531M96/260-261A (¿Sí te ganas un carro último modelo del año?)Lo </t>
    </r>
    <r>
      <rPr>
        <b/>
        <sz val="12"/>
        <color theme="1"/>
        <rFont val="Times New Roman"/>
        <family val="1"/>
      </rPr>
      <t>vendo</t>
    </r>
    <r>
      <rPr>
        <sz val="12"/>
        <color theme="1"/>
        <rFont val="Times New Roman"/>
        <family val="1"/>
      </rPr>
      <t xml:space="preserve"> y pago todas mis deudas.</t>
    </r>
  </si>
  <si>
    <r>
      <t xml:space="preserve">SJ004531M96/260-261B (¿Sí te ganas un carro último modelo del año?)Lo vendo y </t>
    </r>
    <r>
      <rPr>
        <b/>
        <sz val="12"/>
        <color theme="1"/>
        <rFont val="Times New Roman"/>
        <family val="1"/>
      </rPr>
      <t>pago</t>
    </r>
    <r>
      <rPr>
        <sz val="12"/>
        <color theme="1"/>
        <rFont val="Times New Roman"/>
        <family val="1"/>
      </rPr>
      <t xml:space="preserve"> todas mis deudas.</t>
    </r>
  </si>
  <si>
    <r>
      <t xml:space="preserve">SJ004531M96/262-264A Verdaderamente, eh,   lo vendería, si me </t>
    </r>
    <r>
      <rPr>
        <b/>
        <sz val="12"/>
        <color theme="1"/>
        <rFont val="Times New Roman"/>
        <family val="1"/>
      </rPr>
      <t>gano</t>
    </r>
    <r>
      <rPr>
        <sz val="12"/>
        <color theme="1"/>
        <rFont val="Times New Roman"/>
        <family val="1"/>
      </rPr>
      <t xml:space="preserve"> un carro de veinte mil dólares ahora mismo me pegó en la loto, resuelvo mis problemas económicos “a la soltá’” y creo que me quedó con el ñangara que tengo.</t>
    </r>
  </si>
  <si>
    <r>
      <t xml:space="preserve">SJ004531M96/262-264B Verdaderamente, eh,   lo vendería, si me gano un carro de veinte mil dólares ahora mismo me pegó en la loto, </t>
    </r>
    <r>
      <rPr>
        <b/>
        <sz val="12"/>
        <color theme="1"/>
        <rFont val="Times New Roman"/>
        <family val="1"/>
      </rPr>
      <t>resuelvo</t>
    </r>
    <r>
      <rPr>
        <sz val="12"/>
        <color theme="1"/>
        <rFont val="Times New Roman"/>
        <family val="1"/>
      </rPr>
      <t xml:space="preserve"> mis problemas económicos “a la soltá’” y creo que me quedó con el ñangara que tengo.</t>
    </r>
  </si>
  <si>
    <r>
      <t xml:space="preserve">SJ004531M96/267-269 Pues, tengo mucha esperanza y mucha fe en que todos son etapas en la vida y hay etapas buenas y hay etapas malas no es que esté en una etapa mala, pero sé que, que con mucho empeño y con mucha fe </t>
    </r>
    <r>
      <rPr>
        <b/>
        <sz val="12"/>
        <color theme="1"/>
        <rFont val="Times New Roman"/>
        <family val="1"/>
      </rPr>
      <t>voy a salir</t>
    </r>
    <r>
      <rPr>
        <sz val="12"/>
        <color theme="1"/>
        <rFont val="Times New Roman"/>
        <family val="1"/>
      </rPr>
      <t xml:space="preserve"> a adelante y lograr lo que quiero.</t>
    </r>
  </si>
  <si>
    <r>
      <t xml:space="preserve">SJ004531M96/277-279A Un chiste, el último chiste que acabo de escuchar es que </t>
    </r>
    <r>
      <rPr>
        <b/>
        <sz val="12"/>
        <color theme="1"/>
        <rFont val="Times New Roman"/>
        <family val="1"/>
      </rPr>
      <t>van [a] hacer</t>
    </r>
    <r>
      <rPr>
        <sz val="12"/>
        <color theme="1"/>
        <rFont val="Times New Roman"/>
        <family val="1"/>
      </rPr>
      <t xml:space="preserve"> una, en una estación de radio acabo de escuchar, que van [a] hacer un chiste, que van [a] hacer y que el cord, el cor, el cordel del “brassiere” más grande, para, para inscribirlo en el libro de “Guinness”.</t>
    </r>
  </si>
  <si>
    <r>
      <t xml:space="preserve">SJ004531M96/277-279B Un chiste, el último chiste que acabo de escuchar es que van [a] hacer una, en una estación de radio acabo de escuchar, que </t>
    </r>
    <r>
      <rPr>
        <b/>
        <sz val="12"/>
        <color theme="1"/>
        <rFont val="Times New Roman"/>
        <family val="1"/>
      </rPr>
      <t>van [a] hacer</t>
    </r>
    <r>
      <rPr>
        <sz val="12"/>
        <color theme="1"/>
        <rFont val="Times New Roman"/>
        <family val="1"/>
      </rPr>
      <t xml:space="preserve"> un chiste, que van [a] hacer y que el cord, el cor, el cordel del “brassiere” más grande, para, para inscribirlo en el libro de “Guinness”.</t>
    </r>
  </si>
  <si>
    <r>
      <t xml:space="preserve">SJ004531M96/277-279C Un chiste, el último chiste que acabo de escuchar es que van [a] hacer una, en una estación de radio acabo de escuchar, que van [a] hacer un chiste, que </t>
    </r>
    <r>
      <rPr>
        <b/>
        <sz val="12"/>
        <color theme="1"/>
        <rFont val="Times New Roman"/>
        <family val="1"/>
      </rPr>
      <t>van [a] hacer</t>
    </r>
    <r>
      <rPr>
        <sz val="12"/>
        <color theme="1"/>
        <rFont val="Times New Roman"/>
        <family val="1"/>
      </rPr>
      <t xml:space="preserve"> y que el cord, el cor, el cordel del “brassiere” más grande, para, para inscribirlo en el libro de “Guinness”.</t>
    </r>
  </si>
  <si>
    <r>
      <t xml:space="preserve">SJ004531M96/279-281 Desde Las Tetas de Cayey de una, a la otra que todo el mundo </t>
    </r>
    <r>
      <rPr>
        <b/>
        <sz val="12"/>
        <color theme="1"/>
        <rFont val="Times New Roman"/>
        <family val="1"/>
      </rPr>
      <t>va a llevar</t>
    </r>
    <r>
      <rPr>
        <sz val="12"/>
        <color theme="1"/>
        <rFont val="Times New Roman"/>
        <family val="1"/>
      </rPr>
      <t xml:space="preserve"> un “brassiere” a una estación de radio para que sea partícipe de este evento, me parece ridículo.</t>
    </r>
  </si>
  <si>
    <r>
      <t xml:space="preserve">SJ004531M96/423-426B Hay mucha gente que le costará adaptarse y que no, que no lo </t>
    </r>
    <r>
      <rPr>
        <b/>
        <sz val="12"/>
        <color theme="1"/>
        <rFont val="Times New Roman"/>
        <family val="1"/>
      </rPr>
      <t>acepta</t>
    </r>
    <r>
      <rPr>
        <sz val="12"/>
        <color theme="1"/>
        <rFont val="Times New Roman"/>
        <family val="1"/>
      </rPr>
      <t xml:space="preserve"> pero yo si es en beneficio de, todos los cambios que sean en beneficio del pueblo y de nuestra sociedad pues, bienvenidos sean y, y de una ideología política pues bienvenidos sean.</t>
    </r>
  </si>
  <si>
    <r>
      <t xml:space="preserve">SJ004531M96/423-426C Hay mucha gente que le costará adaptarse y que no, que no lo acepta pero yo si </t>
    </r>
    <r>
      <rPr>
        <b/>
        <sz val="12"/>
        <color theme="1"/>
        <rFont val="Times New Roman"/>
        <family val="1"/>
      </rPr>
      <t>es</t>
    </r>
    <r>
      <rPr>
        <sz val="12"/>
        <color theme="1"/>
        <rFont val="Times New Roman"/>
        <family val="1"/>
      </rPr>
      <t xml:space="preserve"> en beneficio de, todos los cambios que sean en beneficio del pueblo y de nuestra sociedad pues, bienvenidos sean y, y de una ideología política pues bienvenidos sean.</t>
    </r>
  </si>
  <si>
    <t>SJ008031M96</t>
  </si>
  <si>
    <r>
      <t xml:space="preserve">SJ008031M96/60-63 Y tan pronto salgo de aquí que llego a la cinco a mi casa pues ya mi esposo y yo nos dividimos las tareas o si yo llego cocino y él atiende las asignaciones del nene o él me dice pues yo </t>
    </r>
    <r>
      <rPr>
        <b/>
        <sz val="12"/>
        <color theme="1"/>
        <rFont val="Times New Roman"/>
        <family val="1"/>
      </rPr>
      <t>voy</t>
    </r>
    <r>
      <rPr>
        <sz val="12"/>
        <color theme="1"/>
        <rFont val="Times New Roman"/>
        <family val="1"/>
      </rPr>
      <t xml:space="preserve"> hoy </t>
    </r>
    <r>
      <rPr>
        <b/>
        <sz val="12"/>
        <color theme="1"/>
        <rFont val="Times New Roman"/>
        <family val="1"/>
      </rPr>
      <t xml:space="preserve">a cocinar </t>
    </r>
    <r>
      <rPr>
        <sz val="12"/>
        <color theme="1"/>
        <rFont val="Times New Roman"/>
        <family val="1"/>
      </rPr>
      <t>y atiende tú con las asignaciones del nené.</t>
    </r>
  </si>
  <si>
    <r>
      <t xml:space="preserve">SJ008031M96120-121A Esto es lo bueno, esto es lo malo, a esto te </t>
    </r>
    <r>
      <rPr>
        <b/>
        <sz val="12"/>
        <color theme="1"/>
        <rFont val="Times New Roman"/>
        <family val="1"/>
      </rPr>
      <t xml:space="preserve">vas a enfrentar </t>
    </r>
    <r>
      <rPr>
        <sz val="12"/>
        <color theme="1"/>
        <rFont val="Times New Roman"/>
        <family val="1"/>
      </rPr>
      <t>en la calle, este... tú eres quien vas a decidir por tu vida lo que tú quieras ser.</t>
    </r>
  </si>
  <si>
    <r>
      <t xml:space="preserve">SJ008031M96120-121B Esto es lo bueno, esto es lo malo, a esto te vas a enfrentar en la calle, este... tú eres quien </t>
    </r>
    <r>
      <rPr>
        <b/>
        <sz val="12"/>
        <color theme="1"/>
        <rFont val="Times New Roman"/>
        <family val="1"/>
      </rPr>
      <t>vas a decidir</t>
    </r>
    <r>
      <rPr>
        <sz val="12"/>
        <color theme="1"/>
        <rFont val="Times New Roman"/>
        <family val="1"/>
      </rPr>
      <t xml:space="preserve"> por tu vida lo que tú quieras ser.</t>
    </r>
  </si>
  <si>
    <r>
      <t xml:space="preserve">SJ008031M96161-162 Si él pues viene y se separa del grupo o algo, pues ya tú sabes que la </t>
    </r>
    <r>
      <rPr>
        <b/>
        <sz val="12"/>
        <color theme="1"/>
        <rFont val="Times New Roman"/>
        <family val="1"/>
      </rPr>
      <t xml:space="preserve">van a coger </t>
    </r>
    <r>
      <rPr>
        <sz val="12"/>
        <color theme="1"/>
        <rFont val="Times New Roman"/>
        <family val="1"/>
      </rPr>
      <t>en contra de él.</t>
    </r>
  </si>
  <si>
    <r>
      <t xml:space="preserve">SJ008031M96203-205 Porque yo le digo a Orlín, este... “¡Ay!, cuando la nena tenga novio que vayan para plaza, que vayan para cine”. Ah, pues, </t>
    </r>
    <r>
      <rPr>
        <b/>
        <sz val="12"/>
        <color theme="1"/>
        <rFont val="Times New Roman"/>
        <family val="1"/>
      </rPr>
      <t>vamos</t>
    </r>
    <r>
      <rPr>
        <sz val="12"/>
        <color theme="1"/>
        <rFont val="Times New Roman"/>
        <family val="1"/>
      </rPr>
      <t xml:space="preserve"> para cine con la nena (risa).”</t>
    </r>
  </si>
  <si>
    <r>
      <t xml:space="preserve">SJ008031M96207B Llegar al punto medio es lo difícil y con eso es con lo que uno </t>
    </r>
    <r>
      <rPr>
        <b/>
        <sz val="12"/>
        <color theme="1"/>
        <rFont val="Times New Roman"/>
        <family val="1"/>
      </rPr>
      <t>va a tener</t>
    </r>
    <r>
      <rPr>
        <sz val="12"/>
        <color theme="1"/>
        <rFont val="Times New Roman"/>
        <family val="1"/>
      </rPr>
      <t xml:space="preserve"> que bregar.</t>
    </r>
  </si>
  <si>
    <r>
      <t xml:space="preserve">SJ008031M96219-221 No creo en el aborto porque hay tantos métodos anticonceptivos para tú evitar los hijos, y si lo </t>
    </r>
    <r>
      <rPr>
        <b/>
        <sz val="12"/>
        <color theme="1"/>
        <rFont val="Times New Roman"/>
        <family val="1"/>
      </rPr>
      <t xml:space="preserve">vas a hacer </t>
    </r>
    <r>
      <rPr>
        <sz val="12"/>
        <color theme="1"/>
        <rFont val="Times New Roman"/>
        <family val="1"/>
      </rPr>
      <t>porque es tu cuerpo y es tú decisión y no quieres ese niño, pues mira, evítalo.</t>
    </r>
  </si>
  <si>
    <r>
      <t xml:space="preserve">SJ008031M96225 Si ella lo quiere hacer no la </t>
    </r>
    <r>
      <rPr>
        <b/>
        <sz val="12"/>
        <color theme="1"/>
        <rFont val="Times New Roman"/>
        <family val="1"/>
      </rPr>
      <t>culpo.</t>
    </r>
  </si>
  <si>
    <r>
      <t xml:space="preserve">SJ008031M96247-248 Porque a mí me gusta este... llevar a mis nenes al colegio, estar pendientes, irlos a buscar, que si cuando llegamos a las tres que si </t>
    </r>
    <r>
      <rPr>
        <b/>
        <sz val="12"/>
        <color theme="1"/>
        <rFont val="Times New Roman"/>
        <family val="1"/>
      </rPr>
      <t>vamos a bañarte</t>
    </r>
    <r>
      <rPr>
        <sz val="12"/>
        <color theme="1"/>
        <rFont val="Times New Roman"/>
        <family val="1"/>
      </rPr>
      <t>, que toma una merienda.</t>
    </r>
  </si>
  <si>
    <r>
      <t xml:space="preserve">SJ008031M96259-262 Pues, por lo que yo ya dije tú no </t>
    </r>
    <r>
      <rPr>
        <b/>
        <sz val="12"/>
        <color theme="1"/>
        <rFont val="Times New Roman"/>
        <family val="1"/>
      </rPr>
      <t>puedes</t>
    </r>
    <r>
      <rPr>
        <sz val="12"/>
        <color theme="1"/>
        <rFont val="Times New Roman"/>
        <family val="1"/>
      </rPr>
      <t xml:space="preserve"> dedicarte a eso hasta tanto tú no tengas una... una base sólida que un sueldo vaya a estar corriendo normal, como cuando él estaba en los camiones que había semanas que él tenía mil y pico en una semana.</t>
    </r>
  </si>
  <si>
    <r>
      <t xml:space="preserve">SJ008031M96285-286A Sí, siempre </t>
    </r>
    <r>
      <rPr>
        <b/>
        <sz val="12"/>
        <color theme="1"/>
        <rFont val="Times New Roman"/>
        <family val="1"/>
      </rPr>
      <t>habrá</t>
    </r>
    <r>
      <rPr>
        <sz val="12"/>
        <color theme="1"/>
        <rFont val="Times New Roman"/>
        <family val="1"/>
      </rPr>
      <t xml:space="preserve"> sus cositas porque eso siempre pasa eso es en todos los sitios, pero si ponemos en una balanza, yo te diría que hay más compañerismo que nada.</t>
    </r>
  </si>
  <si>
    <r>
      <t xml:space="preserve">SJ008031M96296-297 Que él a veces viene y me agita y yo le digo: “Déjame terminar algo primero </t>
    </r>
    <r>
      <rPr>
        <b/>
        <sz val="12"/>
        <color theme="1"/>
        <rFont val="Times New Roman"/>
        <family val="1"/>
      </rPr>
      <t>vamos a hacerlo</t>
    </r>
    <r>
      <rPr>
        <sz val="12"/>
        <color theme="1"/>
        <rFont val="Times New Roman"/>
        <family val="1"/>
      </rPr>
      <t xml:space="preserve"> con calma”.</t>
    </r>
  </si>
  <si>
    <r>
      <t xml:space="preserve">SJ008031M96350-351A Sí, a veces se pide una cuota, a veces, cada cual pues dice pues yo </t>
    </r>
    <r>
      <rPr>
        <b/>
        <sz val="12"/>
        <color theme="1"/>
        <rFont val="Times New Roman"/>
        <family val="1"/>
      </rPr>
      <t xml:space="preserve">voy a traer </t>
    </r>
    <r>
      <rPr>
        <sz val="12"/>
        <color theme="1"/>
        <rFont val="Times New Roman"/>
        <family val="1"/>
      </rPr>
      <t>esto, yo voy a traer lo otro, todo depende.</t>
    </r>
  </si>
  <si>
    <r>
      <t xml:space="preserve">SJ008031M96350-351B Sí, a veces se pide una cuota, a veces, cada cual pues dice pues yo voy a traer esto, yo </t>
    </r>
    <r>
      <rPr>
        <b/>
        <sz val="12"/>
        <color theme="1"/>
        <rFont val="Times New Roman"/>
        <family val="1"/>
      </rPr>
      <t>voy a traer</t>
    </r>
    <r>
      <rPr>
        <sz val="12"/>
        <color theme="1"/>
        <rFont val="Times New Roman"/>
        <family val="1"/>
      </rPr>
      <t xml:space="preserve"> lo otro, todo depende.</t>
    </r>
  </si>
  <si>
    <r>
      <t xml:space="preserve">SJ008031M96355-356 Pues fíjate... en cuanto al horario flexible, yo opino como mi jefe que el horario flexible no </t>
    </r>
    <r>
      <rPr>
        <b/>
        <sz val="12"/>
        <color theme="1"/>
        <rFont val="Times New Roman"/>
        <family val="1"/>
      </rPr>
      <t>va a resolver</t>
    </r>
    <r>
      <rPr>
        <sz val="12"/>
        <color theme="1"/>
        <rFont val="Times New Roman"/>
        <family val="1"/>
      </rPr>
      <t xml:space="preserve"> el problema del aire acondicionado.</t>
    </r>
  </si>
  <si>
    <r>
      <t xml:space="preserve">SJ008031M96361-362 [N]o resolvían el problema en sí que es cambiar toda esa maquinaria que entiendo que es lo que </t>
    </r>
    <r>
      <rPr>
        <b/>
        <sz val="12"/>
        <color theme="1"/>
        <rFont val="Times New Roman"/>
        <family val="1"/>
      </rPr>
      <t>van a hacer</t>
    </r>
    <r>
      <rPr>
        <sz val="12"/>
        <color theme="1"/>
        <rFont val="Times New Roman"/>
        <family val="1"/>
      </rPr>
      <t xml:space="preserve"> ahora.</t>
    </r>
  </si>
  <si>
    <r>
      <t xml:space="preserve">SJ008031M96370-371 No, el hongo sí, eso siempre </t>
    </r>
    <r>
      <rPr>
        <b/>
        <sz val="12"/>
        <color theme="1"/>
        <rFont val="Times New Roman"/>
        <family val="1"/>
      </rPr>
      <t xml:space="preserve">va a persistir </t>
    </r>
    <r>
      <rPr>
        <sz val="12"/>
        <color theme="1"/>
        <rFont val="Times New Roman"/>
        <family val="1"/>
      </rPr>
      <t>por la humedad, por los libros, pero tienen que bregar con eso.</t>
    </r>
  </si>
  <si>
    <r>
      <t xml:space="preserve">SJ008031M96378-380 . O sea, no se ha trabajado con un patrón que diría bueno para esta época se pone más caliente, este, se activan más los hongos, pues en esta época pues </t>
    </r>
    <r>
      <rPr>
        <b/>
        <sz val="12"/>
        <color theme="1"/>
        <rFont val="Times New Roman"/>
        <family val="1"/>
      </rPr>
      <t xml:space="preserve">vamos a, a hacer </t>
    </r>
    <r>
      <rPr>
        <sz val="12"/>
        <color theme="1"/>
        <rFont val="Times New Roman"/>
        <family val="1"/>
      </rPr>
      <t>esa inspección.</t>
    </r>
  </si>
  <si>
    <r>
      <t xml:space="preserve">SJ008031M96388 Sí </t>
    </r>
    <r>
      <rPr>
        <b/>
        <sz val="12"/>
        <color theme="1"/>
        <rFont val="Times New Roman"/>
        <family val="1"/>
      </rPr>
      <t>van a tardar</t>
    </r>
    <r>
      <rPr>
        <sz val="12"/>
        <color theme="1"/>
        <rFont val="Times New Roman"/>
        <family val="1"/>
      </rPr>
      <t xml:space="preserve"> bastante, y creo que sobre medio millón de dólares eso nada más.</t>
    </r>
  </si>
  <si>
    <r>
      <t xml:space="preserve">SJ008031M96449-451A Pues quiero hacer un patrón de ver si </t>
    </r>
    <r>
      <rPr>
        <b/>
        <sz val="12"/>
        <color theme="1"/>
        <rFont val="Times New Roman"/>
        <family val="1"/>
      </rPr>
      <t>puedo</t>
    </r>
    <r>
      <rPr>
        <sz val="12"/>
        <color theme="1"/>
        <rFont val="Times New Roman"/>
        <family val="1"/>
      </rPr>
      <t xml:space="preserve"> hacer ejercicio y eso. Estoy tratando de acomodarlo para ver como lo puedo hacer porque tengo que rebajar.</t>
    </r>
  </si>
  <si>
    <r>
      <t xml:space="preserve">SJ008031M96449-451B Pues quiero hacer un patrón de ver si puedo hacer ejercicio y eso. Estoy tratando de acomodarlo para ver como lo </t>
    </r>
    <r>
      <rPr>
        <b/>
        <sz val="12"/>
        <color theme="1"/>
        <rFont val="Times New Roman"/>
        <family val="1"/>
      </rPr>
      <t>puedo</t>
    </r>
    <r>
      <rPr>
        <sz val="12"/>
        <color theme="1"/>
        <rFont val="Times New Roman"/>
        <family val="1"/>
      </rPr>
      <t xml:space="preserve"> hacer porque tengo que rebajar.</t>
    </r>
  </si>
  <si>
    <r>
      <t xml:space="preserve">SJ008031M96459-463 Y entonces el domingo si </t>
    </r>
    <r>
      <rPr>
        <b/>
        <sz val="12"/>
        <color theme="1"/>
        <rFont val="Times New Roman"/>
        <family val="1"/>
      </rPr>
      <t>vamos a ir</t>
    </r>
    <r>
      <rPr>
        <sz val="12"/>
        <color theme="1"/>
        <rFont val="Times New Roman"/>
        <family val="1"/>
      </rPr>
      <t xml:space="preserve"> al parque con los nenes y eso pues este yo me... usualmente me levanto bien temprano dejo los uniformes de los niños lavados mmm.... como viernes ya no le toco los libros a los niños, ni sábado, los libros se tocan domingo por la mañana para yo dejarles, bendito, que respiren.</t>
    </r>
  </si>
  <si>
    <r>
      <t xml:space="preserve">SJ008031M96475-476 Lo que pasa es que a veces digo ay, vamos, vamos, vamos, después digo </t>
    </r>
    <r>
      <rPr>
        <b/>
        <sz val="12"/>
        <color theme="1"/>
        <rFont val="Times New Roman"/>
        <family val="1"/>
      </rPr>
      <t>vamos a esperar</t>
    </r>
    <r>
      <rPr>
        <sz val="12"/>
        <color theme="1"/>
        <rFont val="Times New Roman"/>
        <family val="1"/>
      </rPr>
      <t xml:space="preserve"> que los nenes estén más grandes.</t>
    </r>
  </si>
  <si>
    <r>
      <t>SJ008031M96476-478A Ahora los nenes tienen fiebre de ver nieve pues estamos haciendo los planes que no son seguros “</t>
    </r>
    <r>
      <rPr>
        <i/>
        <sz val="12"/>
        <color theme="1"/>
        <rFont val="Times New Roman"/>
        <family val="1"/>
      </rPr>
      <t>time</t>
    </r>
    <r>
      <rPr>
        <sz val="12"/>
        <color theme="1"/>
        <rFont val="Times New Roman"/>
        <family val="1"/>
      </rPr>
      <t xml:space="preserve">” eso está en planes, si en diciembre </t>
    </r>
    <r>
      <rPr>
        <b/>
        <sz val="12"/>
        <color theme="1"/>
        <rFont val="Times New Roman"/>
        <family val="1"/>
      </rPr>
      <t>podemos</t>
    </r>
    <r>
      <rPr>
        <sz val="12"/>
        <color theme="1"/>
        <rFont val="Times New Roman"/>
        <family val="1"/>
      </rPr>
      <t xml:space="preserve"> ir unos días a casa del tío de mi esposo para ver si ellos ven la nieve y ya.</t>
    </r>
  </si>
  <si>
    <r>
      <t>SJ008031M96476-478B Ahora los nenes tienen fiebre de ver nieve pues estamos haciendo los planes que no son seguros “</t>
    </r>
    <r>
      <rPr>
        <i/>
        <sz val="12"/>
        <color theme="1"/>
        <rFont val="Times New Roman"/>
        <family val="1"/>
      </rPr>
      <t>time</t>
    </r>
    <r>
      <rPr>
        <sz val="12"/>
        <color theme="1"/>
        <rFont val="Times New Roman"/>
        <family val="1"/>
      </rPr>
      <t xml:space="preserve">” eso está en planes, si en diciembre podemos ir unos días a casa del tío de mi esposo para ver si ellos </t>
    </r>
    <r>
      <rPr>
        <b/>
        <sz val="12"/>
        <color theme="1"/>
        <rFont val="Times New Roman"/>
        <family val="1"/>
      </rPr>
      <t>ven</t>
    </r>
    <r>
      <rPr>
        <sz val="12"/>
        <color theme="1"/>
        <rFont val="Times New Roman"/>
        <family val="1"/>
      </rPr>
      <t xml:space="preserve"> la nieve y ya.</t>
    </r>
  </si>
  <si>
    <r>
      <t xml:space="preserve">SJ008031M96540 Ya trato de que todas las actividades que </t>
    </r>
    <r>
      <rPr>
        <b/>
        <sz val="12"/>
        <color theme="1"/>
        <rFont val="Times New Roman"/>
        <family val="1"/>
      </rPr>
      <t xml:space="preserve">voy a compartir </t>
    </r>
    <r>
      <rPr>
        <sz val="12"/>
        <color theme="1"/>
        <rFont val="Times New Roman"/>
        <family val="1"/>
      </rPr>
      <t>sean en torno a los nenes.</t>
    </r>
  </si>
  <si>
    <r>
      <t xml:space="preserve">SJ008031M96207A Llegar al punto medio es lo difícil y con eso </t>
    </r>
    <r>
      <rPr>
        <b/>
        <sz val="12"/>
        <color theme="1"/>
        <rFont val="Times New Roman"/>
        <family val="1"/>
      </rPr>
      <t>es</t>
    </r>
    <r>
      <rPr>
        <sz val="12"/>
        <color theme="1"/>
        <rFont val="Times New Roman"/>
        <family val="1"/>
      </rPr>
      <t xml:space="preserve"> con lo que uno va a tener que bregar.</t>
    </r>
  </si>
  <si>
    <r>
      <t xml:space="preserve">SJ023012M96/366-387 Debería estar estudiando mija, pues. O sea, que las muchachas de ahora yo no sé que les pasa como que… </t>
    </r>
    <r>
      <rPr>
        <b/>
        <sz val="12"/>
        <color theme="1"/>
        <rFont val="Times New Roman"/>
        <family val="1"/>
      </rPr>
      <t>vamos a decir</t>
    </r>
    <r>
      <rPr>
        <sz val="12"/>
        <color theme="1"/>
        <rFont val="Times New Roman"/>
        <family val="1"/>
      </rPr>
      <t xml:space="preserve"> que no se dejan criar.</t>
    </r>
  </si>
  <si>
    <r>
      <t xml:space="preserve">SJ023012M96/404 Bueno, yo te </t>
    </r>
    <r>
      <rPr>
        <b/>
        <sz val="12"/>
        <color theme="1"/>
        <rFont val="Times New Roman"/>
        <family val="1"/>
      </rPr>
      <t>voy a decir</t>
    </r>
    <r>
      <rPr>
        <sz val="12"/>
        <color theme="1"/>
        <rFont val="Times New Roman"/>
        <family val="1"/>
      </rPr>
      <t xml:space="preserve"> una cosa yo vine a ver televisión ya, ya, ya aquí.</t>
    </r>
  </si>
  <si>
    <r>
      <t xml:space="preserve">SJ023012M96/409 Y ahí fue que yo dije, pues, </t>
    </r>
    <r>
      <rPr>
        <b/>
        <sz val="12"/>
        <color theme="1"/>
        <rFont val="Times New Roman"/>
        <family val="1"/>
      </rPr>
      <t>voy a comprar</t>
    </r>
    <r>
      <rPr>
        <sz val="12"/>
        <color theme="1"/>
        <rFont val="Times New Roman"/>
        <family val="1"/>
      </rPr>
      <t xml:space="preserve"> un televisor para ver los programas cristianos.</t>
    </r>
  </si>
  <si>
    <r>
      <t xml:space="preserve">SJ023012M96/433-434 [Y]a son adultas porque ya Dorcas tiene, </t>
    </r>
    <r>
      <rPr>
        <b/>
        <sz val="12"/>
        <color theme="1"/>
        <rFont val="Times New Roman"/>
        <family val="1"/>
      </rPr>
      <t>va a cumplir</t>
    </r>
    <r>
      <rPr>
        <sz val="12"/>
        <color theme="1"/>
        <rFont val="Times New Roman"/>
        <family val="1"/>
      </rPr>
      <t xml:space="preserve"> veinticinco años y Raquel tiene veintitrés.</t>
    </r>
  </si>
  <si>
    <r>
      <t xml:space="preserve">SJ023012M96/596-597A Porque las encuentro livianas, y entonces ??? aunque esta pesa, tú sabes, un poquito, pero yo </t>
    </r>
    <r>
      <rPr>
        <b/>
        <sz val="12"/>
        <color theme="1"/>
        <rFont val="Times New Roman"/>
        <family val="1"/>
      </rPr>
      <t>voy a comprar</t>
    </r>
    <r>
      <rPr>
        <sz val="12"/>
        <color theme="1"/>
        <rFont val="Times New Roman"/>
        <family val="1"/>
      </rPr>
      <t xml:space="preserve"> y tú me ves… cogiéndole el peso, porque yo ??? aprendí con la pesada, tú sabes.</t>
    </r>
  </si>
  <si>
    <t>SJ023012M96</t>
  </si>
  <si>
    <t>SJ021022M96</t>
  </si>
  <si>
    <r>
      <t xml:space="preserve">SJ021022M96/78-79 Y Jorge, Jorge terminó de estudiar y </t>
    </r>
    <r>
      <rPr>
        <b/>
        <sz val="12"/>
        <color theme="1"/>
        <rFont val="Times New Roman"/>
        <family val="1"/>
      </rPr>
      <t xml:space="preserve">va a empezar </t>
    </r>
    <r>
      <rPr>
        <sz val="12"/>
        <color theme="1"/>
        <rFont val="Times New Roman"/>
        <family val="1"/>
      </rPr>
      <t>a trabajar, él es dentista y Javier que está terminando las leyes.</t>
    </r>
  </si>
  <si>
    <r>
      <t xml:space="preserve">SJ021022M96/99-100 Bueno, depende, depende de los padres yo creo, porque yo creo que si un papá </t>
    </r>
    <r>
      <rPr>
        <b/>
        <sz val="12"/>
        <color theme="1"/>
        <rFont val="Times New Roman"/>
        <family val="1"/>
      </rPr>
      <t>va</t>
    </r>
    <r>
      <rPr>
        <sz val="12"/>
        <color theme="1"/>
        <rFont val="Times New Roman"/>
        <family val="1"/>
      </rPr>
      <t>, este</t>
    </r>
    <r>
      <rPr>
        <b/>
        <sz val="12"/>
        <color theme="1"/>
        <rFont val="Times New Roman"/>
        <family val="1"/>
      </rPr>
      <t>,  a criar</t>
    </r>
    <r>
      <rPr>
        <sz val="12"/>
        <color theme="1"/>
        <rFont val="Times New Roman"/>
        <family val="1"/>
      </rPr>
      <t xml:space="preserve"> bien a sus hijos a ponerle respeto y leyes y orden.</t>
    </r>
  </si>
  <si>
    <r>
      <t xml:space="preserve">SJ021022M96/136-139A Es importante que, que los hijos sean niñas o niños, lo que sea, tú sepas quiénes son tus amigos, sus amigas para dónde van y si </t>
    </r>
    <r>
      <rPr>
        <b/>
        <sz val="12"/>
        <color theme="1"/>
        <rFont val="Times New Roman"/>
        <family val="1"/>
      </rPr>
      <t>van a regresar</t>
    </r>
    <r>
      <rPr>
        <sz val="12"/>
        <color theme="1"/>
        <rFont val="Times New Roman"/>
        <family val="1"/>
      </rPr>
      <t xml:space="preserve"> tarde, que te lo digan y más o menos a qué hora van a regresar o con quién van a regresar o si hay que irlos a buscar.</t>
    </r>
  </si>
  <si>
    <r>
      <t xml:space="preserve">SJ021022M96/136-139B Es importante que, que los hijos sean niñas o niños, lo que sea, tú sepas quiénes son tus amigos, sus amigas para dónde van y si van a regresar tarde, que te lo digan y más o menos a qué hora </t>
    </r>
    <r>
      <rPr>
        <b/>
        <sz val="12"/>
        <color theme="1"/>
        <rFont val="Times New Roman"/>
        <family val="1"/>
      </rPr>
      <t>van a regresar</t>
    </r>
    <r>
      <rPr>
        <sz val="12"/>
        <color theme="1"/>
        <rFont val="Times New Roman"/>
        <family val="1"/>
      </rPr>
      <t xml:space="preserve"> o con quién van a regresar o si hay que irlos a buscar.</t>
    </r>
  </si>
  <si>
    <r>
      <t xml:space="preserve">SJ021022M96/160-161 Porque si no lo puede tener, pues, creo que también </t>
    </r>
    <r>
      <rPr>
        <b/>
        <sz val="12"/>
        <color theme="1"/>
        <rFont val="Times New Roman"/>
        <family val="1"/>
      </rPr>
      <t>hay</t>
    </r>
    <r>
      <rPr>
        <sz val="12"/>
        <color theme="1"/>
        <rFont val="Times New Roman"/>
        <family val="1"/>
      </rPr>
      <t xml:space="preserve"> otra persona que a lo mejor lo quisiera.</t>
    </r>
  </si>
  <si>
    <r>
      <t xml:space="preserve">SJ021022M96/187-188A Que eso todavía </t>
    </r>
    <r>
      <rPr>
        <b/>
        <sz val="12"/>
        <color theme="1"/>
        <rFont val="Times New Roman"/>
        <family val="1"/>
      </rPr>
      <t>estamos</t>
    </r>
    <r>
      <rPr>
        <sz val="12"/>
        <color theme="1"/>
        <rFont val="Times New Roman"/>
        <family val="1"/>
      </rPr>
      <t>, todavía hasta que no comience a trabajar y se establezca hay que estarle supliendo</t>
    </r>
  </si>
  <si>
    <r>
      <t xml:space="preserve">SJ021022M96/187-188B Que eso todavía estamos, todavía hasta que no comience a trabajar y se establezca </t>
    </r>
    <r>
      <rPr>
        <b/>
        <sz val="12"/>
        <color theme="1"/>
        <rFont val="Times New Roman"/>
        <family val="1"/>
      </rPr>
      <t>hay que estarle supliendo</t>
    </r>
  </si>
  <si>
    <r>
      <t xml:space="preserve">SJ021022M96/205-206A Sí, piensa hacer un consultorio, pero también </t>
    </r>
    <r>
      <rPr>
        <b/>
        <sz val="12"/>
        <color theme="1"/>
        <rFont val="Times New Roman"/>
        <family val="1"/>
      </rPr>
      <t xml:space="preserve">va a trabajar </t>
    </r>
    <r>
      <rPr>
        <sz val="12"/>
        <color theme="1"/>
        <rFont val="Times New Roman"/>
        <family val="1"/>
      </rPr>
      <t>empezando en noviembre él va a trabajar con un, con un, con un médico.</t>
    </r>
  </si>
  <si>
    <r>
      <t>SJ021022M96/205-206B Sí, piensa hacer un consultorio, pero también va a trabajar</t>
    </r>
    <r>
      <rPr>
        <b/>
        <sz val="12"/>
        <color theme="1"/>
        <rFont val="Times New Roman"/>
        <family val="1"/>
      </rPr>
      <t xml:space="preserve"> </t>
    </r>
    <r>
      <rPr>
        <sz val="12"/>
        <color theme="1"/>
        <rFont val="Times New Roman"/>
        <family val="1"/>
      </rPr>
      <t xml:space="preserve">empezando en noviembre él </t>
    </r>
    <r>
      <rPr>
        <b/>
        <sz val="12"/>
        <color theme="1"/>
        <rFont val="Times New Roman"/>
        <family val="1"/>
      </rPr>
      <t xml:space="preserve">va a trabajar </t>
    </r>
    <r>
      <rPr>
        <sz val="12"/>
        <color theme="1"/>
        <rFont val="Times New Roman"/>
        <family val="1"/>
      </rPr>
      <t>con un, con un, con un médico.</t>
    </r>
  </si>
  <si>
    <r>
      <t xml:space="preserve">SJ021022M96/266 La privada da mejor porque ellos se ocupan más, me imagino que </t>
    </r>
    <r>
      <rPr>
        <b/>
        <sz val="12"/>
        <color theme="1"/>
        <rFont val="Times New Roman"/>
        <family val="1"/>
      </rPr>
      <t>será</t>
    </r>
    <r>
      <rPr>
        <sz val="12"/>
        <color theme="1"/>
        <rFont val="Times New Roman"/>
        <family val="1"/>
      </rPr>
      <t xml:space="preserve"> que como cobran…</t>
    </r>
  </si>
  <si>
    <r>
      <t xml:space="preserve">SJ021022M96/136-139D Es importante que, que los hijos sean niñas o niños, lo que sea, tú sepas quiénes son tus amigos, sus amigas para dónde van y si van a regresar tarde, que te lo digan y más o menos a qué hora van a regresar o con quién van a regresar o si </t>
    </r>
    <r>
      <rPr>
        <b/>
        <sz val="12"/>
        <color theme="1"/>
        <rFont val="Times New Roman"/>
        <family val="1"/>
      </rPr>
      <t>hay que irlos a buscar.</t>
    </r>
  </si>
  <si>
    <r>
      <t xml:space="preserve">SJ021022M96/136-139C Es importante que, que los hijos sean niñas o niños, lo que sea, tú sepas quiénes son tus amigos, sus amigas para dónde van y si van a regresar tarde, que te lo digan y más o menos a qué hora van a regresar o con quién </t>
    </r>
    <r>
      <rPr>
        <b/>
        <sz val="12"/>
        <color theme="1"/>
        <rFont val="Times New Roman"/>
        <family val="1"/>
      </rPr>
      <t>van a regresar</t>
    </r>
    <r>
      <rPr>
        <sz val="12"/>
        <color theme="1"/>
        <rFont val="Times New Roman"/>
        <family val="1"/>
      </rPr>
      <t xml:space="preserve"> o si hay que irlos a buscar.</t>
    </r>
  </si>
  <si>
    <r>
      <t xml:space="preserve">SJ025022M96/44-47 Y efectivamente las amigas llegaban, pero era que ya teni, teníamos planes de ir a otro l/ugar a un río por ejemplo y muchas veces nos, nos rompían el, rompían el, el, el viaje porque ella decía, ustedes de aquí no </t>
    </r>
    <r>
      <rPr>
        <b/>
        <sz val="12"/>
        <color theme="1"/>
        <rFont val="Times New Roman"/>
        <family val="1"/>
      </rPr>
      <t>va a salir</t>
    </r>
    <r>
      <rPr>
        <sz val="12"/>
        <color theme="1"/>
        <rFont val="Times New Roman"/>
        <family val="1"/>
      </rPr>
      <t>, su papá salió, y él es el que da permisos.</t>
    </r>
  </si>
  <si>
    <r>
      <t xml:space="preserve">SJ025022M96/49-50  Pero yo siempre, no que nos vamos, que aquello, vénganse, no sean cobardes que ustedes son mayores, que papi no nos </t>
    </r>
    <r>
      <rPr>
        <b/>
        <sz val="12"/>
        <color theme="1"/>
        <rFont val="Times New Roman"/>
        <family val="1"/>
      </rPr>
      <t>va a decir</t>
    </r>
    <r>
      <rPr>
        <sz val="12"/>
        <color theme="1"/>
        <rFont val="Times New Roman"/>
        <family val="1"/>
      </rPr>
      <t xml:space="preserve"> nada...</t>
    </r>
  </si>
  <si>
    <r>
      <t xml:space="preserve">SJ025022M96/84-85A No </t>
    </r>
    <r>
      <rPr>
        <b/>
        <sz val="12"/>
        <color theme="1"/>
        <rFont val="Times New Roman"/>
        <family val="1"/>
      </rPr>
      <t>van a salir</t>
    </r>
    <r>
      <rPr>
        <sz val="12"/>
        <color theme="1"/>
        <rFont val="Times New Roman"/>
        <family val="1"/>
      </rPr>
      <t xml:space="preserve"> estas no son horas de salir, estas son horas de llegar.</t>
    </r>
  </si>
  <si>
    <r>
      <t xml:space="preserve">SJ025022M96/84-85B Pero papi si son las nueve y media son las diez de la noche. No, pero no </t>
    </r>
    <r>
      <rPr>
        <b/>
        <sz val="12"/>
        <color theme="1"/>
        <rFont val="Times New Roman"/>
        <family val="1"/>
      </rPr>
      <t>van a salir</t>
    </r>
    <r>
      <rPr>
        <sz val="12"/>
        <color theme="1"/>
        <rFont val="Times New Roman"/>
        <family val="1"/>
      </rPr>
      <t>.</t>
    </r>
  </si>
  <si>
    <r>
      <t xml:space="preserve">SJ025022M96/101-102A Entonces, yo siempre, yo les decía a mis hermanas, bueno, </t>
    </r>
    <r>
      <rPr>
        <b/>
        <sz val="12"/>
        <color theme="1"/>
        <rFont val="Times New Roman"/>
        <family val="1"/>
      </rPr>
      <t>vamos a hacer</t>
    </r>
    <r>
      <rPr>
        <sz val="12"/>
        <color theme="1"/>
        <rFont val="Times New Roman"/>
        <family val="1"/>
      </rPr>
      <t xml:space="preserve"> una cosa, vamos a recoger dinero entre todas.</t>
    </r>
  </si>
  <si>
    <r>
      <t xml:space="preserve">SJ025022M96/101-102B Entonces, yo siempre, yo les decía a mis hermanas, bueno, vamos a hacer una cosa, </t>
    </r>
    <r>
      <rPr>
        <b/>
        <sz val="12"/>
        <color theme="1"/>
        <rFont val="Times New Roman"/>
        <family val="1"/>
      </rPr>
      <t>vamos a recoger</t>
    </r>
    <r>
      <rPr>
        <sz val="12"/>
        <color theme="1"/>
        <rFont val="Times New Roman"/>
        <family val="1"/>
      </rPr>
      <t xml:space="preserve"> dinero entre todas.</t>
    </r>
  </si>
  <si>
    <r>
      <t xml:space="preserve">SJ025022M96/104-106 Ustedes nos tapan esta noche porque </t>
    </r>
    <r>
      <rPr>
        <b/>
        <sz val="12"/>
        <color theme="1"/>
        <rFont val="Times New Roman"/>
        <family val="1"/>
      </rPr>
      <t xml:space="preserve">vamos a estar </t>
    </r>
    <r>
      <rPr>
        <sz val="12"/>
        <color theme="1"/>
        <rFont val="Times New Roman"/>
        <family val="1"/>
      </rPr>
      <t>en la plaza hablando con nuestros amigos, pero si mi papá viene por ahí ustedes no avisan (risa)</t>
    </r>
  </si>
  <si>
    <r>
      <t xml:space="preserve">SJ025022M96/191-194 Así que bajo y dice bueno vamos ahora com, vamos almorzar al Zipperle, “Daniel, yo no puedo entrar así al Zipperle”, pero por qué porque mira como yo ando y me empieza a encontrar gente que me conocen y qué </t>
    </r>
    <r>
      <rPr>
        <b/>
        <sz val="12"/>
        <color theme="1"/>
        <rFont val="Times New Roman"/>
        <family val="1"/>
      </rPr>
      <t>van a decir</t>
    </r>
    <r>
      <rPr>
        <sz val="12"/>
        <color theme="1"/>
        <rFont val="Times New Roman"/>
        <family val="1"/>
      </rPr>
      <t xml:space="preserve"> esta señora está en lo último (risa).</t>
    </r>
  </si>
  <si>
    <r>
      <t xml:space="preserve">SJ025022M96/216-218 Tenemos al grandecito en esto ??? hace como dos meses en nursery, pero más es lo que falta porque estábamos viendo a ver cómo le iba, pero que, que no sé qué </t>
    </r>
    <r>
      <rPr>
        <b/>
        <sz val="12"/>
        <color theme="1"/>
        <rFont val="Times New Roman"/>
        <family val="1"/>
      </rPr>
      <t>va a pasar</t>
    </r>
    <r>
      <rPr>
        <sz val="12"/>
        <color theme="1"/>
        <rFont val="Times New Roman"/>
        <family val="1"/>
      </rPr>
      <t>.</t>
    </r>
  </si>
  <si>
    <r>
      <t xml:space="preserve">SJ025022M96/238-243 Hasta nosotras, consultamos un sicólogo, pero el sicólogo dijo no mira todos los niños hacen esto, pero si la persona que lo está cuidando lo, en este caso la maestra del nursery en el momento que él haga eso pues llamarle la atención que él, digo dentro de su, dentro de la edad que tiene pueda entender la situación porque </t>
    </r>
    <r>
      <rPr>
        <b/>
        <sz val="12"/>
        <color theme="1"/>
        <rFont val="Times New Roman"/>
        <family val="1"/>
      </rPr>
      <t>comprenderás</t>
    </r>
    <r>
      <rPr>
        <sz val="12"/>
        <color theme="1"/>
        <rFont val="Times New Roman"/>
        <family val="1"/>
      </rPr>
      <t xml:space="preserve"> que cuando él lo traen del nursery nosotras no vamos a venir aquí a regañarlo porque es una cosa absurda y él lo que tiene es un año y medio, o sea, que él no entiende eso todavía.</t>
    </r>
  </si>
  <si>
    <r>
      <t xml:space="preserve">SJ025022M96/238-243 Hasta nosotras, consultamos un sicólogo, pero el sicólogo dijo no mira todos los niños hacen esto, pero si la persona que lo está cuidando lo, en este caso la maestra del nursery en el momento que él haga eso pues llamarle la atención que él, digo dentro de su, dentro de la edad que tiene pueda entender la situación porque comprenderás que cuando él lo traen del nursery nosotras no </t>
    </r>
    <r>
      <rPr>
        <b/>
        <sz val="12"/>
        <color theme="1"/>
        <rFont val="Times New Roman"/>
        <family val="1"/>
      </rPr>
      <t>vamos a venir</t>
    </r>
    <r>
      <rPr>
        <sz val="12"/>
        <color theme="1"/>
        <rFont val="Times New Roman"/>
        <family val="1"/>
      </rPr>
      <t xml:space="preserve"> aquí a regañarlo porque es una cosa absurda y él lo que tiene es un año y medio, o sea, que él no entiende eso todavía.</t>
    </r>
  </si>
  <si>
    <r>
      <t xml:space="preserve">SJ025022M96/270-272A Bueno, a mi me gusta tener por ejemplo, yo tengo un compromiso para el sábado </t>
    </r>
    <r>
      <rPr>
        <b/>
        <sz val="12"/>
        <color theme="1"/>
        <rFont val="Times New Roman"/>
        <family val="1"/>
      </rPr>
      <t>vamos a, a decirlo</t>
    </r>
    <r>
      <rPr>
        <sz val="12"/>
        <color theme="1"/>
        <rFont val="Times New Roman"/>
        <family val="1"/>
      </rPr>
      <t xml:space="preserve"> así o para el viernes, me gusta tener todos los materiales, todo lo que voy a us, a utilizar, dos días antes o día y medio.</t>
    </r>
  </si>
  <si>
    <r>
      <t xml:space="preserve">SJ025022M96/270-272B Bueno, a mi me gusta tener por ejemplo, yo tengo un compromiso para el sábado vamos a, a decirlo así o para el viernes, me gusta tener todos los materiales, todo lo que </t>
    </r>
    <r>
      <rPr>
        <b/>
        <sz val="12"/>
        <color theme="1"/>
        <rFont val="Times New Roman"/>
        <family val="1"/>
      </rPr>
      <t>voy a us, a utilizar</t>
    </r>
    <r>
      <rPr>
        <sz val="12"/>
        <color theme="1"/>
        <rFont val="Times New Roman"/>
        <family val="1"/>
      </rPr>
      <t>, dos días antes o día y medio.</t>
    </r>
  </si>
  <si>
    <r>
      <t xml:space="preserve">SJ025022M96/283-285A Le trabajo a la Universidad Sagrado Corazón, le trabajo a, a compañías mayormente, y a clientes que cuando </t>
    </r>
    <r>
      <rPr>
        <b/>
        <sz val="12"/>
        <color theme="1"/>
        <rFont val="Times New Roman"/>
        <family val="1"/>
      </rPr>
      <t>van a hacer</t>
    </r>
    <r>
      <rPr>
        <sz val="12"/>
        <color theme="1"/>
        <rFont val="Times New Roman"/>
        <family val="1"/>
      </rPr>
      <t xml:space="preserve"> una celebración, tiene invitados en sus casas.</t>
    </r>
  </si>
  <si>
    <r>
      <t xml:space="preserve">SJ025022M96/283-285B Le trabajo a la Universidad Sagrado Corazón, le trabajo a, a compañías mayormente, y a clientes que cuando van a hacer una celebración, </t>
    </r>
    <r>
      <rPr>
        <b/>
        <sz val="12"/>
        <color theme="1"/>
        <rFont val="Times New Roman"/>
        <family val="1"/>
      </rPr>
      <t>tiene</t>
    </r>
    <r>
      <rPr>
        <sz val="12"/>
        <color theme="1"/>
        <rFont val="Times New Roman"/>
        <family val="1"/>
      </rPr>
      <t xml:space="preserve"> invitados en sus casas.</t>
    </r>
  </si>
  <si>
    <r>
      <t xml:space="preserve">SJ025022M96/379-381 Porque yo le digo mami, si todavía yo le peleo a mi hija, para que se vaya a ser doctora y ella se </t>
    </r>
    <r>
      <rPr>
        <b/>
        <sz val="12"/>
        <color theme="1"/>
        <rFont val="Times New Roman"/>
        <family val="1"/>
      </rPr>
      <t>va a ir</t>
    </r>
    <r>
      <rPr>
        <sz val="12"/>
        <color theme="1"/>
        <rFont val="Times New Roman"/>
        <family val="1"/>
      </rPr>
      <t xml:space="preserve"> el año que viene, si el Señor lo permite, por qué tú no hiciste lo mismo conmigo.</t>
    </r>
  </si>
  <si>
    <r>
      <t xml:space="preserve">SJ025022M96/392-393A Bueno mira, este, eh, pídete una pizza; paga que a las ocho de la mañana yo </t>
    </r>
    <r>
      <rPr>
        <b/>
        <sz val="12"/>
        <color theme="1"/>
        <rFont val="Times New Roman"/>
        <family val="1"/>
      </rPr>
      <t>estoy</t>
    </r>
    <r>
      <rPr>
        <sz val="12"/>
        <color theme="1"/>
        <rFont val="Times New Roman"/>
        <family val="1"/>
      </rPr>
      <t xml:space="preserve"> en el Banco y te voy a depositar los chavos si no tienes y así.</t>
    </r>
  </si>
  <si>
    <r>
      <t xml:space="preserve">SJ025022M96/392-393B Bueno mira, este, eh, pídete una pizza; paga que a las ocho de la mañana yo estoy en el Banco y te </t>
    </r>
    <r>
      <rPr>
        <b/>
        <sz val="12"/>
        <color theme="1"/>
        <rFont val="Times New Roman"/>
        <family val="1"/>
      </rPr>
      <t>voy a depositar</t>
    </r>
    <r>
      <rPr>
        <sz val="12"/>
        <color theme="1"/>
        <rFont val="Times New Roman"/>
        <family val="1"/>
      </rPr>
      <t xml:space="preserve"> los chavos si no tienes y así.</t>
    </r>
  </si>
  <si>
    <r>
      <t xml:space="preserve">SJ025022M96/447-448 No sé si por la pintura ¿verdad? Y, y, la joven está, la niña, </t>
    </r>
    <r>
      <rPr>
        <b/>
        <sz val="12"/>
        <color theme="1"/>
        <rFont val="Times New Roman"/>
        <family val="1"/>
      </rPr>
      <t xml:space="preserve">vamos a ponerla </t>
    </r>
    <r>
      <rPr>
        <sz val="12"/>
        <color theme="1"/>
        <rFont val="Times New Roman"/>
        <family val="1"/>
      </rPr>
      <t>como una niña se ve, este, como de rosado ¿verdad? como un tono naranja.</t>
    </r>
  </si>
  <si>
    <r>
      <t xml:space="preserve">SJ025022M96/453 Bueno, </t>
    </r>
    <r>
      <rPr>
        <b/>
        <sz val="12"/>
        <color theme="1"/>
        <rFont val="Times New Roman"/>
        <family val="1"/>
      </rPr>
      <t>vamos a ver</t>
    </r>
    <r>
      <rPr>
        <sz val="12"/>
        <color theme="1"/>
        <rFont val="Times New Roman"/>
        <family val="1"/>
      </rPr>
      <t>, ésta… ésta debe ser una mamá…</t>
    </r>
  </si>
  <si>
    <r>
      <t xml:space="preserve">SJ025022M96/466 Aquí ella como que </t>
    </r>
    <r>
      <rPr>
        <b/>
        <sz val="12"/>
        <color theme="1"/>
        <rFont val="Times New Roman"/>
        <family val="1"/>
      </rPr>
      <t>va a partir</t>
    </r>
    <r>
      <rPr>
        <sz val="12"/>
        <color theme="1"/>
        <rFont val="Times New Roman"/>
        <family val="1"/>
      </rPr>
      <t xml:space="preserve"> vegetales de nuevo. </t>
    </r>
  </si>
  <si>
    <r>
      <t xml:space="preserve">SJ025022M96/473 Y </t>
    </r>
    <r>
      <rPr>
        <b/>
        <sz val="12"/>
        <color theme="1"/>
        <rFont val="Times New Roman"/>
        <family val="1"/>
      </rPr>
      <t>estará</t>
    </r>
    <r>
      <rPr>
        <sz val="12"/>
        <color theme="1"/>
        <rFont val="Times New Roman"/>
        <family val="1"/>
      </rPr>
      <t xml:space="preserve"> preguntando por la comida, no sé, más o menos.</t>
    </r>
  </si>
  <si>
    <t>SJ025022M96</t>
  </si>
  <si>
    <r>
      <t xml:space="preserve">SJ025022M96/157 Entonces, mi familia decía, pero cómo tú </t>
    </r>
    <r>
      <rPr>
        <b/>
        <sz val="12"/>
        <color theme="1"/>
        <rFont val="Times New Roman"/>
        <family val="1"/>
      </rPr>
      <t>vas a dejar ir</t>
    </r>
    <r>
      <rPr>
        <sz val="12"/>
        <color theme="1"/>
        <rFont val="Times New Roman"/>
        <family val="1"/>
      </rPr>
      <t xml:space="preserve"> a tu…[hijo con la familia.]</t>
    </r>
  </si>
  <si>
    <r>
      <t xml:space="preserve">SJ032032M96/34-37 [S]i yo tengo una cantidad de dinero, poca o mucha en lo que yo </t>
    </r>
    <r>
      <rPr>
        <b/>
        <sz val="12"/>
        <color theme="1"/>
        <rFont val="Times New Roman"/>
        <family val="1"/>
      </rPr>
      <t>voy a pensar</t>
    </r>
    <r>
      <rPr>
        <sz val="12"/>
        <color theme="1"/>
        <rFont val="Times New Roman"/>
        <family val="1"/>
      </rPr>
      <t xml:space="preserve"> es cómo voy a compartirla, quizás con, con mi familia, con mis compañeros, con, con mis amigos y en viajar, pero no es comprando una prenda y no en comprando una propiedad ni comprando cosas  porque ahí, ahí es ??? yo no pongo como mi, mi prioridad, tú sabes.</t>
    </r>
  </si>
  <si>
    <r>
      <t xml:space="preserve">SJ032032M96/34-37 [S]i yo tengo una cantidad de dinero, poca o mucha en lo que yo voy a pensar es cómo </t>
    </r>
    <r>
      <rPr>
        <b/>
        <sz val="12"/>
        <color theme="1"/>
        <rFont val="Times New Roman"/>
        <family val="1"/>
      </rPr>
      <t>voy a compartirla</t>
    </r>
    <r>
      <rPr>
        <sz val="12"/>
        <color theme="1"/>
        <rFont val="Times New Roman"/>
        <family val="1"/>
      </rPr>
      <t>, quizás con, con mi familia, con mis compañeros, con, con mis amigos y en viajar, pero no es comprando una prenda y no en comprando una propiedad ni comprando cosas  porque ahí, ahí es ??? yo no pongo como mi, mi prioridad, tú sabes.</t>
    </r>
  </si>
  <si>
    <r>
      <t xml:space="preserve">SJ032032M96/34-37 [S]i yo tengo una cantidad de dinero, poca o mucha en lo que yo voy a pensar es cómo voy a compartirla, quizás con, con mi familia, con mis compañeros, con, con mis amigos y en viajar, pero no </t>
    </r>
    <r>
      <rPr>
        <b/>
        <sz val="12"/>
        <color theme="1"/>
        <rFont val="Times New Roman"/>
        <family val="1"/>
      </rPr>
      <t>es</t>
    </r>
    <r>
      <rPr>
        <sz val="12"/>
        <color theme="1"/>
        <rFont val="Times New Roman"/>
        <family val="1"/>
      </rPr>
      <t xml:space="preserve"> comprando una prenda y no en comprando una propiedad ni comprando cosas  porque ahí, ahí es ??? yo no pongo como mi, mi prioridad, tú sabes.</t>
    </r>
  </si>
  <si>
    <r>
      <t xml:space="preserve">SJ032032M96/85-90 [L]la maestra de salón hogar, me dijo, le dijo a mi mamá “pero es, esa nena, como que tiene una inteligencia natural, </t>
    </r>
    <r>
      <rPr>
        <b/>
        <sz val="12"/>
        <color theme="1"/>
        <rFont val="Times New Roman"/>
        <family val="1"/>
      </rPr>
      <t>vamos a darle</t>
    </r>
    <r>
      <rPr>
        <sz val="12"/>
        <color theme="1"/>
        <rFont val="Times New Roman"/>
        <family val="1"/>
      </rPr>
      <t xml:space="preserve"> una materia de exámenes y demás, y dicho sea de paso, me dieron una serie de exámenes y cuando ya estaba en, en creo que en, en quinto grado o algo así, o sex, sexto grado o algo así, este, me dieron, este exámenes del Departamento de Educación y, y, y los exámenes demostraron que yo no debía estar en ese grado sino, este, en tres grados, este…</t>
    </r>
  </si>
  <si>
    <r>
      <t xml:space="preserve">SJ032032M96/221-224 Eh, a mí me gustan el tipo de película que combinen los siguientes elementos: Primero, que me rete intelectualmente, porque sino no me </t>
    </r>
    <r>
      <rPr>
        <b/>
        <sz val="12"/>
        <color theme="1"/>
        <rFont val="Times New Roman"/>
        <family val="1"/>
      </rPr>
      <t xml:space="preserve">vas a tener </t>
    </r>
    <r>
      <rPr>
        <sz val="12"/>
        <color theme="1"/>
        <rFont val="Times New Roman"/>
        <family val="1"/>
      </rPr>
      <t>de, de, de receptora y de auditora, me tiene que retar intelectualmente, pero tiene que tener una buena combinación de reto intelectual, suspenso y acción y sino combina eso está mal.</t>
    </r>
  </si>
  <si>
    <r>
      <t xml:space="preserve">SJ032032M96/237-240 La segunda selección en películas es la película de ciencia ficción, bien hecha, porque si una película es ciencia ficción que venga con un monstruo, así, así, o asao, que definitivamente, ni </t>
    </r>
    <r>
      <rPr>
        <b/>
        <sz val="12"/>
        <color theme="1"/>
        <rFont val="Times New Roman"/>
        <family val="1"/>
      </rPr>
      <t>voy a perder</t>
    </r>
    <r>
      <rPr>
        <sz val="12"/>
        <color theme="1"/>
        <rFont val="Times New Roman"/>
        <family val="1"/>
      </rPr>
      <t xml:space="preserve"> el tiempo, ni siquiera en, en, en averiguar cómo se titula, este, así que esas dos en cuanto a, a película.</t>
    </r>
  </si>
  <si>
    <r>
      <t xml:space="preserve">SJ032032M96/240-243A En cuanto a obras de teatro mira yo soy, este, bien variada en obras de teatro como es la experiencia de, como de, del actor con el público yo no tengo preferencia, lo mismo te </t>
    </r>
    <r>
      <rPr>
        <b/>
        <sz val="12"/>
        <color theme="1"/>
        <rFont val="Times New Roman"/>
        <family val="1"/>
      </rPr>
      <t>voy a ver</t>
    </r>
    <r>
      <rPr>
        <sz val="12"/>
        <color theme="1"/>
        <rFont val="Times New Roman"/>
        <family val="1"/>
      </rPr>
      <t xml:space="preserve"> una comedia que te voy a ver una, un drama, etcétera.</t>
    </r>
  </si>
  <si>
    <r>
      <t xml:space="preserve">SJ032032M96/240-243B En cuanto a obras de teatro mira yo soy, este, bien variada en obras de teatro como es la experiencia de, como de, del actor con el público yo no tengo preferencia, lo mismo te voy a ver una comedia que te </t>
    </r>
    <r>
      <rPr>
        <b/>
        <sz val="12"/>
        <color theme="1"/>
        <rFont val="Times New Roman"/>
        <family val="1"/>
      </rPr>
      <t>voy a ver</t>
    </r>
    <r>
      <rPr>
        <sz val="12"/>
        <color theme="1"/>
        <rFont val="Times New Roman"/>
        <family val="1"/>
      </rPr>
      <t xml:space="preserve"> una, un drama, etcétera.</t>
    </r>
  </si>
  <si>
    <r>
      <t xml:space="preserve">SJ032032M96/244-252 Yo la he visto como en tres ocasiones o en cuatro y, y creo que, que nunca me </t>
    </r>
    <r>
      <rPr>
        <b/>
        <sz val="12"/>
        <color theme="1"/>
        <rFont val="Times New Roman"/>
        <family val="1"/>
      </rPr>
      <t>voy a cansar</t>
    </r>
    <r>
      <rPr>
        <sz val="12"/>
        <color theme="1"/>
        <rFont val="Times New Roman"/>
        <family val="1"/>
      </rPr>
      <t xml:space="preserve"> de verla, porque es, es una experiencia te, teatral tan, tan, tan como tan íntima porque es una sola actriz la que tiene que mantener la atención de un público durante casi dos horas de ese monólogo, o sea, para empezar tiene que ser una actriz de quilates para poder mantener la atención del público tanto tiempo, y número dos, este monólogo, está como dicen los muchachos míos, está fuera de liga, porque el, el monólogo gira en torno a, a esta, esta muchacha, eh, hija de, de, de hacendados cafetaleros, por cierto, del área de Yauco, y este, y como ella, este, por, por una serie de, de, de experiencias, una serie de vivencias, ella deriva en una prostituta.</t>
    </r>
  </si>
  <si>
    <r>
      <t xml:space="preserve">SJ032032M96/286-289 Eh, te </t>
    </r>
    <r>
      <rPr>
        <b/>
        <sz val="12"/>
        <color theme="1"/>
        <rFont val="Times New Roman"/>
        <family val="1"/>
      </rPr>
      <t>voy a dar</t>
    </r>
    <r>
      <rPr>
        <sz val="12"/>
        <color theme="1"/>
        <rFont val="Times New Roman"/>
        <family val="1"/>
      </rPr>
      <t xml:space="preserve"> un ejemplo, cuando, cuando, este, yo estaba en segundo año de, de universidad, en mi primer año de prepa aquí fueron dieciocho créditos y creo que el segundo semestre, me, me, me, me hicieron un programa de veintiún créditos porque el programa ya estaba hecho.</t>
    </r>
  </si>
  <si>
    <r>
      <t xml:space="preserve">SJ032032M96/317-318 Cuando me dan aquel libraco de ‘Los hermanos Karamazov, yo, ??? yo no </t>
    </r>
    <r>
      <rPr>
        <b/>
        <sz val="12"/>
        <color theme="1"/>
        <rFont val="Times New Roman"/>
        <family val="1"/>
      </rPr>
      <t>voy a poder</t>
    </r>
    <r>
      <rPr>
        <sz val="12"/>
        <color theme="1"/>
        <rFont val="Times New Roman"/>
        <family val="1"/>
      </rPr>
      <t xml:space="preserve"> leer eso.</t>
    </r>
  </si>
  <si>
    <r>
      <t>SJ032032M96/418 No te v</t>
    </r>
    <r>
      <rPr>
        <b/>
        <sz val="12"/>
        <color theme="1"/>
        <rFont val="Times New Roman"/>
        <family val="1"/>
      </rPr>
      <t xml:space="preserve">oy a contestar </t>
    </r>
    <r>
      <rPr>
        <sz val="12"/>
        <color theme="1"/>
        <rFont val="Times New Roman"/>
        <family val="1"/>
      </rPr>
      <t>pero bien, una contestación…</t>
    </r>
  </si>
  <si>
    <r>
      <t xml:space="preserve">SJ032032M96/524-528A Yo le dije mira Cuqui si, si tú </t>
    </r>
    <r>
      <rPr>
        <b/>
        <sz val="12"/>
        <color theme="1"/>
        <rFont val="Times New Roman"/>
        <family val="1"/>
      </rPr>
      <t>vas a hacer</t>
    </r>
    <r>
      <rPr>
        <sz val="12"/>
        <color theme="1"/>
        <rFont val="Times New Roman"/>
        <family val="1"/>
      </rPr>
      <t xml:space="preserve"> una de dos cosas si tú te quedas aquí en casa de tu padres y de tu madre que es también mi padre y mi madre, si tú te quedas aquí es porque vas a lavar ropa que fue a lo que viniste, pero si tú además de lavar ropa piensas discutir con tu marido pues te largas de aquí porque esta ya no es tu casa, esta es la casa de tus padres y de mis padres y tú respetas la casa de nuestros padres.</t>
    </r>
  </si>
  <si>
    <r>
      <t xml:space="preserve">SJ032032M96/524-528B Yo le dije mira Cuqui si, si tú vas a hacer una de dos cosas si tú te quedas aquí en casa de tu padres y de tu madre que es también mi padre y mi madre, si tú te quedas aquí es porque </t>
    </r>
    <r>
      <rPr>
        <b/>
        <sz val="12"/>
        <color theme="1"/>
        <rFont val="Times New Roman"/>
        <family val="1"/>
      </rPr>
      <t>vas a lavar</t>
    </r>
    <r>
      <rPr>
        <sz val="12"/>
        <color theme="1"/>
        <rFont val="Times New Roman"/>
        <family val="1"/>
      </rPr>
      <t xml:space="preserve"> ropa que fue a lo que viniste, pero si tú además de lavar ropa piensas discutir con tu marido pues te largas de aquí porque esta ya no es tu casa, esta es la casa de tus padres y de mis padres y tú respetas la casa de nuestros padres.</t>
    </r>
  </si>
  <si>
    <r>
      <t xml:space="preserve">SJ032032M96/528-538 Si tú quieres discutir y, y lavas los trapitos sucios con tu esposo los </t>
    </r>
    <r>
      <rPr>
        <b/>
        <sz val="12"/>
        <color theme="1"/>
        <rFont val="Times New Roman"/>
        <family val="1"/>
      </rPr>
      <t>lavas</t>
    </r>
    <r>
      <rPr>
        <sz val="12"/>
        <color theme="1"/>
        <rFont val="Times New Roman"/>
        <family val="1"/>
      </rPr>
      <t xml:space="preserve"> en tu casa o sino lo siento muchísimo aquí no regresas hasta que tú no estés dispuesta a hacer eso.</t>
    </r>
  </si>
  <si>
    <r>
      <t xml:space="preserve">SJ032032M96/528-538 Si tú quieres discutir y, y lavas los trapitos sucios con tu esposo los lavas en tu casa o sino lo siento muchísimo aquí no </t>
    </r>
    <r>
      <rPr>
        <b/>
        <sz val="12"/>
        <color theme="1"/>
        <rFont val="Times New Roman"/>
        <family val="1"/>
      </rPr>
      <t>regresas</t>
    </r>
    <r>
      <rPr>
        <sz val="12"/>
        <color theme="1"/>
        <rFont val="Times New Roman"/>
        <family val="1"/>
      </rPr>
      <t xml:space="preserve"> hasta que tú no estés dispuesta a hacer eso.</t>
    </r>
  </si>
  <si>
    <t>SJ032032M96</t>
  </si>
  <si>
    <r>
      <t xml:space="preserve">SJ032032M96/221 Mira </t>
    </r>
    <r>
      <rPr>
        <b/>
        <sz val="12"/>
        <color theme="1"/>
        <rFont val="Times New Roman"/>
        <family val="1"/>
      </rPr>
      <t>vamos a empezar</t>
    </r>
    <r>
      <rPr>
        <sz val="12"/>
        <color theme="1"/>
        <rFont val="Times New Roman"/>
        <family val="1"/>
      </rPr>
      <t xml:space="preserve"> por las películas primero.</t>
    </r>
  </si>
  <si>
    <r>
      <t xml:space="preserve">SJ026032M96/203-205 Y de mi mamá aprendí muchas cosas de filosofía de vida, tú sabes, de respecto a hábitos de alimentación y cómo enfrentar distintas situaciones en una forma, este, positiva, </t>
    </r>
    <r>
      <rPr>
        <b/>
        <sz val="12"/>
        <color theme="1"/>
        <rFont val="Times New Roman"/>
        <family val="1"/>
      </rPr>
      <t>vamos a decir</t>
    </r>
    <r>
      <rPr>
        <sz val="12"/>
        <color theme="1"/>
        <rFont val="Times New Roman"/>
        <family val="1"/>
      </rPr>
      <t>, sabia.</t>
    </r>
  </si>
  <si>
    <r>
      <t xml:space="preserve">SJ026032M96/404-406 Últimamente… Mira, este, hubo una época que yo leía mucho porque tuve, </t>
    </r>
    <r>
      <rPr>
        <b/>
        <sz val="12"/>
        <color theme="1"/>
        <rFont val="Times New Roman"/>
        <family val="1"/>
      </rPr>
      <t>vamos a decir</t>
    </r>
    <r>
      <rPr>
        <sz val="12"/>
        <color theme="1"/>
        <rFont val="Times New Roman"/>
        <family val="1"/>
      </rPr>
      <t>, una crisis, no una crisis, y sino no estuviera trabajando sino un momento crítico en la vida y en ese momento desarrollé el gusto por la lectura de estos libros de autoayuda.</t>
    </r>
  </si>
  <si>
    <r>
      <t xml:space="preserve">SJ026032M96/03458-460A Estoy interesada en leer mucho de las obras de ahora, digamos que como ahora tengo tiempo pues </t>
    </r>
    <r>
      <rPr>
        <b/>
        <sz val="12"/>
        <color theme="1"/>
        <rFont val="Times New Roman"/>
        <family val="1"/>
      </rPr>
      <t>leeré</t>
    </r>
    <r>
      <rPr>
        <sz val="12"/>
        <color theme="1"/>
        <rFont val="Times New Roman"/>
        <family val="1"/>
      </rPr>
      <t xml:space="preserve"> “Como agua para chocolate” y leeré “Paula” y leeré todas estas de ahora.</t>
    </r>
  </si>
  <si>
    <r>
      <t xml:space="preserve">SJ026032M96/458-460B Estoy interesada en leer mucho de las obras de ahora, digamos que como ahora tengo tiempo pues leeré “Como agua para chocolate” y </t>
    </r>
    <r>
      <rPr>
        <b/>
        <sz val="12"/>
        <color theme="1"/>
        <rFont val="Times New Roman"/>
        <family val="1"/>
      </rPr>
      <t>leeré</t>
    </r>
    <r>
      <rPr>
        <sz val="12"/>
        <color theme="1"/>
        <rFont val="Times New Roman"/>
        <family val="1"/>
      </rPr>
      <t xml:space="preserve"> “Paula” y leeré todas estas de ahora.</t>
    </r>
  </si>
  <si>
    <r>
      <t xml:space="preserve">SJ026032M96/458-460C Estoy interesada en leer mucho de las obras de ahora, digamos que como ahora tengo tiempo pues leeré “Como agua para chocolate” y leeré “Paula” y </t>
    </r>
    <r>
      <rPr>
        <b/>
        <sz val="12"/>
        <color theme="1"/>
        <rFont val="Times New Roman"/>
        <family val="1"/>
      </rPr>
      <t>leeré</t>
    </r>
    <r>
      <rPr>
        <sz val="12"/>
        <color theme="1"/>
        <rFont val="Times New Roman"/>
        <family val="1"/>
      </rPr>
      <t xml:space="preserve"> todas estas de ahora.</t>
    </r>
  </si>
  <si>
    <t>SJ026032M96</t>
  </si>
  <si>
    <t>SJ0313M96</t>
  </si>
  <si>
    <r>
      <t xml:space="preserve">SJ0313M96/262-263 “¡Dios mío, y ese carro ahí, y ese carro ahí de quién </t>
    </r>
    <r>
      <rPr>
        <b/>
        <sz val="12"/>
        <color theme="1"/>
        <rFont val="Times New Roman"/>
        <family val="1"/>
      </rPr>
      <t>será</t>
    </r>
    <r>
      <rPr>
        <sz val="12"/>
        <color theme="1"/>
        <rFont val="Times New Roman"/>
        <family val="1"/>
      </rPr>
      <t xml:space="preserve"> y dónde está ese dueño de ese carro!”</t>
    </r>
  </si>
  <si>
    <r>
      <t xml:space="preserve">SJ0313M96/399-400A Qué yo </t>
    </r>
    <r>
      <rPr>
        <b/>
        <sz val="12"/>
        <color theme="1"/>
        <rFont val="Times New Roman"/>
        <family val="1"/>
      </rPr>
      <t>haré</t>
    </r>
    <r>
      <rPr>
        <sz val="12"/>
        <color theme="1"/>
        <rFont val="Times New Roman"/>
        <family val="1"/>
      </rPr>
      <t>, pues bueno, qué yo haré si ganare mi partido, alegrarme mucho porque ahora mismo, como estamos, yo estoy viendo que nos estamos hundiendo.</t>
    </r>
  </si>
  <si>
    <r>
      <t xml:space="preserve">SJ0313M96/399-400B Qué yo haré, pues bueno, qué yo </t>
    </r>
    <r>
      <rPr>
        <b/>
        <sz val="12"/>
        <color theme="1"/>
        <rFont val="Times New Roman"/>
        <family val="1"/>
      </rPr>
      <t>haré</t>
    </r>
    <r>
      <rPr>
        <sz val="12"/>
        <color theme="1"/>
        <rFont val="Times New Roman"/>
        <family val="1"/>
      </rPr>
      <t xml:space="preserve"> si ganare mi partido, alegrarme mucho porque ahora mismo, como estamos, yo estoy viendo que nos estamos hundiendo.</t>
    </r>
  </si>
  <si>
    <r>
      <t xml:space="preserve">SJ0313M96/425-430A Aunque uno no hiciera nada, para mi abuela uno hacía, si uno miraba un hombre, ya uno lo estaba mirando con picardía y ya era “te </t>
    </r>
    <r>
      <rPr>
        <b/>
        <sz val="12"/>
        <color theme="1"/>
        <rFont val="Times New Roman"/>
        <family val="1"/>
      </rPr>
      <t>voy a coger</t>
    </r>
    <r>
      <rPr>
        <sz val="12"/>
        <color theme="1"/>
        <rFont val="Times New Roman"/>
        <family val="1"/>
      </rPr>
      <t>”, ya amenazaba a uno, le buscaba... no podía venir visita y uno sentarse allí y si era un hombre yo no podía ni mirarlo porque ya estabas mirándolo con picardía, “cuando se vaya te voy a coger” y siempre la amenaza era “y te voy a dar una pela”, que va, ella no decía apestar a chivo, ajiede a chivo.</t>
    </r>
  </si>
  <si>
    <r>
      <t xml:space="preserve">SJ0313M96/425-430B Aunque uno no hiciera nada, para mi abuela uno hacía, si uno miraba un hombre, ya uno lo estaba mirando con picardía y ya era “te voy a coger”, ya amenazaba a uno, le buscaba... no podía venir visita y uno sentarse allí y si era un hombre yo no podía ni mirarlo porque ya estabas mirándolo con picardía, “cuando se vaya te </t>
    </r>
    <r>
      <rPr>
        <b/>
        <sz val="12"/>
        <color theme="1"/>
        <rFont val="Times New Roman"/>
        <family val="1"/>
      </rPr>
      <t>voy a coger</t>
    </r>
    <r>
      <rPr>
        <sz val="12"/>
        <color theme="1"/>
        <rFont val="Times New Roman"/>
        <family val="1"/>
      </rPr>
      <t>” y siempre la amenaza era “y te voy a dar una pela”, que va, ella no decía apestar a chivo, ajiede a chivo.</t>
    </r>
  </si>
  <si>
    <r>
      <t xml:space="preserve">SJ0313M96/425-430C Aunque uno no hiciera nada, para mi abuela uno hacía, si uno miraba un hombre, ya uno lo estaba mirando con picardía y ya era “te voy a coger”, ya amenazaba a uno, le buscaba... no podía venir visita y uno sentarse allí y si era un hombre yo no podía ni mirarlo porque ya estabas mirándolo con picardía, “cuando se vaya te voy a coger” y siempre la amenaza era “y te </t>
    </r>
    <r>
      <rPr>
        <b/>
        <sz val="12"/>
        <color theme="1"/>
        <rFont val="Times New Roman"/>
        <family val="1"/>
      </rPr>
      <t>voy a dar</t>
    </r>
    <r>
      <rPr>
        <sz val="12"/>
        <color theme="1"/>
        <rFont val="Times New Roman"/>
        <family val="1"/>
      </rPr>
      <t xml:space="preserve"> una pela”, que va, ella no decía apestar a chivo, ajiede a chivo.</t>
    </r>
  </si>
  <si>
    <r>
      <t xml:space="preserve">SJ0313M96/459-466A Mira, Jonás... el Señor mandó a Jonás una encomienda donde le dijo: “ve y adviértele a este pueblo de Nínive que en tres días por la maldad de ellos ha subido tan y tan alto a los cielos, manda a decirles que yo lo </t>
    </r>
    <r>
      <rPr>
        <b/>
        <sz val="12"/>
        <color theme="1"/>
        <rFont val="Times New Roman"/>
        <family val="1"/>
      </rPr>
      <t>voy a destruir</t>
    </r>
    <r>
      <rPr>
        <sz val="12"/>
        <color theme="1"/>
        <rFont val="Times New Roman"/>
        <family val="1"/>
      </rPr>
      <t>”,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t>
    </r>
  </si>
  <si>
    <r>
      <t xml:space="preserve">SJ0313M96/459-466B Mira, Jonás... el Señor mandó a Jonás una encomienda donde le dijo: “ve y adviértele a este pueblo de Nínive que en tres días por la maldad de ellos ha subido tan y tan alto a los cielos, manda a decirles que yo lo voy a destruir”, y Jonás entonces cogió, Jonás y dijo: “qué yo </t>
    </r>
    <r>
      <rPr>
        <b/>
        <sz val="12"/>
        <color theme="1"/>
        <rFont val="Times New Roman"/>
        <family val="1"/>
      </rPr>
      <t>voy a dar</t>
    </r>
    <r>
      <rPr>
        <sz val="12"/>
        <color theme="1"/>
        <rFont val="Times New Roman"/>
        <family val="1"/>
      </rPr>
      <t xml:space="preserve">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t>
    </r>
  </si>
  <si>
    <r>
      <t xml:space="preserve">SJ0313M96/459-466C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t>
    </r>
    <r>
      <rPr>
        <b/>
        <sz val="12"/>
        <color theme="1"/>
        <rFont val="Times New Roman"/>
        <family val="1"/>
      </rPr>
      <t>voy a avisar</t>
    </r>
    <r>
      <rPr>
        <sz val="12"/>
        <color theme="1"/>
        <rFont val="Times New Roman"/>
        <family val="1"/>
      </rPr>
      <t xml:space="preserve">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t>
    </r>
  </si>
  <si>
    <r>
      <t xml:space="preserve">SJ0313M96/459-466D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t>
    </r>
    <r>
      <rPr>
        <b/>
        <sz val="12"/>
        <color theme="1"/>
        <rFont val="Times New Roman"/>
        <family val="1"/>
      </rPr>
      <t>perdona</t>
    </r>
    <r>
      <rPr>
        <sz val="12"/>
        <color theme="1"/>
        <rFont val="Times New Roman"/>
        <family val="1"/>
      </rPr>
      <t>, y entonces no les hace lo que, lo que, lo que les debía de hacer y entonces yo que mal por mal profeta porque entonces van a creer que yo, que yo no estoy diciendo la verdad”.</t>
    </r>
  </si>
  <si>
    <r>
      <t xml:space="preserve">SJ0313M96/459-466E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t>
    </r>
    <r>
      <rPr>
        <b/>
        <sz val="12"/>
        <color theme="1"/>
        <rFont val="Times New Roman"/>
        <family val="1"/>
      </rPr>
      <t>hace</t>
    </r>
    <r>
      <rPr>
        <sz val="12"/>
        <color theme="1"/>
        <rFont val="Times New Roman"/>
        <family val="1"/>
      </rPr>
      <t xml:space="preserve"> lo que, lo que, lo que les debía de hacer y entonces yo que mal por mal profeta porque entonces van a creer que yo, que yo no estoy diciendo la verdad”.</t>
    </r>
  </si>
  <si>
    <r>
      <t xml:space="preserve">SJ0313M96/459-466F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t>
    </r>
    <r>
      <rPr>
        <b/>
        <sz val="12"/>
        <color theme="1"/>
        <rFont val="Times New Roman"/>
        <family val="1"/>
      </rPr>
      <t>van a creer</t>
    </r>
    <r>
      <rPr>
        <sz val="12"/>
        <color theme="1"/>
        <rFont val="Times New Roman"/>
        <family val="1"/>
      </rPr>
      <t xml:space="preserve"> que yo, que yo no estoy diciendo la verdad”.</t>
    </r>
  </si>
  <si>
    <r>
      <t xml:space="preserve">SJ07233M96/242-245 Nos traían comida, la, la atendían, se turnaban de día, de noche, y, el cambio, según te puedo decir que ha sido el cambio favorable, </t>
    </r>
    <r>
      <rPr>
        <b/>
        <sz val="12"/>
        <color theme="1"/>
        <rFont val="Times New Roman"/>
        <family val="1"/>
      </rPr>
      <t>vamos a decir</t>
    </r>
    <r>
      <rPr>
        <sz val="12"/>
        <color theme="1"/>
        <rFont val="Times New Roman"/>
        <family val="1"/>
      </rPr>
      <t>, en, en las edificaciones, en el urbanismo, en todo eso, ha sido desfavorable en las actitudes y, y en la forma de conducirse de la gente</t>
    </r>
  </si>
  <si>
    <r>
      <t xml:space="preserve">SJ07233M96/363 </t>
    </r>
    <r>
      <rPr>
        <b/>
        <sz val="12"/>
        <color theme="1"/>
        <rFont val="Times New Roman"/>
        <family val="1"/>
      </rPr>
      <t xml:space="preserve">Vamos a vivir </t>
    </r>
    <r>
      <rPr>
        <sz val="12"/>
        <color theme="1"/>
        <rFont val="Times New Roman"/>
        <family val="1"/>
      </rPr>
      <t xml:space="preserve">en Gainesville.  Ya tenemos allí una casa, ya comprada. </t>
    </r>
  </si>
  <si>
    <r>
      <t xml:space="preserve">SJ07233M96/367 Que </t>
    </r>
    <r>
      <rPr>
        <b/>
        <sz val="12"/>
        <color theme="1"/>
        <rFont val="Times New Roman"/>
        <family val="1"/>
      </rPr>
      <t>va a estar</t>
    </r>
    <r>
      <rPr>
        <sz val="12"/>
        <color theme="1"/>
        <rFont val="Times New Roman"/>
        <family val="1"/>
      </rPr>
      <t xml:space="preserve"> a la orden de todos ustedes. </t>
    </r>
  </si>
  <si>
    <r>
      <t xml:space="preserve">SJ07233M96/379 Yo creo que si el hombre se retira es, </t>
    </r>
    <r>
      <rPr>
        <b/>
        <sz val="12"/>
        <color theme="1"/>
        <rFont val="Times New Roman"/>
        <family val="1"/>
      </rPr>
      <t>vamos</t>
    </r>
    <r>
      <rPr>
        <sz val="12"/>
        <color theme="1"/>
        <rFont val="Times New Roman"/>
        <family val="1"/>
      </rPr>
      <t xml:space="preserve"> entonces </t>
    </r>
    <r>
      <rPr>
        <b/>
        <sz val="12"/>
        <color theme="1"/>
        <rFont val="Times New Roman"/>
        <family val="1"/>
      </rPr>
      <t xml:space="preserve">a hacer </t>
    </r>
    <r>
      <rPr>
        <sz val="12"/>
        <color theme="1"/>
        <rFont val="Times New Roman"/>
        <family val="1"/>
      </rPr>
      <t>lo que verdaderamente yo, me he imaginado que siempre, que es un matrimonio: el compartir ciento por ciento todo, en la casa.</t>
    </r>
  </si>
  <si>
    <r>
      <t xml:space="preserve">SJ07233M96/380-386A Y si él ahora </t>
    </r>
    <r>
      <rPr>
        <b/>
        <sz val="12"/>
        <color theme="1"/>
        <rFont val="Times New Roman"/>
        <family val="1"/>
      </rPr>
      <t>va a estar</t>
    </r>
    <r>
      <rPr>
        <sz val="12"/>
        <color theme="1"/>
        <rFont val="Times New Roman"/>
        <family val="1"/>
      </rPr>
      <t>,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t>
    </r>
  </si>
  <si>
    <r>
      <t xml:space="preserve">SJ07233M96/380-386B Y si él ahora va a estar, no </t>
    </r>
    <r>
      <rPr>
        <b/>
        <sz val="12"/>
        <color theme="1"/>
        <rFont val="Times New Roman"/>
        <family val="1"/>
      </rPr>
      <t>va a estar  trabajando</t>
    </r>
    <r>
      <rPr>
        <sz val="12"/>
        <color theme="1"/>
        <rFont val="Times New Roman"/>
        <family val="1"/>
      </rPr>
      <t>,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t>
    </r>
  </si>
  <si>
    <r>
      <t xml:space="preserve">SJ07233M96/380-386C Y si él ahora va a estar, no va a estar  trabajando, pues mira ya lo tenemos todo planeado, </t>
    </r>
    <r>
      <rPr>
        <b/>
        <sz val="12"/>
        <color theme="1"/>
        <rFont val="Times New Roman"/>
        <family val="1"/>
      </rPr>
      <t>vamos a hacerlo</t>
    </r>
    <r>
      <rPr>
        <sz val="12"/>
        <color theme="1"/>
        <rFont val="Times New Roman"/>
        <family val="1"/>
      </rPr>
      <t xml:space="preserve">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t>
    </r>
  </si>
  <si>
    <r>
      <t xml:space="preserve">SJ07233M96/380-386D Y si él ahora va a estar, no va a estar  trabajando, pues mira ya lo tenemos todo planeado, vamos a hacerlo  todo junto: la limpieza de la casa juntos, todo juntos, </t>
    </r>
    <r>
      <rPr>
        <b/>
        <sz val="12"/>
        <color theme="1"/>
        <rFont val="Times New Roman"/>
        <family val="1"/>
      </rPr>
      <t>vamos</t>
    </r>
    <r>
      <rPr>
        <sz val="12"/>
        <color theme="1"/>
        <rFont val="Times New Roman"/>
        <family val="1"/>
      </rPr>
      <t xml:space="preserve">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t>
    </r>
  </si>
  <si>
    <r>
      <t xml:space="preserve">SJ07233M96/380-386E Y si él ahora va a estar, no va a estar  trabajando, pues mira ya lo tenemos todo planeado, vamos a hacerlo  todo junto: la limpieza de la casa juntos, todo juntos, vamos al colmado juntos, para nosotros </t>
    </r>
    <r>
      <rPr>
        <b/>
        <sz val="12"/>
        <color theme="1"/>
        <rFont val="Times New Roman"/>
        <family val="1"/>
      </rPr>
      <t>va a ser</t>
    </r>
    <r>
      <rPr>
        <sz val="12"/>
        <color theme="1"/>
        <rFont val="Times New Roman"/>
        <family val="1"/>
      </rPr>
      <t xml:space="preserve">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t>
    </r>
  </si>
  <si>
    <r>
      <t xml:space="preserve">SJ07233M96/391-392 Pues, yo ahora yo digo, pues, que ahora </t>
    </r>
    <r>
      <rPr>
        <b/>
        <sz val="12"/>
        <color theme="1"/>
        <rFont val="Times New Roman"/>
        <family val="1"/>
      </rPr>
      <t>vamos a compartir</t>
    </r>
    <r>
      <rPr>
        <sz val="12"/>
        <color theme="1"/>
        <rFont val="Times New Roman"/>
        <family val="1"/>
      </rPr>
      <t>, o a empezar una vida, que yo siempre la anhelé y la soñé y que nunca pude tener</t>
    </r>
  </si>
  <si>
    <r>
      <t xml:space="preserve">SJ07233M96/465-466 Ahora, no uno llevar la vida entera con ese problema, y ya llegar a los tantos años de, de matrimonio para decir: "Ahora me </t>
    </r>
    <r>
      <rPr>
        <b/>
        <sz val="12"/>
        <color theme="1"/>
        <rFont val="Times New Roman"/>
        <family val="1"/>
      </rPr>
      <t>voy a divorciar</t>
    </r>
    <r>
      <rPr>
        <sz val="12"/>
        <color theme="1"/>
        <rFont val="Times New Roman"/>
        <family val="1"/>
      </rPr>
      <t>."</t>
    </r>
  </si>
  <si>
    <r>
      <t xml:space="preserve">SJ07233M96/486-489 Esa película es prácticamente una predicción de lo que podría pasar en la Tierra, con la sobrepoblación tan tremenda que hay, con la escasez de alimentos que </t>
    </r>
    <r>
      <rPr>
        <b/>
        <sz val="12"/>
        <color theme="1"/>
        <rFont val="Times New Roman"/>
        <family val="1"/>
      </rPr>
      <t>va a haber</t>
    </r>
    <r>
      <rPr>
        <sz val="12"/>
        <color theme="1"/>
        <rFont val="Times New Roman"/>
        <family val="1"/>
      </rPr>
      <t>, etcétera, etcéteta, donde, eh, había, la autanasia no era, o sea, era voluntaria, pero, se aceptaba como un medio de vida</t>
    </r>
  </si>
  <si>
    <r>
      <t xml:space="preserve">SJ07233M96/506-507 Una cosa es eutanasia y otra cosa es obedecer, por ejemplo, los sentimientos de mi esposo, </t>
    </r>
    <r>
      <rPr>
        <b/>
        <sz val="12"/>
        <color theme="1"/>
        <rFont val="Times New Roman"/>
        <family val="1"/>
      </rPr>
      <t>vamos a decir</t>
    </r>
    <r>
      <rPr>
        <sz val="12"/>
        <color theme="1"/>
        <rFont val="Times New Roman"/>
        <family val="1"/>
      </rPr>
      <t>.</t>
    </r>
  </si>
  <si>
    <r>
      <t xml:space="preserve">SJ07233M96/519-520B Donde si la persona tiene dinero para comprar los abogados, los testigos, lo que sea, pues no va, aunque necesite la pena de muerte no </t>
    </r>
    <r>
      <rPr>
        <b/>
        <sz val="12"/>
        <color theme="1"/>
        <rFont val="Times New Roman"/>
        <family val="1"/>
      </rPr>
      <t>llega</t>
    </r>
    <r>
      <rPr>
        <sz val="12"/>
        <color theme="1"/>
        <rFont val="Times New Roman"/>
        <family val="1"/>
      </rPr>
      <t xml:space="preserve"> a, a, a esa sentencia.</t>
    </r>
  </si>
  <si>
    <r>
      <t xml:space="preserve">SJ07233M96/531-534 [P]ara mí, la pena de muerte es un asesinato en primer grado, porque es, tiene tanta, eh, tanta, o sea, asesinato en primer grado es, algo que se planea verdad, que ya tú lo estás planeando con anticipación: "Yo </t>
    </r>
    <r>
      <rPr>
        <b/>
        <sz val="12"/>
        <color theme="1"/>
        <rFont val="Times New Roman"/>
        <family val="1"/>
      </rPr>
      <t>voy a hacer</t>
    </r>
    <r>
      <rPr>
        <sz val="12"/>
        <color theme="1"/>
        <rFont val="Times New Roman"/>
        <family val="1"/>
      </rPr>
      <t xml:space="preserve"> tal o cual cosa,” y matas a esa persona porque ya estaba planeado.</t>
    </r>
  </si>
  <si>
    <t>SJ07233M96</t>
  </si>
  <si>
    <r>
      <t xml:space="preserve">SJ07433M96/51-56A O sea, fue una vida bien difícil, que si no hubiera tenido al Señor en ese, en ese momento yo hubiera sucumbido, porque realmente yo, en mi interior decía, yo, yo me </t>
    </r>
    <r>
      <rPr>
        <b/>
        <sz val="12"/>
        <color theme="1"/>
        <rFont val="Times New Roman"/>
        <family val="1"/>
      </rPr>
      <t>voy a morir</t>
    </r>
    <r>
      <rPr>
        <sz val="12"/>
        <color theme="1"/>
        <rFont val="Times New Roman"/>
        <family val="1"/>
      </rPr>
      <t>, yo no voy a poder criar a estos muchachos de tanto que sufría y, pero tengo sesenta años hoy, y estoy en victoria, este, ya mi hija, mi hija y mis hijos se casaron, tengo seis nietos, mis hijos, son hijos maravillosos, bien buenos, y Dios me ha bendecido con ellos y con, y con los nietos.</t>
    </r>
  </si>
  <si>
    <r>
      <t xml:space="preserve">SJ07433M96/51-56 O sea, fue una vida bien difícil, que si no hubiera tenido al Señor en ese, en ese momento yo hubiera sucumbido, porque realmente yo, en mi interior decía, yo, yo me voy a morir, yo no </t>
    </r>
    <r>
      <rPr>
        <b/>
        <sz val="12"/>
        <color theme="1"/>
        <rFont val="Times New Roman"/>
        <family val="1"/>
      </rPr>
      <t>voy a poder</t>
    </r>
    <r>
      <rPr>
        <sz val="12"/>
        <color theme="1"/>
        <rFont val="Times New Roman"/>
        <family val="1"/>
      </rPr>
      <t xml:space="preserve"> criar a estos muchachos de tanto que sufría y, pero tengo sesenta años hoy, y estoy en victoria, este, ya mi hija, mi hija y mis hijos se casaron, tengo seis nietos, mis hijos, son hijos maravillosos, bien buenos, y Dios me ha bendecido con ellos y con, y con los nietos.</t>
    </r>
  </si>
  <si>
    <r>
      <t xml:space="preserve">SJ07433M96/73-77 [E]so me crea un estrés y yo quisiera poder hacerlo todo, verdad, porque tú dices, coge gente, pero, cogen gente, que no saben lo que </t>
    </r>
    <r>
      <rPr>
        <b/>
        <sz val="12"/>
        <color theme="1"/>
        <rFont val="Times New Roman"/>
        <family val="1"/>
      </rPr>
      <t>van a hacer</t>
    </r>
    <r>
      <rPr>
        <sz val="12"/>
        <color theme="1"/>
        <rFont val="Times New Roman"/>
        <family val="1"/>
      </rPr>
      <t>, el tiempo que tú vas a perder en enseñarlos, pues mira, es tiempo que pierdo, y, y, y, y en este tiempo que tuvimos de mucho estrés y de mucho trabajo, se cogió mucho personal, temporero, y unos salieron buenos, pero otros salieron malísimos […]</t>
    </r>
  </si>
  <si>
    <r>
      <t xml:space="preserve">SJ07433M96/73-77 [E]so me crea un estrés y yo quisiera poder hacerlo todo, verdad, porque tú dices, coge gente, pero, cogen gente, que no saben lo que van a hacer, el tiempo que tú </t>
    </r>
    <r>
      <rPr>
        <b/>
        <sz val="12"/>
        <color theme="1"/>
        <rFont val="Times New Roman"/>
        <family val="1"/>
      </rPr>
      <t>vas a perder</t>
    </r>
    <r>
      <rPr>
        <sz val="12"/>
        <color theme="1"/>
        <rFont val="Times New Roman"/>
        <family val="1"/>
      </rPr>
      <t xml:space="preserve"> en enseñarlos, pues mira, es tiempo que pierdo, y, y, y, y en este tiempo que tuvimos de mucho estrés y de mucho trabajo, se cogió mucho personal, temporero, y unos salieron buenos, pero otros salieron malísimos […]</t>
    </r>
  </si>
  <si>
    <r>
      <t xml:space="preserve">SJ07433M96/169-170 [Y]o creo que hay esperanza para este mundo, para mi país y para el mundo, porque Dios siempre ha existido y nunca </t>
    </r>
    <r>
      <rPr>
        <b/>
        <sz val="12"/>
        <color theme="1"/>
        <rFont val="Times New Roman"/>
        <family val="1"/>
      </rPr>
      <t>dejará</t>
    </r>
    <r>
      <rPr>
        <sz val="12"/>
        <color theme="1"/>
        <rFont val="Times New Roman"/>
        <family val="1"/>
      </rPr>
      <t xml:space="preserve"> </t>
    </r>
    <r>
      <rPr>
        <b/>
        <sz val="12"/>
        <color theme="1"/>
        <rFont val="Times New Roman"/>
        <family val="1"/>
      </rPr>
      <t>de existir.</t>
    </r>
  </si>
  <si>
    <r>
      <t xml:space="preserve">SJ07433M96/245-246 [Y]o le dije a mi hija, no voy más pa’ Nueva York, </t>
    </r>
    <r>
      <rPr>
        <b/>
        <sz val="12"/>
        <color theme="1"/>
        <rFont val="Times New Roman"/>
        <family val="1"/>
      </rPr>
      <t>voy a pasear</t>
    </r>
    <r>
      <rPr>
        <sz val="12"/>
        <color theme="1"/>
        <rFont val="Times New Roman"/>
        <family val="1"/>
      </rPr>
      <t>, y me dice, no, pues vente pa’acá nos vamos a pasear.</t>
    </r>
  </si>
  <si>
    <r>
      <t xml:space="preserve">SJ07433M96/245-246 [Y]o le dije a mi hija, no voy más pa’ Nueva York, voy a pasear, y me dice, no, pues vente pa’acá nos </t>
    </r>
    <r>
      <rPr>
        <b/>
        <sz val="12"/>
        <color theme="1"/>
        <rFont val="Times New Roman"/>
        <family val="1"/>
      </rPr>
      <t>vamos a pasear.</t>
    </r>
  </si>
  <si>
    <r>
      <t xml:space="preserve">SJ07433M96/305-310 [E]l matrimonio debe estar basado en amor y respeto mutuo y, y una relación buena, feliz, pues, esos hijos </t>
    </r>
    <r>
      <rPr>
        <b/>
        <sz val="12"/>
        <color theme="1"/>
        <rFont val="Times New Roman"/>
        <family val="1"/>
      </rPr>
      <t>van a criarse</t>
    </r>
    <r>
      <rPr>
        <sz val="12"/>
        <color theme="1"/>
        <rFont val="Times New Roman"/>
        <family val="1"/>
      </rPr>
      <t xml:space="preserve"> con un buen ejemplo, y pueden criarse sanos, pero una, una relación enfermiza va a traer hijos enfermos emocionalmente, por eso es que estamos como estamos, porque la mujer tenía que ser sometida tenía que aguantar todo lo que el marido hiciera, todas las pocasvergüenzas había que aguantárselas y el marido en la calle y la mujer en la casa, y eso no es así[…]</t>
    </r>
  </si>
  <si>
    <r>
      <t xml:space="preserve">SJ07433M96/305-310 [E]l matrimonio debe estar basado en amor y respeto mutuo y, y una relación buena, feliz, pues, esos hijos van a criarse con un buen ejemplo, y pueden criarse sanos, pero una, una relación enfermiza </t>
    </r>
    <r>
      <rPr>
        <b/>
        <sz val="12"/>
        <color theme="1"/>
        <rFont val="Times New Roman"/>
        <family val="1"/>
      </rPr>
      <t xml:space="preserve">va a traer </t>
    </r>
    <r>
      <rPr>
        <sz val="12"/>
        <color theme="1"/>
        <rFont val="Times New Roman"/>
        <family val="1"/>
      </rPr>
      <t>hijos enfermos emocionalmente, por eso es que estamos como estamos, porque la mujer tenía que ser sometida tenía que aguantar todo lo que el marido hiciera, todas las pocasvergüenzas había que aguantárselas y el marido en la calle y la mujer en la casa, y eso no es así[…]</t>
    </r>
  </si>
  <si>
    <r>
      <t xml:space="preserve">SJ07433M96/312-315  [S]i </t>
    </r>
    <r>
      <rPr>
        <b/>
        <sz val="12"/>
        <color theme="1"/>
        <rFont val="Times New Roman"/>
        <family val="1"/>
      </rPr>
      <t>vamos a ver</t>
    </r>
    <r>
      <rPr>
        <sz val="12"/>
        <color theme="1"/>
        <rFont val="Times New Roman"/>
        <family val="1"/>
      </rPr>
      <t>, porque el Señor nos dio unos dones mayores aun que al hombre, y, y siempre hemos estado sometidas y, y pisadas y, y eso, pues, lo que ha traído esta so..., este, este de, des, desbarajuste en la, en la familia y en la sociedad porque si, si, si el hijo ve que el marido le da a la mujer, ¿qué ejemplo tiene?</t>
    </r>
  </si>
  <si>
    <r>
      <t xml:space="preserve">SJ07433M96/315-318A [El hijo] </t>
    </r>
    <r>
      <rPr>
        <b/>
        <sz val="12"/>
        <color theme="1"/>
        <rFont val="Times New Roman"/>
        <family val="1"/>
      </rPr>
      <t>va a ser</t>
    </r>
    <r>
      <rPr>
        <sz val="12"/>
        <color theme="1"/>
        <rFont val="Times New Roman"/>
        <family val="1"/>
      </rPr>
      <t xml:space="preserve"> uno que cuando se case va  a hacer lo mismo, va a darle a la mujer, porque eso fue lo que aprendió, captó, el muchacho lo que ve es lo que aprende, si tú le, si tú le tienes un hogar feliz y tú te sientas con tus hijos[…]</t>
    </r>
  </si>
  <si>
    <r>
      <t xml:space="preserve">SJ07433M96/315-318B [El hijo] va a ser uno que cuando se case va  a hacer lo mismo, </t>
    </r>
    <r>
      <rPr>
        <b/>
        <sz val="12"/>
        <color theme="1"/>
        <rFont val="Times New Roman"/>
        <family val="1"/>
      </rPr>
      <t>va a darle</t>
    </r>
    <r>
      <rPr>
        <sz val="12"/>
        <color theme="1"/>
        <rFont val="Times New Roman"/>
        <family val="1"/>
      </rPr>
      <t xml:space="preserve"> a la mujer, porque eso fue lo que aprendió, captó, el muchacho lo que ve es lo que aprende, si tú le, si tú le tienes un hogar feliz y tú te sientas con tus hijos[…]</t>
    </r>
  </si>
  <si>
    <r>
      <t xml:space="preserve">SJ07433M96/321-323 [U]n muchacho, se </t>
    </r>
    <r>
      <rPr>
        <b/>
        <sz val="12"/>
        <color theme="1"/>
        <rFont val="Times New Roman"/>
        <family val="1"/>
      </rPr>
      <t>va a rebelar</t>
    </r>
    <r>
      <rPr>
        <sz val="12"/>
        <color theme="1"/>
        <rFont val="Times New Roman"/>
        <family val="1"/>
      </rPr>
      <t>, de una forma o de otra se va rebelar, por eso es que la juventud es rebelde porque el niño capta todos los problemas que hay y aunque no los digan, pero los captan[…]</t>
    </r>
  </si>
  <si>
    <r>
      <t xml:space="preserve">SJ07433M96/321-323 [U]n muchacho, se va a rebelar, de una forma o de otra se </t>
    </r>
    <r>
      <rPr>
        <b/>
        <sz val="12"/>
        <color theme="1"/>
        <rFont val="Times New Roman"/>
        <family val="1"/>
      </rPr>
      <t>va [a] rebelar</t>
    </r>
    <r>
      <rPr>
        <sz val="12"/>
        <color theme="1"/>
        <rFont val="Times New Roman"/>
        <family val="1"/>
      </rPr>
      <t>, por eso es que la juventud es rebelde porque el niño capta todos los problemas que hay y aunque no los digan, pero los captan[…]</t>
    </r>
  </si>
  <si>
    <r>
      <t xml:space="preserve">SJ07433M96/324-325 [L]os niños son inteligentes, y lo ven y mira, como trata mami a papi, o papi a mami, o como lo tratan a él, y eso es lo que </t>
    </r>
    <r>
      <rPr>
        <b/>
        <sz val="12"/>
        <color theme="1"/>
        <rFont val="Times New Roman"/>
        <family val="1"/>
      </rPr>
      <t>va a hacer</t>
    </r>
    <r>
      <rPr>
        <sz val="12"/>
        <color theme="1"/>
        <rFont val="Times New Roman"/>
        <family val="1"/>
      </rPr>
      <t>[…]</t>
    </r>
  </si>
  <si>
    <r>
      <t xml:space="preserve">SJ07433M96/344-347A [F]ue una cosa tan terrible que llegó un momento que yo le pedí al Señor, y dije, Señor si este, mi hijo </t>
    </r>
    <r>
      <rPr>
        <b/>
        <sz val="12"/>
        <color theme="1"/>
        <rFont val="Times New Roman"/>
        <family val="1"/>
      </rPr>
      <t>va a nacer</t>
    </r>
    <r>
      <rPr>
        <sz val="12"/>
        <color theme="1"/>
        <rFont val="Times New Roman"/>
        <family val="1"/>
      </rPr>
      <t xml:space="preserve"> enfermo, anormal, ok, era tanto el sufrimiento que yo tenía, que yo decía esa criatura lo está percibiendo todo, si ese niño no va a nacer sano, si ese niño no va a tener una vida feliz, llévatelo[…]</t>
    </r>
  </si>
  <si>
    <r>
      <t xml:space="preserve">SJ07433M96/344-347B [F]ue una cosa tan terrible que llegó un momento que yo le pedí al Señor, y dije, Señor si este, mi hijo va a nacer enfermo, anormal, ok, era tanto el sufrimiento que yo tenía, que yo decía esa criatura lo está percibiendo todo, si ese niño no </t>
    </r>
    <r>
      <rPr>
        <b/>
        <sz val="12"/>
        <color theme="1"/>
        <rFont val="Times New Roman"/>
        <family val="1"/>
      </rPr>
      <t xml:space="preserve">va a nacer </t>
    </r>
    <r>
      <rPr>
        <sz val="12"/>
        <color theme="1"/>
        <rFont val="Times New Roman"/>
        <family val="1"/>
      </rPr>
      <t>sano, si ese niño no va a tener una vida feliz, llévatelo[…]</t>
    </r>
  </si>
  <si>
    <r>
      <t xml:space="preserve">SJ07433M96/344-347C [F]ue una cosa tan terrible que llegó un momento que yo le pedí al Señor, y dije, Señor si este, mi hijo va a nacer enfermo, anormal, ok, era tanto el sufrimiento que yo tenía, que yo decía esa criatura lo está percibiendo todo, si ese niño no va a nacer sano, si ese niño no </t>
    </r>
    <r>
      <rPr>
        <b/>
        <sz val="12"/>
        <color theme="1"/>
        <rFont val="Times New Roman"/>
        <family val="1"/>
      </rPr>
      <t>va a tener</t>
    </r>
    <r>
      <rPr>
        <sz val="12"/>
        <color theme="1"/>
        <rFont val="Times New Roman"/>
        <family val="1"/>
      </rPr>
      <t xml:space="preserve"> una vida feliz, llévatelo[…]</t>
    </r>
  </si>
  <si>
    <r>
      <t xml:space="preserve">SJ07433M96/364-366 [S]i me fueran a decir que si </t>
    </r>
    <r>
      <rPr>
        <b/>
        <sz val="12"/>
        <color theme="1"/>
        <rFont val="Times New Roman"/>
        <family val="1"/>
      </rPr>
      <t>voy a votar</t>
    </r>
    <r>
      <rPr>
        <sz val="12"/>
        <color theme="1"/>
        <rFont val="Times New Roman"/>
        <family val="1"/>
      </rPr>
      <t xml:space="preserve"> por eso, pues no, no votaría a favor, porque no, me estaría convirtiendo en juez y yo no soy juez.</t>
    </r>
  </si>
  <si>
    <r>
      <t xml:space="preserve">SJ07433M96/371-373 [S]i ellos no lo hacen, qué </t>
    </r>
    <r>
      <rPr>
        <b/>
        <sz val="12"/>
        <color theme="1"/>
        <rFont val="Times New Roman"/>
        <family val="1"/>
      </rPr>
      <t>va a ser</t>
    </r>
    <r>
      <rPr>
        <sz val="12"/>
        <color theme="1"/>
        <rFont val="Times New Roman"/>
        <family val="1"/>
      </rPr>
      <t xml:space="preserve"> el mundo secular, fuete, castigo, lo mismo que han recibido toda su vida, que se pongan más rebeldes.</t>
    </r>
  </si>
  <si>
    <r>
      <t xml:space="preserve">SJ07433M96/397-403A [C]uando tú andas con la verdad, con la justicia, con las cosas bien, pues, mira, la, lo otro </t>
    </r>
    <r>
      <rPr>
        <b/>
        <sz val="12"/>
        <color theme="1"/>
        <rFont val="Times New Roman"/>
        <family val="1"/>
      </rPr>
      <t>va a salir</t>
    </r>
    <r>
      <rPr>
        <sz val="12"/>
        <color theme="1"/>
        <rFont val="Times New Roman"/>
        <family val="1"/>
      </rPr>
      <t xml:space="preserve">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va a hacer, que lleva veintipico de años haciendo ese trabajo, ella no va, no va a conseguir, por lo que está ganando.</t>
    </r>
  </si>
  <si>
    <r>
      <t xml:space="preserve">SJ07433M96/397-403B [C]uando tú andas con la verdad, con la justicia, con las cosas bien, pues, mira, la, lo otro va a salir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t>
    </r>
    <r>
      <rPr>
        <b/>
        <sz val="12"/>
        <color theme="1"/>
        <rFont val="Times New Roman"/>
        <family val="1"/>
      </rPr>
      <t>va a hacer</t>
    </r>
    <r>
      <rPr>
        <sz val="12"/>
        <color theme="1"/>
        <rFont val="Times New Roman"/>
        <family val="1"/>
      </rPr>
      <t>, que lleva veintipico de años haciendo ese trabajo, ella no va, no va a conseguir, por lo que está ganando.</t>
    </r>
  </si>
  <si>
    <r>
      <t xml:space="preserve">SJ07433M96/397-403C [C]uando tú andas con la verdad, con la justicia, con las cosas bien, pues, mira, la, lo otro va a salir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va a hacer, que lleva veintipico de años haciendo ese trabajo, ella no va, no </t>
    </r>
    <r>
      <rPr>
        <b/>
        <sz val="12"/>
        <color theme="1"/>
        <rFont val="Times New Roman"/>
        <family val="1"/>
      </rPr>
      <t>va a conseguir</t>
    </r>
    <r>
      <rPr>
        <sz val="12"/>
        <color theme="1"/>
        <rFont val="Times New Roman"/>
        <family val="1"/>
      </rPr>
      <t>, por lo que está ganando.</t>
    </r>
  </si>
  <si>
    <r>
      <t xml:space="preserve">SJ07433M96/406­-409 No, no tiene ningunas destrezas y no es una persona super inteligente, tú sabes, pues, no se le </t>
    </r>
    <r>
      <rPr>
        <b/>
        <sz val="12"/>
        <color theme="1"/>
        <rFont val="Times New Roman"/>
        <family val="1"/>
      </rPr>
      <t>va a hacer</t>
    </r>
    <r>
      <rPr>
        <sz val="12"/>
        <color theme="1"/>
        <rFont val="Times New Roman"/>
        <family val="1"/>
      </rPr>
      <t xml:space="preserve"> difícil, pero, para mi Dios no hay nada difícil, ni nada imposible, digo, Señor, consígule un trabajo y llévatela, yo no le deseo nada malo, sencillamente que, mira, que consiga que le paguen dos veces lo que se está ganando.</t>
    </r>
  </si>
  <si>
    <r>
      <t xml:space="preserve">SJ07433M96/430-434A [C]uando echamos para afuera estas cosas y hablamos y nos conocemos, pues, entonces, ya tú no, tú no </t>
    </r>
    <r>
      <rPr>
        <b/>
        <sz val="12"/>
        <color theme="1"/>
        <rFont val="Times New Roman"/>
        <family val="1"/>
      </rPr>
      <t>vas a ver</t>
    </r>
    <r>
      <rPr>
        <sz val="12"/>
        <color theme="1"/>
        <rFont val="Times New Roman"/>
        <family val="1"/>
      </rPr>
      <t xml:space="preserve"> mis defectos exteriores sino que tú vas a ver a un ser, pues, mira que, llena de amor, de cariño, que, pues, que ha sufrido y que quizás, pues, por eso mismo no ha podido superarse en otras áreas.</t>
    </r>
  </si>
  <si>
    <r>
      <t xml:space="preserve">SJ07433M96/430-434B [C]uando echamos para afuera estas cosas y hablamos y nos conocemos, pues, entonces, ya tú no, tú no vas a ver mis defectos exteriores sino que tú </t>
    </r>
    <r>
      <rPr>
        <b/>
        <sz val="12"/>
        <color theme="1"/>
        <rFont val="Times New Roman"/>
        <family val="1"/>
      </rPr>
      <t>vas a ver</t>
    </r>
    <r>
      <rPr>
        <sz val="12"/>
        <color theme="1"/>
        <rFont val="Times New Roman"/>
        <family val="1"/>
      </rPr>
      <t xml:space="preserve"> a un ser, pues, mira que, llena de amor, de cariño, que, pues, que ha sufrido y que quizás, pues, por eso mismo no ha podido superarse en otras áreas.</t>
    </r>
  </si>
  <si>
    <t>SJ07433M96</t>
  </si>
  <si>
    <r>
      <t xml:space="preserve">SJ07433M96/362-363 [C]omo yo no soy Dios, y yo no sé lo que, mientras esa, esa, esa persona tenga vida, pues </t>
    </r>
    <r>
      <rPr>
        <b/>
        <sz val="12"/>
        <color theme="1"/>
        <rFont val="Times New Roman"/>
        <family val="1"/>
      </rPr>
      <t>hay</t>
    </r>
    <r>
      <rPr>
        <sz val="12"/>
        <color theme="1"/>
        <rFont val="Times New Roman"/>
        <family val="1"/>
      </rPr>
      <t xml:space="preserve"> esperanza de que, de que se convierta</t>
    </r>
  </si>
  <si>
    <r>
      <t xml:space="preserve">SJ022022M96/47-50 Cuando no, (risa) o sea, cuando mi tío veía que yo crucé decía: “muchacha tu madre te </t>
    </r>
    <r>
      <rPr>
        <b/>
        <sz val="12"/>
        <color theme="1"/>
        <rFont val="Times New Roman"/>
        <family val="1"/>
      </rPr>
      <t>va a matar</t>
    </r>
    <r>
      <rPr>
        <sz val="12"/>
        <color theme="1"/>
        <rFont val="Times New Roman"/>
        <family val="1"/>
      </rPr>
      <t xml:space="preserve"> si te ve aquí de nuevo (risa) y entonces ella, según cuentan, o sea,  que, que me dejaron amarrada, o sea, o sea, para que yo me quedara en la escuela, para que yo me quedara, tú sabes, allá.</t>
    </r>
  </si>
  <si>
    <r>
      <t xml:space="preserve">SJ022022M96/81-82 (Con seis muchachos)¿Cómo tú </t>
    </r>
    <r>
      <rPr>
        <b/>
        <sz val="12"/>
        <color theme="1"/>
        <rFont val="Times New Roman"/>
        <family val="1"/>
      </rPr>
      <t>vas a trabajar</t>
    </r>
    <r>
      <rPr>
        <sz val="12"/>
        <color theme="1"/>
        <rFont val="Times New Roman"/>
        <family val="1"/>
      </rPr>
      <t>?</t>
    </r>
  </si>
  <si>
    <r>
      <t xml:space="preserve">SJ022022M96/189-192 [Y]o no he tratado de, tú sabes, de que por lo menos los de uno, uno sentir de que si tienen alguna incomodidad, o sea, alguna manera todo ello no te lo </t>
    </r>
    <r>
      <rPr>
        <b/>
        <sz val="12"/>
        <color theme="1"/>
        <rFont val="Times New Roman"/>
        <family val="1"/>
      </rPr>
      <t xml:space="preserve">van a decir </t>
    </r>
    <r>
      <rPr>
        <sz val="12"/>
        <color theme="1"/>
        <rFont val="Times New Roman"/>
        <family val="1"/>
      </rPr>
      <t>porque eso es lógico, pero por lo menos que tengan un poco de confianza en uno, o sea, no así como uno que a veces a mami uno lo que tenía como aquel miedo y aquel respeto</t>
    </r>
  </si>
  <si>
    <r>
      <t xml:space="preserve">SJ022022M96/254-258A Y entonces pues este yo me acuerdo que mi hermana, Chachi y nosotros nos reíamos tú estás, el cura nos </t>
    </r>
    <r>
      <rPr>
        <b/>
        <sz val="12"/>
        <color theme="1"/>
        <rFont val="Times New Roman"/>
        <family val="1"/>
      </rPr>
      <t>va a botar</t>
    </r>
    <r>
      <rPr>
        <sz val="12"/>
        <color theme="1"/>
        <rFont val="Times New Roman"/>
        <family val="1"/>
      </rPr>
      <t xml:space="preserve"> a todas y nostras mira ella iba de lo más vacilaba y qué sé yo ni qué y ahora tú la ves en la iglesia que cuando llevamos los nenes ella se pone, pero y yo es que tú jeringaba como un loco también cuando tú estabas, o sea, que esto es todo un proceso, pero a la larga uno siempre va a llegar[…]</t>
    </r>
  </si>
  <si>
    <r>
      <t xml:space="preserve">SJ022022M96/254-258B Y entonces pues este yo me acuerdo que mi hermana, Chachi y nosotros nos reíamos tú estás, el cura nos va a botar a todas y nostras mira ella iba de lo más vacilaba y qué sé yo ni qué y ahora tú la ves en la iglesia que cuando llevamos los nenes ella se pone, pero y yo es que tú jeringaba como un loco también cuando tú estabas, o sea, que esto es todo un proceso, pero a la larga uno siempre </t>
    </r>
    <r>
      <rPr>
        <b/>
        <sz val="12"/>
        <color theme="1"/>
        <rFont val="Times New Roman"/>
        <family val="1"/>
      </rPr>
      <t>va a llegar</t>
    </r>
    <r>
      <rPr>
        <sz val="12"/>
        <color theme="1"/>
        <rFont val="Times New Roman"/>
        <family val="1"/>
      </rPr>
      <t>[…]</t>
    </r>
  </si>
  <si>
    <r>
      <t xml:space="preserve">SJ022022M96/281-283 [D]entro de la medida pues las situaciones han sido difíciles nos las vemos negras en algunas situaciones pero dentro de todo yo siempre me </t>
    </r>
    <r>
      <rPr>
        <b/>
        <sz val="12"/>
        <color theme="1"/>
        <rFont val="Times New Roman"/>
        <family val="1"/>
      </rPr>
      <t>sentiré</t>
    </r>
    <r>
      <rPr>
        <sz val="12"/>
        <color theme="1"/>
        <rFont val="Times New Roman"/>
        <family val="1"/>
      </rPr>
      <t xml:space="preserve"> feliz y nunca me sentí, tú sabes, como te digo… humillada</t>
    </r>
  </si>
  <si>
    <r>
      <t xml:space="preserve">SJ022022M96/422-423 Pero si no te digo al y de casa, se le compró el Nintendo y era fiebre con el Nintendo y era fiebre con el Nintendo perfecto </t>
    </r>
    <r>
      <rPr>
        <b/>
        <sz val="12"/>
        <color theme="1"/>
        <rFont val="Times New Roman"/>
        <family val="1"/>
      </rPr>
      <t>vamos a comprarle</t>
    </r>
    <r>
      <rPr>
        <sz val="12"/>
        <color theme="1"/>
        <rFont val="Times New Roman"/>
        <family val="1"/>
      </rPr>
      <t xml:space="preserve"> el Nintendo.</t>
    </r>
  </si>
  <si>
    <r>
      <t xml:space="preserve">SJ022022M96/432-433 Que ellos están aburridos, que </t>
    </r>
    <r>
      <rPr>
        <b/>
        <sz val="12"/>
        <color theme="1"/>
        <rFont val="Times New Roman"/>
        <family val="1"/>
      </rPr>
      <t>van a hacer</t>
    </r>
    <r>
      <rPr>
        <sz val="12"/>
        <color theme="1"/>
        <rFont val="Times New Roman"/>
        <family val="1"/>
      </rPr>
      <t xml:space="preserve"> y yo cómo que tú estás aburrido.</t>
    </r>
  </si>
  <si>
    <r>
      <t xml:space="preserve">SJ022022M96/480-481 Si tú me dices a mí un vellón, le dije pues ahora yo no te </t>
    </r>
    <r>
      <rPr>
        <b/>
        <sz val="12"/>
        <color theme="1"/>
        <rFont val="Times New Roman"/>
        <family val="1"/>
      </rPr>
      <t>voy a dar</t>
    </r>
    <r>
      <rPr>
        <sz val="12"/>
        <color theme="1"/>
        <rFont val="Times New Roman"/>
        <family val="1"/>
      </rPr>
      <t xml:space="preserve"> nada, porque cómo tú te atreves a dar un peso por un gallito.</t>
    </r>
  </si>
  <si>
    <r>
      <t xml:space="preserve">SJ022022M96/483-484A Yo Tito si eso es  ??? pues </t>
    </r>
    <r>
      <rPr>
        <b/>
        <sz val="12"/>
        <color theme="1"/>
        <rFont val="Times New Roman"/>
        <family val="1"/>
      </rPr>
      <t>vamos</t>
    </r>
    <r>
      <rPr>
        <sz val="12"/>
        <color theme="1"/>
        <rFont val="Times New Roman"/>
        <family val="1"/>
      </rPr>
      <t xml:space="preserve"> allí y recogemos un cubo completo…</t>
    </r>
  </si>
  <si>
    <r>
      <t xml:space="preserve">SJ022022M96/483-484B Yo Tito si eso es  ??? pues vamos allí y </t>
    </r>
    <r>
      <rPr>
        <b/>
        <sz val="12"/>
        <color theme="1"/>
        <rFont val="Times New Roman"/>
        <family val="1"/>
      </rPr>
      <t>recogemos</t>
    </r>
    <r>
      <rPr>
        <sz val="12"/>
        <color theme="1"/>
        <rFont val="Times New Roman"/>
        <family val="1"/>
      </rPr>
      <t xml:space="preserve"> un cubo completo…</t>
    </r>
  </si>
  <si>
    <r>
      <t xml:space="preserve">SJ022022M96/519-522A Aquí, o sea,  si se </t>
    </r>
    <r>
      <rPr>
        <b/>
        <sz val="12"/>
        <color theme="1"/>
        <rFont val="Times New Roman"/>
        <family val="1"/>
      </rPr>
      <t xml:space="preserve">van a oír </t>
    </r>
    <r>
      <rPr>
        <sz val="12"/>
        <color theme="1"/>
        <rFont val="Times New Roman"/>
        <family val="1"/>
      </rPr>
      <t>se va a oír los que no los que no tengan muchas, muchas barbaridades, pero tampoco le quito mucho porque pues a la larga a veces uno prohíbe tanto y tanto y tanto que entonces ellos terminan, pero si tú los dejas hacer llega un momento que ellos se les olvidó</t>
    </r>
  </si>
  <si>
    <r>
      <t xml:space="preserve">SJ022022M96/519-522B Aquí, o sea,  si se van a oír se </t>
    </r>
    <r>
      <rPr>
        <b/>
        <sz val="12"/>
        <color theme="1"/>
        <rFont val="Times New Roman"/>
        <family val="1"/>
      </rPr>
      <t>va a oír</t>
    </r>
    <r>
      <rPr>
        <sz val="12"/>
        <color theme="1"/>
        <rFont val="Times New Roman"/>
        <family val="1"/>
      </rPr>
      <t xml:space="preserve"> los que no los que no tengan muchas, muchas barbaridades, pero tampoco le quito mucho porque pues a la larga a veces uno prohíbe tanto y tanto y tanto que entonces ellos terminan, pero si tú los dejas hacer llega un momento que ellos se les olvidó</t>
    </r>
  </si>
  <si>
    <r>
      <t xml:space="preserve">SJ022022M96/542-543 Y entonces uno se siente como contra espérate yo no </t>
    </r>
    <r>
      <rPr>
        <b/>
        <sz val="12"/>
        <color theme="1"/>
        <rFont val="Times New Roman"/>
        <family val="1"/>
      </rPr>
      <t>voy a estar</t>
    </r>
    <r>
      <rPr>
        <sz val="12"/>
        <color theme="1"/>
        <rFont val="Times New Roman"/>
        <family val="1"/>
      </rPr>
      <t xml:space="preserve"> entre el grupo, pero que los de casa también oyen inclusive nosotras también lo oímos y lo bailamos (risa).</t>
    </r>
  </si>
  <si>
    <r>
      <t xml:space="preserve">SJ022022M96/575-576A [N]o, pues, tú </t>
    </r>
    <r>
      <rPr>
        <b/>
        <sz val="12"/>
        <color theme="1"/>
        <rFont val="Times New Roman"/>
        <family val="1"/>
      </rPr>
      <t>lavas</t>
    </r>
    <r>
      <rPr>
        <sz val="12"/>
        <color theme="1"/>
        <rFont val="Times New Roman"/>
        <family val="1"/>
      </rPr>
      <t xml:space="preserve"> los que están en caca y a mí me toca y yo, este, es no mitad y mitad y tú lavas la mitad y yo lavo la mitad</t>
    </r>
  </si>
  <si>
    <r>
      <t xml:space="preserve">SJ022022M96/575-576B [N]o, pues, tú lavas los que están en caca y a mí me toca y yo, este, es no mitad y mitad y tú </t>
    </r>
    <r>
      <rPr>
        <b/>
        <sz val="12"/>
        <color theme="1"/>
        <rFont val="Times New Roman"/>
        <family val="1"/>
      </rPr>
      <t>lavas</t>
    </r>
    <r>
      <rPr>
        <sz val="12"/>
        <color theme="1"/>
        <rFont val="Times New Roman"/>
        <family val="1"/>
      </rPr>
      <t xml:space="preserve"> la mitad y yo lavo la mitad</t>
    </r>
  </si>
  <si>
    <r>
      <t xml:space="preserve">SJ022022M96/575-576C[N]o, pues, tú lavas los que están en caca y a mí me toca y yo, este, es no mitad y mitad y tú lavas la mitad y yo </t>
    </r>
    <r>
      <rPr>
        <b/>
        <sz val="12"/>
        <color theme="1"/>
        <rFont val="Times New Roman"/>
        <family val="1"/>
      </rPr>
      <t>lavo</t>
    </r>
    <r>
      <rPr>
        <sz val="12"/>
        <color theme="1"/>
        <rFont val="Times New Roman"/>
        <family val="1"/>
      </rPr>
      <t xml:space="preserve"> la mitad</t>
    </r>
  </si>
  <si>
    <r>
      <t xml:space="preserve">SJ022022M96/594A Uno </t>
    </r>
    <r>
      <rPr>
        <b/>
        <sz val="12"/>
        <color theme="1"/>
        <rFont val="Times New Roman"/>
        <family val="1"/>
      </rPr>
      <t>va a pensar</t>
    </r>
    <r>
      <rPr>
        <sz val="12"/>
        <color theme="1"/>
        <rFont val="Times New Roman"/>
        <family val="1"/>
      </rPr>
      <t xml:space="preserve"> que después de diez años mami va a dar a luz.</t>
    </r>
  </si>
  <si>
    <r>
      <t xml:space="preserve">SJ022022M96/594B Uno va a pensar que después de diez años mami </t>
    </r>
    <r>
      <rPr>
        <b/>
        <sz val="12"/>
        <color theme="1"/>
        <rFont val="Times New Roman"/>
        <family val="1"/>
      </rPr>
      <t>va a dar</t>
    </r>
    <r>
      <rPr>
        <sz val="12"/>
        <color theme="1"/>
        <rFont val="Times New Roman"/>
        <family val="1"/>
      </rPr>
      <t xml:space="preserve"> a luz.</t>
    </r>
  </si>
  <si>
    <r>
      <t xml:space="preserve">SJ022022M96/646-650 </t>
    </r>
    <r>
      <rPr>
        <b/>
        <sz val="12"/>
        <color theme="1"/>
        <rFont val="Times New Roman"/>
        <family val="1"/>
      </rPr>
      <t xml:space="preserve">[H]abrán </t>
    </r>
    <r>
      <rPr>
        <sz val="12"/>
        <color theme="1"/>
        <rFont val="Times New Roman"/>
        <family val="1"/>
      </rPr>
      <t>situaciones donde uno a veces se incomoda y que como todo ser humano, porque uno tiene su, sus momentos buenos y sus momentos malos, pero nunca he tenido ningún tipo de problema con ninguno de ellos, o sea, donde yo tenga que optar por tal, tú sa’e, diciéndole o sea, en una discusión no pues mira hasta el sol de hoy, gracias a Dios, ninguno.</t>
    </r>
  </si>
  <si>
    <r>
      <t xml:space="preserve">SJ022022M96/693-697A O sea, y si mi, si mi, mi, mi, mi felicidad </t>
    </r>
    <r>
      <rPr>
        <b/>
        <sz val="12"/>
        <color theme="1"/>
        <rFont val="Times New Roman"/>
        <family val="1"/>
      </rPr>
      <t>va a ser</t>
    </r>
    <r>
      <rPr>
        <sz val="12"/>
        <color theme="1"/>
        <rFont val="Times New Roman"/>
        <family val="1"/>
      </rPr>
      <t xml:space="preserve"> a través de yo ser rica para después cambiar y ser otro, mira prefiero no tener nada prefiero pa’ ser, ser, o sea, como, o sea, como vine al mundo como mami me enseñó porque a la larga el dinero no me va a resolver, o sea, a lo mejor me va a resolver muchas cosas, pero me va a quitar otras que para mí son mucho más importantes. </t>
    </r>
  </si>
  <si>
    <r>
      <t xml:space="preserve">SJ022022M96/693-697B O sea, y si mi, si mi, mi, mi, mi felicidad va a ser a través de yo ser rica para después cambiar y ser otro, mira prefiero no tener nada prefiero pa’ ser, ser, o sea, como, o sea, como vine al mundo como mami me enseñó porque a la larga el dinero no me </t>
    </r>
    <r>
      <rPr>
        <b/>
        <sz val="12"/>
        <color theme="1"/>
        <rFont val="Times New Roman"/>
        <family val="1"/>
      </rPr>
      <t>va a resolver</t>
    </r>
    <r>
      <rPr>
        <sz val="12"/>
        <color theme="1"/>
        <rFont val="Times New Roman"/>
        <family val="1"/>
      </rPr>
      <t xml:space="preserve">, o sea, a lo mejor me va a resolver muchas cosas, pero me va a quitar otras que para mí son mucho más importantes. </t>
    </r>
  </si>
  <si>
    <r>
      <t xml:space="preserve">SJ022022M96/693-697C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t>
    </r>
    <r>
      <rPr>
        <b/>
        <sz val="12"/>
        <color theme="1"/>
        <rFont val="Times New Roman"/>
        <family val="1"/>
      </rPr>
      <t>va a resolver</t>
    </r>
    <r>
      <rPr>
        <sz val="12"/>
        <color theme="1"/>
        <rFont val="Times New Roman"/>
        <family val="1"/>
      </rPr>
      <t xml:space="preserve"> muchas cosas, pero me va a quitar otras que para mí son mucho más importantes. </t>
    </r>
  </si>
  <si>
    <r>
      <t xml:space="preserve">SJ022022M96/693-697D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va a resolver muchas cosas, pero me </t>
    </r>
    <r>
      <rPr>
        <b/>
        <sz val="12"/>
        <color theme="1"/>
        <rFont val="Times New Roman"/>
        <family val="1"/>
      </rPr>
      <t xml:space="preserve">va a quitar </t>
    </r>
    <r>
      <rPr>
        <sz val="12"/>
        <color theme="1"/>
        <rFont val="Times New Roman"/>
        <family val="1"/>
      </rPr>
      <t>otras que para mí son mucho más importantes. Pues como lo que te digo la cuestión de la familia, la cuestión de, de la unión con los, con los hijos de uno, o sea, porque a lo mejor yo, yo puedo tener un montón de chavos, pero entonces tengo a la familia abandonada y entonces yo prefiero tener poco dinero y levantarme todos los días a trabajar a sentarme a, a aventurar, tú sabes.</t>
    </r>
  </si>
  <si>
    <r>
      <t xml:space="preserve">SJ022022M96/721-722 Si íbamos a una fiesta, los nenes porque a mí los nenes, o sea, los hijos de uno nunca son estorbo porque mientras más tú le das más tú </t>
    </r>
    <r>
      <rPr>
        <b/>
        <sz val="12"/>
        <color theme="1"/>
        <rFont val="Times New Roman"/>
        <family val="1"/>
      </rPr>
      <t>vas a adquirir</t>
    </r>
    <r>
      <rPr>
        <sz val="12"/>
        <color theme="1"/>
        <rFont val="Times New Roman"/>
        <family val="1"/>
      </rPr>
      <t xml:space="preserve"> de ellos…</t>
    </r>
  </si>
  <si>
    <r>
      <t xml:space="preserve">SJ022022M96/749 – 755 . Y si tú tienes un niño de ocho años, un niño de ocho años no puede decidir lo que </t>
    </r>
    <r>
      <rPr>
        <b/>
        <sz val="12"/>
        <color theme="1"/>
        <rFont val="Times New Roman"/>
        <family val="1"/>
      </rPr>
      <t>va a hacer</t>
    </r>
    <r>
      <rPr>
        <sz val="12"/>
        <color theme="1"/>
        <rFont val="Times New Roman"/>
        <family val="1"/>
      </rPr>
      <t xml:space="preserve"> en su vida, o sea, si tú, si tú no lo llevas porque mira pues más adelante tal vez, pero empezando cuando un niño necesita que su mamá esté cerca y para ayudarlo en sus dificultades y a alguien ellos tienen que preguntarle, o sea, lo que no entienden y por lo menos si tienen una incomodidad o cualquier cosa que te pregunten mira mami yo vi un nene así asao que qué tú crees que fue eso, que tú le expliques porque al niño de hoy qué, qué es lo que tú ves en una escalera esperando una mamá o solo en una casa.</t>
    </r>
  </si>
  <si>
    <t>SJ022022M96</t>
  </si>
  <si>
    <r>
      <t xml:space="preserve">SJ03433H96/209-215A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t>
    </r>
    <r>
      <rPr>
        <b/>
        <sz val="12"/>
        <color theme="1"/>
        <rFont val="Times New Roman"/>
        <family val="1"/>
      </rPr>
      <t>va a estar</t>
    </r>
    <r>
      <rPr>
        <sz val="12"/>
        <color theme="1"/>
        <rFont val="Times New Roman"/>
        <family val="1"/>
      </rPr>
      <t xml:space="preserve"> nunca en issue en unas elecciones, y que dependerá cualquier cambio que venga en el status político, dependerá del concenso que puedan lograr los líderes políticos puertorriqueños en cuanto al proceso para llegar a un acuerdo.</t>
    </r>
  </si>
  <si>
    <r>
      <t xml:space="preserve">SJ03433H96/209-215B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va a estar nunca en issue en unas elecciones, y que </t>
    </r>
    <r>
      <rPr>
        <b/>
        <sz val="12"/>
        <color theme="1"/>
        <rFont val="Times New Roman"/>
        <family val="1"/>
      </rPr>
      <t>dependerá</t>
    </r>
    <r>
      <rPr>
        <sz val="12"/>
        <color theme="1"/>
        <rFont val="Times New Roman"/>
        <family val="1"/>
      </rPr>
      <t xml:space="preserve"> cualquier cambio que venga en el status político, dependerá del concenso que puedan lograr los líderes políticos puertorriqueños en cuanto al proceso para llegar a un acuerdo.</t>
    </r>
  </si>
  <si>
    <r>
      <t xml:space="preserve">SJ03433H96/209-215C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va a estar nunca en issue en unas elecciones, y que dependerá cualquier cambio que venga en el status político, </t>
    </r>
    <r>
      <rPr>
        <b/>
        <sz val="12"/>
        <color theme="1"/>
        <rFont val="Times New Roman"/>
        <family val="1"/>
      </rPr>
      <t>dependerá</t>
    </r>
    <r>
      <rPr>
        <sz val="12"/>
        <color theme="1"/>
        <rFont val="Times New Roman"/>
        <family val="1"/>
      </rPr>
      <t xml:space="preserve"> del concenso que puedan lograr los líderes políticos puertorriqueños en cuanto al proceso para llegar a un acuerdo.</t>
    </r>
  </si>
  <si>
    <r>
      <t xml:space="preserve">SJ03433H96/223-229 No sé, yo creo que hay muy buenos candidatos independientes, pero no, yo no creo que, que vaya a haber muchos cambios en la política puertorriqueña a corto y mediano plazo en términos de cómo se ha venido dando la política puertorriqueña, por lo menos yo no lo preveo, sí creo que la situación económica de los Estados Unidos es posible que lleve a una más pronta definición de la cuestión política en Puerto Rico, pero cómo eso </t>
    </r>
    <r>
      <rPr>
        <b/>
        <sz val="12"/>
        <color theme="1"/>
        <rFont val="Times New Roman"/>
        <family val="1"/>
      </rPr>
      <t>habrá</t>
    </r>
    <r>
      <rPr>
        <sz val="12"/>
        <color theme="1"/>
        <rFont val="Times New Roman"/>
        <family val="1"/>
      </rPr>
      <t xml:space="preserve"> </t>
    </r>
    <r>
      <rPr>
        <b/>
        <sz val="12"/>
        <color theme="1"/>
        <rFont val="Times New Roman"/>
        <family val="1"/>
      </rPr>
      <t>de darse</t>
    </r>
    <r>
      <rPr>
        <sz val="12"/>
        <color theme="1"/>
        <rFont val="Times New Roman"/>
        <family val="1"/>
      </rPr>
      <t>, pues, me parece que eso todavía no está muy claro, y creo que lo hemos visto recientemente con lo que le ocurrió al proyecto Young, que no llegó ni a primera base.</t>
    </r>
  </si>
  <si>
    <r>
      <t xml:space="preserve">SJ03433H96/233-236 Pues por eso, pero </t>
    </r>
    <r>
      <rPr>
        <b/>
        <sz val="12"/>
        <color theme="1"/>
        <rFont val="Times New Roman"/>
        <family val="1"/>
      </rPr>
      <t>va a depender</t>
    </r>
    <r>
      <rPr>
        <sz val="12"/>
        <color theme="1"/>
        <rFont val="Times New Roman"/>
        <family val="1"/>
      </rPr>
      <t xml:space="preserve"> fundamentalmente, yo creo que, de que hayan unos concensos en términos, no de, del resultado final, en términos sustantivos, pero sí de que hayan unos concensos en cuanto al proceso que se va a seguir, en cuanto al procedimiento para tomar la decisión.</t>
    </r>
  </si>
  <si>
    <r>
      <t xml:space="preserve">SJ03433H96/233-236 Pues por eso, pero va a depender fundamentalmente, yo creo que, de que hayan unos concensos en términos, no de, del resultado final, en términos sustantivos, pero sí de que hayan unos concensos en cuanto al proceso que se </t>
    </r>
    <r>
      <rPr>
        <b/>
        <sz val="12"/>
        <color theme="1"/>
        <rFont val="Times New Roman"/>
        <family val="1"/>
      </rPr>
      <t>va a seguir</t>
    </r>
    <r>
      <rPr>
        <sz val="12"/>
        <color theme="1"/>
        <rFont val="Times New Roman"/>
        <family val="1"/>
      </rPr>
      <t>, en cuanto al procedimiento para tomar la decisión.</t>
    </r>
  </si>
  <si>
    <r>
      <t xml:space="preserve">SJ03433H96/246-247 Este, todo, todo </t>
    </r>
    <r>
      <rPr>
        <b/>
        <sz val="12"/>
        <color theme="1"/>
        <rFont val="Times New Roman"/>
        <family val="1"/>
      </rPr>
      <t>va a depender</t>
    </r>
    <r>
      <rPr>
        <sz val="12"/>
        <color theme="1"/>
        <rFont val="Times New Roman"/>
        <family val="1"/>
      </rPr>
      <t xml:space="preserve"> de, mira, mira lo que ocurrió en la Unión Soviética, ¿quién esperaba que ocurriera algo como lo que ocurrió en la Unión Soviética?</t>
    </r>
  </si>
  <si>
    <r>
      <t xml:space="preserve">SJ03433H96/247-248 Pero eso no significa que los partidos políticos se </t>
    </r>
    <r>
      <rPr>
        <b/>
        <sz val="12"/>
        <color theme="1"/>
        <rFont val="Times New Roman"/>
        <family val="1"/>
      </rPr>
      <t>van a eliminar.</t>
    </r>
  </si>
  <si>
    <r>
      <t xml:space="preserve">SJ03433H96/252-259A Todo depende, todo depende porque el hecho de que hayan cambios no significa que los políticos, los partidos políticos se </t>
    </r>
    <r>
      <rPr>
        <b/>
        <sz val="12"/>
        <color theme="1"/>
        <rFont val="Times New Roman"/>
        <family val="1"/>
      </rPr>
      <t>van a ir</t>
    </r>
    <r>
      <rPr>
        <sz val="12"/>
        <color theme="1"/>
        <rFont val="Times New Roman"/>
        <family val="1"/>
      </rPr>
      <t>,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t>
    </r>
  </si>
  <si>
    <r>
      <t xml:space="preserve">SJ03433H96/252-259B Todo depende, todo depende porque el hecho de que hayan cambios no significa que los políticos, los partidos políticos se van a ir, </t>
    </r>
    <r>
      <rPr>
        <b/>
        <sz val="12"/>
        <color theme="1"/>
        <rFont val="Times New Roman"/>
        <family val="1"/>
      </rPr>
      <t>van a ir</t>
    </r>
    <r>
      <rPr>
        <sz val="12"/>
        <color theme="1"/>
        <rFont val="Times New Roman"/>
        <family val="1"/>
      </rPr>
      <t xml:space="preserve"> </t>
    </r>
    <r>
      <rPr>
        <b/>
        <sz val="12"/>
        <color theme="1"/>
        <rFont val="Times New Roman"/>
        <family val="1"/>
      </rPr>
      <t>desapareciendo</t>
    </r>
    <r>
      <rPr>
        <sz val="12"/>
        <color theme="1"/>
        <rFont val="Times New Roman"/>
        <family val="1"/>
      </rPr>
      <t xml:space="preserve">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t>
    </r>
  </si>
  <si>
    <r>
      <t xml:space="preserve">SJ03433H96/252-259C Todo depende, todo depende porque el hecho de que hayan cambios no significa que los políticos, los partidos políticos se van a ir, van a ir desapareciendo o </t>
    </r>
    <r>
      <rPr>
        <b/>
        <sz val="12"/>
        <color theme="1"/>
        <rFont val="Times New Roman"/>
        <family val="1"/>
      </rPr>
      <t>van a perder</t>
    </r>
    <r>
      <rPr>
        <sz val="12"/>
        <color theme="1"/>
        <rFont val="Times New Roman"/>
        <family val="1"/>
      </rPr>
      <t xml:space="preserve">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t>
    </r>
  </si>
  <si>
    <r>
      <t xml:space="preserve">SJ03433H96/252-259D Todo depende, todo depende porque el hecho de que hayan cambios no significa que los políticos, los partidos políticos se van a ir, van a ir desapareciendo o van a perder fuerza permanentemente, o sea, yo creo que, que todo </t>
    </r>
    <r>
      <rPr>
        <b/>
        <sz val="12"/>
        <color theme="1"/>
        <rFont val="Times New Roman"/>
        <family val="1"/>
      </rPr>
      <t>depende</t>
    </r>
    <r>
      <rPr>
        <sz val="12"/>
        <color theme="1"/>
        <rFont val="Times New Roman"/>
        <family val="1"/>
      </rPr>
      <t xml:space="preserv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t>
    </r>
  </si>
  <si>
    <r>
      <t xml:space="preserve">SJ03433H96/252-259E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
    </r>
    <r>
      <rPr>
        <b/>
        <sz val="12"/>
        <color theme="1"/>
        <rFont val="Times New Roman"/>
        <family val="1"/>
      </rPr>
      <t>tendremos</t>
    </r>
    <r>
      <rPr>
        <sz val="12"/>
        <color theme="1"/>
        <rFont val="Times New Roman"/>
        <family val="1"/>
      </rPr>
      <t xml:space="preserve">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t>
    </r>
  </si>
  <si>
    <r>
      <t xml:space="preserve">SJ03433H96/252-259F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t>
    </r>
    <r>
      <rPr>
        <b/>
        <sz val="12"/>
        <color theme="1"/>
        <rFont val="Times New Roman"/>
        <family val="1"/>
      </rPr>
      <t>va a habe</t>
    </r>
    <r>
      <rPr>
        <sz val="12"/>
        <color theme="1"/>
        <rFont val="Times New Roman"/>
        <family val="1"/>
      </rPr>
      <t>r uno que es pansisita</t>
    </r>
  </si>
  <si>
    <r>
      <t xml:space="preserve">SJ03433H96/383-385 Pues yo creo que, que al igual que el aborto todo depende de las circunstancias, yo no tengo una visión absoluta sobre la pena capital o el aborto, en términos de que no se pueden hacer, yo creo que, o que se puedan hacer, creo que todo </t>
    </r>
    <r>
      <rPr>
        <b/>
        <sz val="12"/>
        <color theme="1"/>
        <rFont val="Times New Roman"/>
        <family val="1"/>
      </rPr>
      <t>va a depender</t>
    </r>
    <r>
      <rPr>
        <sz val="12"/>
        <color theme="1"/>
        <rFont val="Times New Roman"/>
        <family val="1"/>
      </rPr>
      <t xml:space="preserve"> de cuáles sean las circunstancias.</t>
    </r>
  </si>
  <si>
    <r>
      <t xml:space="preserve">SJ03433H96/406-414 No pero la defensa legìtima se acepta, o sea, si alguien te </t>
    </r>
    <r>
      <rPr>
        <b/>
        <sz val="12"/>
        <color theme="1"/>
        <rFont val="Times New Roman"/>
        <family val="1"/>
      </rPr>
      <t>va a matar</t>
    </r>
    <r>
      <rPr>
        <sz val="12"/>
        <color theme="1"/>
        <rFont val="Times New Roman"/>
        <family val="1"/>
      </rPr>
      <t xml:space="preserve"> a ti, y la ùnica forma que tù tienes de salvar tu vida es matando a esa persona, yo creo que eso tù lo aceptas, verdad, o lo aceptan, por lo menos, muchas de las personas que, que no aceptan la pena capital o que no estàn de acuerdo con la pena capital, y entonces lo que señalan es que, no, porque la vida es, es lo màs grande y eso, ellos jamàs estarìan en, a favor de algo que vaya en contra de la vida, pero esas son las mismas personas que aprueban el aborto bajo ciertas circunstancias, pues la muerte de un ser humano, tanto de un ser humano pequeñito, chiquitito, que se encuentra en el vientre, como la de un ser humano que sea un bambalàn, que sea un criminal consecuente, pues, dentro de ciertas circunstancias es legìtimo para mì el que se prive de la vida a un ser humano</t>
    </r>
  </si>
  <si>
    <r>
      <t xml:space="preserve">SJ03433H96/418 O sea, yo no creo, por ejemplo, </t>
    </r>
    <r>
      <rPr>
        <b/>
        <sz val="12"/>
        <color theme="1"/>
        <rFont val="Times New Roman"/>
        <family val="1"/>
      </rPr>
      <t>vamos a coger</t>
    </r>
    <r>
      <rPr>
        <sz val="12"/>
        <color theme="1"/>
        <rFont val="Times New Roman"/>
        <family val="1"/>
      </rPr>
      <t xml:space="preserve"> un ejemplo: Bondy, Ted Bondy.</t>
    </r>
  </si>
  <si>
    <r>
      <t>SJ03433H96/462-463 Si es de ìndole social que sea, que trascienda los lìmites de mi familia no me</t>
    </r>
    <r>
      <rPr>
        <b/>
        <sz val="12"/>
        <color theme="1"/>
        <rFont val="Times New Roman"/>
        <family val="1"/>
      </rPr>
      <t xml:space="preserve"> van a coger</t>
    </r>
    <r>
      <rPr>
        <sz val="12"/>
        <color theme="1"/>
        <rFont val="Times New Roman"/>
        <family val="1"/>
      </rPr>
      <t xml:space="preserve"> a mì para organizarlo porque yo no</t>
    </r>
  </si>
  <si>
    <r>
      <t xml:space="preserve">SJ03433H96/468-475A Bueno, lo que tenga que hacer, dependiendo de lo que sea, pues, planificarlo, no sé cuàl, cuál es la intenciòn de la pregunta, pero todo, todo, bueno todo lo que uno </t>
    </r>
    <r>
      <rPr>
        <b/>
        <sz val="12"/>
        <color theme="1"/>
        <rFont val="Times New Roman"/>
        <family val="1"/>
      </rPr>
      <t>va a hacer</t>
    </r>
    <r>
      <rPr>
        <sz val="12"/>
        <color theme="1"/>
        <rFont val="Times New Roman"/>
        <family val="1"/>
      </rPr>
      <t xml:space="preserve"> en la vida hay que planificarlo, si, y uno lo planifica de acuerdo a lo que quiera, y lo que se desea o las normas que le hayan impuesto a uno, yo no tengo la menor duda de que si lo que se trata es de organizar algo asì, relacionado con un deporte o algo, pues, va a ser de acuerdo a las normas que me hayan impuesto y en aquellas àreas donde tengo un poco de flexibilidad pues, de acuerdo a como yo pues, lo prefiera, pero tendrìamos que concretarnos un poco màs pues, para yo poder abundar màs en la contestaciòn de esa pregunta</t>
    </r>
  </si>
  <si>
    <r>
      <t xml:space="preserve">SJ03433H96/468-475B Bueno, lo que tenga que hacer, dependiendo de lo que sea, pues, planificarlo, no sé cuàl, cuál es la intenciòn de la pregunta, pero todo, todo, bueno todo lo que uno va a hacer en la vida hay que planificarlo, si, y uno lo planifica de acuerdo a lo que quiera, y lo que se desea o las normas que le hayan impuesto a uno, yo no tengo la menor duda de que si lo que se trata es de organizar algo asì, relacionado con un deporte o algo, pues, </t>
    </r>
    <r>
      <rPr>
        <b/>
        <sz val="12"/>
        <color theme="1"/>
        <rFont val="Times New Roman"/>
        <family val="1"/>
      </rPr>
      <t xml:space="preserve">va a ser </t>
    </r>
    <r>
      <rPr>
        <sz val="12"/>
        <color theme="1"/>
        <rFont val="Times New Roman"/>
        <family val="1"/>
      </rPr>
      <t>de acuerdo a las normas que me hayan impuesto y en aquellas àreas donde tengo un poco de flexibilidad pues, de acuerdo a como yo pues, lo prefiera, pero tendrìamos que concretarnos un poco màs pues, para yo poder abundar màs en la contestaciòn de esa pregunta</t>
    </r>
  </si>
  <si>
    <r>
      <t xml:space="preserve">SJ03433H96/479-480A Me los estoy llevando para casa porque me </t>
    </r>
    <r>
      <rPr>
        <b/>
        <sz val="12"/>
        <color theme="1"/>
        <rFont val="Times New Roman"/>
        <family val="1"/>
      </rPr>
      <t>voy a jubilar</t>
    </r>
    <r>
      <rPr>
        <sz val="12"/>
        <color theme="1"/>
        <rFont val="Times New Roman"/>
        <family val="1"/>
      </rPr>
      <t xml:space="preserve"> el 31 de marzo, y ya me llevé los, con los que yo normalmente, los que me gusta tener cerca, y estos son los que se van a quedar aquí</t>
    </r>
  </si>
  <si>
    <r>
      <t xml:space="preserve">SJ03433H96/479-480B Me los estoy llevando para casa porque me voy a jubilar el 31 de marzo, y ya me llevé los, con los que yo normalmente, los que me gusta tener cerca, y estos son los que se </t>
    </r>
    <r>
      <rPr>
        <b/>
        <sz val="12"/>
        <color theme="1"/>
        <rFont val="Times New Roman"/>
        <family val="1"/>
      </rPr>
      <t xml:space="preserve">van a quedar </t>
    </r>
    <r>
      <rPr>
        <sz val="12"/>
        <color theme="1"/>
        <rFont val="Times New Roman"/>
        <family val="1"/>
      </rPr>
      <t>aquì</t>
    </r>
  </si>
  <si>
    <t>dist.temp.gran</t>
  </si>
  <si>
    <r>
      <t xml:space="preserve">SJ0521H96/100-101B Si así puedo hacerlo, pues, así lo </t>
    </r>
    <r>
      <rPr>
        <b/>
        <sz val="12"/>
        <color theme="1"/>
        <rFont val="Times New Roman"/>
        <family val="1"/>
      </rPr>
      <t>haré</t>
    </r>
    <r>
      <rPr>
        <sz val="12"/>
        <color theme="1"/>
        <rFont val="Times New Roman"/>
        <family val="1"/>
      </rPr>
      <t>.</t>
    </r>
  </si>
  <si>
    <t>est.cond</t>
  </si>
  <si>
    <r>
      <t xml:space="preserve">SJ00621H96/120-127A Yo no sé si es que yo sea, este, que esté aspirando demasiado, pero yo espero que cuando yo tenga quince años yo no esté como muchos videos que tiene quince años y están como estancados, yo voy con otras metas de expandirme, de adelantarme a lo nuevo que salga, meterle “laser vision” o sea estar adelante.  Que aunque sea un video pequeño y ya, ya la gente este, te </t>
    </r>
    <r>
      <rPr>
        <b/>
        <sz val="12"/>
        <color theme="1"/>
        <rFont val="Times New Roman"/>
        <family val="1"/>
      </rPr>
      <t>van a, a  ver</t>
    </r>
    <r>
      <rPr>
        <sz val="12"/>
        <color theme="1"/>
        <rFont val="Times New Roman"/>
        <family val="1"/>
      </rPr>
      <t xml:space="preserve">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t>
    </r>
  </si>
  <si>
    <r>
      <t xml:space="preserve">SJ00621H96/120-127D Yo no sé si es que yo sea, este, que esté aspirando demasiado, pero yo espero que cuando yo tenga quince años yo no esté como muchos videos que tiene quince años y están como estancados, yo voy con otras metas de expandirme, de adelantarme a lo nuevo que salga, meterle “laser vision” o sea estar adelante.  Que aunque sea un video pequeño y ya, ya la gente este, te van a, a  ver así de esa manera, que tú estás adelante en cuestión de sonido y te preocupas por el sonido, sabes de eso, este, salió “laser”, pues </t>
    </r>
    <r>
      <rPr>
        <b/>
        <sz val="12"/>
        <color theme="1"/>
        <rFont val="Times New Roman"/>
        <family val="1"/>
      </rPr>
      <t>vamos a meterle</t>
    </r>
    <r>
      <rPr>
        <sz val="12"/>
        <color theme="1"/>
        <rFont val="Times New Roman"/>
        <family val="1"/>
      </rPr>
      <t xml:space="preserve"> “laser” al video, aunque no se te alquile mucho pero tienes una sección ahí que la gente va y se dice “wow, con ‘laser’ y todo” o sea, esta gente, y cuando salgan las películas en “laser” pequeño, le metemos también eso</t>
    </r>
  </si>
  <si>
    <r>
      <t xml:space="preserve">SJ00621H96/214A (¿Tú piensas decorar ahora en navidad, piensas ponerle algo al negocio que no veo...?) Mira, pues ahí yo </t>
    </r>
    <r>
      <rPr>
        <b/>
        <sz val="12"/>
        <color theme="1"/>
        <rFont val="Times New Roman"/>
        <family val="1"/>
      </rPr>
      <t xml:space="preserve">tengo </t>
    </r>
    <r>
      <rPr>
        <sz val="12"/>
        <color theme="1"/>
        <rFont val="Times New Roman"/>
        <family val="1"/>
      </rPr>
      <t>un árbol, ahí, viene un arbolito, ese arbolito me lo regaló una clienta.</t>
    </r>
  </si>
  <si>
    <r>
      <t xml:space="preserve">SJ0931H96/74-75 Si en un mes no </t>
    </r>
    <r>
      <rPr>
        <b/>
        <sz val="12"/>
        <color theme="1"/>
        <rFont val="Times New Roman"/>
        <family val="1"/>
      </rPr>
      <t>consigo</t>
    </r>
    <r>
      <rPr>
        <sz val="12"/>
        <color theme="1"/>
        <rFont val="Times New Roman"/>
        <family val="1"/>
      </rPr>
      <t xml:space="preserve"> nada entonces te diré que está difícil.</t>
    </r>
  </si>
  <si>
    <r>
      <t xml:space="preserve">SJ02812H96/727-729(Se metiera al vicio qué tú le aconsejarías. O qué, qué información le darías) Ah, mira eso te está haciendo daño, no hagas eso. Eso te está acabando con tu vida. Con eso lo que tú usando no es ??? tenías amistades y ahora te estás destruyendo. Todo el mundo te </t>
    </r>
    <r>
      <rPr>
        <b/>
        <sz val="12"/>
        <color theme="1"/>
        <rFont val="Times New Roman"/>
        <family val="1"/>
      </rPr>
      <t xml:space="preserve">va a dar </t>
    </r>
    <r>
      <rPr>
        <sz val="12"/>
        <color theme="1"/>
        <rFont val="Times New Roman"/>
        <family val="1"/>
      </rPr>
      <t>la espalda.</t>
    </r>
  </si>
  <si>
    <t>dist.temp.gr.</t>
  </si>
  <si>
    <t>est. Hip.</t>
  </si>
  <si>
    <t>marc. cert.</t>
  </si>
  <si>
    <t>marc.cert.</t>
  </si>
  <si>
    <r>
      <t xml:space="preserve">SJ004021M96/319-321B Ajá, no me gustaría. Por eso, porque la gente a pesar de que hay un gran porciento de decepciones, con las personas, porque lamentablemente, el ser humano es así, tú les puedes dar mucho y quizás pues no te dé lo que tú esperabas recibir, pero va haber otro que te </t>
    </r>
    <r>
      <rPr>
        <b/>
        <sz val="12"/>
        <color theme="1"/>
        <rFont val="Times New Roman"/>
        <family val="1"/>
      </rPr>
      <t>va a dar</t>
    </r>
    <r>
      <rPr>
        <sz val="12"/>
        <color theme="1"/>
        <rFont val="Times New Roman"/>
        <family val="1"/>
      </rPr>
      <t>.</t>
    </r>
  </si>
  <si>
    <r>
      <t xml:space="preserve">SJ004021M96/319-321A Ajá, no me gustaría. Por eso, porque la gente a pesar de que hay un gran porciento de decepciones, con las personas, porque lamentablemente, el ser humano es así, tú les puedes dar mucho y quizás pues no te dé lo que tú esperabas recibir, pero </t>
    </r>
    <r>
      <rPr>
        <b/>
        <sz val="12"/>
        <color theme="1"/>
        <rFont val="Times New Roman"/>
        <family val="1"/>
      </rPr>
      <t>va habe</t>
    </r>
    <r>
      <rPr>
        <sz val="12"/>
        <color theme="1"/>
        <rFont val="Times New Roman"/>
        <family val="1"/>
      </rPr>
      <t>r otro que te va a dar.</t>
    </r>
  </si>
  <si>
    <t>negacación</t>
  </si>
  <si>
    <t>Dist. Temp.gr</t>
  </si>
  <si>
    <r>
      <t xml:space="preserve">SJ004531M96/417 (¿Y piensas ganar en el noventa y, en el dos mil?)Bueno, ahora dicen que van a cambiar hasta </t>
    </r>
    <r>
      <rPr>
        <b/>
        <sz val="12"/>
        <color theme="1"/>
        <rFont val="Times New Roman"/>
        <family val="1"/>
      </rPr>
      <t>van a cambiar</t>
    </r>
    <r>
      <rPr>
        <sz val="12"/>
        <color theme="1"/>
        <rFont val="Times New Roman"/>
        <family val="1"/>
      </rPr>
      <t xml:space="preserve"> la insignia de la pava.</t>
    </r>
  </si>
  <si>
    <r>
      <t xml:space="preserve">SJ004531M96/417 (¿Y piensas ganar en el noventa y, en el dos mil?)Bueno, ahora dicen que </t>
    </r>
    <r>
      <rPr>
        <b/>
        <sz val="12"/>
        <color theme="1"/>
        <rFont val="Times New Roman"/>
        <family val="1"/>
      </rPr>
      <t>van a cambiar</t>
    </r>
    <r>
      <rPr>
        <sz val="12"/>
        <color theme="1"/>
        <rFont val="Times New Roman"/>
        <family val="1"/>
      </rPr>
      <t xml:space="preserve"> hasta van a cambiar la insignia de la pava.</t>
    </r>
  </si>
  <si>
    <r>
      <t xml:space="preserve">SJ004531M96/416-426A (¿Y piensas ganar en el noventa y, en el dos mil?)
Bueno, ahora dicen que van a cambiar hasta van a cambiar la insignia de la pava.(¿Y qué opinas de esto?) Pues en verdad no estoy muy relacionada con el tema, no, no, estoy muy relacionada, fue que lo escuché en unas noticias pero no lo he leído nada acerca de eso, pero, hay to, en todos, eh, los cambios son buenos. Hay mucha gente que le </t>
    </r>
    <r>
      <rPr>
        <b/>
        <sz val="12"/>
        <color theme="1"/>
        <rFont val="Times New Roman"/>
        <family val="1"/>
      </rPr>
      <t>costará</t>
    </r>
    <r>
      <rPr>
        <sz val="12"/>
        <color theme="1"/>
        <rFont val="Times New Roman"/>
        <family val="1"/>
      </rPr>
      <t xml:space="preserve"> adaptarse y que no, que no lo acepta pero yo si es en beneficio de, todos los cambios que sean en beneficio del pueblo y de nuestra sociedad pues, bienvenidos sean y, y de una ideología política pues bienvenidos sean.</t>
    </r>
  </si>
  <si>
    <r>
      <t xml:space="preserve">SJ021022M96/208-212 (¿Y Javier le falta cuánto…?) A él le falta, pues  le falta de este año y un año más. (Y ya ahí se quedan solitos) Bueno </t>
    </r>
    <r>
      <rPr>
        <b/>
        <sz val="12"/>
        <color theme="1"/>
        <rFont val="Times New Roman"/>
        <family val="1"/>
      </rPr>
      <t>depende</t>
    </r>
    <r>
      <rPr>
        <sz val="12"/>
        <color theme="1"/>
        <rFont val="Times New Roman"/>
        <family val="1"/>
      </rPr>
      <t xml:space="preserve"> de lo que haga Javier ???</t>
    </r>
  </si>
  <si>
    <r>
      <t xml:space="preserve">SJ07233M96/519-520A Donde si la persona tiene dinero para comprar los abogados, los testigos, lo que sea, pues no </t>
    </r>
    <r>
      <rPr>
        <b/>
        <sz val="12"/>
        <color theme="1"/>
        <rFont val="Times New Roman"/>
        <family val="1"/>
      </rPr>
      <t>va [a llegar]</t>
    </r>
    <r>
      <rPr>
        <sz val="12"/>
        <color theme="1"/>
        <rFont val="Times New Roman"/>
        <family val="1"/>
      </rPr>
      <t>, aunque necesite la pena de muerte no llega a, a, a esa sentencia.</t>
    </r>
  </si>
  <si>
    <r>
      <t xml:space="preserve">SJ07233M96/710-713A Además, nuestro segundo nieto </t>
    </r>
    <r>
      <rPr>
        <b/>
        <sz val="12"/>
        <color theme="1"/>
        <rFont val="Times New Roman"/>
        <family val="1"/>
      </rPr>
      <t>va a vivir</t>
    </r>
    <r>
      <rPr>
        <sz val="12"/>
        <color theme="1"/>
        <rFont val="Times New Roman"/>
        <family val="1"/>
      </rPr>
      <t xml:space="preserve"> con nosotros, porque él está estudiando en la universidad, este, y, y lo llevamos: "Tú escoge el cuarto que tú quieras," y él está encantado de la casa, él es quien nos la está cuidando allá ahora, este, nos cuida la grama, nos recoge la correspondencia.  Así que, eso para nosotros va a ser una cosa, bien buena. 
</t>
    </r>
  </si>
  <si>
    <r>
      <t xml:space="preserve">SJ07233M96/710-713B Además, nuestro segundo nieto </t>
    </r>
    <r>
      <rPr>
        <b/>
        <sz val="12"/>
        <color theme="1"/>
        <rFont val="Times New Roman"/>
        <family val="1"/>
      </rPr>
      <t>va a vivir</t>
    </r>
    <r>
      <rPr>
        <sz val="12"/>
        <color theme="1"/>
        <rFont val="Times New Roman"/>
        <family val="1"/>
      </rPr>
      <t xml:space="preserve"> con nosotros, porque él está estudiando en la universidad, este, y, y lo llevamos: "Tú escoge el cuarto que tú quieras," y él está encantado de la casa, él es quien nos la está cuidando allá ahora, este, nos cuida la grama, nos recoge la correspondencia.  Así que, eso para nosotros </t>
    </r>
    <r>
      <rPr>
        <b/>
        <sz val="12"/>
        <color theme="1"/>
        <rFont val="Times New Roman"/>
        <family val="1"/>
      </rPr>
      <t>va a ser</t>
    </r>
    <r>
      <rPr>
        <sz val="12"/>
        <color theme="1"/>
        <rFont val="Times New Roman"/>
        <family val="1"/>
      </rPr>
      <t xml:space="preserve"> una cosa, bien buena. 
</t>
    </r>
  </si>
  <si>
    <r>
      <t xml:space="preserve">SJ07233M96/717(¿Y sus hijos viven allá también?) Los dos viven allá y no </t>
    </r>
    <r>
      <rPr>
        <b/>
        <sz val="12"/>
        <color theme="1"/>
        <rFont val="Times New Roman"/>
        <family val="1"/>
      </rPr>
      <t>regresarán</t>
    </r>
    <r>
      <rPr>
        <sz val="12"/>
        <color theme="1"/>
        <rFont val="Times New Roman"/>
        <family val="1"/>
      </rPr>
      <t xml:space="preserve">. </t>
    </r>
  </si>
  <si>
    <t>cert</t>
  </si>
  <si>
    <t>000</t>
  </si>
  <si>
    <t>100</t>
  </si>
  <si>
    <t>200</t>
  </si>
  <si>
    <t>010</t>
  </si>
  <si>
    <t>001</t>
  </si>
  <si>
    <t>011</t>
  </si>
  <si>
    <t>110</t>
  </si>
  <si>
    <t>101</t>
  </si>
  <si>
    <t>111</t>
  </si>
  <si>
    <t>210</t>
  </si>
  <si>
    <t>201</t>
  </si>
  <si>
    <t>211</t>
  </si>
  <si>
    <t>1000</t>
  </si>
  <si>
    <t>2000</t>
  </si>
  <si>
    <t>3000</t>
  </si>
  <si>
    <t>4000</t>
  </si>
  <si>
    <t>6000</t>
  </si>
  <si>
    <t>1100</t>
  </si>
  <si>
    <t>2100</t>
  </si>
  <si>
    <t>3100</t>
  </si>
  <si>
    <t>4100</t>
  </si>
  <si>
    <t>6100</t>
  </si>
  <si>
    <t>1200</t>
  </si>
  <si>
    <t>2200</t>
  </si>
  <si>
    <t>1010</t>
  </si>
  <si>
    <t>2010</t>
  </si>
  <si>
    <t>3010</t>
  </si>
  <si>
    <t>4010</t>
  </si>
  <si>
    <t>6010</t>
  </si>
  <si>
    <t>3200</t>
  </si>
  <si>
    <t>4200</t>
  </si>
  <si>
    <t>6200</t>
  </si>
  <si>
    <t>1001</t>
  </si>
  <si>
    <t>2001</t>
  </si>
  <si>
    <t>3001</t>
  </si>
  <si>
    <t>4001</t>
  </si>
  <si>
    <t>6001</t>
  </si>
  <si>
    <t>1011</t>
  </si>
  <si>
    <t>2011</t>
  </si>
  <si>
    <t>3011</t>
  </si>
  <si>
    <t>4011</t>
  </si>
  <si>
    <t>6011</t>
  </si>
  <si>
    <t>1110</t>
  </si>
  <si>
    <t>2110</t>
  </si>
  <si>
    <t>3110</t>
  </si>
  <si>
    <t>4110</t>
  </si>
  <si>
    <t>6110</t>
  </si>
  <si>
    <t>1101</t>
  </si>
  <si>
    <t>2101</t>
  </si>
  <si>
    <t>3101</t>
  </si>
  <si>
    <t>4101</t>
  </si>
  <si>
    <t>6101</t>
  </si>
  <si>
    <t>1111</t>
  </si>
  <si>
    <t>2111</t>
  </si>
  <si>
    <t>3111</t>
  </si>
  <si>
    <t>4111</t>
  </si>
  <si>
    <t>6111</t>
  </si>
  <si>
    <t>1210</t>
  </si>
  <si>
    <t>2210</t>
  </si>
  <si>
    <t>3210</t>
  </si>
  <si>
    <t>4210</t>
  </si>
  <si>
    <t>6210</t>
  </si>
  <si>
    <t>1201</t>
  </si>
  <si>
    <t>2201</t>
  </si>
  <si>
    <t>3201</t>
  </si>
  <si>
    <t>4201</t>
  </si>
  <si>
    <t>6201</t>
  </si>
  <si>
    <t>1211</t>
  </si>
  <si>
    <t>2211</t>
  </si>
  <si>
    <t>3211</t>
  </si>
  <si>
    <t>4211</t>
  </si>
  <si>
    <t>6211</t>
  </si>
  <si>
    <t>LEYENDA: 3 números:</t>
  </si>
  <si>
    <t>1er: distancia temporal 0= no marcado</t>
  </si>
  <si>
    <t>1=distancia grande</t>
  </si>
  <si>
    <t>2= distancia pequeña</t>
  </si>
  <si>
    <t>2o: presencia/ausencia marca de seguridad</t>
  </si>
  <si>
    <t>0= ausente</t>
  </si>
  <si>
    <t>1= presente</t>
  </si>
  <si>
    <t>3er: si verbo, verbo</t>
  </si>
  <si>
    <t>0= no hay tal estructura</t>
  </si>
  <si>
    <t>1= estructura condional</t>
  </si>
  <si>
    <t>4 números: 1er indica persona gramatical</t>
  </si>
  <si>
    <t>SJ020012M96</t>
  </si>
  <si>
    <t>SJ020012M96/462-463 Porque ellos me aconsejaron adonde fuera y fui, llené solicitudes y, pues, me consideraron, vamos a decirlo así, porque hay tanta gente, verdad, esperando.</t>
  </si>
  <si>
    <t>SJ020012M96/470-471 O se arreglaron, o pasaron, pues, estoy bien. Me siento bien por ahora, sí, porque me gusta la juventud. Ser, digo, será por eso.</t>
  </si>
  <si>
    <t>SJ020012M96/506-507 [P]ues las cosas no son como uno quisiera, vamos a decirlo así;</t>
  </si>
  <si>
    <t>SJ020012M96/523 Bueno, sí, porque no voy a decir que no, ¿verdad?</t>
  </si>
  <si>
    <t>SJ020012M96/529-532 [S]i la persona decide en un divorcio y cree que se siente mejor así o porque las cosas van a, pues, yo creo que, que es una decisión, verdad de la persona vamos a decir, porque uno no puede, no puede suplicarle a una persona que no lo haga sabiendo que no va a ser feliz, ¿verdad? Estando con esa persona ¿entiende?</t>
  </si>
  <si>
    <t>Si</t>
  </si>
  <si>
    <t>(</t>
  </si>
  <si>
    <t>&amp;</t>
  </si>
  <si>
    <t>totales!J2=</t>
  </si>
  <si>
    <t>a</t>
  </si>
  <si>
    <t>";)</t>
  </si>
  <si>
    <t>b</t>
  </si>
  <si>
    <t>totales!I2=</t>
  </si>
  <si>
    <t>totales!H2=</t>
  </si>
  <si>
    <t>totales!E2=</t>
  </si>
  <si>
    <t>c</t>
  </si>
  <si>
    <t>;"a";)</t>
  </si>
  <si>
    <t>;"b";)</t>
  </si>
  <si>
    <t>;"c";)</t>
  </si>
  <si>
    <t>si</t>
  </si>
  <si>
    <t>hombre</t>
  </si>
  <si>
    <t>mujer</t>
  </si>
  <si>
    <t>MC</t>
  </si>
  <si>
    <t>MA</t>
  </si>
  <si>
    <t>NM</t>
  </si>
  <si>
    <t>sexo</t>
  </si>
  <si>
    <t>I</t>
  </si>
  <si>
    <t>II</t>
  </si>
  <si>
    <t>III</t>
  </si>
  <si>
    <t>Hombre</t>
  </si>
  <si>
    <t>Mujer</t>
  </si>
  <si>
    <t>1a</t>
  </si>
  <si>
    <t>2a</t>
  </si>
  <si>
    <t>3a</t>
  </si>
  <si>
    <t>4a</t>
  </si>
  <si>
    <t>6a</t>
  </si>
  <si>
    <t>Nm</t>
  </si>
  <si>
    <t>Ma</t>
  </si>
  <si>
    <t>Mc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</si>
</sst>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b/>
      <i/>
      <u/>
      <sz val="11"/>
      <color theme="1"/>
      <name val="Calibri"/>
      <family val="2"/>
      <scheme val="minor"/>
    </font>
    <font>
      <i/>
      <sz val="12"/>
      <color theme="1"/>
      <name val="Times New Roman"/>
      <family val="1"/>
    </font>
    <font>
      <sz val="10"/>
      <color rgb="FF000000"/>
      <name val="Times New Roman"/>
      <family val="1"/>
    </font>
  </fonts>
  <fills count="9">
    <fill>
      <patternFill patternType="none"/>
    </fill>
    <fill>
      <patternFill patternType="gray125"/>
    </fill>
    <fill>
      <patternFill patternType="solid">
        <fgColor theme="0" tint="-0.24994659260841701"/>
        <bgColor indexed="64"/>
      </patternFill>
    </fill>
    <fill>
      <patternFill patternType="solid">
        <fgColor theme="0" tint="-0.34998626667073579"/>
        <bgColor indexed="64"/>
      </patternFill>
    </fill>
    <fill>
      <patternFill patternType="solid">
        <fgColor theme="0" tint="-0.14996795556505021"/>
        <bgColor indexed="64"/>
      </patternFill>
    </fill>
    <fill>
      <patternFill patternType="solid">
        <fgColor theme="0" tint="-0.499984740745262"/>
        <bgColor indexed="64"/>
      </patternFill>
    </fill>
    <fill>
      <patternFill patternType="solid">
        <fgColor theme="3" tint="0.39994506668294322"/>
        <bgColor indexed="64"/>
      </patternFill>
    </fill>
    <fill>
      <patternFill patternType="solid">
        <fgColor theme="1" tint="4.9989318521683403E-2"/>
        <bgColor indexed="64"/>
      </patternFill>
    </fill>
    <fill>
      <patternFill patternType="solid">
        <fgColor rgb="FFFFFF0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ck">
        <color auto="1"/>
      </top>
      <bottom style="thin">
        <color auto="1"/>
      </bottom>
      <diagonal/>
    </border>
    <border>
      <left style="thin">
        <color auto="1"/>
      </left>
      <right style="medium">
        <color auto="1"/>
      </right>
      <top style="thin">
        <color auto="1"/>
      </top>
      <bottom/>
      <diagonal/>
    </border>
    <border>
      <left/>
      <right style="thick">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ck">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style="thin">
        <color auto="1"/>
      </bottom>
      <diagonal/>
    </border>
    <border>
      <left style="thin">
        <color auto="1"/>
      </left>
      <right style="thin">
        <color auto="1"/>
      </right>
      <top style="thick">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bottom/>
      <diagonal/>
    </border>
    <border>
      <left style="medium">
        <color auto="1"/>
      </left>
      <right/>
      <top/>
      <bottom style="medium">
        <color auto="1"/>
      </bottom>
      <diagonal/>
    </border>
  </borders>
  <cellStyleXfs count="1">
    <xf numFmtId="0" fontId="0" fillId="0" borderId="0"/>
  </cellStyleXfs>
  <cellXfs count="112">
    <xf numFmtId="0" fontId="0" fillId="0" borderId="0" xfId="0"/>
    <xf numFmtId="0" fontId="2" fillId="0" borderId="0" xfId="0" applyFont="1"/>
    <xf numFmtId="0" fontId="2" fillId="0" borderId="0" xfId="0" applyFont="1" applyAlignment="1">
      <alignment horizontal="justify"/>
    </xf>
    <xf numFmtId="0" fontId="1" fillId="0" borderId="0" xfId="0" applyFont="1"/>
    <xf numFmtId="0" fontId="2" fillId="0" borderId="0" xfId="0" applyNumberFormat="1" applyFont="1" applyAlignment="1">
      <alignment horizontal="justify"/>
    </xf>
    <xf numFmtId="0" fontId="0" fillId="0" borderId="0" xfId="0" applyNumberFormat="1"/>
    <xf numFmtId="0" fontId="2" fillId="0" borderId="0" xfId="0" applyFont="1" applyAlignment="1">
      <alignment vertical="top"/>
    </xf>
    <xf numFmtId="0" fontId="2" fillId="0" borderId="0" xfId="0" applyFont="1" applyAlignment="1">
      <alignment horizontal="justify" vertical="top"/>
    </xf>
    <xf numFmtId="0" fontId="0" fillId="0" borderId="0" xfId="0" applyAlignment="1">
      <alignment vertical="top"/>
    </xf>
    <xf numFmtId="0" fontId="3" fillId="0" borderId="0" xfId="0" applyFont="1" applyAlignment="1">
      <alignment vertical="top"/>
    </xf>
    <xf numFmtId="0" fontId="1" fillId="0" borderId="0" xfId="0" applyFont="1" applyAlignment="1">
      <alignment vertical="top"/>
    </xf>
    <xf numFmtId="0" fontId="0" fillId="0" borderId="1" xfId="0" applyBorder="1"/>
    <xf numFmtId="0" fontId="0" fillId="0" borderId="5" xfId="0" applyBorder="1"/>
    <xf numFmtId="0" fontId="0" fillId="0" borderId="0" xfId="0" applyBorder="1"/>
    <xf numFmtId="0" fontId="0" fillId="0" borderId="8" xfId="0" applyBorder="1"/>
    <xf numFmtId="0" fontId="0" fillId="3" borderId="2" xfId="0" applyFill="1" applyBorder="1"/>
    <xf numFmtId="0" fontId="0" fillId="2" borderId="3" xfId="0" applyFill="1" applyBorder="1" applyAlignment="1">
      <alignment textRotation="68"/>
    </xf>
    <xf numFmtId="0" fontId="0" fillId="2" borderId="4" xfId="0" applyFill="1" applyBorder="1" applyAlignment="1">
      <alignment textRotation="68"/>
    </xf>
    <xf numFmtId="0" fontId="0" fillId="2" borderId="6" xfId="0" applyFill="1" applyBorder="1" applyAlignment="1">
      <alignment textRotation="68"/>
    </xf>
    <xf numFmtId="0" fontId="0" fillId="2" borderId="1" xfId="0" applyFill="1" applyBorder="1" applyAlignment="1">
      <alignment textRotation="68"/>
    </xf>
    <xf numFmtId="0" fontId="0" fillId="3" borderId="7" xfId="0" applyFill="1" applyBorder="1"/>
    <xf numFmtId="0" fontId="0" fillId="3" borderId="1" xfId="0" applyFill="1" applyBorder="1"/>
    <xf numFmtId="0" fontId="0" fillId="3" borderId="9" xfId="0" applyFill="1" applyBorder="1"/>
    <xf numFmtId="0" fontId="0" fillId="0" borderId="10" xfId="0" applyBorder="1"/>
    <xf numFmtId="0" fontId="0" fillId="0" borderId="11" xfId="0" applyBorder="1"/>
    <xf numFmtId="0" fontId="0" fillId="0" borderId="9" xfId="0" applyBorder="1"/>
    <xf numFmtId="0" fontId="0" fillId="3" borderId="8" xfId="0" applyFill="1" applyBorder="1"/>
    <xf numFmtId="0" fontId="0" fillId="2" borderId="8" xfId="0" applyFill="1" applyBorder="1" applyAlignment="1">
      <alignment textRotation="68"/>
    </xf>
    <xf numFmtId="0" fontId="0" fillId="2" borderId="14" xfId="0" applyFill="1" applyBorder="1" applyAlignment="1">
      <alignment textRotation="68"/>
    </xf>
    <xf numFmtId="0" fontId="0" fillId="0" borderId="12" xfId="0" applyBorder="1"/>
    <xf numFmtId="0" fontId="0" fillId="0" borderId="15" xfId="0" applyBorder="1"/>
    <xf numFmtId="0" fontId="1" fillId="3" borderId="2" xfId="0" applyFont="1" applyFill="1" applyBorder="1"/>
    <xf numFmtId="0" fontId="1" fillId="3" borderId="12" xfId="0" applyFont="1" applyFill="1" applyBorder="1"/>
    <xf numFmtId="0" fontId="1" fillId="3" borderId="13" xfId="0" applyFont="1" applyFill="1" applyBorder="1"/>
    <xf numFmtId="0" fontId="1" fillId="3" borderId="1" xfId="0" applyFont="1" applyFill="1" applyBorder="1"/>
    <xf numFmtId="0" fontId="0" fillId="0" borderId="0" xfId="0" applyFill="1" applyBorder="1"/>
    <xf numFmtId="0" fontId="0" fillId="3" borderId="16" xfId="0" applyFill="1" applyBorder="1" applyAlignment="1">
      <alignment textRotation="68"/>
    </xf>
    <xf numFmtId="0" fontId="0" fillId="0" borderId="0" xfId="0" applyFont="1" applyAlignment="1">
      <alignment vertical="top"/>
    </xf>
    <xf numFmtId="0" fontId="0" fillId="4" borderId="8" xfId="0" applyFill="1" applyBorder="1" applyAlignment="1">
      <alignment textRotation="68"/>
    </xf>
    <xf numFmtId="0" fontId="0" fillId="4" borderId="1" xfId="0" applyFill="1" applyBorder="1" applyAlignment="1">
      <alignment textRotation="68"/>
    </xf>
    <xf numFmtId="0" fontId="0" fillId="2" borderId="7" xfId="0" applyFill="1" applyBorder="1"/>
    <xf numFmtId="0" fontId="0" fillId="2" borderId="8" xfId="0" applyFill="1" applyBorder="1"/>
    <xf numFmtId="0" fontId="0" fillId="5" borderId="2" xfId="0" applyFill="1" applyBorder="1"/>
    <xf numFmtId="0" fontId="0" fillId="5" borderId="1" xfId="0" applyFill="1" applyBorder="1"/>
    <xf numFmtId="0" fontId="0" fillId="5" borderId="9" xfId="0" applyFill="1" applyBorder="1"/>
    <xf numFmtId="0" fontId="1" fillId="5" borderId="2" xfId="0" applyFont="1" applyFill="1" applyBorder="1"/>
    <xf numFmtId="0" fontId="0" fillId="5" borderId="16" xfId="0" applyFill="1" applyBorder="1" applyAlignment="1">
      <alignment textRotation="68"/>
    </xf>
    <xf numFmtId="0" fontId="1" fillId="5" borderId="12" xfId="0" applyFont="1" applyFill="1" applyBorder="1"/>
    <xf numFmtId="0" fontId="0" fillId="0" borderId="17" xfId="0" applyBorder="1"/>
    <xf numFmtId="0" fontId="0" fillId="0" borderId="18" xfId="0" applyBorder="1"/>
    <xf numFmtId="0" fontId="3" fillId="0" borderId="0" xfId="0" applyFont="1" applyAlignment="1">
      <alignment horizontal="justify" vertical="top"/>
    </xf>
    <xf numFmtId="0" fontId="2" fillId="0" borderId="0" xfId="0" applyFont="1" applyAlignment="1">
      <alignment horizontal="left" vertical="top"/>
    </xf>
    <xf numFmtId="0" fontId="0" fillId="0" borderId="0" xfId="0" applyAlignment="1">
      <alignment horizontal="left" vertical="top"/>
    </xf>
    <xf numFmtId="0" fontId="0" fillId="4" borderId="19" xfId="0" applyFill="1" applyBorder="1" applyAlignment="1">
      <alignment textRotation="68"/>
    </xf>
    <xf numFmtId="0" fontId="0" fillId="0" borderId="20" xfId="0" applyBorder="1"/>
    <xf numFmtId="0" fontId="0" fillId="2" borderId="19" xfId="0" applyFill="1" applyBorder="1"/>
    <xf numFmtId="2" fontId="0" fillId="0" borderId="8" xfId="0" applyNumberFormat="1" applyBorder="1"/>
    <xf numFmtId="2" fontId="0" fillId="0" borderId="20" xfId="0" applyNumberFormat="1" applyBorder="1"/>
    <xf numFmtId="2" fontId="0" fillId="0" borderId="10" xfId="0" applyNumberFormat="1" applyBorder="1"/>
    <xf numFmtId="2" fontId="0" fillId="0" borderId="9" xfId="0" applyNumberFormat="1" applyBorder="1"/>
    <xf numFmtId="2" fontId="0" fillId="0" borderId="17" xfId="0" applyNumberFormat="1" applyBorder="1"/>
    <xf numFmtId="2" fontId="0" fillId="0" borderId="21" xfId="0" applyNumberFormat="1" applyBorder="1"/>
    <xf numFmtId="2" fontId="0" fillId="0" borderId="18" xfId="0" applyNumberFormat="1" applyBorder="1"/>
    <xf numFmtId="2" fontId="0" fillId="0" borderId="22" xfId="0" applyNumberFormat="1" applyBorder="1"/>
    <xf numFmtId="0" fontId="4" fillId="5" borderId="2" xfId="0" applyFont="1" applyFill="1" applyBorder="1" applyAlignment="1">
      <alignment vertical="top"/>
    </xf>
    <xf numFmtId="0" fontId="2" fillId="0" borderId="0" xfId="0" applyFont="1" applyAlignment="1">
      <alignment horizontal="justify" vertical="top" wrapText="1"/>
    </xf>
    <xf numFmtId="0" fontId="0" fillId="5" borderId="2" xfId="0" applyNumberFormat="1" applyFill="1" applyBorder="1"/>
    <xf numFmtId="0" fontId="0" fillId="5" borderId="16" xfId="0" applyNumberFormat="1" applyFill="1" applyBorder="1" applyAlignment="1">
      <alignment textRotation="68"/>
    </xf>
    <xf numFmtId="49" fontId="0" fillId="2" borderId="6" xfId="0" applyNumberFormat="1" applyFill="1" applyBorder="1" applyAlignment="1">
      <alignment textRotation="68"/>
    </xf>
    <xf numFmtId="0" fontId="1" fillId="3" borderId="7" xfId="0" applyFont="1" applyFill="1" applyBorder="1"/>
    <xf numFmtId="0" fontId="0" fillId="0" borderId="7" xfId="0" applyBorder="1"/>
    <xf numFmtId="49" fontId="0" fillId="2" borderId="17" xfId="0" applyNumberFormat="1" applyFill="1" applyBorder="1" applyAlignment="1">
      <alignment textRotation="68"/>
    </xf>
    <xf numFmtId="0" fontId="1" fillId="3" borderId="23" xfId="0" applyFont="1" applyFill="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49" fontId="0" fillId="4" borderId="10" xfId="0" applyNumberFormat="1" applyFill="1" applyBorder="1" applyAlignment="1">
      <alignment textRotation="68"/>
    </xf>
    <xf numFmtId="49" fontId="0" fillId="4" borderId="22" xfId="0" applyNumberFormat="1" applyFill="1" applyBorder="1" applyAlignment="1">
      <alignment textRotation="68"/>
    </xf>
    <xf numFmtId="49" fontId="0" fillId="6" borderId="24" xfId="0" applyNumberFormat="1" applyFill="1" applyBorder="1" applyAlignment="1">
      <alignment textRotation="68"/>
    </xf>
    <xf numFmtId="0" fontId="0" fillId="6" borderId="30" xfId="0" applyFill="1" applyBorder="1"/>
    <xf numFmtId="0" fontId="0" fillId="6" borderId="31" xfId="0" applyFill="1" applyBorder="1"/>
    <xf numFmtId="0" fontId="0" fillId="6" borderId="32" xfId="0" applyFill="1" applyBorder="1"/>
    <xf numFmtId="0" fontId="1" fillId="6" borderId="22" xfId="0" applyFont="1" applyFill="1" applyBorder="1"/>
    <xf numFmtId="0" fontId="0" fillId="2" borderId="33" xfId="0" applyFill="1" applyBorder="1"/>
    <xf numFmtId="49" fontId="0" fillId="2" borderId="34" xfId="0" applyNumberFormat="1" applyFill="1" applyBorder="1" applyAlignment="1">
      <alignment textRotation="68"/>
    </xf>
    <xf numFmtId="0" fontId="0" fillId="7" borderId="2" xfId="0" applyFill="1" applyBorder="1"/>
    <xf numFmtId="0" fontId="0" fillId="7" borderId="7" xfId="0" applyFill="1" applyBorder="1"/>
    <xf numFmtId="0" fontId="0" fillId="7" borderId="8" xfId="0" applyFill="1" applyBorder="1"/>
    <xf numFmtId="0" fontId="0" fillId="4" borderId="35" xfId="0" applyFill="1" applyBorder="1"/>
    <xf numFmtId="0" fontId="0" fillId="4" borderId="36" xfId="0" applyFill="1" applyBorder="1"/>
    <xf numFmtId="0" fontId="0" fillId="4" borderId="10" xfId="0" applyFill="1" applyBorder="1"/>
    <xf numFmtId="0" fontId="0" fillId="4" borderId="37" xfId="0" applyFill="1" applyBorder="1"/>
    <xf numFmtId="0" fontId="0" fillId="4" borderId="0" xfId="0" applyFill="1" applyBorder="1"/>
    <xf numFmtId="0" fontId="0" fillId="4" borderId="17" xfId="0" applyFill="1" applyBorder="1"/>
    <xf numFmtId="0" fontId="0" fillId="4" borderId="38" xfId="0" applyFill="1" applyBorder="1"/>
    <xf numFmtId="0" fontId="0" fillId="4" borderId="23" xfId="0" applyFill="1" applyBorder="1"/>
    <xf numFmtId="0" fontId="0" fillId="4" borderId="18" xfId="0" applyFill="1" applyBorder="1"/>
    <xf numFmtId="0" fontId="1" fillId="0" borderId="0" xfId="0" applyFont="1" applyFill="1" applyBorder="1"/>
    <xf numFmtId="0" fontId="0" fillId="0" borderId="0" xfId="0" applyFill="1"/>
    <xf numFmtId="0" fontId="0" fillId="8" borderId="0" xfId="0" applyFill="1" applyBorder="1"/>
    <xf numFmtId="0" fontId="0" fillId="0" borderId="0" xfId="0" applyAlignment="1">
      <alignment wrapText="1"/>
    </xf>
    <xf numFmtId="0" fontId="0" fillId="0" borderId="0" xfId="0" applyFont="1"/>
    <xf numFmtId="0" fontId="0" fillId="4" borderId="17" xfId="0" applyFill="1" applyBorder="1" applyAlignment="1">
      <alignment textRotation="68"/>
    </xf>
    <xf numFmtId="0" fontId="0" fillId="4" borderId="21" xfId="0" applyFill="1" applyBorder="1" applyAlignment="1">
      <alignment textRotation="68"/>
    </xf>
    <xf numFmtId="0" fontId="6" fillId="0" borderId="0" xfId="0" applyFont="1" applyAlignment="1">
      <alignment vertical="top" wrapText="1"/>
    </xf>
    <xf numFmtId="0" fontId="6" fillId="0" borderId="28" xfId="0" applyFont="1" applyBorder="1" applyAlignment="1">
      <alignment vertical="top" wrapText="1"/>
    </xf>
    <xf numFmtId="0" fontId="6" fillId="0" borderId="39" xfId="0" applyFont="1" applyBorder="1" applyAlignment="1">
      <alignment vertical="top" wrapText="1"/>
    </xf>
    <xf numFmtId="0" fontId="6" fillId="0" borderId="40" xfId="0" applyFont="1" applyBorder="1" applyAlignment="1">
      <alignment vertical="top" wrapText="1"/>
    </xf>
    <xf numFmtId="0" fontId="6" fillId="0" borderId="27" xfId="0" applyFont="1" applyBorder="1" applyAlignment="1">
      <alignment vertical="top" wrapText="1"/>
    </xf>
    <xf numFmtId="0" fontId="6" fillId="0" borderId="29" xfId="0" applyFont="1" applyBorder="1" applyAlignment="1">
      <alignment vertical="top" wrapText="1"/>
    </xf>
  </cellXfs>
  <cellStyles count="1">
    <cellStyle name="Normal" xfId="0" builtinId="0"/>
  </cellStyles>
  <dxfs count="61">
    <dxf>
      <font>
        <b/>
        <i/>
      </font>
      <fill>
        <patternFill>
          <bgColor rgb="FFFFFF00"/>
        </patternFill>
      </fill>
    </dxf>
    <dxf>
      <font>
        <b/>
        <i/>
      </font>
      <fill>
        <patternFill>
          <bgColor rgb="FFFFFF00"/>
        </patternFill>
      </fill>
    </dxf>
    <dxf>
      <fill>
        <patternFill>
          <bgColor rgb="FFFFC0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val="0"/>
      </font>
    </dxf>
    <dxf>
      <font>
        <b/>
        <i val="0"/>
      </font>
    </dxf>
    <dxf>
      <font>
        <b/>
        <i val="0"/>
      </font>
    </dxf>
    <dxf>
      <font>
        <b/>
        <i/>
      </font>
      <fill>
        <patternFill>
          <bgColor rgb="FFFFFF00"/>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font>
      <fill>
        <patternFill>
          <bgColor rgb="FFFFFF00"/>
        </patternFill>
      </fill>
    </dxf>
    <dxf>
      <font>
        <b/>
        <i/>
      </font>
      <fill>
        <patternFill>
          <bgColor rgb="FFFFFF00"/>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font>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theme" Target="theme/theme1.xml"/><Relationship Id="rId39" Type="http://schemas.openxmlformats.org/officeDocument/2006/relationships/styles" Target="styles.xml"/><Relationship Id="rId40" Type="http://schemas.openxmlformats.org/officeDocument/2006/relationships/sharedStrings" Target="sharedStrings.xml"/><Relationship Id="rId41"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col"/>
        <c:grouping val="stacked"/>
        <c:varyColors val="0"/>
        <c:ser>
          <c:idx val="0"/>
          <c:order val="0"/>
          <c:tx>
            <c:strRef>
              <c:f>Hoja2!$A$3</c:f>
              <c:strCache>
                <c:ptCount val="1"/>
                <c:pt idx="0">
                  <c:v>Futuro morfológico</c:v>
                </c:pt>
              </c:strCache>
            </c:strRef>
          </c:tx>
          <c:invertIfNegative val="0"/>
          <c:dLbls>
            <c:txPr>
              <a:bodyPr/>
              <a:lstStyle/>
              <a:p>
                <a:pPr>
                  <a:defRPr lang="nl-BE"/>
                </a:pPr>
                <a:endParaRPr lang="en-US"/>
              </a:p>
            </c:txPr>
            <c:showLegendKey val="0"/>
            <c:showVal val="1"/>
            <c:showCatName val="0"/>
            <c:showSerName val="0"/>
            <c:showPercent val="0"/>
            <c:showBubbleSize val="0"/>
            <c:showLeaderLines val="0"/>
          </c:dLbls>
          <c:cat>
            <c:strRef>
              <c:f>Hoja2!$B$2:$D$2</c:f>
              <c:strCache>
                <c:ptCount val="3"/>
                <c:pt idx="0">
                  <c:v>I</c:v>
                </c:pt>
                <c:pt idx="1">
                  <c:v>II</c:v>
                </c:pt>
                <c:pt idx="2">
                  <c:v>III</c:v>
                </c:pt>
              </c:strCache>
            </c:strRef>
          </c:cat>
          <c:val>
            <c:numRef>
              <c:f>Hoja2!$B$3:$D$3</c:f>
              <c:numCache>
                <c:formatCode>General</c:formatCode>
                <c:ptCount val="3"/>
                <c:pt idx="0">
                  <c:v>12.0</c:v>
                </c:pt>
                <c:pt idx="1">
                  <c:v>7.0</c:v>
                </c:pt>
                <c:pt idx="2">
                  <c:v>15.0</c:v>
                </c:pt>
              </c:numCache>
            </c:numRef>
          </c:val>
        </c:ser>
        <c:ser>
          <c:idx val="1"/>
          <c:order val="1"/>
          <c:tx>
            <c:strRef>
              <c:f>Hoja2!$A$4</c:f>
              <c:strCache>
                <c:ptCount val="1"/>
                <c:pt idx="0">
                  <c:v>Futuro analítico</c:v>
                </c:pt>
              </c:strCache>
            </c:strRef>
          </c:tx>
          <c:invertIfNegative val="0"/>
          <c:dLbls>
            <c:txPr>
              <a:bodyPr/>
              <a:lstStyle/>
              <a:p>
                <a:pPr>
                  <a:defRPr lang="nl-BE"/>
                </a:pPr>
                <a:endParaRPr lang="en-US"/>
              </a:p>
            </c:txPr>
            <c:showLegendKey val="0"/>
            <c:showVal val="1"/>
            <c:showCatName val="0"/>
            <c:showSerName val="0"/>
            <c:showPercent val="0"/>
            <c:showBubbleSize val="0"/>
            <c:showLeaderLines val="0"/>
          </c:dLbls>
          <c:cat>
            <c:strRef>
              <c:f>Hoja2!$B$2:$D$2</c:f>
              <c:strCache>
                <c:ptCount val="3"/>
                <c:pt idx="0">
                  <c:v>I</c:v>
                </c:pt>
                <c:pt idx="1">
                  <c:v>II</c:v>
                </c:pt>
                <c:pt idx="2">
                  <c:v>III</c:v>
                </c:pt>
              </c:strCache>
            </c:strRef>
          </c:cat>
          <c:val>
            <c:numRef>
              <c:f>Hoja2!$B$4:$D$4</c:f>
              <c:numCache>
                <c:formatCode>General</c:formatCode>
                <c:ptCount val="3"/>
                <c:pt idx="0">
                  <c:v>98.0</c:v>
                </c:pt>
                <c:pt idx="1">
                  <c:v>111.0</c:v>
                </c:pt>
                <c:pt idx="2">
                  <c:v>123.0</c:v>
                </c:pt>
              </c:numCache>
            </c:numRef>
          </c:val>
        </c:ser>
        <c:ser>
          <c:idx val="2"/>
          <c:order val="2"/>
          <c:tx>
            <c:strRef>
              <c:f>Hoja2!$A$5</c:f>
              <c:strCache>
                <c:ptCount val="1"/>
                <c:pt idx="0">
                  <c:v>Presente de indicativo</c:v>
                </c:pt>
              </c:strCache>
            </c:strRef>
          </c:tx>
          <c:invertIfNegative val="0"/>
          <c:dLbls>
            <c:txPr>
              <a:bodyPr/>
              <a:lstStyle/>
              <a:p>
                <a:pPr>
                  <a:defRPr lang="nl-BE"/>
                </a:pPr>
                <a:endParaRPr lang="en-US"/>
              </a:p>
            </c:txPr>
            <c:showLegendKey val="0"/>
            <c:showVal val="1"/>
            <c:showCatName val="0"/>
            <c:showSerName val="0"/>
            <c:showPercent val="0"/>
            <c:showBubbleSize val="0"/>
            <c:showLeaderLines val="0"/>
          </c:dLbls>
          <c:cat>
            <c:strRef>
              <c:f>Hoja2!$B$2:$D$2</c:f>
              <c:strCache>
                <c:ptCount val="3"/>
                <c:pt idx="0">
                  <c:v>I</c:v>
                </c:pt>
                <c:pt idx="1">
                  <c:v>II</c:v>
                </c:pt>
                <c:pt idx="2">
                  <c:v>III</c:v>
                </c:pt>
              </c:strCache>
            </c:strRef>
          </c:cat>
          <c:val>
            <c:numRef>
              <c:f>Hoja2!$B$5:$D$5</c:f>
              <c:numCache>
                <c:formatCode>General</c:formatCode>
                <c:ptCount val="3"/>
                <c:pt idx="0">
                  <c:v>43.0</c:v>
                </c:pt>
                <c:pt idx="1">
                  <c:v>31.0</c:v>
                </c:pt>
                <c:pt idx="2">
                  <c:v>18.0</c:v>
                </c:pt>
              </c:numCache>
            </c:numRef>
          </c:val>
        </c:ser>
        <c:dLbls>
          <c:showLegendKey val="0"/>
          <c:showVal val="0"/>
          <c:showCatName val="0"/>
          <c:showSerName val="0"/>
          <c:showPercent val="0"/>
          <c:showBubbleSize val="0"/>
        </c:dLbls>
        <c:gapWidth val="150"/>
        <c:overlap val="100"/>
        <c:axId val="-2084149768"/>
        <c:axId val="-2084144376"/>
      </c:barChart>
      <c:catAx>
        <c:axId val="-2084149768"/>
        <c:scaling>
          <c:orientation val="minMax"/>
        </c:scaling>
        <c:delete val="0"/>
        <c:axPos val="b"/>
        <c:majorTickMark val="out"/>
        <c:minorTickMark val="none"/>
        <c:tickLblPos val="nextTo"/>
        <c:txPr>
          <a:bodyPr/>
          <a:lstStyle/>
          <a:p>
            <a:pPr>
              <a:defRPr lang="nl-BE"/>
            </a:pPr>
            <a:endParaRPr lang="en-US"/>
          </a:p>
        </c:txPr>
        <c:crossAx val="-2084144376"/>
        <c:crosses val="autoZero"/>
        <c:auto val="1"/>
        <c:lblAlgn val="ctr"/>
        <c:lblOffset val="100"/>
        <c:noMultiLvlLbl val="0"/>
      </c:catAx>
      <c:valAx>
        <c:axId val="-2084144376"/>
        <c:scaling>
          <c:orientation val="minMax"/>
        </c:scaling>
        <c:delete val="0"/>
        <c:axPos val="l"/>
        <c:majorGridlines/>
        <c:numFmt formatCode="General" sourceLinked="1"/>
        <c:majorTickMark val="out"/>
        <c:minorTickMark val="none"/>
        <c:tickLblPos val="nextTo"/>
        <c:txPr>
          <a:bodyPr/>
          <a:lstStyle/>
          <a:p>
            <a:pPr>
              <a:defRPr lang="nl-BE"/>
            </a:pPr>
            <a:endParaRPr lang="en-US"/>
          </a:p>
        </c:txPr>
        <c:crossAx val="-2084149768"/>
        <c:crosses val="autoZero"/>
        <c:crossBetween val="between"/>
      </c:valAx>
    </c:plotArea>
    <c:legend>
      <c:legendPos val="r"/>
      <c:layout/>
      <c:overlay val="0"/>
      <c:txPr>
        <a:bodyPr/>
        <a:lstStyle/>
        <a:p>
          <a:pPr>
            <a:defRPr lang="nl-BE"/>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0716793895094739"/>
          <c:y val="0.0606598133566637"/>
          <c:w val="0.690526902887139"/>
          <c:h val="0.798225065616798"/>
        </c:manualLayout>
      </c:layout>
      <c:barChart>
        <c:barDir val="col"/>
        <c:grouping val="stacked"/>
        <c:varyColors val="0"/>
        <c:ser>
          <c:idx val="0"/>
          <c:order val="0"/>
          <c:tx>
            <c:v>Futuro morfológico</c:v>
          </c:tx>
          <c:invertIfNegative val="0"/>
          <c:dLbls>
            <c:dLbl>
              <c:idx val="1"/>
              <c:delete val="1"/>
            </c:dLbl>
            <c:txPr>
              <a:bodyPr/>
              <a:lstStyle/>
              <a:p>
                <a:pPr>
                  <a:defRPr lang="nl-BE"/>
                </a:pPr>
                <a:endParaRPr lang="en-US"/>
              </a:p>
            </c:txPr>
            <c:showLegendKey val="0"/>
            <c:showVal val="1"/>
            <c:showCatName val="0"/>
            <c:showSerName val="0"/>
            <c:showPercent val="0"/>
            <c:showBubbleSize val="0"/>
            <c:showLeaderLines val="0"/>
          </c:dLbls>
          <c:cat>
            <c:strRef>
              <c:f>Hoja2!$A$13:$A$17</c:f>
              <c:strCache>
                <c:ptCount val="5"/>
                <c:pt idx="0">
                  <c:v>1a</c:v>
                </c:pt>
                <c:pt idx="1">
                  <c:v>2a</c:v>
                </c:pt>
                <c:pt idx="2">
                  <c:v>3a</c:v>
                </c:pt>
                <c:pt idx="3">
                  <c:v>4a</c:v>
                </c:pt>
                <c:pt idx="4">
                  <c:v>6a</c:v>
                </c:pt>
              </c:strCache>
            </c:strRef>
          </c:cat>
          <c:val>
            <c:numRef>
              <c:f>Hoja2!$B$13:$B$17</c:f>
              <c:numCache>
                <c:formatCode>General</c:formatCode>
                <c:ptCount val="5"/>
                <c:pt idx="0">
                  <c:v>0.711</c:v>
                </c:pt>
                <c:pt idx="1">
                  <c:v>0.0</c:v>
                </c:pt>
                <c:pt idx="2">
                  <c:v>0.497</c:v>
                </c:pt>
                <c:pt idx="3">
                  <c:v>0.383</c:v>
                </c:pt>
                <c:pt idx="4">
                  <c:v>0.17</c:v>
                </c:pt>
              </c:numCache>
            </c:numRef>
          </c:val>
        </c:ser>
        <c:ser>
          <c:idx val="1"/>
          <c:order val="1"/>
          <c:tx>
            <c:v>Futuro analítico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Hoja2!$A$13:$A$17</c:f>
              <c:strCache>
                <c:ptCount val="5"/>
                <c:pt idx="0">
                  <c:v>1a</c:v>
                </c:pt>
                <c:pt idx="1">
                  <c:v>2a</c:v>
                </c:pt>
                <c:pt idx="2">
                  <c:v>3a</c:v>
                </c:pt>
                <c:pt idx="3">
                  <c:v>4a</c:v>
                </c:pt>
                <c:pt idx="4">
                  <c:v>6a</c:v>
                </c:pt>
              </c:strCache>
            </c:strRef>
          </c:cat>
          <c:val>
            <c:numRef>
              <c:f>Hoja2!$C$13:$C$17</c:f>
              <c:numCache>
                <c:formatCode>General</c:formatCode>
                <c:ptCount val="5"/>
                <c:pt idx="0">
                  <c:v>0.465</c:v>
                </c:pt>
                <c:pt idx="1">
                  <c:v>0.527</c:v>
                </c:pt>
                <c:pt idx="2">
                  <c:v>0.445</c:v>
                </c:pt>
                <c:pt idx="3">
                  <c:v>0.475</c:v>
                </c:pt>
                <c:pt idx="4">
                  <c:v>0.748</c:v>
                </c:pt>
              </c:numCache>
            </c:numRef>
          </c:val>
        </c:ser>
        <c:ser>
          <c:idx val="2"/>
          <c:order val="2"/>
          <c:tx>
            <c:v>Presente de indicativo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Hoja2!$A$13:$A$17</c:f>
              <c:strCache>
                <c:ptCount val="5"/>
                <c:pt idx="0">
                  <c:v>1a</c:v>
                </c:pt>
                <c:pt idx="1">
                  <c:v>2a</c:v>
                </c:pt>
                <c:pt idx="2">
                  <c:v>3a</c:v>
                </c:pt>
                <c:pt idx="3">
                  <c:v>4a</c:v>
                </c:pt>
                <c:pt idx="4">
                  <c:v>6a</c:v>
                </c:pt>
              </c:strCache>
            </c:strRef>
          </c:cat>
          <c:val>
            <c:numRef>
              <c:f>Hoja2!$D$13:$D$17</c:f>
              <c:numCache>
                <c:formatCode>General</c:formatCode>
                <c:ptCount val="5"/>
                <c:pt idx="0">
                  <c:v>0.43</c:v>
                </c:pt>
                <c:pt idx="1">
                  <c:v>0.579</c:v>
                </c:pt>
                <c:pt idx="2">
                  <c:v>0.557</c:v>
                </c:pt>
                <c:pt idx="3">
                  <c:v>0.567</c:v>
                </c:pt>
                <c:pt idx="4">
                  <c:v>0.308</c:v>
                </c:pt>
              </c:numCache>
            </c:numRef>
          </c:val>
        </c:ser>
        <c:dLbls>
          <c:showLegendKey val="0"/>
          <c:showVal val="0"/>
          <c:showCatName val="0"/>
          <c:showSerName val="0"/>
          <c:showPercent val="0"/>
          <c:showBubbleSize val="0"/>
        </c:dLbls>
        <c:gapWidth val="150"/>
        <c:overlap val="100"/>
        <c:axId val="-2084211912"/>
        <c:axId val="-2086662152"/>
      </c:barChart>
      <c:catAx>
        <c:axId val="-2084211912"/>
        <c:scaling>
          <c:orientation val="minMax"/>
        </c:scaling>
        <c:delete val="0"/>
        <c:axPos val="b"/>
        <c:majorTickMark val="out"/>
        <c:minorTickMark val="none"/>
        <c:tickLblPos val="nextTo"/>
        <c:txPr>
          <a:bodyPr/>
          <a:lstStyle/>
          <a:p>
            <a:pPr>
              <a:defRPr lang="nl-BE"/>
            </a:pPr>
            <a:endParaRPr lang="en-US"/>
          </a:p>
        </c:txPr>
        <c:crossAx val="-2086662152"/>
        <c:crosses val="autoZero"/>
        <c:auto val="1"/>
        <c:lblAlgn val="ctr"/>
        <c:lblOffset val="100"/>
        <c:noMultiLvlLbl val="0"/>
      </c:catAx>
      <c:valAx>
        <c:axId val="-2086662152"/>
        <c:scaling>
          <c:orientation val="minMax"/>
        </c:scaling>
        <c:delete val="0"/>
        <c:axPos val="l"/>
        <c:majorGridlines/>
        <c:numFmt formatCode="General" sourceLinked="1"/>
        <c:majorTickMark val="out"/>
        <c:minorTickMark val="none"/>
        <c:tickLblPos val="nextTo"/>
        <c:txPr>
          <a:bodyPr/>
          <a:lstStyle/>
          <a:p>
            <a:pPr>
              <a:defRPr lang="nl-BE"/>
            </a:pPr>
            <a:endParaRPr lang="en-US"/>
          </a:p>
        </c:txPr>
        <c:crossAx val="-2084211912"/>
        <c:crosses val="autoZero"/>
        <c:crossBetween val="between"/>
      </c:valAx>
    </c:plotArea>
    <c:legend>
      <c:legendPos val="r"/>
      <c:layout>
        <c:manualLayout>
          <c:xMode val="edge"/>
          <c:yMode val="edge"/>
          <c:x val="0.754231464797122"/>
          <c:y val="0.337386993292506"/>
          <c:w val="0.245768535202878"/>
          <c:h val="0.250282538212135"/>
        </c:manualLayout>
      </c:layout>
      <c:overlay val="0"/>
      <c:txPr>
        <a:bodyPr/>
        <a:lstStyle/>
        <a:p>
          <a:pPr>
            <a:defRPr lang="nl-BE"/>
          </a:pPr>
          <a:endParaRPr lang="en-US"/>
        </a:p>
      </c:txPr>
    </c:legend>
    <c:plotVisOnly val="1"/>
    <c:dispBlanksAs val="gap"/>
    <c:showDLblsOverMax val="0"/>
  </c:chart>
  <c:printSettings>
    <c:headerFooter/>
    <c:pageMargins b="0.750000000000001" l="0.700000000000001" r="0.700000000000001"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col"/>
        <c:grouping val="stacked"/>
        <c:varyColors val="0"/>
        <c:ser>
          <c:idx val="0"/>
          <c:order val="0"/>
          <c:tx>
            <c:v>Futuro morfológico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Hoja2!$A$19:$A$21</c:f>
              <c:strCache>
                <c:ptCount val="3"/>
                <c:pt idx="0">
                  <c:v>Nm</c:v>
                </c:pt>
                <c:pt idx="1">
                  <c:v>Ma</c:v>
                </c:pt>
                <c:pt idx="2">
                  <c:v>Mc</c:v>
                </c:pt>
              </c:strCache>
            </c:strRef>
          </c:cat>
          <c:val>
            <c:numRef>
              <c:f>Hoja2!$B$19:$B$21</c:f>
              <c:numCache>
                <c:formatCode>General</c:formatCode>
                <c:ptCount val="3"/>
                <c:pt idx="0">
                  <c:v>0.416</c:v>
                </c:pt>
                <c:pt idx="1">
                  <c:v>0.879</c:v>
                </c:pt>
                <c:pt idx="2">
                  <c:v>0.311</c:v>
                </c:pt>
              </c:numCache>
            </c:numRef>
          </c:val>
        </c:ser>
        <c:ser>
          <c:idx val="1"/>
          <c:order val="1"/>
          <c:tx>
            <c:v>Futuro analítico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Hoja2!$A$19:$A$21</c:f>
              <c:strCache>
                <c:ptCount val="3"/>
                <c:pt idx="0">
                  <c:v>Nm</c:v>
                </c:pt>
                <c:pt idx="1">
                  <c:v>Ma</c:v>
                </c:pt>
                <c:pt idx="2">
                  <c:v>Mc</c:v>
                </c:pt>
              </c:strCache>
            </c:strRef>
          </c:cat>
          <c:val>
            <c:numRef>
              <c:f>Hoja2!$C$19:$C$21</c:f>
              <c:numCache>
                <c:formatCode>General</c:formatCode>
                <c:ptCount val="3"/>
                <c:pt idx="0">
                  <c:v>0.584</c:v>
                </c:pt>
                <c:pt idx="1">
                  <c:v>0.246</c:v>
                </c:pt>
                <c:pt idx="2">
                  <c:v>0.439</c:v>
                </c:pt>
              </c:numCache>
            </c:numRef>
          </c:val>
        </c:ser>
        <c:ser>
          <c:idx val="2"/>
          <c:order val="2"/>
          <c:tx>
            <c:v>Presente de indicativo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Hoja2!$A$19:$A$21</c:f>
              <c:strCache>
                <c:ptCount val="3"/>
                <c:pt idx="0">
                  <c:v>Nm</c:v>
                </c:pt>
                <c:pt idx="1">
                  <c:v>Ma</c:v>
                </c:pt>
                <c:pt idx="2">
                  <c:v>Mc</c:v>
                </c:pt>
              </c:strCache>
            </c:strRef>
          </c:cat>
          <c:val>
            <c:numRef>
              <c:f>Hoja2!$D$19:$D$21</c:f>
              <c:numCache>
                <c:formatCode>General</c:formatCode>
                <c:ptCount val="3"/>
                <c:pt idx="0">
                  <c:v>0.442</c:v>
                </c:pt>
                <c:pt idx="1">
                  <c:v>0.617</c:v>
                </c:pt>
                <c:pt idx="2">
                  <c:v>0.631</c:v>
                </c:pt>
              </c:numCache>
            </c:numRef>
          </c:val>
        </c:ser>
        <c:dLbls>
          <c:showLegendKey val="0"/>
          <c:showVal val="0"/>
          <c:showCatName val="0"/>
          <c:showSerName val="0"/>
          <c:showPercent val="0"/>
          <c:showBubbleSize val="0"/>
        </c:dLbls>
        <c:gapWidth val="150"/>
        <c:overlap val="100"/>
        <c:axId val="2120349576"/>
        <c:axId val="-2028540936"/>
      </c:barChart>
      <c:catAx>
        <c:axId val="2120349576"/>
        <c:scaling>
          <c:orientation val="minMax"/>
        </c:scaling>
        <c:delete val="0"/>
        <c:axPos val="b"/>
        <c:majorTickMark val="out"/>
        <c:minorTickMark val="none"/>
        <c:tickLblPos val="nextTo"/>
        <c:txPr>
          <a:bodyPr/>
          <a:lstStyle/>
          <a:p>
            <a:pPr>
              <a:defRPr lang="nl-BE"/>
            </a:pPr>
            <a:endParaRPr lang="en-US"/>
          </a:p>
        </c:txPr>
        <c:crossAx val="-2028540936"/>
        <c:crosses val="autoZero"/>
        <c:auto val="1"/>
        <c:lblAlgn val="ctr"/>
        <c:lblOffset val="100"/>
        <c:noMultiLvlLbl val="0"/>
      </c:catAx>
      <c:valAx>
        <c:axId val="-2028540936"/>
        <c:scaling>
          <c:orientation val="minMax"/>
        </c:scaling>
        <c:delete val="0"/>
        <c:axPos val="l"/>
        <c:majorGridlines/>
        <c:numFmt formatCode="General" sourceLinked="1"/>
        <c:majorTickMark val="out"/>
        <c:minorTickMark val="none"/>
        <c:tickLblPos val="nextTo"/>
        <c:txPr>
          <a:bodyPr/>
          <a:lstStyle/>
          <a:p>
            <a:pPr>
              <a:defRPr lang="nl-BE"/>
            </a:pPr>
            <a:endParaRPr lang="en-US"/>
          </a:p>
        </c:txPr>
        <c:crossAx val="2120349576"/>
        <c:crosses val="autoZero"/>
        <c:crossBetween val="between"/>
      </c:valAx>
    </c:plotArea>
    <c:legend>
      <c:legendPos val="r"/>
      <c:layout/>
      <c:overlay val="0"/>
      <c:txPr>
        <a:bodyPr/>
        <a:lstStyle/>
        <a:p>
          <a:pPr>
            <a:defRPr lang="nl-BE"/>
          </a:pPr>
          <a:endParaRPr lang="en-US"/>
        </a:p>
      </c:txPr>
    </c:legend>
    <c:plotVisOnly val="1"/>
    <c:dispBlanksAs val="gap"/>
    <c:showDLblsOverMax val="0"/>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col"/>
        <c:grouping val="stacked"/>
        <c:varyColors val="0"/>
        <c:ser>
          <c:idx val="0"/>
          <c:order val="0"/>
          <c:tx>
            <c:v>Futuro morfológico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Hoja2!$A$24:$A$25</c:f>
              <c:strCache>
                <c:ptCount val="2"/>
                <c:pt idx="0">
                  <c:v>Nm</c:v>
                </c:pt>
                <c:pt idx="1">
                  <c:v>Ma</c:v>
                </c:pt>
              </c:strCache>
            </c:strRef>
          </c:cat>
          <c:val>
            <c:numRef>
              <c:f>Hoja2!$B$24:$B$25</c:f>
              <c:numCache>
                <c:formatCode>General</c:formatCode>
                <c:ptCount val="2"/>
                <c:pt idx="0">
                  <c:v>0.427</c:v>
                </c:pt>
                <c:pt idx="1">
                  <c:v>0.715</c:v>
                </c:pt>
              </c:numCache>
            </c:numRef>
          </c:val>
        </c:ser>
        <c:ser>
          <c:idx val="1"/>
          <c:order val="1"/>
          <c:tx>
            <c:v>Futuro analítico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Hoja2!$A$24:$A$25</c:f>
              <c:strCache>
                <c:ptCount val="2"/>
                <c:pt idx="0">
                  <c:v>Nm</c:v>
                </c:pt>
                <c:pt idx="1">
                  <c:v>Ma</c:v>
                </c:pt>
              </c:strCache>
            </c:strRef>
          </c:cat>
          <c:val>
            <c:numRef>
              <c:f>Hoja2!$C$24:$C$25</c:f>
              <c:numCache>
                <c:formatCode>General</c:formatCode>
                <c:ptCount val="2"/>
                <c:pt idx="0">
                  <c:v>0.515</c:v>
                </c:pt>
                <c:pt idx="1">
                  <c:v>0.449</c:v>
                </c:pt>
              </c:numCache>
            </c:numRef>
          </c:val>
        </c:ser>
        <c:ser>
          <c:idx val="2"/>
          <c:order val="2"/>
          <c:tx>
            <c:v>Presente de indicativo</c:v>
          </c:tx>
          <c:invertIfNegative val="0"/>
          <c:dLbls>
            <c:txPr>
              <a:bodyPr/>
              <a:lstStyle/>
              <a:p>
                <a:pPr>
                  <a:defRPr lang="nl-BE"/>
                </a:pPr>
                <a:endParaRPr lang="en-US"/>
              </a:p>
            </c:txPr>
            <c:showLegendKey val="0"/>
            <c:showVal val="1"/>
            <c:showCatName val="0"/>
            <c:showSerName val="0"/>
            <c:showPercent val="0"/>
            <c:showBubbleSize val="0"/>
            <c:showLeaderLines val="0"/>
          </c:dLbls>
          <c:cat>
            <c:strRef>
              <c:f>Hoja2!$A$24:$A$25</c:f>
              <c:strCache>
                <c:ptCount val="2"/>
                <c:pt idx="0">
                  <c:v>Nm</c:v>
                </c:pt>
                <c:pt idx="1">
                  <c:v>Ma</c:v>
                </c:pt>
              </c:strCache>
            </c:strRef>
          </c:cat>
          <c:val>
            <c:numRef>
              <c:f>Hoja2!$D$24:$D$25</c:f>
              <c:numCache>
                <c:formatCode>General</c:formatCode>
                <c:ptCount val="2"/>
                <c:pt idx="0">
                  <c:v>0.512</c:v>
                </c:pt>
                <c:pt idx="1">
                  <c:v>0.461</c:v>
                </c:pt>
              </c:numCache>
            </c:numRef>
          </c:val>
        </c:ser>
        <c:dLbls>
          <c:showLegendKey val="0"/>
          <c:showVal val="0"/>
          <c:showCatName val="0"/>
          <c:showSerName val="0"/>
          <c:showPercent val="0"/>
          <c:showBubbleSize val="0"/>
        </c:dLbls>
        <c:gapWidth val="150"/>
        <c:overlap val="100"/>
        <c:axId val="-2028507512"/>
        <c:axId val="-2028504424"/>
      </c:barChart>
      <c:catAx>
        <c:axId val="-2028507512"/>
        <c:scaling>
          <c:orientation val="minMax"/>
        </c:scaling>
        <c:delete val="0"/>
        <c:axPos val="b"/>
        <c:majorTickMark val="out"/>
        <c:minorTickMark val="none"/>
        <c:tickLblPos val="nextTo"/>
        <c:txPr>
          <a:bodyPr/>
          <a:lstStyle/>
          <a:p>
            <a:pPr>
              <a:defRPr lang="nl-BE"/>
            </a:pPr>
            <a:endParaRPr lang="en-US"/>
          </a:p>
        </c:txPr>
        <c:crossAx val="-2028504424"/>
        <c:crosses val="autoZero"/>
        <c:auto val="1"/>
        <c:lblAlgn val="ctr"/>
        <c:lblOffset val="100"/>
        <c:noMultiLvlLbl val="0"/>
      </c:catAx>
      <c:valAx>
        <c:axId val="-2028504424"/>
        <c:scaling>
          <c:orientation val="minMax"/>
        </c:scaling>
        <c:delete val="0"/>
        <c:axPos val="l"/>
        <c:majorGridlines/>
        <c:numFmt formatCode="General" sourceLinked="1"/>
        <c:majorTickMark val="out"/>
        <c:minorTickMark val="none"/>
        <c:tickLblPos val="nextTo"/>
        <c:txPr>
          <a:bodyPr/>
          <a:lstStyle/>
          <a:p>
            <a:pPr>
              <a:defRPr lang="nl-BE"/>
            </a:pPr>
            <a:endParaRPr lang="en-US"/>
          </a:p>
        </c:txPr>
        <c:crossAx val="-2028507512"/>
        <c:crosses val="autoZero"/>
        <c:crossBetween val="between"/>
      </c:valAx>
    </c:plotArea>
    <c:legend>
      <c:legendPos val="r"/>
      <c:layout/>
      <c:overlay val="0"/>
      <c:txPr>
        <a:bodyPr/>
        <a:lstStyle/>
        <a:p>
          <a:pPr>
            <a:defRPr lang="nl-BE"/>
          </a:pPr>
          <a:endParaRPr lang="en-US"/>
        </a:p>
      </c:txPr>
    </c:legend>
    <c:plotVisOnly val="1"/>
    <c:dispBlanksAs val="gap"/>
    <c:showDLblsOverMax val="0"/>
  </c:chart>
  <c:printSettings>
    <c:headerFooter/>
    <c:pageMargins b="0.750000000000001" l="0.700000000000001" r="0.700000000000001"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285750</xdr:colOff>
      <xdr:row>0</xdr:row>
      <xdr:rowOff>0</xdr:rowOff>
    </xdr:from>
    <xdr:to>
      <xdr:col>13</xdr:col>
      <xdr:colOff>285750</xdr:colOff>
      <xdr:row>14</xdr:row>
      <xdr:rowOff>85725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666750</xdr:colOff>
      <xdr:row>1</xdr:row>
      <xdr:rowOff>123825</xdr:rowOff>
    </xdr:from>
    <xdr:to>
      <xdr:col>21</xdr:col>
      <xdr:colOff>57148</xdr:colOff>
      <xdr:row>16</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600075</xdr:colOff>
      <xdr:row>17</xdr:row>
      <xdr:rowOff>142875</xdr:rowOff>
    </xdr:from>
    <xdr:to>
      <xdr:col>19</xdr:col>
      <xdr:colOff>600075</xdr:colOff>
      <xdr:row>31</xdr:row>
      <xdr:rowOff>180975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704850</xdr:colOff>
      <xdr:row>17</xdr:row>
      <xdr:rowOff>142875</xdr:rowOff>
    </xdr:from>
    <xdr:to>
      <xdr:col>12</xdr:col>
      <xdr:colOff>704850</xdr:colOff>
      <xdr:row>32</xdr:row>
      <xdr:rowOff>9525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4"/>
  <sheetViews>
    <sheetView workbookViewId="0">
      <pane ySplit="1" topLeftCell="A3" activePane="bottomLeft" state="frozen"/>
      <selection pane="bottomLeft" activeCell="H1" sqref="H1"/>
    </sheetView>
  </sheetViews>
  <sheetFormatPr baseColWidth="10" defaultRowHeight="14" x14ac:dyDescent="0"/>
  <cols>
    <col min="1" max="1" width="19.83203125" customWidth="1"/>
    <col min="2" max="2" width="60.33203125" customWidth="1"/>
    <col min="3" max="3" width="11.6640625" bestFit="1" customWidth="1"/>
    <col min="4" max="4" width="11.5" bestFit="1" customWidth="1"/>
    <col min="5" max="5" width="8.1640625" bestFit="1" customWidth="1"/>
    <col min="6" max="6" width="15" bestFit="1" customWidth="1"/>
    <col min="7" max="7" width="9" bestFit="1" customWidth="1"/>
  </cols>
  <sheetData>
    <row r="1" spans="1:10" ht="14.25" customHeight="1">
      <c r="A1" s="3" t="s">
        <v>0</v>
      </c>
      <c r="B1" s="3" t="s">
        <v>1</v>
      </c>
      <c r="C1" s="3" t="s">
        <v>5</v>
      </c>
      <c r="D1" s="3" t="s">
        <v>2</v>
      </c>
      <c r="E1" s="3" t="s">
        <v>3</v>
      </c>
      <c r="F1" s="3" t="s">
        <v>4</v>
      </c>
      <c r="G1" s="3" t="s">
        <v>16</v>
      </c>
      <c r="H1" s="3" t="s">
        <v>567</v>
      </c>
      <c r="I1" s="3" t="s">
        <v>577</v>
      </c>
      <c r="J1" s="3" t="s">
        <v>569</v>
      </c>
    </row>
    <row r="2" spans="1:10" ht="60" hidden="1">
      <c r="A2" s="1" t="s">
        <v>21</v>
      </c>
      <c r="B2" s="4" t="s">
        <v>9</v>
      </c>
      <c r="C2" t="s">
        <v>6</v>
      </c>
      <c r="D2" t="s">
        <v>20</v>
      </c>
      <c r="E2">
        <v>3</v>
      </c>
      <c r="F2">
        <v>0</v>
      </c>
      <c r="G2">
        <v>0</v>
      </c>
      <c r="H2">
        <v>0</v>
      </c>
      <c r="I2">
        <v>0</v>
      </c>
      <c r="J2">
        <v>0</v>
      </c>
    </row>
    <row r="3" spans="1:10" ht="72">
      <c r="A3" s="1" t="s">
        <v>21</v>
      </c>
      <c r="B3" s="4" t="s">
        <v>10</v>
      </c>
      <c r="C3" t="s">
        <v>7</v>
      </c>
      <c r="D3" t="s">
        <v>8</v>
      </c>
      <c r="E3">
        <v>1</v>
      </c>
      <c r="F3">
        <v>0</v>
      </c>
      <c r="G3">
        <v>1</v>
      </c>
      <c r="H3">
        <v>1</v>
      </c>
      <c r="I3">
        <v>0</v>
      </c>
      <c r="J3">
        <v>0</v>
      </c>
    </row>
    <row r="4" spans="1:10" ht="45">
      <c r="A4" s="1" t="s">
        <v>21</v>
      </c>
      <c r="B4" s="4" t="s">
        <v>11</v>
      </c>
      <c r="C4" t="s">
        <v>6</v>
      </c>
      <c r="D4" t="s">
        <v>8</v>
      </c>
      <c r="E4">
        <v>2</v>
      </c>
      <c r="F4">
        <v>0</v>
      </c>
      <c r="G4">
        <v>1</v>
      </c>
      <c r="H4">
        <v>0</v>
      </c>
      <c r="I4">
        <v>1</v>
      </c>
      <c r="J4">
        <v>1</v>
      </c>
    </row>
    <row r="5" spans="1:10" ht="30">
      <c r="A5" s="1" t="s">
        <v>21</v>
      </c>
      <c r="B5" s="4" t="s">
        <v>15</v>
      </c>
      <c r="C5" t="s">
        <v>6</v>
      </c>
      <c r="D5" t="s">
        <v>8</v>
      </c>
      <c r="E5">
        <v>6</v>
      </c>
      <c r="F5">
        <v>1</v>
      </c>
      <c r="G5">
        <v>0</v>
      </c>
      <c r="H5">
        <v>1</v>
      </c>
      <c r="I5">
        <v>0</v>
      </c>
      <c r="J5">
        <v>0</v>
      </c>
    </row>
    <row r="6" spans="1:10" ht="60">
      <c r="A6" s="1" t="s">
        <v>21</v>
      </c>
      <c r="B6" s="4" t="s">
        <v>12</v>
      </c>
      <c r="C6" t="s">
        <v>6</v>
      </c>
      <c r="D6" t="s">
        <v>8</v>
      </c>
      <c r="E6">
        <v>2</v>
      </c>
      <c r="F6">
        <v>0</v>
      </c>
      <c r="G6">
        <v>1</v>
      </c>
      <c r="H6">
        <v>0</v>
      </c>
      <c r="I6">
        <v>1</v>
      </c>
      <c r="J6">
        <v>1</v>
      </c>
    </row>
    <row r="7" spans="1:10" ht="30">
      <c r="A7" s="1" t="s">
        <v>21</v>
      </c>
      <c r="B7" s="4" t="s">
        <v>13</v>
      </c>
      <c r="C7" t="s">
        <v>6</v>
      </c>
      <c r="D7" t="s">
        <v>8</v>
      </c>
      <c r="E7">
        <v>3</v>
      </c>
      <c r="F7">
        <v>0</v>
      </c>
      <c r="G7">
        <v>1</v>
      </c>
      <c r="H7">
        <v>0</v>
      </c>
      <c r="I7">
        <v>0</v>
      </c>
      <c r="J7">
        <v>1</v>
      </c>
    </row>
    <row r="8" spans="1:10" ht="45">
      <c r="A8" s="1" t="s">
        <v>21</v>
      </c>
      <c r="B8" s="4" t="s">
        <v>14</v>
      </c>
      <c r="C8" t="s">
        <v>6</v>
      </c>
      <c r="D8" t="s">
        <v>8</v>
      </c>
      <c r="E8">
        <v>3</v>
      </c>
      <c r="F8">
        <v>0</v>
      </c>
      <c r="G8">
        <v>1</v>
      </c>
      <c r="H8">
        <v>0</v>
      </c>
      <c r="I8">
        <v>0</v>
      </c>
      <c r="J8">
        <v>0</v>
      </c>
    </row>
    <row r="9" spans="1:10" ht="15">
      <c r="A9" s="1" t="s">
        <v>21</v>
      </c>
      <c r="B9" s="4" t="s">
        <v>17</v>
      </c>
      <c r="C9" t="s">
        <v>18</v>
      </c>
      <c r="D9" t="s">
        <v>8</v>
      </c>
      <c r="E9">
        <v>1</v>
      </c>
      <c r="F9">
        <v>0</v>
      </c>
      <c r="G9">
        <v>0</v>
      </c>
      <c r="H9">
        <v>0</v>
      </c>
      <c r="I9">
        <v>0</v>
      </c>
      <c r="J9">
        <v>1</v>
      </c>
    </row>
    <row r="10" spans="1:10" ht="15">
      <c r="A10" s="1" t="s">
        <v>21</v>
      </c>
      <c r="B10" s="4" t="s">
        <v>568</v>
      </c>
      <c r="C10" t="s">
        <v>7</v>
      </c>
      <c r="D10" t="s">
        <v>8</v>
      </c>
      <c r="E10">
        <v>1</v>
      </c>
      <c r="F10">
        <v>0</v>
      </c>
      <c r="G10">
        <v>0</v>
      </c>
      <c r="H10">
        <v>0</v>
      </c>
      <c r="I10">
        <v>0</v>
      </c>
      <c r="J10">
        <v>1</v>
      </c>
    </row>
    <row r="11" spans="1:10" ht="15">
      <c r="B11" s="2"/>
    </row>
    <row r="12" spans="1:10" ht="15">
      <c r="B12" s="2"/>
    </row>
    <row r="13" spans="1:10" ht="15">
      <c r="B13" s="2"/>
    </row>
    <row r="14" spans="1:10" ht="15">
      <c r="B14" s="2"/>
    </row>
  </sheetData>
  <autoFilter ref="A1:J10">
    <filterColumn colId="3">
      <filters>
        <filter val="temporal"/>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24"/>
  <sheetViews>
    <sheetView workbookViewId="0">
      <pane ySplit="1" topLeftCell="A2" activePane="bottomLeft" state="frozen"/>
      <selection pane="bottomLeft" activeCell="H23" sqref="H23"/>
    </sheetView>
  </sheetViews>
  <sheetFormatPr baseColWidth="10" defaultRowHeight="14" x14ac:dyDescent="0"/>
  <cols>
    <col min="1" max="1" width="13.33203125" style="8" bestFit="1" customWidth="1"/>
    <col min="2" max="2" width="60" style="8" customWidth="1"/>
    <col min="3"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150" hidden="1">
      <c r="A2" s="6" t="s">
        <v>210</v>
      </c>
      <c r="B2" s="7" t="s">
        <v>191</v>
      </c>
      <c r="C2" s="8" t="s">
        <v>6</v>
      </c>
      <c r="D2" s="8" t="s">
        <v>8</v>
      </c>
      <c r="E2" s="8">
        <v>1</v>
      </c>
      <c r="F2" s="8">
        <v>0</v>
      </c>
      <c r="G2" s="8">
        <v>0</v>
      </c>
      <c r="H2" s="8">
        <v>0</v>
      </c>
      <c r="I2" s="8">
        <v>0</v>
      </c>
      <c r="J2" s="8">
        <v>0</v>
      </c>
    </row>
    <row r="3" spans="1:10" ht="135" hidden="1">
      <c r="A3" s="6" t="s">
        <v>210</v>
      </c>
      <c r="B3" s="7" t="s">
        <v>192</v>
      </c>
      <c r="C3" s="8" t="s">
        <v>6</v>
      </c>
      <c r="D3" s="8" t="s">
        <v>20</v>
      </c>
      <c r="E3" s="8">
        <v>4</v>
      </c>
      <c r="F3" s="8">
        <v>0</v>
      </c>
      <c r="G3" s="8">
        <v>0</v>
      </c>
      <c r="H3" s="8">
        <v>0</v>
      </c>
      <c r="I3" s="8">
        <v>0</v>
      </c>
      <c r="J3" s="8">
        <v>0</v>
      </c>
    </row>
    <row r="4" spans="1:10" ht="120" hidden="1">
      <c r="A4" s="6" t="s">
        <v>210</v>
      </c>
      <c r="B4" s="7" t="s">
        <v>193</v>
      </c>
      <c r="C4" s="8" t="s">
        <v>6</v>
      </c>
      <c r="D4" s="8" t="s">
        <v>8</v>
      </c>
      <c r="E4" s="8">
        <v>1</v>
      </c>
      <c r="F4" s="8">
        <v>0</v>
      </c>
      <c r="G4" s="8">
        <v>0</v>
      </c>
      <c r="H4" s="8">
        <v>0</v>
      </c>
      <c r="I4" s="8">
        <v>0</v>
      </c>
      <c r="J4" s="8">
        <v>0</v>
      </c>
    </row>
    <row r="5" spans="1:10" ht="105" hidden="1">
      <c r="A5" s="6" t="s">
        <v>210</v>
      </c>
      <c r="B5" s="7" t="s">
        <v>194</v>
      </c>
      <c r="C5" s="8" t="s">
        <v>6</v>
      </c>
      <c r="D5" s="8" t="s">
        <v>8</v>
      </c>
      <c r="E5" s="8">
        <v>3</v>
      </c>
      <c r="F5" s="8">
        <v>0</v>
      </c>
      <c r="G5" s="8">
        <v>0</v>
      </c>
      <c r="H5" s="8">
        <v>0</v>
      </c>
      <c r="I5" s="8">
        <v>0</v>
      </c>
      <c r="J5" s="8">
        <v>0</v>
      </c>
    </row>
    <row r="6" spans="1:10" ht="105" hidden="1">
      <c r="A6" s="6" t="s">
        <v>210</v>
      </c>
      <c r="B6" s="7" t="s">
        <v>195</v>
      </c>
      <c r="C6" s="8" t="s">
        <v>6</v>
      </c>
      <c r="D6" s="8" t="s">
        <v>8</v>
      </c>
      <c r="E6" s="8">
        <v>3</v>
      </c>
      <c r="F6" s="8">
        <v>0</v>
      </c>
      <c r="G6" s="8">
        <v>0</v>
      </c>
      <c r="H6" s="8">
        <v>0</v>
      </c>
      <c r="I6" s="8">
        <v>0</v>
      </c>
      <c r="J6" s="8">
        <v>0</v>
      </c>
    </row>
    <row r="7" spans="1:10" ht="15" hidden="1">
      <c r="A7" s="6" t="s">
        <v>210</v>
      </c>
      <c r="B7" s="7" t="s">
        <v>196</v>
      </c>
      <c r="C7" s="8" t="s">
        <v>6</v>
      </c>
      <c r="D7" s="8" t="s">
        <v>54</v>
      </c>
      <c r="E7" s="8">
        <v>3</v>
      </c>
      <c r="F7" s="8">
        <v>0</v>
      </c>
      <c r="G7" s="8">
        <v>0</v>
      </c>
      <c r="H7" s="8">
        <v>0</v>
      </c>
      <c r="I7" s="8">
        <v>0</v>
      </c>
      <c r="J7" s="8">
        <v>0</v>
      </c>
    </row>
    <row r="8" spans="1:10" ht="90" hidden="1">
      <c r="A8" s="6" t="s">
        <v>210</v>
      </c>
      <c r="B8" s="7" t="s">
        <v>197</v>
      </c>
      <c r="C8" s="8" t="s">
        <v>6</v>
      </c>
      <c r="D8" s="8" t="s">
        <v>20</v>
      </c>
      <c r="E8" s="8">
        <v>4</v>
      </c>
      <c r="F8" s="8">
        <v>0</v>
      </c>
      <c r="G8" s="8">
        <v>0</v>
      </c>
      <c r="H8" s="8">
        <v>0</v>
      </c>
      <c r="I8" s="8">
        <v>0</v>
      </c>
      <c r="J8" s="8">
        <v>0</v>
      </c>
    </row>
    <row r="9" spans="1:10" ht="135" hidden="1">
      <c r="A9" s="6" t="s">
        <v>210</v>
      </c>
      <c r="B9" s="7" t="s">
        <v>198</v>
      </c>
      <c r="C9" s="8" t="s">
        <v>7</v>
      </c>
      <c r="D9" s="8" t="s">
        <v>54</v>
      </c>
      <c r="E9" s="8">
        <v>3</v>
      </c>
      <c r="F9" s="8">
        <v>0</v>
      </c>
      <c r="G9" s="8">
        <v>0</v>
      </c>
      <c r="H9" s="8">
        <v>0</v>
      </c>
      <c r="I9" s="8">
        <v>0</v>
      </c>
      <c r="J9" s="8">
        <v>0</v>
      </c>
    </row>
    <row r="10" spans="1:10" ht="60" hidden="1">
      <c r="A10" s="6" t="s">
        <v>210</v>
      </c>
      <c r="B10" s="7" t="s">
        <v>199</v>
      </c>
      <c r="C10" s="8" t="s">
        <v>18</v>
      </c>
      <c r="D10" s="8" t="s">
        <v>8</v>
      </c>
      <c r="E10" s="8">
        <v>2</v>
      </c>
      <c r="F10" s="8">
        <v>0</v>
      </c>
      <c r="G10" s="8">
        <v>0</v>
      </c>
      <c r="H10" s="8">
        <v>0</v>
      </c>
      <c r="I10" s="8">
        <v>0</v>
      </c>
      <c r="J10" s="8">
        <v>1</v>
      </c>
    </row>
    <row r="11" spans="1:10" ht="60" hidden="1">
      <c r="A11" s="6" t="s">
        <v>210</v>
      </c>
      <c r="B11" s="7" t="s">
        <v>200</v>
      </c>
      <c r="C11" s="8" t="s">
        <v>6</v>
      </c>
      <c r="D11" s="8" t="s">
        <v>8</v>
      </c>
      <c r="E11" s="8">
        <v>3</v>
      </c>
      <c r="F11" s="8">
        <v>0</v>
      </c>
      <c r="G11" s="8">
        <v>1</v>
      </c>
      <c r="H11" s="8">
        <v>0</v>
      </c>
      <c r="I11" s="8">
        <v>1</v>
      </c>
      <c r="J11" s="8">
        <v>0</v>
      </c>
    </row>
    <row r="12" spans="1:10" ht="90" hidden="1">
      <c r="A12" s="6" t="s">
        <v>210</v>
      </c>
      <c r="B12" s="7" t="s">
        <v>201</v>
      </c>
      <c r="C12" s="8" t="s">
        <v>6</v>
      </c>
      <c r="D12" s="8" t="s">
        <v>20</v>
      </c>
      <c r="E12" s="8">
        <v>4</v>
      </c>
      <c r="F12" s="8">
        <v>0</v>
      </c>
      <c r="G12" s="8">
        <v>0</v>
      </c>
      <c r="H12" s="8">
        <v>0</v>
      </c>
      <c r="I12" s="8">
        <v>0</v>
      </c>
      <c r="J12" s="8">
        <v>0</v>
      </c>
    </row>
    <row r="13" spans="1:10" ht="105" hidden="1">
      <c r="A13" s="6" t="s">
        <v>210</v>
      </c>
      <c r="B13" s="7" t="s">
        <v>202</v>
      </c>
      <c r="C13" s="8" t="s">
        <v>6</v>
      </c>
      <c r="D13" s="8" t="s">
        <v>8</v>
      </c>
      <c r="E13" s="8">
        <v>2</v>
      </c>
      <c r="F13" s="8">
        <v>0</v>
      </c>
      <c r="G13" s="8">
        <v>0</v>
      </c>
      <c r="H13" s="8">
        <v>0</v>
      </c>
      <c r="I13" s="8">
        <v>0</v>
      </c>
      <c r="J13" s="8">
        <v>0</v>
      </c>
    </row>
    <row r="14" spans="1:10" ht="105" hidden="1">
      <c r="A14" s="6" t="s">
        <v>210</v>
      </c>
      <c r="B14" s="7" t="s">
        <v>203</v>
      </c>
      <c r="C14" s="8" t="s">
        <v>6</v>
      </c>
      <c r="D14" s="8" t="s">
        <v>8</v>
      </c>
      <c r="E14" s="8">
        <v>2</v>
      </c>
      <c r="F14" s="8">
        <v>0</v>
      </c>
      <c r="G14" s="8">
        <v>0</v>
      </c>
      <c r="H14" s="8">
        <v>0</v>
      </c>
      <c r="I14" s="8">
        <v>0</v>
      </c>
      <c r="J14" s="8">
        <v>0</v>
      </c>
    </row>
    <row r="15" spans="1:10" ht="135" hidden="1">
      <c r="A15" s="6" t="s">
        <v>210</v>
      </c>
      <c r="B15" s="7" t="s">
        <v>204</v>
      </c>
      <c r="C15" s="8" t="s">
        <v>6</v>
      </c>
      <c r="D15" s="8" t="s">
        <v>8</v>
      </c>
      <c r="E15" s="8">
        <v>2</v>
      </c>
      <c r="F15" s="8">
        <v>0</v>
      </c>
      <c r="G15" s="8">
        <v>0</v>
      </c>
      <c r="H15" s="8">
        <v>0</v>
      </c>
      <c r="I15" s="8">
        <v>0</v>
      </c>
      <c r="J15" s="8">
        <v>0</v>
      </c>
    </row>
    <row r="16" spans="1:10" ht="135" hidden="1">
      <c r="A16" s="6" t="s">
        <v>210</v>
      </c>
      <c r="B16" s="7" t="s">
        <v>205</v>
      </c>
      <c r="C16" s="8" t="s">
        <v>6</v>
      </c>
      <c r="D16" s="8" t="s">
        <v>8</v>
      </c>
      <c r="E16" s="8">
        <v>6</v>
      </c>
      <c r="F16" s="8">
        <v>0</v>
      </c>
      <c r="G16" s="8">
        <v>0</v>
      </c>
      <c r="H16" s="8">
        <v>0</v>
      </c>
      <c r="I16" s="8">
        <v>0</v>
      </c>
      <c r="J16" s="8">
        <v>0</v>
      </c>
    </row>
    <row r="17" spans="1:10" ht="135" hidden="1">
      <c r="A17" s="6" t="s">
        <v>210</v>
      </c>
      <c r="B17" s="7" t="s">
        <v>206</v>
      </c>
      <c r="C17" s="8" t="s">
        <v>6</v>
      </c>
      <c r="D17" s="8" t="s">
        <v>8</v>
      </c>
      <c r="E17" s="8">
        <v>6</v>
      </c>
      <c r="F17" s="8">
        <v>0</v>
      </c>
      <c r="G17" s="8">
        <v>0</v>
      </c>
      <c r="H17" s="8">
        <v>0</v>
      </c>
      <c r="I17" s="8">
        <v>0</v>
      </c>
      <c r="J17" s="8">
        <v>0</v>
      </c>
    </row>
    <row r="18" spans="1:10" ht="135">
      <c r="A18" s="6" t="s">
        <v>210</v>
      </c>
      <c r="B18" s="7" t="s">
        <v>207</v>
      </c>
      <c r="C18" s="8" t="s">
        <v>6</v>
      </c>
      <c r="D18" s="8" t="s">
        <v>8</v>
      </c>
      <c r="E18" s="8">
        <v>2</v>
      </c>
      <c r="F18" s="8">
        <v>1</v>
      </c>
      <c r="G18" s="8">
        <v>0</v>
      </c>
      <c r="H18" s="8">
        <v>0</v>
      </c>
      <c r="I18" s="8">
        <v>0</v>
      </c>
      <c r="J18" s="8">
        <v>0</v>
      </c>
    </row>
    <row r="19" spans="1:10" ht="45" hidden="1">
      <c r="A19" s="6" t="s">
        <v>210</v>
      </c>
      <c r="B19" s="7" t="s">
        <v>211</v>
      </c>
      <c r="C19" s="8" t="s">
        <v>6</v>
      </c>
      <c r="D19" s="8" t="s">
        <v>8</v>
      </c>
      <c r="E19" s="8">
        <v>1</v>
      </c>
      <c r="F19" s="8">
        <v>0</v>
      </c>
      <c r="G19" s="8">
        <v>0</v>
      </c>
      <c r="H19" s="8">
        <v>0</v>
      </c>
      <c r="I19" s="8">
        <v>0</v>
      </c>
      <c r="J19" s="8">
        <v>0</v>
      </c>
    </row>
    <row r="20" spans="1:10" ht="45" hidden="1">
      <c r="A20" s="6" t="s">
        <v>210</v>
      </c>
      <c r="B20" s="7" t="s">
        <v>212</v>
      </c>
      <c r="C20" s="8" t="s">
        <v>6</v>
      </c>
      <c r="D20" s="8" t="s">
        <v>8</v>
      </c>
      <c r="E20" s="8">
        <v>1</v>
      </c>
      <c r="F20" s="8">
        <v>0</v>
      </c>
      <c r="G20" s="8">
        <v>0</v>
      </c>
      <c r="H20" s="8">
        <v>0</v>
      </c>
      <c r="I20" s="8">
        <v>0</v>
      </c>
      <c r="J20" s="8">
        <v>0</v>
      </c>
    </row>
    <row r="21" spans="1:10" ht="75" hidden="1">
      <c r="A21" s="6" t="s">
        <v>210</v>
      </c>
      <c r="B21" s="7" t="s">
        <v>208</v>
      </c>
      <c r="C21" s="8" t="s">
        <v>6</v>
      </c>
      <c r="D21" s="8" t="s">
        <v>8</v>
      </c>
      <c r="E21" s="8">
        <v>6</v>
      </c>
      <c r="F21" s="8">
        <v>0</v>
      </c>
      <c r="G21" s="8">
        <v>1</v>
      </c>
      <c r="H21" s="8">
        <v>0</v>
      </c>
      <c r="I21" s="8">
        <v>0</v>
      </c>
      <c r="J21" s="8">
        <v>1</v>
      </c>
    </row>
    <row r="22" spans="1:10" ht="75" hidden="1">
      <c r="A22" s="6" t="s">
        <v>210</v>
      </c>
      <c r="B22" s="7" t="s">
        <v>209</v>
      </c>
      <c r="C22" s="8" t="s">
        <v>6</v>
      </c>
      <c r="D22" s="8" t="s">
        <v>8</v>
      </c>
      <c r="E22" s="8">
        <v>1</v>
      </c>
      <c r="F22" s="8">
        <v>0</v>
      </c>
      <c r="G22" s="8">
        <v>0</v>
      </c>
      <c r="H22" s="8">
        <v>0</v>
      </c>
      <c r="I22" s="8">
        <v>0</v>
      </c>
      <c r="J22" s="8">
        <v>0</v>
      </c>
    </row>
    <row r="23" spans="1:10" ht="15">
      <c r="B23" s="7"/>
    </row>
    <row r="24" spans="1:10" ht="15">
      <c r="B24" s="6"/>
    </row>
  </sheetData>
  <autoFilter ref="A1:I22">
    <filterColumn colId="5">
      <filters>
        <filter val="1"/>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7"/>
  <sheetViews>
    <sheetView workbookViewId="0">
      <pane ySplit="1" topLeftCell="A6" activePane="bottomLeft" state="frozen"/>
      <selection pane="bottomLeft" activeCell="J10" sqref="J10"/>
    </sheetView>
  </sheetViews>
  <sheetFormatPr baseColWidth="10" defaultRowHeight="14" x14ac:dyDescent="0"/>
  <cols>
    <col min="1" max="1" width="14.6640625" customWidth="1"/>
    <col min="2" max="2" width="59.5" customWidth="1"/>
  </cols>
  <sheetData>
    <row r="1" spans="1:10" s="10" customFormat="1">
      <c r="A1" s="10" t="s">
        <v>0</v>
      </c>
      <c r="B1" s="10" t="s">
        <v>1</v>
      </c>
      <c r="C1" s="10" t="s">
        <v>5</v>
      </c>
      <c r="D1" s="10" t="s">
        <v>2</v>
      </c>
      <c r="E1" s="10" t="s">
        <v>3</v>
      </c>
      <c r="F1" s="10" t="s">
        <v>4</v>
      </c>
      <c r="G1" s="10" t="s">
        <v>16</v>
      </c>
      <c r="H1" s="3" t="s">
        <v>567</v>
      </c>
      <c r="I1" s="3" t="s">
        <v>577</v>
      </c>
      <c r="J1" s="3" t="s">
        <v>569</v>
      </c>
    </row>
    <row r="2" spans="1:10" ht="180" hidden="1">
      <c r="A2" s="7" t="s">
        <v>213</v>
      </c>
      <c r="B2" s="7" t="s">
        <v>214</v>
      </c>
      <c r="C2" s="7" t="s">
        <v>6</v>
      </c>
      <c r="D2" s="7" t="s">
        <v>8</v>
      </c>
      <c r="E2" s="7">
        <v>3</v>
      </c>
      <c r="F2" s="7">
        <v>0</v>
      </c>
      <c r="G2" s="7">
        <v>0</v>
      </c>
      <c r="H2" s="7">
        <v>0</v>
      </c>
      <c r="I2" s="7">
        <v>0</v>
      </c>
      <c r="J2" s="7">
        <v>0</v>
      </c>
    </row>
    <row r="3" spans="1:10" ht="90">
      <c r="A3" s="7" t="s">
        <v>213</v>
      </c>
      <c r="B3" s="7" t="s">
        <v>215</v>
      </c>
      <c r="C3" s="7" t="s">
        <v>6</v>
      </c>
      <c r="D3" s="7" t="s">
        <v>8</v>
      </c>
      <c r="E3" s="7">
        <v>3</v>
      </c>
      <c r="F3" s="7">
        <v>1</v>
      </c>
      <c r="G3" s="7">
        <v>0</v>
      </c>
      <c r="H3" s="7">
        <v>0</v>
      </c>
      <c r="I3" s="7">
        <v>1</v>
      </c>
      <c r="J3" s="7">
        <v>0</v>
      </c>
    </row>
    <row r="4" spans="1:10" ht="90">
      <c r="A4" s="7" t="s">
        <v>213</v>
      </c>
      <c r="B4" s="7" t="s">
        <v>216</v>
      </c>
      <c r="C4" s="7" t="s">
        <v>6</v>
      </c>
      <c r="D4" s="7" t="s">
        <v>8</v>
      </c>
      <c r="E4" s="7">
        <v>3</v>
      </c>
      <c r="F4" s="7">
        <v>1</v>
      </c>
      <c r="G4" s="7">
        <v>0</v>
      </c>
      <c r="H4" s="7">
        <v>0</v>
      </c>
      <c r="I4" s="7">
        <v>1</v>
      </c>
      <c r="J4" s="7">
        <v>0</v>
      </c>
    </row>
    <row r="5" spans="1:10" ht="90">
      <c r="A5" s="7" t="s">
        <v>213</v>
      </c>
      <c r="B5" s="7" t="s">
        <v>217</v>
      </c>
      <c r="C5" s="7" t="s">
        <v>6</v>
      </c>
      <c r="D5" s="7" t="s">
        <v>8</v>
      </c>
      <c r="E5" s="7">
        <v>3</v>
      </c>
      <c r="F5" s="7">
        <v>1</v>
      </c>
      <c r="G5" s="7">
        <v>0</v>
      </c>
      <c r="H5" s="7">
        <v>0</v>
      </c>
      <c r="I5" s="7">
        <v>1</v>
      </c>
      <c r="J5" s="7">
        <v>0</v>
      </c>
    </row>
    <row r="6" spans="1:10" ht="90">
      <c r="A6" s="7" t="s">
        <v>213</v>
      </c>
      <c r="B6" s="7" t="s">
        <v>218</v>
      </c>
      <c r="C6" s="7" t="s">
        <v>6</v>
      </c>
      <c r="D6" s="7" t="s">
        <v>8</v>
      </c>
      <c r="E6" s="7">
        <v>3</v>
      </c>
      <c r="F6" s="7">
        <v>1</v>
      </c>
      <c r="G6" s="7">
        <v>0</v>
      </c>
      <c r="H6" s="7">
        <v>0</v>
      </c>
      <c r="I6" s="7">
        <v>1</v>
      </c>
      <c r="J6" s="7">
        <v>0</v>
      </c>
    </row>
    <row r="7" spans="1:10" ht="165" hidden="1">
      <c r="A7" s="7" t="s">
        <v>213</v>
      </c>
      <c r="B7" s="7" t="s">
        <v>219</v>
      </c>
      <c r="C7" s="7" t="s">
        <v>6</v>
      </c>
      <c r="D7" s="7" t="s">
        <v>20</v>
      </c>
      <c r="E7" s="7">
        <v>4</v>
      </c>
      <c r="F7" s="7">
        <v>0</v>
      </c>
      <c r="G7" s="7">
        <v>0</v>
      </c>
      <c r="H7" s="7">
        <v>0</v>
      </c>
      <c r="I7" s="7">
        <v>0</v>
      </c>
      <c r="J7" s="7">
        <v>0</v>
      </c>
    </row>
    <row r="8" spans="1:10" ht="150" hidden="1">
      <c r="A8" s="7" t="s">
        <v>213</v>
      </c>
      <c r="B8" s="7" t="s">
        <v>220</v>
      </c>
      <c r="C8" s="7" t="s">
        <v>6</v>
      </c>
      <c r="D8" s="7" t="s">
        <v>8</v>
      </c>
      <c r="E8" s="7">
        <v>3</v>
      </c>
      <c r="F8" s="7">
        <v>0</v>
      </c>
      <c r="G8" s="7">
        <v>0</v>
      </c>
      <c r="H8" s="7">
        <v>0</v>
      </c>
      <c r="I8" s="7">
        <v>0</v>
      </c>
      <c r="J8" s="7">
        <v>0</v>
      </c>
    </row>
    <row r="9" spans="1:10" ht="135">
      <c r="A9" s="7" t="s">
        <v>213</v>
      </c>
      <c r="B9" s="7" t="s">
        <v>221</v>
      </c>
      <c r="C9" s="7" t="s">
        <v>6</v>
      </c>
      <c r="D9" s="7" t="s">
        <v>8</v>
      </c>
      <c r="E9" s="7">
        <v>2</v>
      </c>
      <c r="F9" s="7">
        <v>1</v>
      </c>
      <c r="G9" s="7">
        <v>0</v>
      </c>
      <c r="H9" s="7">
        <v>0</v>
      </c>
      <c r="I9" s="7">
        <v>0</v>
      </c>
      <c r="J9" s="7">
        <v>0</v>
      </c>
    </row>
    <row r="10" spans="1:10" ht="45">
      <c r="A10" s="7" t="s">
        <v>213</v>
      </c>
      <c r="B10" s="7" t="s">
        <v>222</v>
      </c>
      <c r="C10" s="7" t="s">
        <v>18</v>
      </c>
      <c r="D10" s="7" t="s">
        <v>8</v>
      </c>
      <c r="E10" s="7">
        <v>3</v>
      </c>
      <c r="F10" s="7">
        <v>1</v>
      </c>
      <c r="G10" s="7">
        <v>0</v>
      </c>
      <c r="H10" s="7">
        <v>0</v>
      </c>
      <c r="I10" s="7">
        <v>0</v>
      </c>
      <c r="J10" s="7">
        <v>0</v>
      </c>
    </row>
    <row r="11" spans="1:10" ht="45" hidden="1">
      <c r="A11" s="7" t="s">
        <v>213</v>
      </c>
      <c r="B11" s="7" t="s">
        <v>223</v>
      </c>
      <c r="C11" s="7" t="s">
        <v>18</v>
      </c>
      <c r="D11" s="7" t="s">
        <v>8</v>
      </c>
      <c r="E11" s="7">
        <v>3</v>
      </c>
      <c r="F11" s="7">
        <v>0</v>
      </c>
      <c r="G11" s="7">
        <v>0</v>
      </c>
      <c r="H11" s="7">
        <v>0</v>
      </c>
      <c r="I11" s="7">
        <v>0</v>
      </c>
      <c r="J11" s="7">
        <v>0</v>
      </c>
    </row>
    <row r="12" spans="1:10" ht="60" hidden="1">
      <c r="A12" s="7" t="s">
        <v>213</v>
      </c>
      <c r="B12" s="7" t="s">
        <v>224</v>
      </c>
      <c r="C12" s="7" t="s">
        <v>7</v>
      </c>
      <c r="D12" s="7" t="s">
        <v>8</v>
      </c>
      <c r="E12" s="7">
        <v>3</v>
      </c>
      <c r="F12" s="7">
        <v>0</v>
      </c>
      <c r="G12" s="7">
        <v>0</v>
      </c>
      <c r="H12" s="7">
        <v>1</v>
      </c>
      <c r="I12" s="7">
        <v>0</v>
      </c>
      <c r="J12" s="7">
        <v>0</v>
      </c>
    </row>
    <row r="13" spans="1:10" ht="60" hidden="1">
      <c r="A13" s="7" t="s">
        <v>213</v>
      </c>
      <c r="B13" s="7" t="s">
        <v>225</v>
      </c>
      <c r="C13" s="7" t="s">
        <v>6</v>
      </c>
      <c r="D13" s="7" t="s">
        <v>8</v>
      </c>
      <c r="E13" s="7">
        <v>6</v>
      </c>
      <c r="F13" s="7">
        <v>0</v>
      </c>
      <c r="G13" s="7">
        <v>0</v>
      </c>
      <c r="H13" s="7">
        <v>0</v>
      </c>
      <c r="I13" s="7">
        <v>0</v>
      </c>
      <c r="J13" s="7">
        <v>0</v>
      </c>
    </row>
    <row r="14" spans="1:10" ht="60" hidden="1">
      <c r="A14" s="7" t="s">
        <v>213</v>
      </c>
      <c r="B14" s="7" t="s">
        <v>226</v>
      </c>
      <c r="C14" s="7" t="s">
        <v>6</v>
      </c>
      <c r="D14" s="7" t="s">
        <v>8</v>
      </c>
      <c r="E14" s="7">
        <v>6</v>
      </c>
      <c r="F14" s="7">
        <v>0</v>
      </c>
      <c r="G14" s="7">
        <v>0</v>
      </c>
      <c r="H14" s="7">
        <v>0</v>
      </c>
      <c r="I14" s="7">
        <v>0</v>
      </c>
      <c r="J14" s="7">
        <v>0</v>
      </c>
    </row>
    <row r="15" spans="1:10" ht="60" hidden="1">
      <c r="A15" s="7" t="s">
        <v>213</v>
      </c>
      <c r="B15" s="7" t="s">
        <v>227</v>
      </c>
      <c r="C15" s="7" t="s">
        <v>6</v>
      </c>
      <c r="D15" s="7" t="s">
        <v>8</v>
      </c>
      <c r="E15" s="7">
        <v>6</v>
      </c>
      <c r="F15" s="7">
        <v>0</v>
      </c>
      <c r="G15" s="7">
        <v>0</v>
      </c>
      <c r="H15" s="7">
        <v>0</v>
      </c>
      <c r="I15" s="7">
        <v>0</v>
      </c>
      <c r="J15" s="7">
        <v>0</v>
      </c>
    </row>
    <row r="16" spans="1:10" ht="75" hidden="1">
      <c r="A16" s="7" t="s">
        <v>213</v>
      </c>
      <c r="B16" s="7" t="s">
        <v>228</v>
      </c>
      <c r="C16" s="7" t="s">
        <v>6</v>
      </c>
      <c r="D16" s="7" t="s">
        <v>8</v>
      </c>
      <c r="E16" s="7">
        <v>3</v>
      </c>
      <c r="F16" s="7">
        <v>0</v>
      </c>
      <c r="G16" s="7">
        <v>0</v>
      </c>
      <c r="H16" s="7">
        <v>1</v>
      </c>
      <c r="I16" s="7">
        <v>0</v>
      </c>
      <c r="J16" s="7">
        <v>0</v>
      </c>
    </row>
    <row r="17" spans="1:10" ht="30" hidden="1">
      <c r="A17" s="7" t="s">
        <v>213</v>
      </c>
      <c r="B17" s="7" t="s">
        <v>229</v>
      </c>
      <c r="C17" s="7" t="s">
        <v>6</v>
      </c>
      <c r="D17" s="7" t="s">
        <v>8</v>
      </c>
      <c r="E17" s="7">
        <v>3</v>
      </c>
      <c r="F17" s="7">
        <v>0</v>
      </c>
      <c r="G17" s="7">
        <v>0</v>
      </c>
      <c r="H17" s="7">
        <v>0</v>
      </c>
      <c r="I17" s="7">
        <v>1</v>
      </c>
      <c r="J17" s="7">
        <v>0</v>
      </c>
    </row>
  </sheetData>
  <autoFilter ref="A1:J17">
    <filterColumn colId="5">
      <filters>
        <filter val="1"/>
      </filters>
    </filterColumn>
  </autoFilter>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30"/>
  <sheetViews>
    <sheetView workbookViewId="0">
      <pane ySplit="1" topLeftCell="A23" activePane="bottomLeft" state="frozen"/>
      <selection pane="bottomLeft" activeCell="H26" sqref="H26"/>
    </sheetView>
  </sheetViews>
  <sheetFormatPr baseColWidth="10" defaultRowHeight="14" x14ac:dyDescent="0"/>
  <cols>
    <col min="2" max="2" width="48.5" customWidth="1"/>
  </cols>
  <sheetData>
    <row r="1" spans="1:10" s="10" customFormat="1">
      <c r="A1" s="10" t="s">
        <v>0</v>
      </c>
      <c r="B1" s="10" t="s">
        <v>1</v>
      </c>
      <c r="C1" s="10" t="s">
        <v>5</v>
      </c>
      <c r="D1" s="10" t="s">
        <v>2</v>
      </c>
      <c r="E1" s="10" t="s">
        <v>3</v>
      </c>
      <c r="F1" s="10" t="s">
        <v>4</v>
      </c>
      <c r="G1" s="10" t="s">
        <v>16</v>
      </c>
      <c r="H1" s="3" t="s">
        <v>567</v>
      </c>
      <c r="I1" s="3" t="s">
        <v>577</v>
      </c>
      <c r="J1" s="3" t="s">
        <v>569</v>
      </c>
    </row>
    <row r="2" spans="1:10" s="7" customFormat="1" ht="45" hidden="1">
      <c r="A2" s="7" t="s">
        <v>231</v>
      </c>
      <c r="B2" s="7" t="s">
        <v>232</v>
      </c>
      <c r="C2" s="7" t="s">
        <v>18</v>
      </c>
      <c r="D2" s="7" t="s">
        <v>8</v>
      </c>
      <c r="E2" s="7">
        <v>3</v>
      </c>
      <c r="F2" s="7">
        <v>0</v>
      </c>
      <c r="G2" s="7">
        <v>0</v>
      </c>
      <c r="H2" s="7">
        <v>0</v>
      </c>
      <c r="I2" s="7">
        <v>0</v>
      </c>
      <c r="J2" s="7">
        <v>0</v>
      </c>
    </row>
    <row r="3" spans="1:10" s="7" customFormat="1" ht="45" hidden="1">
      <c r="A3" s="7" t="s">
        <v>231</v>
      </c>
      <c r="B3" s="7" t="s">
        <v>233</v>
      </c>
      <c r="C3" s="7" t="s">
        <v>6</v>
      </c>
      <c r="D3" s="7" t="s">
        <v>8</v>
      </c>
      <c r="E3" s="7">
        <v>1</v>
      </c>
      <c r="F3" s="7">
        <v>0</v>
      </c>
      <c r="G3" s="7">
        <v>0</v>
      </c>
      <c r="H3" s="7">
        <v>0</v>
      </c>
      <c r="I3" s="7">
        <v>0</v>
      </c>
      <c r="J3" s="7">
        <v>0</v>
      </c>
    </row>
    <row r="4" spans="1:10" s="7" customFormat="1" ht="180" hidden="1">
      <c r="A4" s="7" t="s">
        <v>231</v>
      </c>
      <c r="B4" s="7" t="s">
        <v>234</v>
      </c>
      <c r="C4" s="7" t="s">
        <v>6</v>
      </c>
      <c r="D4" s="7" t="s">
        <v>8</v>
      </c>
      <c r="E4" s="7">
        <v>2</v>
      </c>
      <c r="F4" s="7">
        <v>0</v>
      </c>
      <c r="G4" s="7">
        <v>0</v>
      </c>
      <c r="H4" s="7">
        <v>0</v>
      </c>
      <c r="I4" s="7">
        <v>0</v>
      </c>
      <c r="J4" s="7">
        <v>0</v>
      </c>
    </row>
    <row r="5" spans="1:10" s="7" customFormat="1" ht="135" hidden="1">
      <c r="A5" s="7" t="s">
        <v>231</v>
      </c>
      <c r="B5" s="7" t="s">
        <v>235</v>
      </c>
      <c r="C5" s="7" t="s">
        <v>6</v>
      </c>
      <c r="D5" s="7" t="s">
        <v>8</v>
      </c>
      <c r="E5" s="7">
        <v>3</v>
      </c>
      <c r="F5" s="7">
        <v>0</v>
      </c>
      <c r="G5" s="7">
        <v>0</v>
      </c>
      <c r="H5" s="7">
        <v>0</v>
      </c>
      <c r="I5" s="7">
        <v>0</v>
      </c>
      <c r="J5" s="7">
        <v>0</v>
      </c>
    </row>
    <row r="6" spans="1:10" s="7" customFormat="1" ht="30" hidden="1">
      <c r="A6" s="7" t="s">
        <v>231</v>
      </c>
      <c r="B6" s="7" t="s">
        <v>236</v>
      </c>
      <c r="C6" s="7" t="s">
        <v>7</v>
      </c>
      <c r="D6" s="7" t="s">
        <v>230</v>
      </c>
      <c r="E6" s="7">
        <v>3</v>
      </c>
      <c r="F6" s="7">
        <v>0</v>
      </c>
      <c r="G6" s="7">
        <v>0</v>
      </c>
      <c r="H6" s="7">
        <v>0</v>
      </c>
      <c r="I6" s="7">
        <v>0</v>
      </c>
      <c r="J6" s="7">
        <v>0</v>
      </c>
    </row>
    <row r="7" spans="1:10" s="7" customFormat="1" ht="45">
      <c r="A7" s="7" t="s">
        <v>231</v>
      </c>
      <c r="B7" s="7" t="s">
        <v>237</v>
      </c>
      <c r="C7" s="7" t="s">
        <v>7</v>
      </c>
      <c r="D7" s="7" t="s">
        <v>8</v>
      </c>
      <c r="E7" s="7">
        <v>1</v>
      </c>
      <c r="F7" s="7">
        <v>1</v>
      </c>
      <c r="G7" s="7">
        <v>0</v>
      </c>
      <c r="H7" s="7">
        <v>0</v>
      </c>
      <c r="I7" s="7">
        <v>1</v>
      </c>
      <c r="J7" s="7">
        <v>0</v>
      </c>
    </row>
    <row r="8" spans="1:10" s="7" customFormat="1" ht="30" hidden="1">
      <c r="A8" s="7" t="s">
        <v>231</v>
      </c>
      <c r="B8" s="7" t="s">
        <v>238</v>
      </c>
      <c r="C8" s="7" t="s">
        <v>18</v>
      </c>
      <c r="D8" s="7" t="s">
        <v>8</v>
      </c>
      <c r="E8" s="7">
        <v>1</v>
      </c>
      <c r="F8" s="7">
        <v>0</v>
      </c>
      <c r="G8" s="7">
        <v>0</v>
      </c>
      <c r="H8" s="7">
        <v>0</v>
      </c>
      <c r="I8" s="7">
        <v>0</v>
      </c>
      <c r="J8" s="7">
        <v>1</v>
      </c>
    </row>
    <row r="9" spans="1:10" s="7" customFormat="1" ht="30">
      <c r="A9" s="7" t="s">
        <v>231</v>
      </c>
      <c r="B9" s="7" t="s">
        <v>239</v>
      </c>
      <c r="C9" s="7" t="s">
        <v>7</v>
      </c>
      <c r="D9" s="7" t="s">
        <v>8</v>
      </c>
      <c r="E9" s="7">
        <v>3</v>
      </c>
      <c r="F9" s="7">
        <v>1</v>
      </c>
      <c r="G9" s="7">
        <v>0</v>
      </c>
      <c r="H9" s="7">
        <v>1</v>
      </c>
      <c r="I9" s="7">
        <v>0</v>
      </c>
      <c r="J9" s="7">
        <v>0</v>
      </c>
    </row>
    <row r="10" spans="1:10" s="7" customFormat="1" ht="45" hidden="1">
      <c r="A10" s="7" t="s">
        <v>231</v>
      </c>
      <c r="B10" s="7" t="s">
        <v>240</v>
      </c>
      <c r="C10" s="7" t="s">
        <v>6</v>
      </c>
      <c r="D10" s="7" t="s">
        <v>8</v>
      </c>
      <c r="E10" s="7">
        <v>1</v>
      </c>
      <c r="F10" s="7">
        <v>0</v>
      </c>
      <c r="G10" s="7">
        <v>0</v>
      </c>
      <c r="H10" s="7">
        <v>0</v>
      </c>
      <c r="I10" s="7">
        <v>0</v>
      </c>
      <c r="J10" s="7">
        <v>0</v>
      </c>
    </row>
    <row r="11" spans="1:10" s="7" customFormat="1" ht="60" hidden="1">
      <c r="A11" s="7" t="s">
        <v>231</v>
      </c>
      <c r="B11" s="7" t="s">
        <v>241</v>
      </c>
      <c r="C11" s="7" t="s">
        <v>6</v>
      </c>
      <c r="D11" s="7" t="s">
        <v>8</v>
      </c>
      <c r="E11" s="7">
        <v>4</v>
      </c>
      <c r="F11" s="7">
        <v>0</v>
      </c>
      <c r="G11" s="7">
        <v>0</v>
      </c>
      <c r="H11" s="7">
        <v>0</v>
      </c>
      <c r="I11" s="7">
        <v>0</v>
      </c>
      <c r="J11" s="7">
        <v>0</v>
      </c>
    </row>
    <row r="12" spans="1:10" s="7" customFormat="1" ht="45" hidden="1">
      <c r="A12" s="7" t="s">
        <v>231</v>
      </c>
      <c r="B12" s="7" t="s">
        <v>242</v>
      </c>
      <c r="C12" s="7" t="s">
        <v>7</v>
      </c>
      <c r="D12" s="7" t="s">
        <v>8</v>
      </c>
      <c r="E12" s="7">
        <v>3</v>
      </c>
      <c r="F12" s="7">
        <v>0</v>
      </c>
      <c r="G12" s="7">
        <v>0</v>
      </c>
      <c r="H12" s="7">
        <v>0</v>
      </c>
      <c r="I12" s="7">
        <v>0</v>
      </c>
      <c r="J12" s="7">
        <v>1</v>
      </c>
    </row>
    <row r="13" spans="1:10" s="7" customFormat="1" ht="45" hidden="1">
      <c r="A13" s="7" t="s">
        <v>231</v>
      </c>
      <c r="B13" s="7" t="s">
        <v>243</v>
      </c>
      <c r="C13" s="7" t="s">
        <v>6</v>
      </c>
      <c r="D13" s="7" t="s">
        <v>8</v>
      </c>
      <c r="E13" s="7">
        <v>2</v>
      </c>
      <c r="F13" s="7">
        <v>0</v>
      </c>
      <c r="G13" s="7">
        <v>0</v>
      </c>
      <c r="H13" s="7">
        <v>0</v>
      </c>
      <c r="I13" s="7">
        <v>0</v>
      </c>
      <c r="J13" s="7">
        <v>1</v>
      </c>
    </row>
    <row r="14" spans="1:10" s="7" customFormat="1" ht="45" hidden="1">
      <c r="A14" s="7" t="s">
        <v>231</v>
      </c>
      <c r="B14" s="7" t="s">
        <v>244</v>
      </c>
      <c r="C14" s="7" t="s">
        <v>6</v>
      </c>
      <c r="D14" s="7" t="s">
        <v>8</v>
      </c>
      <c r="E14" s="7">
        <v>1</v>
      </c>
      <c r="F14" s="7">
        <v>0</v>
      </c>
      <c r="G14" s="7">
        <v>0</v>
      </c>
      <c r="H14" s="7">
        <v>0</v>
      </c>
      <c r="I14" s="7">
        <v>0</v>
      </c>
      <c r="J14" s="7">
        <v>0</v>
      </c>
    </row>
    <row r="15" spans="1:10" s="7" customFormat="1" ht="60">
      <c r="A15" s="7" t="s">
        <v>231</v>
      </c>
      <c r="B15" s="7" t="s">
        <v>245</v>
      </c>
      <c r="C15" s="7" t="s">
        <v>18</v>
      </c>
      <c r="D15" s="7" t="s">
        <v>8</v>
      </c>
      <c r="E15" s="7">
        <v>3</v>
      </c>
      <c r="F15" s="7">
        <v>1</v>
      </c>
      <c r="G15" s="7">
        <v>0</v>
      </c>
      <c r="H15" s="7">
        <v>2</v>
      </c>
      <c r="I15" s="7">
        <v>0</v>
      </c>
      <c r="J15" s="7">
        <v>0</v>
      </c>
    </row>
    <row r="16" spans="1:10" s="7" customFormat="1" ht="45" hidden="1">
      <c r="A16" s="7" t="s">
        <v>231</v>
      </c>
      <c r="B16" s="7" t="s">
        <v>246</v>
      </c>
      <c r="C16" s="7" t="s">
        <v>18</v>
      </c>
      <c r="D16" s="7" t="s">
        <v>8</v>
      </c>
      <c r="E16" s="7">
        <v>2</v>
      </c>
      <c r="F16" s="7">
        <v>0</v>
      </c>
      <c r="G16" s="7">
        <v>0</v>
      </c>
      <c r="H16" s="7">
        <v>2</v>
      </c>
      <c r="I16" s="7">
        <v>0</v>
      </c>
      <c r="J16" s="7">
        <v>0</v>
      </c>
    </row>
    <row r="17" spans="1:10" s="7" customFormat="1" ht="45" hidden="1">
      <c r="A17" s="7" t="s">
        <v>231</v>
      </c>
      <c r="B17" s="7" t="s">
        <v>247</v>
      </c>
      <c r="C17" s="7" t="s">
        <v>18</v>
      </c>
      <c r="D17" s="7" t="s">
        <v>8</v>
      </c>
      <c r="E17" s="7">
        <v>3</v>
      </c>
      <c r="F17" s="7">
        <v>0</v>
      </c>
      <c r="G17" s="7">
        <v>0</v>
      </c>
      <c r="H17" s="7">
        <v>2</v>
      </c>
      <c r="I17" s="7">
        <v>0</v>
      </c>
      <c r="J17" s="7">
        <v>0</v>
      </c>
    </row>
    <row r="18" spans="1:10" s="7" customFormat="1" ht="45" hidden="1">
      <c r="A18" s="7" t="s">
        <v>231</v>
      </c>
      <c r="B18" s="7" t="s">
        <v>248</v>
      </c>
      <c r="C18" s="7" t="s">
        <v>6</v>
      </c>
      <c r="D18" s="7" t="s">
        <v>8</v>
      </c>
      <c r="E18" s="7">
        <v>3</v>
      </c>
      <c r="F18" s="7">
        <v>0</v>
      </c>
      <c r="G18" s="7">
        <v>0</v>
      </c>
      <c r="H18" s="7">
        <v>0</v>
      </c>
      <c r="I18" s="7">
        <v>0</v>
      </c>
      <c r="J18" s="7">
        <v>0</v>
      </c>
    </row>
    <row r="19" spans="1:10" s="7" customFormat="1" ht="45" hidden="1">
      <c r="A19" s="7" t="s">
        <v>231</v>
      </c>
      <c r="B19" s="7" t="s">
        <v>249</v>
      </c>
      <c r="C19" s="7" t="s">
        <v>6</v>
      </c>
      <c r="D19" s="7" t="s">
        <v>8</v>
      </c>
      <c r="E19" s="7">
        <v>3</v>
      </c>
      <c r="F19" s="7">
        <v>0</v>
      </c>
      <c r="G19" s="7">
        <v>0</v>
      </c>
      <c r="H19" s="7">
        <v>0</v>
      </c>
      <c r="I19" s="7">
        <v>0</v>
      </c>
      <c r="J19" s="7">
        <v>0</v>
      </c>
    </row>
    <row r="20" spans="1:10" s="7" customFormat="1" ht="45" hidden="1">
      <c r="A20" s="7" t="s">
        <v>231</v>
      </c>
      <c r="B20" s="7" t="s">
        <v>250</v>
      </c>
      <c r="C20" s="7" t="s">
        <v>6</v>
      </c>
      <c r="D20" s="7" t="s">
        <v>8</v>
      </c>
      <c r="E20" s="7">
        <v>3</v>
      </c>
      <c r="F20" s="7">
        <v>0</v>
      </c>
      <c r="G20" s="7">
        <v>0</v>
      </c>
      <c r="H20" s="7">
        <v>0</v>
      </c>
      <c r="I20" s="7">
        <v>0</v>
      </c>
      <c r="J20" s="7">
        <v>0</v>
      </c>
    </row>
    <row r="21" spans="1:10" s="7" customFormat="1" ht="45" hidden="1">
      <c r="A21" s="7" t="s">
        <v>231</v>
      </c>
      <c r="B21" s="7" t="s">
        <v>251</v>
      </c>
      <c r="C21" s="7" t="s">
        <v>6</v>
      </c>
      <c r="D21" s="7" t="s">
        <v>8</v>
      </c>
      <c r="E21" s="7">
        <v>2</v>
      </c>
      <c r="F21" s="7">
        <v>0</v>
      </c>
      <c r="G21" s="7">
        <v>0</v>
      </c>
      <c r="H21" s="7">
        <v>0</v>
      </c>
      <c r="I21" s="7">
        <v>0</v>
      </c>
      <c r="J21" s="7">
        <v>0</v>
      </c>
    </row>
    <row r="22" spans="1:10" s="7" customFormat="1" ht="75">
      <c r="A22" s="7" t="s">
        <v>231</v>
      </c>
      <c r="B22" s="7" t="s">
        <v>255</v>
      </c>
      <c r="C22" s="7" t="s">
        <v>18</v>
      </c>
      <c r="D22" s="7" t="s">
        <v>8</v>
      </c>
      <c r="E22" s="7">
        <v>2</v>
      </c>
      <c r="F22" s="7">
        <v>1</v>
      </c>
      <c r="G22" s="7">
        <v>0</v>
      </c>
      <c r="H22" s="7">
        <v>0</v>
      </c>
      <c r="I22" s="7">
        <v>0</v>
      </c>
      <c r="J22" s="7">
        <v>0</v>
      </c>
    </row>
    <row r="23" spans="1:10" s="7" customFormat="1" ht="75">
      <c r="A23" s="7" t="s">
        <v>231</v>
      </c>
      <c r="B23" s="7" t="s">
        <v>256</v>
      </c>
      <c r="C23" s="7" t="s">
        <v>18</v>
      </c>
      <c r="D23" s="7" t="s">
        <v>8</v>
      </c>
      <c r="E23" s="7">
        <v>2</v>
      </c>
      <c r="F23" s="7">
        <v>1</v>
      </c>
      <c r="G23" s="7">
        <v>0</v>
      </c>
      <c r="H23" s="7">
        <v>0</v>
      </c>
      <c r="I23" s="7">
        <v>0</v>
      </c>
      <c r="J23" s="7">
        <v>0</v>
      </c>
    </row>
    <row r="24" spans="1:10" s="7" customFormat="1" ht="75">
      <c r="A24" s="7" t="s">
        <v>231</v>
      </c>
      <c r="B24" s="7" t="s">
        <v>257</v>
      </c>
      <c r="C24" s="7" t="s">
        <v>6</v>
      </c>
      <c r="D24" s="7" t="s">
        <v>8</v>
      </c>
      <c r="E24" s="7">
        <v>2</v>
      </c>
      <c r="F24" s="7">
        <v>1</v>
      </c>
      <c r="G24" s="7">
        <v>0</v>
      </c>
      <c r="H24" s="7">
        <v>0</v>
      </c>
      <c r="I24" s="7">
        <v>0</v>
      </c>
      <c r="J24" s="7">
        <v>0</v>
      </c>
    </row>
    <row r="25" spans="1:10" s="7" customFormat="1" ht="75">
      <c r="A25" s="7" t="s">
        <v>231</v>
      </c>
      <c r="B25" s="7" t="s">
        <v>258</v>
      </c>
      <c r="C25" s="7" t="s">
        <v>6</v>
      </c>
      <c r="D25" s="7" t="s">
        <v>8</v>
      </c>
      <c r="E25" s="7">
        <v>2</v>
      </c>
      <c r="F25" s="7">
        <v>1</v>
      </c>
      <c r="G25" s="7">
        <v>0</v>
      </c>
      <c r="H25" s="7">
        <v>0</v>
      </c>
      <c r="I25" s="7">
        <v>0</v>
      </c>
      <c r="J25" s="7">
        <v>0</v>
      </c>
    </row>
    <row r="26" spans="1:10" s="7" customFormat="1" ht="75">
      <c r="A26" s="7" t="s">
        <v>231</v>
      </c>
      <c r="B26" s="7" t="s">
        <v>259</v>
      </c>
      <c r="C26" s="7" t="s">
        <v>6</v>
      </c>
      <c r="D26" s="7" t="s">
        <v>8</v>
      </c>
      <c r="E26" s="7">
        <v>2</v>
      </c>
      <c r="F26" s="7">
        <v>1</v>
      </c>
      <c r="G26" s="7">
        <v>0</v>
      </c>
      <c r="H26" s="7">
        <v>0</v>
      </c>
      <c r="I26" s="7">
        <v>0</v>
      </c>
      <c r="J26" s="7">
        <v>0</v>
      </c>
    </row>
    <row r="27" spans="1:10" s="7" customFormat="1" ht="60" hidden="1">
      <c r="A27" s="7" t="s">
        <v>231</v>
      </c>
      <c r="B27" s="7" t="s">
        <v>252</v>
      </c>
      <c r="C27" s="7" t="s">
        <v>6</v>
      </c>
      <c r="D27" s="7" t="s">
        <v>8</v>
      </c>
      <c r="E27" s="7">
        <v>1</v>
      </c>
      <c r="F27" s="7">
        <v>0</v>
      </c>
      <c r="G27" s="7">
        <v>1</v>
      </c>
      <c r="H27" s="7">
        <v>0</v>
      </c>
      <c r="I27" s="7">
        <v>1</v>
      </c>
      <c r="J27" s="7">
        <v>0</v>
      </c>
    </row>
    <row r="28" spans="1:10" s="7" customFormat="1" ht="60" hidden="1">
      <c r="A28" s="7" t="s">
        <v>231</v>
      </c>
      <c r="B28" s="7" t="s">
        <v>253</v>
      </c>
      <c r="C28" s="7" t="s">
        <v>7</v>
      </c>
      <c r="D28" s="7" t="s">
        <v>19</v>
      </c>
      <c r="E28" s="7">
        <v>3</v>
      </c>
      <c r="F28" s="7">
        <v>0</v>
      </c>
      <c r="G28" s="7">
        <v>0</v>
      </c>
      <c r="H28" s="7">
        <v>0</v>
      </c>
      <c r="I28" s="7">
        <v>1</v>
      </c>
      <c r="J28" s="7">
        <v>0</v>
      </c>
    </row>
    <row r="29" spans="1:10" s="7" customFormat="1" ht="30" hidden="1">
      <c r="A29" s="7" t="s">
        <v>231</v>
      </c>
      <c r="B29" s="7" t="s">
        <v>254</v>
      </c>
      <c r="C29" s="7" t="s">
        <v>7</v>
      </c>
      <c r="D29" s="7" t="s">
        <v>19</v>
      </c>
      <c r="E29" s="7">
        <v>3</v>
      </c>
      <c r="F29" s="7">
        <v>0</v>
      </c>
      <c r="G29" s="7">
        <v>1</v>
      </c>
      <c r="H29" s="7">
        <v>0</v>
      </c>
      <c r="I29" s="7">
        <v>0</v>
      </c>
      <c r="J29" s="7">
        <v>0</v>
      </c>
    </row>
    <row r="30" spans="1:10" ht="15">
      <c r="B30" s="1"/>
    </row>
  </sheetData>
  <autoFilter ref="A1:J29">
    <filterColumn colId="5">
      <filters>
        <filter val="1"/>
      </filters>
    </filterColumn>
    <filterColumn colId="9">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pane ySplit="1" topLeftCell="A21" activePane="bottomLeft" state="frozen"/>
      <selection pane="bottomLeft" activeCell="F23" sqref="F23"/>
    </sheetView>
  </sheetViews>
  <sheetFormatPr baseColWidth="10" defaultRowHeight="14" x14ac:dyDescent="0"/>
  <cols>
    <col min="1" max="1" width="13.33203125" style="8" bestFit="1" customWidth="1"/>
    <col min="2" max="2" width="62.5" style="8" customWidth="1"/>
    <col min="3" max="3" width="9.6640625" style="8" bestFit="1" customWidth="1"/>
    <col min="4" max="4" width="9.33203125" style="8" bestFit="1" customWidth="1"/>
    <col min="5" max="5" width="10.83203125" style="8"/>
    <col min="6" max="6" width="17.33203125" style="8" bestFit="1" customWidth="1"/>
    <col min="7" max="7" width="11.33203125" style="8" bestFit="1" customWidth="1"/>
    <col min="8"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120">
      <c r="A2" s="7" t="s">
        <v>260</v>
      </c>
      <c r="B2" s="7" t="s">
        <v>545</v>
      </c>
      <c r="C2" s="8" t="s">
        <v>6</v>
      </c>
      <c r="D2" s="8" t="s">
        <v>8</v>
      </c>
      <c r="E2" s="8">
        <v>3</v>
      </c>
      <c r="F2" s="8">
        <v>1</v>
      </c>
      <c r="G2" s="8">
        <v>1</v>
      </c>
      <c r="H2" s="8">
        <v>0</v>
      </c>
      <c r="I2" s="8">
        <v>1</v>
      </c>
      <c r="J2" s="8">
        <v>0</v>
      </c>
    </row>
    <row r="3" spans="1:10" ht="120">
      <c r="A3" s="7" t="s">
        <v>260</v>
      </c>
      <c r="B3" s="7" t="s">
        <v>546</v>
      </c>
      <c r="C3" s="8" t="s">
        <v>7</v>
      </c>
      <c r="D3" s="8" t="s">
        <v>8</v>
      </c>
      <c r="E3" s="8">
        <v>3</v>
      </c>
      <c r="F3" s="8">
        <v>0</v>
      </c>
      <c r="G3" s="8">
        <v>0</v>
      </c>
      <c r="H3" s="8">
        <v>1</v>
      </c>
      <c r="I3" s="8">
        <v>1</v>
      </c>
      <c r="J3" s="8">
        <v>0</v>
      </c>
    </row>
    <row r="4" spans="1:10" ht="120">
      <c r="A4" s="7" t="s">
        <v>260</v>
      </c>
      <c r="B4" s="7" t="s">
        <v>547</v>
      </c>
      <c r="C4" s="8" t="s">
        <v>7</v>
      </c>
      <c r="D4" s="8" t="s">
        <v>8</v>
      </c>
      <c r="E4" s="8">
        <v>3</v>
      </c>
      <c r="F4" s="8">
        <v>0</v>
      </c>
      <c r="G4" s="8">
        <v>0</v>
      </c>
      <c r="H4" s="8">
        <v>1</v>
      </c>
      <c r="I4" s="8">
        <v>1</v>
      </c>
      <c r="J4" s="8">
        <v>0</v>
      </c>
    </row>
    <row r="5" spans="1:10" ht="135">
      <c r="A5" s="7" t="s">
        <v>260</v>
      </c>
      <c r="B5" s="7" t="s">
        <v>548</v>
      </c>
      <c r="C5" s="8" t="s">
        <v>7</v>
      </c>
      <c r="D5" s="8" t="s">
        <v>8</v>
      </c>
      <c r="E5" s="8">
        <v>3</v>
      </c>
      <c r="F5" s="8">
        <v>0</v>
      </c>
      <c r="G5" s="8">
        <v>0</v>
      </c>
      <c r="H5" s="8">
        <v>0</v>
      </c>
      <c r="I5" s="8">
        <v>1</v>
      </c>
      <c r="J5" s="8">
        <v>0</v>
      </c>
    </row>
    <row r="6" spans="1:10" ht="75">
      <c r="A6" s="7" t="s">
        <v>260</v>
      </c>
      <c r="B6" s="7" t="s">
        <v>549</v>
      </c>
      <c r="C6" s="8" t="s">
        <v>6</v>
      </c>
      <c r="D6" s="8" t="s">
        <v>8</v>
      </c>
      <c r="E6" s="8">
        <v>3</v>
      </c>
      <c r="F6" s="8">
        <v>0</v>
      </c>
      <c r="G6" s="8">
        <v>0</v>
      </c>
      <c r="H6" s="8">
        <v>0</v>
      </c>
      <c r="I6" s="8">
        <v>1</v>
      </c>
      <c r="J6" s="8">
        <v>0</v>
      </c>
    </row>
    <row r="7" spans="1:10" ht="75">
      <c r="A7" s="7" t="s">
        <v>260</v>
      </c>
      <c r="B7" s="7" t="s">
        <v>550</v>
      </c>
      <c r="C7" s="8" t="s">
        <v>6</v>
      </c>
      <c r="D7" s="8" t="s">
        <v>8</v>
      </c>
      <c r="E7" s="8">
        <v>3</v>
      </c>
      <c r="F7" s="8">
        <v>0</v>
      </c>
      <c r="G7" s="8">
        <v>0</v>
      </c>
      <c r="H7" s="8">
        <v>0</v>
      </c>
      <c r="I7" s="8">
        <v>0</v>
      </c>
      <c r="J7" s="8">
        <v>0</v>
      </c>
    </row>
    <row r="8" spans="1:10" ht="45">
      <c r="A8" s="7" t="s">
        <v>260</v>
      </c>
      <c r="B8" s="7" t="s">
        <v>551</v>
      </c>
      <c r="C8" s="8" t="s">
        <v>6</v>
      </c>
      <c r="D8" s="8" t="s">
        <v>8</v>
      </c>
      <c r="E8" s="8">
        <v>3</v>
      </c>
      <c r="F8" s="8">
        <v>0</v>
      </c>
      <c r="G8" s="8">
        <v>0</v>
      </c>
      <c r="H8" s="8">
        <v>0</v>
      </c>
      <c r="I8" s="8">
        <v>0</v>
      </c>
      <c r="J8" s="8">
        <v>0</v>
      </c>
    </row>
    <row r="9" spans="1:10" ht="30">
      <c r="A9" s="7" t="s">
        <v>260</v>
      </c>
      <c r="B9" s="7" t="s">
        <v>552</v>
      </c>
      <c r="C9" s="8" t="s">
        <v>6</v>
      </c>
      <c r="D9" s="8" t="s">
        <v>8</v>
      </c>
      <c r="E9" s="8">
        <v>6</v>
      </c>
      <c r="F9" s="8">
        <v>0</v>
      </c>
      <c r="H9" s="8">
        <v>0</v>
      </c>
      <c r="I9" s="8">
        <v>1</v>
      </c>
      <c r="J9" s="8">
        <v>0</v>
      </c>
    </row>
    <row r="10" spans="1:10" ht="150">
      <c r="A10" s="7" t="s">
        <v>260</v>
      </c>
      <c r="B10" s="7" t="s">
        <v>553</v>
      </c>
      <c r="C10" s="8" t="s">
        <v>6</v>
      </c>
      <c r="D10" s="8" t="s">
        <v>8</v>
      </c>
      <c r="E10" s="8">
        <v>6</v>
      </c>
      <c r="F10" s="8">
        <v>0</v>
      </c>
      <c r="G10" s="8">
        <v>0</v>
      </c>
      <c r="H10" s="8">
        <v>0</v>
      </c>
      <c r="I10" s="8">
        <v>1</v>
      </c>
      <c r="J10" s="8">
        <v>0</v>
      </c>
    </row>
    <row r="11" spans="1:10" ht="150">
      <c r="A11" s="7" t="s">
        <v>260</v>
      </c>
      <c r="B11" s="7" t="s">
        <v>554</v>
      </c>
      <c r="C11" s="8" t="s">
        <v>6</v>
      </c>
      <c r="D11" s="8" t="s">
        <v>8</v>
      </c>
      <c r="E11" s="8">
        <v>6</v>
      </c>
      <c r="F11" s="8">
        <v>0</v>
      </c>
      <c r="G11" s="8">
        <v>0</v>
      </c>
      <c r="H11" s="8">
        <v>0</v>
      </c>
      <c r="I11" s="8">
        <v>1</v>
      </c>
      <c r="J11" s="8">
        <v>0</v>
      </c>
    </row>
    <row r="12" spans="1:10" ht="150">
      <c r="A12" s="7" t="s">
        <v>260</v>
      </c>
      <c r="B12" s="7" t="s">
        <v>555</v>
      </c>
      <c r="C12" s="8" t="s">
        <v>6</v>
      </c>
      <c r="D12" s="8" t="s">
        <v>8</v>
      </c>
      <c r="E12" s="8">
        <v>6</v>
      </c>
      <c r="F12" s="8">
        <v>0</v>
      </c>
      <c r="G12" s="8">
        <v>0</v>
      </c>
      <c r="H12" s="8">
        <v>0</v>
      </c>
      <c r="I12" s="8">
        <v>1</v>
      </c>
      <c r="J12" s="8">
        <v>0</v>
      </c>
    </row>
    <row r="13" spans="1:10" ht="150">
      <c r="A13" s="7" t="s">
        <v>260</v>
      </c>
      <c r="B13" s="7" t="s">
        <v>556</v>
      </c>
      <c r="C13" s="8" t="s">
        <v>18</v>
      </c>
      <c r="D13" s="8" t="s">
        <v>8</v>
      </c>
      <c r="E13" s="8">
        <v>3</v>
      </c>
      <c r="F13" s="8">
        <v>0</v>
      </c>
      <c r="G13" s="8">
        <v>0</v>
      </c>
      <c r="H13" s="8">
        <v>0</v>
      </c>
      <c r="I13" s="8">
        <v>1</v>
      </c>
      <c r="J13" s="8">
        <v>0</v>
      </c>
    </row>
    <row r="14" spans="1:10" ht="150">
      <c r="A14" s="7" t="s">
        <v>260</v>
      </c>
      <c r="B14" s="7" t="s">
        <v>557</v>
      </c>
      <c r="C14" s="8" t="s">
        <v>7</v>
      </c>
      <c r="D14" s="8" t="s">
        <v>8</v>
      </c>
      <c r="E14" s="8">
        <v>4</v>
      </c>
      <c r="F14" s="8">
        <v>0</v>
      </c>
      <c r="G14" s="8">
        <v>0</v>
      </c>
      <c r="H14" s="8">
        <v>0</v>
      </c>
      <c r="I14" s="8">
        <v>1</v>
      </c>
      <c r="J14" s="8">
        <v>0</v>
      </c>
    </row>
    <row r="15" spans="1:10" ht="150">
      <c r="A15" s="7" t="s">
        <v>260</v>
      </c>
      <c r="B15" s="7" t="s">
        <v>558</v>
      </c>
      <c r="C15" s="8" t="s">
        <v>6</v>
      </c>
      <c r="D15" s="8" t="s">
        <v>8</v>
      </c>
      <c r="E15" s="8">
        <v>3</v>
      </c>
      <c r="F15" s="8">
        <v>1</v>
      </c>
      <c r="G15" s="8">
        <v>0</v>
      </c>
      <c r="H15" s="8">
        <v>0</v>
      </c>
      <c r="I15" s="8">
        <v>1</v>
      </c>
      <c r="J15" s="8">
        <v>0</v>
      </c>
    </row>
    <row r="16" spans="1:10" ht="75">
      <c r="A16" s="7" t="s">
        <v>260</v>
      </c>
      <c r="B16" s="7" t="s">
        <v>559</v>
      </c>
      <c r="C16" s="8" t="s">
        <v>6</v>
      </c>
      <c r="D16" s="8" t="s">
        <v>8</v>
      </c>
      <c r="E16" s="8">
        <v>3</v>
      </c>
      <c r="F16" s="8">
        <v>0</v>
      </c>
      <c r="G16" s="8">
        <v>0</v>
      </c>
      <c r="H16" s="8">
        <v>0</v>
      </c>
      <c r="I16" s="8">
        <v>1</v>
      </c>
      <c r="J16" s="8">
        <v>0</v>
      </c>
    </row>
    <row r="17" spans="1:10" ht="180">
      <c r="A17" s="7" t="s">
        <v>260</v>
      </c>
      <c r="B17" s="7" t="s">
        <v>560</v>
      </c>
      <c r="C17" s="8" t="s">
        <v>6</v>
      </c>
      <c r="D17" s="8" t="s">
        <v>8</v>
      </c>
      <c r="E17" s="8">
        <v>3</v>
      </c>
      <c r="F17" s="8">
        <v>0</v>
      </c>
      <c r="G17" s="8">
        <v>0</v>
      </c>
      <c r="H17" s="8">
        <v>0</v>
      </c>
      <c r="I17" s="8">
        <v>0</v>
      </c>
      <c r="J17" s="8">
        <v>1</v>
      </c>
    </row>
    <row r="18" spans="1:10" ht="30">
      <c r="A18" s="7" t="s">
        <v>260</v>
      </c>
      <c r="B18" s="7" t="s">
        <v>561</v>
      </c>
      <c r="C18" s="8" t="s">
        <v>6</v>
      </c>
      <c r="D18" s="8" t="s">
        <v>20</v>
      </c>
      <c r="E18" s="8">
        <v>4</v>
      </c>
      <c r="F18" s="8">
        <v>0</v>
      </c>
      <c r="G18" s="8">
        <v>0</v>
      </c>
      <c r="H18" s="8">
        <v>0</v>
      </c>
      <c r="I18" s="8">
        <v>0</v>
      </c>
      <c r="J18" s="8">
        <v>0</v>
      </c>
    </row>
    <row r="19" spans="1:10" ht="30">
      <c r="A19" s="7" t="s">
        <v>260</v>
      </c>
      <c r="B19" s="7" t="s">
        <v>562</v>
      </c>
      <c r="C19" s="8" t="s">
        <v>6</v>
      </c>
      <c r="D19" s="8" t="s">
        <v>8</v>
      </c>
      <c r="E19" s="8">
        <v>6</v>
      </c>
      <c r="F19" s="8">
        <v>0</v>
      </c>
      <c r="G19" s="8">
        <v>0</v>
      </c>
      <c r="H19" s="8">
        <v>0</v>
      </c>
      <c r="I19" s="8">
        <v>0</v>
      </c>
      <c r="J19" s="8">
        <v>1</v>
      </c>
    </row>
    <row r="20" spans="1:10" ht="150">
      <c r="A20" s="7" t="s">
        <v>260</v>
      </c>
      <c r="B20" s="7" t="s">
        <v>563</v>
      </c>
      <c r="C20" s="8" t="s">
        <v>6</v>
      </c>
      <c r="D20" s="8" t="s">
        <v>8</v>
      </c>
      <c r="E20" s="8">
        <v>3</v>
      </c>
      <c r="F20" s="8">
        <v>0</v>
      </c>
      <c r="G20" s="8">
        <v>0</v>
      </c>
      <c r="H20" s="8">
        <v>0</v>
      </c>
      <c r="I20" s="8">
        <v>0</v>
      </c>
      <c r="J20" s="8">
        <v>0</v>
      </c>
    </row>
    <row r="21" spans="1:10" ht="150">
      <c r="A21" s="7" t="s">
        <v>260</v>
      </c>
      <c r="B21" s="7" t="s">
        <v>564</v>
      </c>
      <c r="C21" s="8" t="s">
        <v>6</v>
      </c>
      <c r="D21" s="8" t="s">
        <v>8</v>
      </c>
      <c r="E21" s="8">
        <v>3</v>
      </c>
      <c r="F21" s="8">
        <v>0</v>
      </c>
      <c r="G21" s="8">
        <v>0</v>
      </c>
      <c r="H21" s="8">
        <v>0</v>
      </c>
      <c r="I21" s="8">
        <v>0</v>
      </c>
      <c r="J21" s="8">
        <v>0</v>
      </c>
    </row>
    <row r="22" spans="1:10" ht="45">
      <c r="A22" s="7" t="s">
        <v>260</v>
      </c>
      <c r="B22" s="7" t="s">
        <v>565</v>
      </c>
      <c r="C22" s="8" t="s">
        <v>6</v>
      </c>
      <c r="D22" s="8" t="s">
        <v>8</v>
      </c>
      <c r="E22" s="8">
        <v>1</v>
      </c>
      <c r="F22" s="8">
        <v>1</v>
      </c>
      <c r="G22" s="8">
        <v>0</v>
      </c>
      <c r="H22" s="8">
        <v>2</v>
      </c>
      <c r="I22" s="8">
        <v>0</v>
      </c>
      <c r="J22" s="8">
        <v>0</v>
      </c>
    </row>
    <row r="23" spans="1:10" ht="45">
      <c r="A23" s="7" t="s">
        <v>260</v>
      </c>
      <c r="B23" s="7" t="s">
        <v>566</v>
      </c>
      <c r="C23" s="8" t="s">
        <v>6</v>
      </c>
      <c r="D23" s="8" t="s">
        <v>8</v>
      </c>
      <c r="E23" s="8">
        <v>6</v>
      </c>
      <c r="F23" s="8">
        <v>1</v>
      </c>
      <c r="G23" s="8">
        <v>0</v>
      </c>
      <c r="H23" s="8">
        <v>2</v>
      </c>
      <c r="I23" s="8">
        <v>0</v>
      </c>
      <c r="J23" s="8">
        <v>0</v>
      </c>
    </row>
    <row r="24" spans="1:10" ht="15">
      <c r="B24" s="6"/>
    </row>
    <row r="25" spans="1:10" ht="15">
      <c r="B25" s="6"/>
    </row>
  </sheetData>
  <autoFilter ref="A1:J2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51"/>
  <sheetViews>
    <sheetView zoomScale="90" zoomScaleNormal="90" zoomScalePageLayoutView="90" workbookViewId="0">
      <pane ySplit="1" topLeftCell="A13" activePane="bottomLeft" state="frozen"/>
      <selection pane="bottomLeft" activeCell="H45" sqref="H45"/>
    </sheetView>
  </sheetViews>
  <sheetFormatPr baseColWidth="10" defaultRowHeight="14" x14ac:dyDescent="0"/>
  <cols>
    <col min="1" max="1" width="10.83203125" style="8"/>
    <col min="2" max="2" width="45.83203125" style="8" customWidth="1"/>
    <col min="3"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15" hidden="1">
      <c r="A2" s="6" t="s">
        <v>324</v>
      </c>
      <c r="B2" s="7" t="s">
        <v>280</v>
      </c>
      <c r="C2" s="8" t="s">
        <v>6</v>
      </c>
      <c r="D2" s="8" t="s">
        <v>8</v>
      </c>
      <c r="E2" s="8">
        <v>1</v>
      </c>
      <c r="F2" s="8">
        <v>0</v>
      </c>
      <c r="G2" s="8">
        <v>0</v>
      </c>
      <c r="H2" s="8">
        <v>0</v>
      </c>
      <c r="I2" s="8">
        <v>0</v>
      </c>
      <c r="J2" s="8">
        <v>0</v>
      </c>
    </row>
    <row r="3" spans="1:10" ht="105" hidden="1">
      <c r="A3" s="6" t="s">
        <v>324</v>
      </c>
      <c r="B3" s="7" t="s">
        <v>281</v>
      </c>
      <c r="C3" s="8" t="s">
        <v>6</v>
      </c>
      <c r="D3" s="8" t="s">
        <v>8</v>
      </c>
      <c r="E3" s="8">
        <v>1</v>
      </c>
      <c r="F3" s="8">
        <v>0</v>
      </c>
      <c r="G3" s="8">
        <v>0</v>
      </c>
      <c r="H3" s="8">
        <v>0</v>
      </c>
      <c r="I3" s="8">
        <v>0</v>
      </c>
      <c r="J3" s="8">
        <v>0</v>
      </c>
    </row>
    <row r="4" spans="1:10" ht="60" hidden="1">
      <c r="A4" s="6" t="s">
        <v>324</v>
      </c>
      <c r="B4" s="7" t="s">
        <v>282</v>
      </c>
      <c r="C4" s="8" t="s">
        <v>6</v>
      </c>
      <c r="D4" s="8" t="s">
        <v>8</v>
      </c>
      <c r="E4" s="8">
        <v>2</v>
      </c>
      <c r="F4" s="8">
        <v>0</v>
      </c>
      <c r="G4" s="8">
        <v>0</v>
      </c>
      <c r="H4" s="8">
        <v>0</v>
      </c>
      <c r="I4" s="8">
        <v>1</v>
      </c>
      <c r="J4" s="8">
        <v>0</v>
      </c>
    </row>
    <row r="5" spans="1:10" ht="120" hidden="1">
      <c r="A5" s="6" t="s">
        <v>324</v>
      </c>
      <c r="B5" s="7" t="s">
        <v>283</v>
      </c>
      <c r="C5" s="8" t="s">
        <v>6</v>
      </c>
      <c r="D5" s="8" t="s">
        <v>8</v>
      </c>
      <c r="E5" s="8">
        <v>4</v>
      </c>
      <c r="F5" s="8">
        <v>0</v>
      </c>
      <c r="G5" s="8">
        <v>0</v>
      </c>
      <c r="H5" s="8">
        <v>0</v>
      </c>
      <c r="I5" s="8">
        <v>1</v>
      </c>
      <c r="J5" s="8">
        <v>1</v>
      </c>
    </row>
    <row r="6" spans="1:10" ht="90" hidden="1">
      <c r="A6" s="6" t="s">
        <v>324</v>
      </c>
      <c r="B6" s="7" t="s">
        <v>284</v>
      </c>
      <c r="C6" s="8" t="s">
        <v>6</v>
      </c>
      <c r="D6" s="8" t="s">
        <v>8</v>
      </c>
      <c r="E6" s="8">
        <v>3</v>
      </c>
      <c r="F6" s="8">
        <v>0</v>
      </c>
      <c r="G6" s="8">
        <v>0</v>
      </c>
      <c r="H6" s="8">
        <v>0</v>
      </c>
      <c r="I6" s="8">
        <v>0</v>
      </c>
      <c r="J6" s="8">
        <v>0</v>
      </c>
    </row>
    <row r="7" spans="1:10" ht="45" hidden="1">
      <c r="A7" s="6" t="s">
        <v>324</v>
      </c>
      <c r="B7" s="7" t="s">
        <v>285</v>
      </c>
      <c r="C7" s="8" t="s">
        <v>6</v>
      </c>
      <c r="D7" s="8" t="s">
        <v>8</v>
      </c>
      <c r="E7" s="8">
        <v>3</v>
      </c>
      <c r="F7" s="8">
        <v>0</v>
      </c>
      <c r="G7" s="8">
        <v>0</v>
      </c>
      <c r="H7" s="8">
        <v>0</v>
      </c>
      <c r="I7" s="8">
        <v>0</v>
      </c>
      <c r="J7" s="8">
        <v>0</v>
      </c>
    </row>
    <row r="8" spans="1:10" ht="45" hidden="1">
      <c r="A8" s="6" t="s">
        <v>324</v>
      </c>
      <c r="B8" s="7" t="s">
        <v>325</v>
      </c>
      <c r="C8" s="8" t="s">
        <v>18</v>
      </c>
      <c r="D8" s="8" t="s">
        <v>8</v>
      </c>
      <c r="E8" s="8">
        <v>3</v>
      </c>
      <c r="F8" s="8">
        <v>0</v>
      </c>
      <c r="G8" s="8">
        <v>0</v>
      </c>
      <c r="H8" s="8">
        <v>0</v>
      </c>
      <c r="I8" s="8">
        <v>0</v>
      </c>
      <c r="J8" s="8">
        <v>0</v>
      </c>
    </row>
    <row r="9" spans="1:10" ht="45" hidden="1">
      <c r="A9" s="6" t="s">
        <v>324</v>
      </c>
      <c r="B9" s="7" t="s">
        <v>286</v>
      </c>
      <c r="C9" s="8" t="s">
        <v>6</v>
      </c>
      <c r="D9" s="8" t="s">
        <v>8</v>
      </c>
      <c r="E9" s="8">
        <v>2</v>
      </c>
      <c r="F9" s="8">
        <v>0</v>
      </c>
      <c r="G9" s="8">
        <v>0</v>
      </c>
      <c r="H9" s="8">
        <v>0</v>
      </c>
      <c r="I9" s="8">
        <v>1</v>
      </c>
      <c r="J9" s="8">
        <v>0</v>
      </c>
    </row>
    <row r="10" spans="1:10" ht="60" hidden="1">
      <c r="A10" s="6" t="s">
        <v>324</v>
      </c>
      <c r="B10" s="7" t="s">
        <v>287</v>
      </c>
      <c r="C10" s="8" t="s">
        <v>18</v>
      </c>
      <c r="D10" s="8" t="s">
        <v>8</v>
      </c>
      <c r="E10" s="8">
        <v>3</v>
      </c>
      <c r="F10" s="8">
        <v>0</v>
      </c>
      <c r="G10" s="8">
        <v>0</v>
      </c>
      <c r="H10" s="8">
        <v>0</v>
      </c>
      <c r="I10" s="8">
        <v>0</v>
      </c>
      <c r="J10" s="8">
        <v>1</v>
      </c>
    </row>
    <row r="11" spans="1:10" ht="60" hidden="1">
      <c r="A11" s="6" t="s">
        <v>324</v>
      </c>
      <c r="B11" s="7" t="s">
        <v>288</v>
      </c>
      <c r="C11" s="8" t="s">
        <v>18</v>
      </c>
      <c r="D11" s="8" t="s">
        <v>8</v>
      </c>
      <c r="E11" s="8">
        <v>3</v>
      </c>
      <c r="F11" s="8">
        <v>0</v>
      </c>
      <c r="G11" s="8">
        <v>1</v>
      </c>
      <c r="H11" s="8">
        <v>0</v>
      </c>
      <c r="I11" s="8">
        <v>0</v>
      </c>
      <c r="J11" s="8">
        <v>1</v>
      </c>
    </row>
    <row r="12" spans="1:10" ht="60">
      <c r="A12" s="6" t="s">
        <v>324</v>
      </c>
      <c r="B12" s="7" t="s">
        <v>289</v>
      </c>
      <c r="C12" s="8" t="s">
        <v>6</v>
      </c>
      <c r="D12" s="8" t="s">
        <v>8</v>
      </c>
      <c r="E12" s="8">
        <v>2</v>
      </c>
      <c r="F12" s="8">
        <v>1</v>
      </c>
      <c r="G12" s="8">
        <v>0</v>
      </c>
      <c r="H12" s="8">
        <v>1</v>
      </c>
      <c r="I12" s="8">
        <v>0</v>
      </c>
      <c r="J12" s="8">
        <v>0</v>
      </c>
    </row>
    <row r="13" spans="1:10" ht="30">
      <c r="A13" s="6" t="s">
        <v>324</v>
      </c>
      <c r="B13" s="7" t="s">
        <v>290</v>
      </c>
      <c r="C13" s="8" t="s">
        <v>6</v>
      </c>
      <c r="D13" s="8" t="s">
        <v>8</v>
      </c>
      <c r="E13" s="8">
        <v>3</v>
      </c>
      <c r="F13" s="8">
        <v>1</v>
      </c>
      <c r="G13" s="8">
        <v>0</v>
      </c>
      <c r="H13" s="8">
        <v>0</v>
      </c>
      <c r="I13" s="8">
        <v>1</v>
      </c>
      <c r="J13" s="8">
        <v>0</v>
      </c>
    </row>
    <row r="14" spans="1:10" ht="45">
      <c r="A14" s="6" t="s">
        <v>324</v>
      </c>
      <c r="B14" s="7" t="s">
        <v>291</v>
      </c>
      <c r="C14" s="8" t="s">
        <v>6</v>
      </c>
      <c r="D14" s="8" t="s">
        <v>8</v>
      </c>
      <c r="E14" s="8">
        <v>3</v>
      </c>
      <c r="F14" s="8">
        <v>1</v>
      </c>
      <c r="G14" s="8">
        <v>0</v>
      </c>
      <c r="H14" s="8">
        <v>0</v>
      </c>
      <c r="I14" s="8">
        <v>1</v>
      </c>
      <c r="J14" s="8">
        <v>0</v>
      </c>
    </row>
    <row r="15" spans="1:10" ht="30" hidden="1">
      <c r="A15" s="6" t="s">
        <v>324</v>
      </c>
      <c r="B15" s="7" t="s">
        <v>292</v>
      </c>
      <c r="C15" s="8" t="s">
        <v>7</v>
      </c>
      <c r="D15" s="8" t="s">
        <v>8</v>
      </c>
      <c r="E15" s="8">
        <v>3</v>
      </c>
      <c r="F15" s="8">
        <v>1</v>
      </c>
      <c r="G15" s="8">
        <v>0</v>
      </c>
      <c r="H15" s="8">
        <v>1</v>
      </c>
      <c r="I15" s="8">
        <v>1</v>
      </c>
      <c r="J15" s="8">
        <v>0</v>
      </c>
    </row>
    <row r="16" spans="1:10" ht="30">
      <c r="A16" s="6" t="s">
        <v>324</v>
      </c>
      <c r="B16" s="7" t="s">
        <v>293</v>
      </c>
      <c r="C16" s="8" t="s">
        <v>6</v>
      </c>
      <c r="D16" s="8" t="s">
        <v>8</v>
      </c>
      <c r="E16" s="8">
        <v>1</v>
      </c>
      <c r="F16" s="8">
        <v>1</v>
      </c>
      <c r="G16" s="8">
        <v>0</v>
      </c>
      <c r="H16" s="8">
        <v>2</v>
      </c>
      <c r="I16" s="8">
        <v>0</v>
      </c>
      <c r="J16" s="8">
        <v>0</v>
      </c>
    </row>
    <row r="17" spans="1:10" ht="45" hidden="1">
      <c r="A17" s="6" t="s">
        <v>324</v>
      </c>
      <c r="B17" s="7" t="s">
        <v>294</v>
      </c>
      <c r="C17" s="8" t="s">
        <v>7</v>
      </c>
      <c r="D17" s="8" t="s">
        <v>8</v>
      </c>
      <c r="E17" s="8">
        <v>3</v>
      </c>
      <c r="F17" s="8">
        <v>0</v>
      </c>
      <c r="G17" s="8">
        <v>0</v>
      </c>
      <c r="H17" s="8">
        <v>0</v>
      </c>
      <c r="I17" s="8">
        <v>0</v>
      </c>
      <c r="J17" s="8">
        <v>0</v>
      </c>
    </row>
    <row r="18" spans="1:10" ht="45" hidden="1">
      <c r="A18" s="6" t="s">
        <v>324</v>
      </c>
      <c r="B18" s="7" t="s">
        <v>295</v>
      </c>
      <c r="C18" s="8" t="s">
        <v>6</v>
      </c>
      <c r="D18" s="8" t="s">
        <v>8</v>
      </c>
      <c r="E18" s="8">
        <v>3</v>
      </c>
      <c r="F18" s="8">
        <v>0</v>
      </c>
      <c r="G18" s="8">
        <v>0</v>
      </c>
      <c r="H18" s="8">
        <v>0</v>
      </c>
      <c r="I18" s="8">
        <v>0</v>
      </c>
      <c r="J18" s="8">
        <v>0</v>
      </c>
    </row>
    <row r="19" spans="1:10" ht="75" hidden="1">
      <c r="A19" s="6" t="s">
        <v>324</v>
      </c>
      <c r="B19" s="7" t="s">
        <v>296</v>
      </c>
      <c r="C19" s="8" t="s">
        <v>7</v>
      </c>
      <c r="D19" s="8" t="s">
        <v>8</v>
      </c>
      <c r="E19" s="8">
        <v>3</v>
      </c>
      <c r="F19" s="8">
        <v>0</v>
      </c>
      <c r="G19" s="8">
        <v>0</v>
      </c>
      <c r="H19" s="8">
        <v>0</v>
      </c>
      <c r="I19" s="8">
        <v>0</v>
      </c>
      <c r="J19" s="8">
        <v>0</v>
      </c>
    </row>
    <row r="20" spans="1:10" ht="45" hidden="1">
      <c r="A20" s="6" t="s">
        <v>324</v>
      </c>
      <c r="B20" s="7" t="s">
        <v>297</v>
      </c>
      <c r="C20" s="8" t="s">
        <v>7</v>
      </c>
      <c r="D20" s="8" t="s">
        <v>8</v>
      </c>
      <c r="E20" s="8">
        <v>3</v>
      </c>
      <c r="F20" s="8">
        <v>1</v>
      </c>
      <c r="G20" s="8">
        <v>0</v>
      </c>
      <c r="H20" s="8">
        <v>1</v>
      </c>
      <c r="I20" s="8">
        <v>0</v>
      </c>
      <c r="J20" s="8">
        <v>0</v>
      </c>
    </row>
    <row r="21" spans="1:10" ht="135" hidden="1">
      <c r="A21" s="6" t="s">
        <v>324</v>
      </c>
      <c r="B21" s="7" t="s">
        <v>298</v>
      </c>
      <c r="C21" s="8" t="s">
        <v>7</v>
      </c>
      <c r="D21" s="8" t="s">
        <v>8</v>
      </c>
      <c r="E21" s="8">
        <v>1</v>
      </c>
      <c r="F21" s="8">
        <v>1</v>
      </c>
      <c r="G21" s="8">
        <v>0</v>
      </c>
      <c r="H21" s="8">
        <v>1</v>
      </c>
      <c r="I21" s="8">
        <v>0</v>
      </c>
      <c r="J21" s="8">
        <v>0</v>
      </c>
    </row>
    <row r="22" spans="1:10" ht="135" hidden="1">
      <c r="A22" s="6" t="s">
        <v>324</v>
      </c>
      <c r="B22" s="7" t="s">
        <v>299</v>
      </c>
      <c r="C22" s="8" t="s">
        <v>6</v>
      </c>
      <c r="D22" s="8" t="s">
        <v>8</v>
      </c>
      <c r="E22" s="8">
        <v>4</v>
      </c>
      <c r="F22" s="8">
        <v>0</v>
      </c>
      <c r="G22" s="8">
        <v>0</v>
      </c>
      <c r="H22" s="8">
        <v>0</v>
      </c>
      <c r="I22" s="8">
        <v>1</v>
      </c>
      <c r="J22" s="8">
        <v>0</v>
      </c>
    </row>
    <row r="23" spans="1:10" ht="90" hidden="1">
      <c r="A23" s="6" t="s">
        <v>324</v>
      </c>
      <c r="B23" s="7" t="s">
        <v>300</v>
      </c>
      <c r="C23" s="8" t="s">
        <v>6</v>
      </c>
      <c r="D23" s="8" t="s">
        <v>8</v>
      </c>
      <c r="E23" s="8">
        <v>2</v>
      </c>
      <c r="F23" s="8">
        <v>0</v>
      </c>
      <c r="G23" s="8">
        <v>0</v>
      </c>
      <c r="H23" s="8">
        <v>0</v>
      </c>
      <c r="I23" s="8">
        <v>1</v>
      </c>
      <c r="J23" s="8">
        <v>0</v>
      </c>
    </row>
    <row r="24" spans="1:10" ht="90" hidden="1">
      <c r="A24" s="6" t="s">
        <v>324</v>
      </c>
      <c r="B24" s="7" t="s">
        <v>301</v>
      </c>
      <c r="C24" s="8" t="s">
        <v>6</v>
      </c>
      <c r="D24" s="8" t="s">
        <v>8</v>
      </c>
      <c r="E24" s="8">
        <v>2</v>
      </c>
      <c r="F24" s="8">
        <v>0</v>
      </c>
      <c r="G24" s="8">
        <v>0</v>
      </c>
      <c r="H24" s="8">
        <v>0</v>
      </c>
      <c r="I24" s="8">
        <v>1</v>
      </c>
      <c r="J24" s="8">
        <v>0</v>
      </c>
    </row>
    <row r="25" spans="1:10" ht="30" hidden="1">
      <c r="A25" s="6" t="s">
        <v>324</v>
      </c>
      <c r="B25" s="7" t="s">
        <v>302</v>
      </c>
      <c r="C25" s="8" t="s">
        <v>6</v>
      </c>
      <c r="D25" s="8" t="s">
        <v>8</v>
      </c>
      <c r="E25" s="8">
        <v>3</v>
      </c>
      <c r="F25" s="8">
        <v>0</v>
      </c>
      <c r="G25" s="8">
        <v>0</v>
      </c>
      <c r="H25" s="8">
        <v>0</v>
      </c>
      <c r="I25" s="8">
        <v>0</v>
      </c>
      <c r="J25" s="8">
        <v>0</v>
      </c>
    </row>
    <row r="26" spans="1:10" ht="60" hidden="1">
      <c r="A26" s="6" t="s">
        <v>324</v>
      </c>
      <c r="B26" s="7" t="s">
        <v>303</v>
      </c>
      <c r="C26" s="8" t="s">
        <v>6</v>
      </c>
      <c r="D26" s="8" t="s">
        <v>8</v>
      </c>
      <c r="E26" s="8">
        <v>1</v>
      </c>
      <c r="F26" s="8">
        <v>0</v>
      </c>
      <c r="G26" s="8">
        <v>0</v>
      </c>
      <c r="H26" s="8">
        <v>0</v>
      </c>
      <c r="I26" s="8">
        <v>0</v>
      </c>
      <c r="J26" s="8">
        <v>0</v>
      </c>
    </row>
    <row r="27" spans="1:10" ht="60" hidden="1">
      <c r="A27" s="6" t="s">
        <v>324</v>
      </c>
      <c r="B27" s="7" t="s">
        <v>304</v>
      </c>
      <c r="C27" s="8" t="s">
        <v>6</v>
      </c>
      <c r="D27" s="8" t="s">
        <v>20</v>
      </c>
      <c r="E27" s="8">
        <v>4</v>
      </c>
      <c r="F27" s="8">
        <v>0</v>
      </c>
      <c r="G27" s="8">
        <v>0</v>
      </c>
      <c r="H27" s="8">
        <v>0</v>
      </c>
      <c r="I27" s="8">
        <v>0</v>
      </c>
      <c r="J27" s="8">
        <v>0</v>
      </c>
    </row>
    <row r="28" spans="1:10" ht="45" hidden="1">
      <c r="A28" s="6" t="s">
        <v>324</v>
      </c>
      <c r="B28" s="7" t="s">
        <v>305</v>
      </c>
      <c r="C28" s="8" t="s">
        <v>6</v>
      </c>
      <c r="D28" s="8" t="s">
        <v>8</v>
      </c>
      <c r="E28" s="8">
        <v>3</v>
      </c>
      <c r="F28" s="8">
        <v>0</v>
      </c>
      <c r="G28" s="8">
        <v>0</v>
      </c>
      <c r="H28" s="8">
        <v>0</v>
      </c>
      <c r="I28" s="8">
        <v>0</v>
      </c>
      <c r="J28" s="8">
        <v>1</v>
      </c>
    </row>
    <row r="29" spans="1:10" ht="75" hidden="1">
      <c r="A29" s="6" t="s">
        <v>324</v>
      </c>
      <c r="B29" s="7" t="s">
        <v>306</v>
      </c>
      <c r="C29" s="8" t="s">
        <v>6</v>
      </c>
      <c r="D29" s="8" t="s">
        <v>8</v>
      </c>
      <c r="E29" s="8">
        <v>4</v>
      </c>
      <c r="F29" s="8">
        <v>0</v>
      </c>
      <c r="G29" s="8">
        <v>0</v>
      </c>
      <c r="H29" s="8">
        <v>0</v>
      </c>
      <c r="I29" s="8">
        <v>0</v>
      </c>
      <c r="J29" s="8">
        <v>0</v>
      </c>
    </row>
    <row r="30" spans="1:10" ht="75" hidden="1">
      <c r="A30" s="6" t="s">
        <v>324</v>
      </c>
      <c r="B30" s="7" t="s">
        <v>307</v>
      </c>
      <c r="C30" s="8" t="s">
        <v>6</v>
      </c>
      <c r="D30" s="8" t="s">
        <v>8</v>
      </c>
      <c r="E30" s="8">
        <v>6</v>
      </c>
      <c r="F30" s="8">
        <v>0</v>
      </c>
      <c r="G30" s="8">
        <v>0</v>
      </c>
      <c r="H30" s="8">
        <v>0</v>
      </c>
      <c r="I30" s="8">
        <v>0</v>
      </c>
      <c r="J30" s="8">
        <v>0</v>
      </c>
    </row>
    <row r="31" spans="1:10" ht="75" hidden="1">
      <c r="A31" s="6" t="s">
        <v>324</v>
      </c>
      <c r="B31" s="7" t="s">
        <v>308</v>
      </c>
      <c r="C31" s="8" t="s">
        <v>6</v>
      </c>
      <c r="D31" s="8" t="s">
        <v>8</v>
      </c>
      <c r="E31" s="8">
        <v>6</v>
      </c>
      <c r="F31" s="8">
        <v>0</v>
      </c>
      <c r="G31" s="8">
        <v>0</v>
      </c>
      <c r="H31" s="8">
        <v>1</v>
      </c>
      <c r="I31" s="8">
        <v>0</v>
      </c>
      <c r="J31" s="8">
        <v>0</v>
      </c>
    </row>
    <row r="32" spans="1:10" ht="45" hidden="1">
      <c r="A32" s="6" t="s">
        <v>324</v>
      </c>
      <c r="B32" s="7" t="s">
        <v>309</v>
      </c>
      <c r="C32" s="8" t="s">
        <v>6</v>
      </c>
      <c r="D32" s="8" t="s">
        <v>8</v>
      </c>
      <c r="E32" s="8">
        <v>4</v>
      </c>
      <c r="F32" s="8">
        <v>0</v>
      </c>
      <c r="G32" s="8">
        <v>0</v>
      </c>
      <c r="H32" s="8">
        <v>0</v>
      </c>
      <c r="I32" s="8">
        <v>0</v>
      </c>
      <c r="J32" s="8">
        <v>0</v>
      </c>
    </row>
    <row r="33" spans="1:10" ht="45" hidden="1">
      <c r="A33" s="6" t="s">
        <v>324</v>
      </c>
      <c r="B33" s="7" t="s">
        <v>310</v>
      </c>
      <c r="C33" s="8" t="s">
        <v>6</v>
      </c>
      <c r="D33" s="8" t="s">
        <v>8</v>
      </c>
      <c r="E33" s="8">
        <v>4</v>
      </c>
      <c r="F33" s="8">
        <v>0</v>
      </c>
      <c r="G33" s="8">
        <v>0</v>
      </c>
      <c r="H33" s="8">
        <v>0</v>
      </c>
      <c r="I33" s="8">
        <v>0</v>
      </c>
      <c r="J33" s="8">
        <v>0</v>
      </c>
    </row>
    <row r="34" spans="1:10" ht="60">
      <c r="A34" s="6" t="s">
        <v>324</v>
      </c>
      <c r="B34" s="7" t="s">
        <v>311</v>
      </c>
      <c r="C34" s="8" t="s">
        <v>6</v>
      </c>
      <c r="D34" s="8" t="s">
        <v>8</v>
      </c>
      <c r="E34" s="8">
        <v>3</v>
      </c>
      <c r="F34" s="8">
        <v>1</v>
      </c>
      <c r="G34" s="8">
        <v>1</v>
      </c>
      <c r="H34" s="8">
        <v>0</v>
      </c>
      <c r="I34" s="8">
        <v>1</v>
      </c>
      <c r="J34" s="8">
        <v>0</v>
      </c>
    </row>
    <row r="35" spans="1:10" ht="30" hidden="1">
      <c r="A35" s="6" t="s">
        <v>324</v>
      </c>
      <c r="B35" s="7" t="s">
        <v>312</v>
      </c>
      <c r="C35" s="8" t="s">
        <v>6</v>
      </c>
      <c r="D35" s="8" t="s">
        <v>8</v>
      </c>
      <c r="E35" s="8">
        <v>1</v>
      </c>
      <c r="F35" s="8">
        <v>0</v>
      </c>
      <c r="G35" s="8">
        <v>0</v>
      </c>
      <c r="H35" s="8">
        <v>0</v>
      </c>
      <c r="I35" s="8">
        <v>0</v>
      </c>
      <c r="J35" s="8">
        <v>0</v>
      </c>
    </row>
    <row r="36" spans="1:10" ht="45" hidden="1">
      <c r="A36" s="6" t="s">
        <v>324</v>
      </c>
      <c r="B36" s="7" t="s">
        <v>313</v>
      </c>
      <c r="C36" s="8" t="s">
        <v>6</v>
      </c>
      <c r="D36" s="8" t="s">
        <v>8</v>
      </c>
      <c r="E36" s="8">
        <v>1</v>
      </c>
      <c r="F36" s="8">
        <v>0</v>
      </c>
      <c r="G36" s="8">
        <v>0</v>
      </c>
      <c r="H36" s="8">
        <v>0</v>
      </c>
      <c r="I36" s="8">
        <v>0</v>
      </c>
      <c r="J36" s="8">
        <v>0</v>
      </c>
    </row>
    <row r="37" spans="1:10" ht="30">
      <c r="A37" s="6" t="s">
        <v>324</v>
      </c>
      <c r="B37" s="7" t="s">
        <v>314</v>
      </c>
      <c r="C37" s="8" t="s">
        <v>6</v>
      </c>
      <c r="D37" s="8" t="s">
        <v>8</v>
      </c>
      <c r="E37" s="8">
        <v>1</v>
      </c>
      <c r="F37" s="8">
        <v>1</v>
      </c>
      <c r="G37" s="8">
        <v>0</v>
      </c>
      <c r="H37" s="8">
        <v>2</v>
      </c>
      <c r="I37" s="8">
        <v>0</v>
      </c>
      <c r="J37" s="8">
        <v>0</v>
      </c>
    </row>
    <row r="38" spans="1:10" ht="60" hidden="1">
      <c r="A38" s="6" t="s">
        <v>324</v>
      </c>
      <c r="B38" s="7" t="s">
        <v>315</v>
      </c>
      <c r="C38" s="8" t="s">
        <v>6</v>
      </c>
      <c r="D38" s="8" t="s">
        <v>8</v>
      </c>
      <c r="E38" s="8">
        <v>1</v>
      </c>
      <c r="F38" s="8">
        <v>0</v>
      </c>
      <c r="G38" s="8">
        <v>1</v>
      </c>
      <c r="H38" s="8">
        <v>0</v>
      </c>
      <c r="I38" s="8">
        <v>0</v>
      </c>
      <c r="J38" s="8">
        <v>0</v>
      </c>
    </row>
    <row r="39" spans="1:10" ht="15" hidden="1">
      <c r="A39" s="6" t="s">
        <v>324</v>
      </c>
      <c r="B39" s="7" t="s">
        <v>316</v>
      </c>
      <c r="C39" s="8" t="s">
        <v>6</v>
      </c>
      <c r="D39" s="8" t="s">
        <v>8</v>
      </c>
      <c r="E39" s="8">
        <v>1</v>
      </c>
      <c r="F39" s="8">
        <v>0</v>
      </c>
      <c r="G39" s="8">
        <v>1</v>
      </c>
      <c r="H39" s="8">
        <v>0</v>
      </c>
      <c r="I39" s="8">
        <v>0</v>
      </c>
      <c r="J39" s="8">
        <v>1</v>
      </c>
    </row>
    <row r="40" spans="1:10" ht="60" hidden="1">
      <c r="A40" s="6" t="s">
        <v>324</v>
      </c>
      <c r="B40" s="7" t="s">
        <v>317</v>
      </c>
      <c r="C40" s="8" t="s">
        <v>18</v>
      </c>
      <c r="D40" s="8" t="s">
        <v>8</v>
      </c>
      <c r="E40" s="8">
        <v>2</v>
      </c>
      <c r="F40" s="8">
        <v>1</v>
      </c>
      <c r="G40" s="8">
        <v>0</v>
      </c>
      <c r="H40" s="8">
        <v>1</v>
      </c>
      <c r="I40" s="8">
        <v>0</v>
      </c>
      <c r="J40" s="8">
        <v>0</v>
      </c>
    </row>
    <row r="41" spans="1:10" ht="60" hidden="1">
      <c r="A41" s="6" t="s">
        <v>324</v>
      </c>
      <c r="B41" s="7" t="s">
        <v>318</v>
      </c>
      <c r="C41" s="8" t="s">
        <v>6</v>
      </c>
      <c r="D41" s="8" t="s">
        <v>8</v>
      </c>
      <c r="E41" s="8">
        <v>2</v>
      </c>
      <c r="F41" s="8">
        <v>0</v>
      </c>
      <c r="G41" s="8">
        <v>0</v>
      </c>
      <c r="H41" s="8">
        <v>1</v>
      </c>
      <c r="I41" s="8">
        <v>0</v>
      </c>
      <c r="J41" s="8">
        <v>0</v>
      </c>
    </row>
    <row r="42" spans="1:10" ht="60" hidden="1">
      <c r="A42" s="6" t="s">
        <v>324</v>
      </c>
      <c r="B42" s="7" t="s">
        <v>319</v>
      </c>
      <c r="C42" s="8" t="s">
        <v>6</v>
      </c>
      <c r="D42" s="8" t="s">
        <v>8</v>
      </c>
      <c r="E42" s="8">
        <v>3</v>
      </c>
      <c r="F42" s="8">
        <v>0</v>
      </c>
      <c r="G42" s="8">
        <v>0</v>
      </c>
      <c r="H42" s="8">
        <v>1</v>
      </c>
      <c r="I42" s="8">
        <v>0</v>
      </c>
      <c r="J42" s="8">
        <v>0</v>
      </c>
    </row>
    <row r="43" spans="1:10" ht="45" hidden="1">
      <c r="A43" s="6" t="s">
        <v>324</v>
      </c>
      <c r="B43" s="7" t="s">
        <v>320</v>
      </c>
      <c r="C43" s="8" t="s">
        <v>6</v>
      </c>
      <c r="D43" s="8" t="s">
        <v>8</v>
      </c>
      <c r="E43" s="8">
        <v>1</v>
      </c>
      <c r="F43" s="8">
        <v>0</v>
      </c>
      <c r="G43" s="8">
        <v>0</v>
      </c>
      <c r="H43" s="8">
        <v>0</v>
      </c>
      <c r="I43" s="8">
        <v>0</v>
      </c>
      <c r="J43" s="8">
        <v>0</v>
      </c>
    </row>
    <row r="44" spans="1:10" ht="60" hidden="1">
      <c r="A44" s="6" t="s">
        <v>324</v>
      </c>
      <c r="B44" s="7" t="s">
        <v>321</v>
      </c>
      <c r="C44" s="8" t="s">
        <v>6</v>
      </c>
      <c r="D44" s="8" t="s">
        <v>8</v>
      </c>
      <c r="E44" s="8">
        <v>3</v>
      </c>
      <c r="F44" s="8">
        <v>1</v>
      </c>
      <c r="G44" s="8">
        <v>1</v>
      </c>
      <c r="H44" s="8">
        <v>1</v>
      </c>
      <c r="I44" s="8">
        <v>1</v>
      </c>
      <c r="J44" s="8">
        <v>0</v>
      </c>
    </row>
    <row r="45" spans="1:10" ht="45">
      <c r="A45" s="6" t="s">
        <v>324</v>
      </c>
      <c r="B45" s="7" t="s">
        <v>322</v>
      </c>
      <c r="C45" s="8" t="s">
        <v>6</v>
      </c>
      <c r="D45" s="8" t="s">
        <v>8</v>
      </c>
      <c r="E45" s="8">
        <v>3</v>
      </c>
      <c r="F45" s="8">
        <v>1</v>
      </c>
      <c r="G45" s="8">
        <v>0</v>
      </c>
      <c r="H45" s="8">
        <v>0</v>
      </c>
      <c r="I45" s="8">
        <v>0</v>
      </c>
      <c r="J45" s="8">
        <v>0</v>
      </c>
    </row>
    <row r="46" spans="1:10" ht="30" hidden="1">
      <c r="A46" s="6" t="s">
        <v>324</v>
      </c>
      <c r="B46" s="7" t="s">
        <v>323</v>
      </c>
      <c r="C46" s="8" t="s">
        <v>6</v>
      </c>
      <c r="D46" s="8" t="s">
        <v>8</v>
      </c>
      <c r="E46" s="8">
        <v>3</v>
      </c>
      <c r="F46" s="8">
        <v>1</v>
      </c>
      <c r="G46" s="8">
        <v>0</v>
      </c>
      <c r="H46" s="8">
        <v>1</v>
      </c>
      <c r="I46" s="8">
        <v>0</v>
      </c>
      <c r="J46" s="8">
        <v>0</v>
      </c>
    </row>
    <row r="47" spans="1:10" ht="15">
      <c r="B47" s="7"/>
    </row>
    <row r="48" spans="1:10" ht="15">
      <c r="B48" s="7"/>
    </row>
    <row r="49" spans="2:2" ht="15">
      <c r="B49" s="7"/>
    </row>
    <row r="50" spans="2:2" ht="15">
      <c r="B50" s="7"/>
    </row>
    <row r="51" spans="2:2" ht="15">
      <c r="B51" s="6"/>
    </row>
  </sheetData>
  <autoFilter ref="A1:I46">
    <filterColumn colId="5">
      <filters>
        <filter val="1"/>
      </filters>
    </filterColumn>
    <filterColumn colId="7">
      <filters>
        <filter val="0"/>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9"/>
  <sheetViews>
    <sheetView workbookViewId="0">
      <pane ySplit="1" topLeftCell="A2" activePane="bottomLeft" state="frozen"/>
      <selection pane="bottomLeft" activeCell="H2" sqref="H2"/>
    </sheetView>
  </sheetViews>
  <sheetFormatPr baseColWidth="10" defaultRowHeight="14" x14ac:dyDescent="0"/>
  <cols>
    <col min="2" max="2" width="48.6640625" customWidth="1"/>
  </cols>
  <sheetData>
    <row r="1" spans="1:10" s="10" customFormat="1">
      <c r="B1" s="10" t="s">
        <v>1</v>
      </c>
      <c r="C1" s="10" t="s">
        <v>5</v>
      </c>
      <c r="D1" s="10" t="s">
        <v>2</v>
      </c>
      <c r="E1" s="10" t="s">
        <v>3</v>
      </c>
      <c r="F1" s="10" t="s">
        <v>4</v>
      </c>
      <c r="G1" s="10" t="s">
        <v>16</v>
      </c>
      <c r="H1" s="3" t="s">
        <v>567</v>
      </c>
      <c r="I1" s="3" t="s">
        <v>577</v>
      </c>
      <c r="J1" s="3" t="s">
        <v>569</v>
      </c>
    </row>
    <row r="2" spans="1:10" ht="30">
      <c r="A2" s="51" t="s">
        <v>278</v>
      </c>
      <c r="B2" s="7" t="s">
        <v>261</v>
      </c>
      <c r="C2" s="52" t="s">
        <v>7</v>
      </c>
      <c r="D2" s="52" t="s">
        <v>8</v>
      </c>
      <c r="E2" s="52">
        <v>1</v>
      </c>
      <c r="F2" s="52">
        <v>1</v>
      </c>
      <c r="G2" s="52">
        <v>1</v>
      </c>
      <c r="H2" s="52">
        <v>0</v>
      </c>
      <c r="I2" s="52">
        <v>1</v>
      </c>
      <c r="J2" s="52">
        <v>0</v>
      </c>
    </row>
    <row r="3" spans="1:10" ht="60" hidden="1">
      <c r="A3" s="51" t="s">
        <v>278</v>
      </c>
      <c r="B3" s="7" t="s">
        <v>262</v>
      </c>
      <c r="C3" s="52" t="s">
        <v>6</v>
      </c>
      <c r="D3" s="52" t="s">
        <v>8</v>
      </c>
      <c r="E3" s="52">
        <v>3</v>
      </c>
      <c r="F3" s="52">
        <v>0</v>
      </c>
      <c r="G3" s="52">
        <v>0</v>
      </c>
      <c r="H3" s="52">
        <v>0</v>
      </c>
      <c r="I3" s="52">
        <v>1</v>
      </c>
      <c r="J3" s="52">
        <v>0</v>
      </c>
    </row>
    <row r="4" spans="1:10" ht="60" hidden="1">
      <c r="A4" s="51" t="s">
        <v>278</v>
      </c>
      <c r="B4" s="7" t="s">
        <v>263</v>
      </c>
      <c r="C4" s="52" t="s">
        <v>7</v>
      </c>
      <c r="D4" s="52" t="s">
        <v>8</v>
      </c>
      <c r="E4" s="52">
        <v>3</v>
      </c>
      <c r="F4" s="52">
        <v>0</v>
      </c>
      <c r="G4" s="52">
        <v>0</v>
      </c>
      <c r="H4" s="52">
        <v>0</v>
      </c>
      <c r="I4" s="52">
        <v>1</v>
      </c>
      <c r="J4" s="52">
        <v>0</v>
      </c>
    </row>
    <row r="5" spans="1:10" ht="120" hidden="1">
      <c r="A5" s="51" t="s">
        <v>278</v>
      </c>
      <c r="B5" s="7" t="s">
        <v>264</v>
      </c>
      <c r="C5" s="52" t="s">
        <v>6</v>
      </c>
      <c r="D5" s="52" t="s">
        <v>8</v>
      </c>
      <c r="E5" s="52">
        <v>1</v>
      </c>
      <c r="F5" s="52">
        <v>0</v>
      </c>
      <c r="G5" s="52">
        <v>0</v>
      </c>
      <c r="H5" s="52">
        <v>0</v>
      </c>
      <c r="I5" s="52">
        <v>0</v>
      </c>
      <c r="J5" s="52">
        <v>0</v>
      </c>
    </row>
    <row r="6" spans="1:10" ht="120" hidden="1">
      <c r="A6" s="51" t="s">
        <v>278</v>
      </c>
      <c r="B6" s="7" t="s">
        <v>265</v>
      </c>
      <c r="C6" s="52" t="s">
        <v>6</v>
      </c>
      <c r="D6" s="52" t="s">
        <v>8</v>
      </c>
      <c r="E6" s="52">
        <v>4</v>
      </c>
      <c r="F6" s="52">
        <v>0</v>
      </c>
      <c r="G6" s="52">
        <v>0</v>
      </c>
      <c r="H6" s="52">
        <v>0</v>
      </c>
      <c r="I6" s="52">
        <v>1</v>
      </c>
      <c r="J6" s="52">
        <v>0</v>
      </c>
    </row>
    <row r="7" spans="1:10" ht="75" hidden="1">
      <c r="A7" s="51" t="s">
        <v>278</v>
      </c>
      <c r="B7" s="7" t="s">
        <v>266</v>
      </c>
      <c r="C7" s="52" t="s">
        <v>7</v>
      </c>
      <c r="D7" s="52" t="s">
        <v>19</v>
      </c>
      <c r="E7" s="52">
        <v>3</v>
      </c>
      <c r="F7" s="52">
        <v>0</v>
      </c>
      <c r="G7" s="52">
        <v>0</v>
      </c>
      <c r="H7" s="52">
        <v>0</v>
      </c>
      <c r="I7" s="52">
        <v>0</v>
      </c>
      <c r="J7" s="52">
        <v>0</v>
      </c>
    </row>
    <row r="8" spans="1:10" ht="60" hidden="1">
      <c r="A8" s="51" t="s">
        <v>278</v>
      </c>
      <c r="B8" s="7" t="s">
        <v>267</v>
      </c>
      <c r="C8" s="52" t="s">
        <v>6</v>
      </c>
      <c r="D8" s="52" t="s">
        <v>8</v>
      </c>
      <c r="E8" s="52">
        <v>1</v>
      </c>
      <c r="F8" s="52">
        <v>0</v>
      </c>
      <c r="G8" s="52">
        <v>1</v>
      </c>
      <c r="H8" s="52">
        <v>0</v>
      </c>
      <c r="I8" s="52">
        <v>0</v>
      </c>
      <c r="J8" s="52">
        <v>0</v>
      </c>
    </row>
    <row r="9" spans="1:10" ht="60" hidden="1">
      <c r="A9" s="51" t="s">
        <v>278</v>
      </c>
      <c r="B9" s="7" t="s">
        <v>268</v>
      </c>
      <c r="C9" s="52" t="s">
        <v>6</v>
      </c>
      <c r="D9" s="52" t="s">
        <v>8</v>
      </c>
      <c r="E9" s="52">
        <v>2</v>
      </c>
      <c r="F9" s="52">
        <v>0</v>
      </c>
      <c r="G9" s="52">
        <v>1</v>
      </c>
      <c r="H9" s="52">
        <v>0</v>
      </c>
      <c r="I9" s="52">
        <v>0</v>
      </c>
      <c r="J9" s="52">
        <v>0</v>
      </c>
    </row>
    <row r="10" spans="1:10" ht="75" hidden="1">
      <c r="A10" s="51" t="s">
        <v>278</v>
      </c>
      <c r="B10" s="7" t="s">
        <v>269</v>
      </c>
      <c r="C10" s="52" t="s">
        <v>6</v>
      </c>
      <c r="D10" s="52" t="s">
        <v>8</v>
      </c>
      <c r="E10" s="52">
        <v>1</v>
      </c>
      <c r="F10" s="52">
        <v>0</v>
      </c>
      <c r="G10" s="52">
        <v>0</v>
      </c>
      <c r="H10" s="52">
        <v>0</v>
      </c>
      <c r="I10" s="52">
        <v>0</v>
      </c>
      <c r="J10" s="52">
        <v>1</v>
      </c>
    </row>
    <row r="11" spans="1:10" ht="60" hidden="1">
      <c r="A11" s="51" t="s">
        <v>278</v>
      </c>
      <c r="B11" s="7" t="s">
        <v>270</v>
      </c>
      <c r="C11" s="52" t="s">
        <v>6</v>
      </c>
      <c r="D11" s="52" t="s">
        <v>8</v>
      </c>
      <c r="E11" s="52">
        <v>1</v>
      </c>
      <c r="F11" s="52">
        <v>0</v>
      </c>
      <c r="G11" s="52">
        <v>0</v>
      </c>
      <c r="H11" s="52">
        <v>0</v>
      </c>
      <c r="I11" s="52">
        <v>0</v>
      </c>
      <c r="J11" s="52">
        <v>0</v>
      </c>
    </row>
    <row r="12" spans="1:10" ht="45" hidden="1">
      <c r="A12" s="51" t="s">
        <v>278</v>
      </c>
      <c r="B12" s="7" t="s">
        <v>271</v>
      </c>
      <c r="C12" s="52" t="s">
        <v>6</v>
      </c>
      <c r="D12" s="52" t="s">
        <v>8</v>
      </c>
      <c r="E12" s="52">
        <v>3</v>
      </c>
      <c r="F12" s="52">
        <v>0</v>
      </c>
      <c r="G12" s="52">
        <v>0</v>
      </c>
      <c r="H12" s="52">
        <v>0</v>
      </c>
      <c r="I12" s="52">
        <v>0</v>
      </c>
      <c r="J12" s="52">
        <v>1</v>
      </c>
    </row>
    <row r="13" spans="1:10" ht="165" hidden="1">
      <c r="A13" s="51" t="s">
        <v>278</v>
      </c>
      <c r="B13" s="7" t="s">
        <v>272</v>
      </c>
      <c r="C13" s="52" t="s">
        <v>7</v>
      </c>
      <c r="D13" s="52" t="s">
        <v>8</v>
      </c>
      <c r="E13" s="52">
        <v>1</v>
      </c>
      <c r="F13" s="52">
        <v>0</v>
      </c>
      <c r="G13" s="52">
        <v>0</v>
      </c>
      <c r="H13" s="52">
        <v>1</v>
      </c>
      <c r="I13" s="52">
        <v>1</v>
      </c>
      <c r="J13" s="52">
        <v>0</v>
      </c>
    </row>
    <row r="14" spans="1:10" ht="45" hidden="1">
      <c r="A14" s="51" t="s">
        <v>278</v>
      </c>
      <c r="B14" s="7" t="s">
        <v>273</v>
      </c>
      <c r="C14" s="52" t="s">
        <v>6</v>
      </c>
      <c r="D14" s="52" t="s">
        <v>8</v>
      </c>
      <c r="E14" s="52">
        <v>4</v>
      </c>
      <c r="F14" s="52">
        <v>0</v>
      </c>
      <c r="G14" s="52">
        <v>0</v>
      </c>
      <c r="H14" s="52">
        <v>0</v>
      </c>
      <c r="I14" s="52">
        <v>0</v>
      </c>
      <c r="J14" s="52">
        <v>0</v>
      </c>
    </row>
    <row r="15" spans="1:10" ht="60" hidden="1">
      <c r="A15" s="51" t="s">
        <v>278</v>
      </c>
      <c r="B15" s="7" t="s">
        <v>274</v>
      </c>
      <c r="C15" s="52" t="s">
        <v>6</v>
      </c>
      <c r="D15" s="52" t="s">
        <v>8</v>
      </c>
      <c r="E15" s="52">
        <v>4</v>
      </c>
      <c r="F15" s="52">
        <v>0</v>
      </c>
      <c r="G15" s="52">
        <v>0</v>
      </c>
      <c r="H15" s="52">
        <v>0</v>
      </c>
      <c r="I15" s="52">
        <v>0</v>
      </c>
      <c r="J15" s="52">
        <v>0</v>
      </c>
    </row>
    <row r="16" spans="1:10" ht="75" hidden="1">
      <c r="A16" s="51" t="s">
        <v>278</v>
      </c>
      <c r="B16" s="7" t="s">
        <v>275</v>
      </c>
      <c r="C16" s="52" t="s">
        <v>6</v>
      </c>
      <c r="D16" s="52" t="s">
        <v>8</v>
      </c>
      <c r="E16" s="52">
        <v>4</v>
      </c>
      <c r="F16" s="52">
        <v>0</v>
      </c>
      <c r="G16" s="52">
        <v>0</v>
      </c>
      <c r="H16" s="52">
        <v>0</v>
      </c>
      <c r="I16" s="52">
        <v>0</v>
      </c>
      <c r="J16" s="52">
        <v>0</v>
      </c>
    </row>
    <row r="17" spans="1:10" ht="45" hidden="1">
      <c r="A17" s="51" t="s">
        <v>278</v>
      </c>
      <c r="B17" s="7" t="s">
        <v>279</v>
      </c>
      <c r="C17" s="52" t="s">
        <v>18</v>
      </c>
      <c r="D17" s="52" t="s">
        <v>8</v>
      </c>
      <c r="E17" s="52">
        <v>4</v>
      </c>
      <c r="F17" s="52">
        <v>0</v>
      </c>
      <c r="G17" s="52">
        <v>0</v>
      </c>
      <c r="H17" s="52">
        <v>0</v>
      </c>
      <c r="I17" s="52">
        <v>0</v>
      </c>
      <c r="J17" s="52">
        <v>0</v>
      </c>
    </row>
    <row r="18" spans="1:10" ht="60" hidden="1">
      <c r="A18" s="51" t="s">
        <v>278</v>
      </c>
      <c r="B18" s="7" t="s">
        <v>276</v>
      </c>
      <c r="C18" s="52" t="s">
        <v>6</v>
      </c>
      <c r="D18" s="52" t="s">
        <v>8</v>
      </c>
      <c r="E18" s="52">
        <v>4</v>
      </c>
      <c r="F18" s="52">
        <v>0</v>
      </c>
      <c r="G18" s="52">
        <v>0</v>
      </c>
      <c r="H18" s="52">
        <v>0</v>
      </c>
      <c r="I18" s="52">
        <v>0</v>
      </c>
      <c r="J18" s="52">
        <v>0</v>
      </c>
    </row>
    <row r="19" spans="1:10" ht="30" hidden="1">
      <c r="A19" s="51" t="s">
        <v>278</v>
      </c>
      <c r="B19" s="7" t="s">
        <v>277</v>
      </c>
      <c r="C19" s="52" t="s">
        <v>7</v>
      </c>
      <c r="D19" s="52" t="s">
        <v>230</v>
      </c>
      <c r="E19" s="52">
        <v>6</v>
      </c>
      <c r="F19" s="52">
        <v>0</v>
      </c>
      <c r="G19" s="52">
        <v>0</v>
      </c>
      <c r="H19" s="52">
        <v>0</v>
      </c>
      <c r="I19" s="52">
        <v>0</v>
      </c>
      <c r="J19" s="52">
        <v>0</v>
      </c>
    </row>
  </sheetData>
  <autoFilter ref="A1:I19">
    <filterColumn colId="5">
      <filters>
        <filter val="1"/>
      </filters>
    </filterColumn>
  </autoFilter>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26"/>
  <sheetViews>
    <sheetView workbookViewId="0">
      <pane ySplit="1" topLeftCell="A2" activePane="bottomLeft" state="frozen"/>
      <selection pane="bottomLeft" activeCell="H15" sqref="H15"/>
    </sheetView>
  </sheetViews>
  <sheetFormatPr baseColWidth="10" defaultColWidth="28.1640625" defaultRowHeight="14" x14ac:dyDescent="0"/>
  <cols>
    <col min="1" max="1" width="20.5" style="8" customWidth="1"/>
    <col min="2" max="2" width="47.1640625" style="8" customWidth="1"/>
    <col min="3" max="3" width="9.6640625" style="8" bestFit="1" customWidth="1"/>
    <col min="4" max="4" width="6.5" style="8" bestFit="1" customWidth="1"/>
    <col min="5" max="5" width="10.5" style="8" bestFit="1" customWidth="1"/>
    <col min="6" max="6" width="17.33203125" style="8" bestFit="1" customWidth="1"/>
    <col min="7" max="7" width="11.33203125" style="8" bestFit="1" customWidth="1"/>
    <col min="8" max="8" width="10.83203125" style="8" customWidth="1"/>
    <col min="9" max="9" width="10.1640625" style="8" customWidth="1"/>
    <col min="10" max="10" width="15" style="8" customWidth="1"/>
    <col min="11" max="16384" width="28.1640625" style="8"/>
  </cols>
  <sheetData>
    <row r="1" spans="1:10">
      <c r="A1" s="10"/>
      <c r="B1" s="10" t="s">
        <v>1</v>
      </c>
      <c r="C1" s="10" t="s">
        <v>5</v>
      </c>
      <c r="D1" s="10" t="s">
        <v>2</v>
      </c>
      <c r="E1" s="10" t="s">
        <v>3</v>
      </c>
      <c r="F1" s="10" t="s">
        <v>4</v>
      </c>
      <c r="G1" s="10" t="s">
        <v>16</v>
      </c>
      <c r="H1" s="3" t="s">
        <v>567</v>
      </c>
      <c r="I1" s="3" t="s">
        <v>577</v>
      </c>
      <c r="J1" s="3" t="s">
        <v>569</v>
      </c>
    </row>
    <row r="2" spans="1:10" ht="60">
      <c r="A2" s="6" t="s">
        <v>344</v>
      </c>
      <c r="B2" s="7" t="s">
        <v>327</v>
      </c>
      <c r="C2" s="8" t="s">
        <v>18</v>
      </c>
      <c r="D2" s="8" t="s">
        <v>8</v>
      </c>
      <c r="E2" s="8">
        <v>4</v>
      </c>
      <c r="F2" s="8">
        <v>1</v>
      </c>
      <c r="G2" s="8">
        <v>0</v>
      </c>
      <c r="H2" s="8">
        <v>2</v>
      </c>
      <c r="I2" s="8">
        <v>0</v>
      </c>
      <c r="J2" s="8">
        <v>0</v>
      </c>
    </row>
    <row r="3" spans="1:10" ht="60">
      <c r="A3" s="6" t="s">
        <v>344</v>
      </c>
      <c r="B3" s="7" t="s">
        <v>328</v>
      </c>
      <c r="C3" s="8" t="s">
        <v>6</v>
      </c>
      <c r="D3" s="8" t="s">
        <v>8</v>
      </c>
      <c r="E3" s="8">
        <v>3</v>
      </c>
      <c r="F3" s="8">
        <v>1</v>
      </c>
      <c r="G3" s="8">
        <v>0</v>
      </c>
      <c r="H3" s="8">
        <v>2</v>
      </c>
      <c r="I3" s="8">
        <v>0</v>
      </c>
      <c r="J3" s="8">
        <v>0</v>
      </c>
    </row>
    <row r="4" spans="1:10" ht="75" hidden="1">
      <c r="A4" s="6" t="s">
        <v>344</v>
      </c>
      <c r="B4" s="7" t="s">
        <v>329</v>
      </c>
      <c r="C4" s="8" t="s">
        <v>6</v>
      </c>
      <c r="D4" s="8" t="s">
        <v>8</v>
      </c>
      <c r="E4" s="8">
        <v>3</v>
      </c>
      <c r="F4" s="8">
        <v>0</v>
      </c>
      <c r="G4" s="8">
        <v>0</v>
      </c>
      <c r="H4" s="8">
        <v>0</v>
      </c>
      <c r="I4" s="8">
        <v>0</v>
      </c>
      <c r="J4" s="8">
        <v>0</v>
      </c>
    </row>
    <row r="5" spans="1:10" ht="135" hidden="1">
      <c r="A5" s="6" t="s">
        <v>344</v>
      </c>
      <c r="B5" s="7" t="s">
        <v>330</v>
      </c>
      <c r="C5" s="8" t="s">
        <v>6</v>
      </c>
      <c r="D5" s="8" t="s">
        <v>8</v>
      </c>
      <c r="E5" s="8">
        <v>2</v>
      </c>
      <c r="F5" s="8">
        <v>1</v>
      </c>
      <c r="G5" s="8">
        <v>0</v>
      </c>
      <c r="H5" s="8">
        <v>1</v>
      </c>
      <c r="I5" s="8">
        <v>0</v>
      </c>
      <c r="J5" s="8">
        <v>1</v>
      </c>
    </row>
    <row r="6" spans="1:10" ht="90" hidden="1">
      <c r="A6" s="6" t="s">
        <v>344</v>
      </c>
      <c r="B6" s="7" t="s">
        <v>331</v>
      </c>
      <c r="C6" s="8" t="s">
        <v>6</v>
      </c>
      <c r="D6" s="8" t="s">
        <v>8</v>
      </c>
      <c r="E6" s="8">
        <v>1</v>
      </c>
      <c r="F6" s="8">
        <v>0</v>
      </c>
      <c r="G6" s="8">
        <v>0</v>
      </c>
      <c r="H6" s="8">
        <v>0</v>
      </c>
      <c r="I6" s="8">
        <v>0</v>
      </c>
      <c r="J6" s="8">
        <v>0</v>
      </c>
    </row>
    <row r="7" spans="1:10" ht="90" hidden="1">
      <c r="A7" s="6" t="s">
        <v>344</v>
      </c>
      <c r="B7" s="7" t="s">
        <v>580</v>
      </c>
      <c r="C7" s="8" t="s">
        <v>6</v>
      </c>
      <c r="D7" s="8" t="s">
        <v>8</v>
      </c>
      <c r="E7" s="8">
        <v>3</v>
      </c>
      <c r="F7" s="8">
        <v>0</v>
      </c>
      <c r="G7" s="8">
        <v>0</v>
      </c>
      <c r="H7" s="8">
        <v>0</v>
      </c>
      <c r="I7" s="8">
        <v>0</v>
      </c>
      <c r="J7" s="8">
        <v>0</v>
      </c>
    </row>
    <row r="8" spans="1:10" ht="90" hidden="1">
      <c r="A8" s="6" t="s">
        <v>344</v>
      </c>
      <c r="B8" s="7" t="s">
        <v>579</v>
      </c>
      <c r="C8" s="8" t="s">
        <v>6</v>
      </c>
      <c r="D8" s="8" t="s">
        <v>8</v>
      </c>
      <c r="E8" s="8">
        <v>3</v>
      </c>
      <c r="F8" s="8">
        <v>0</v>
      </c>
      <c r="G8" s="8">
        <v>0</v>
      </c>
      <c r="H8" s="8">
        <v>0</v>
      </c>
      <c r="I8" s="8">
        <v>0</v>
      </c>
      <c r="J8" s="8">
        <v>0</v>
      </c>
    </row>
    <row r="9" spans="1:10" ht="30" hidden="1">
      <c r="A9" s="6" t="s">
        <v>344</v>
      </c>
      <c r="B9" s="7" t="s">
        <v>332</v>
      </c>
      <c r="C9" s="8" t="s">
        <v>6</v>
      </c>
      <c r="D9" s="8" t="s">
        <v>8</v>
      </c>
      <c r="E9" s="8">
        <v>1</v>
      </c>
      <c r="F9" s="8">
        <v>0</v>
      </c>
      <c r="G9" s="8">
        <v>0</v>
      </c>
      <c r="H9" s="8">
        <v>0</v>
      </c>
      <c r="I9" s="8">
        <v>0</v>
      </c>
      <c r="J9" s="8">
        <v>0</v>
      </c>
    </row>
    <row r="10" spans="1:10" ht="90" hidden="1">
      <c r="A10" s="6" t="s">
        <v>344</v>
      </c>
      <c r="B10" s="7" t="s">
        <v>333</v>
      </c>
      <c r="C10" s="8" t="s">
        <v>18</v>
      </c>
      <c r="D10" s="8" t="s">
        <v>8</v>
      </c>
      <c r="E10" s="8">
        <v>2</v>
      </c>
      <c r="F10" s="8">
        <v>1</v>
      </c>
      <c r="G10" s="8">
        <v>0</v>
      </c>
      <c r="H10" s="8">
        <v>1</v>
      </c>
      <c r="I10" s="8">
        <v>0</v>
      </c>
      <c r="J10" s="8">
        <v>0</v>
      </c>
    </row>
    <row r="11" spans="1:10" ht="90" hidden="1">
      <c r="A11" s="6" t="s">
        <v>344</v>
      </c>
      <c r="B11" s="7" t="s">
        <v>334</v>
      </c>
      <c r="C11" s="8" t="s">
        <v>18</v>
      </c>
      <c r="D11" s="8" t="s">
        <v>8</v>
      </c>
      <c r="E11" s="8">
        <v>2</v>
      </c>
      <c r="F11" s="8">
        <v>1</v>
      </c>
      <c r="G11" s="8">
        <v>0</v>
      </c>
      <c r="H11" s="8">
        <v>1</v>
      </c>
      <c r="I11" s="8">
        <v>0</v>
      </c>
      <c r="J11" s="8">
        <v>0</v>
      </c>
    </row>
    <row r="12" spans="1:10" ht="105" hidden="1">
      <c r="A12" s="6" t="s">
        <v>344</v>
      </c>
      <c r="B12" s="7" t="s">
        <v>335</v>
      </c>
      <c r="C12" s="8" t="s">
        <v>6</v>
      </c>
      <c r="D12" s="8" t="s">
        <v>75</v>
      </c>
      <c r="E12" s="8">
        <v>4</v>
      </c>
      <c r="F12" s="8">
        <v>0</v>
      </c>
      <c r="G12" s="8">
        <v>0</v>
      </c>
      <c r="H12" s="8">
        <v>0</v>
      </c>
      <c r="I12" s="8">
        <v>0</v>
      </c>
      <c r="J12" s="8">
        <v>0</v>
      </c>
    </row>
    <row r="13" spans="1:10" ht="90" hidden="1">
      <c r="A13" s="6" t="s">
        <v>344</v>
      </c>
      <c r="B13" s="7" t="s">
        <v>336</v>
      </c>
      <c r="C13" s="8" t="s">
        <v>6</v>
      </c>
      <c r="D13" s="8" t="s">
        <v>75</v>
      </c>
      <c r="E13" s="8">
        <v>4</v>
      </c>
      <c r="F13" s="8">
        <v>0</v>
      </c>
      <c r="G13" s="8">
        <v>0</v>
      </c>
      <c r="H13" s="8">
        <v>0</v>
      </c>
      <c r="I13" s="8">
        <v>0</v>
      </c>
      <c r="J13" s="8">
        <v>0</v>
      </c>
    </row>
    <row r="14" spans="1:10" ht="75" hidden="1">
      <c r="A14" s="6" t="s">
        <v>344</v>
      </c>
      <c r="B14" s="7" t="s">
        <v>337</v>
      </c>
      <c r="C14" s="8" t="s">
        <v>6</v>
      </c>
      <c r="D14" s="8" t="s">
        <v>8</v>
      </c>
      <c r="E14" s="8">
        <v>2</v>
      </c>
      <c r="F14" s="8">
        <v>0</v>
      </c>
      <c r="G14" s="8">
        <v>0</v>
      </c>
      <c r="H14" s="8">
        <v>0</v>
      </c>
      <c r="I14" s="8">
        <v>0</v>
      </c>
      <c r="J14" s="8">
        <v>0</v>
      </c>
    </row>
    <row r="15" spans="1:10" ht="60">
      <c r="A15" s="6" t="s">
        <v>344</v>
      </c>
      <c r="B15" s="7" t="s">
        <v>338</v>
      </c>
      <c r="C15" s="8" t="s">
        <v>6</v>
      </c>
      <c r="D15" s="8" t="s">
        <v>8</v>
      </c>
      <c r="E15" s="8">
        <v>2</v>
      </c>
      <c r="F15" s="8">
        <v>0</v>
      </c>
      <c r="G15" s="8">
        <v>0</v>
      </c>
      <c r="H15" s="8">
        <v>0</v>
      </c>
      <c r="I15" s="8">
        <v>0</v>
      </c>
      <c r="J15" s="8">
        <v>0</v>
      </c>
    </row>
    <row r="16" spans="1:10" ht="90" hidden="1">
      <c r="A16" s="6" t="s">
        <v>344</v>
      </c>
      <c r="B16" s="7" t="s">
        <v>339</v>
      </c>
      <c r="C16" s="8" t="s">
        <v>6</v>
      </c>
      <c r="D16" s="8" t="s">
        <v>75</v>
      </c>
      <c r="E16" s="8">
        <v>4</v>
      </c>
      <c r="F16" s="8">
        <v>0</v>
      </c>
      <c r="G16" s="8">
        <v>0</v>
      </c>
      <c r="H16" s="8">
        <v>0</v>
      </c>
      <c r="I16" s="8">
        <v>0</v>
      </c>
      <c r="J16" s="8">
        <v>0</v>
      </c>
    </row>
    <row r="17" spans="1:10" ht="90" hidden="1">
      <c r="A17" s="6" t="s">
        <v>344</v>
      </c>
      <c r="B17" s="7" t="s">
        <v>340</v>
      </c>
      <c r="C17" s="8" t="s">
        <v>6</v>
      </c>
      <c r="D17" s="8" t="s">
        <v>8</v>
      </c>
      <c r="E17" s="8">
        <v>4</v>
      </c>
      <c r="F17" s="8">
        <v>0</v>
      </c>
      <c r="G17" s="8">
        <v>0</v>
      </c>
      <c r="H17" s="8">
        <v>0</v>
      </c>
      <c r="I17" s="8">
        <v>0</v>
      </c>
      <c r="J17" s="8">
        <v>0</v>
      </c>
    </row>
    <row r="18" spans="1:10" ht="60" hidden="1">
      <c r="A18" s="6" t="s">
        <v>344</v>
      </c>
      <c r="B18" s="7" t="s">
        <v>341</v>
      </c>
      <c r="C18" s="8" t="s">
        <v>6</v>
      </c>
      <c r="D18" s="8" t="s">
        <v>8</v>
      </c>
      <c r="E18" s="8">
        <v>2</v>
      </c>
      <c r="F18" s="8">
        <v>0</v>
      </c>
      <c r="G18" s="8">
        <v>0</v>
      </c>
      <c r="H18" s="8">
        <v>0</v>
      </c>
      <c r="I18" s="8">
        <v>0</v>
      </c>
      <c r="J18" s="8">
        <v>1</v>
      </c>
    </row>
    <row r="19" spans="1:10" ht="60" hidden="1">
      <c r="A19" s="6" t="s">
        <v>344</v>
      </c>
      <c r="B19" s="7" t="s">
        <v>342</v>
      </c>
      <c r="C19" s="8" t="s">
        <v>6</v>
      </c>
      <c r="D19" s="8" t="s">
        <v>8</v>
      </c>
      <c r="E19" s="8">
        <v>2</v>
      </c>
      <c r="F19" s="8">
        <v>0</v>
      </c>
      <c r="G19" s="8">
        <v>0</v>
      </c>
      <c r="H19" s="8">
        <v>0</v>
      </c>
      <c r="I19" s="8">
        <v>0</v>
      </c>
      <c r="J19" s="8">
        <v>1</v>
      </c>
    </row>
    <row r="20" spans="1:10" ht="60" hidden="1">
      <c r="A20" s="6" t="s">
        <v>344</v>
      </c>
      <c r="B20" s="7" t="s">
        <v>343</v>
      </c>
      <c r="C20" s="8" t="s">
        <v>6</v>
      </c>
      <c r="D20" s="8" t="s">
        <v>8</v>
      </c>
      <c r="E20" s="8">
        <v>6</v>
      </c>
      <c r="F20" s="8">
        <v>0</v>
      </c>
      <c r="G20" s="8">
        <v>0</v>
      </c>
      <c r="H20" s="8">
        <v>0</v>
      </c>
      <c r="I20" s="8">
        <v>0</v>
      </c>
      <c r="J20" s="8">
        <v>0</v>
      </c>
    </row>
    <row r="21" spans="1:10" ht="15" hidden="1">
      <c r="A21" s="6" t="s">
        <v>344</v>
      </c>
      <c r="B21" s="7" t="s">
        <v>345</v>
      </c>
      <c r="C21" s="8" t="s">
        <v>6</v>
      </c>
      <c r="D21" s="8" t="s">
        <v>8</v>
      </c>
      <c r="E21" s="8">
        <v>3</v>
      </c>
      <c r="F21" s="8">
        <v>0</v>
      </c>
      <c r="G21" s="8">
        <v>0</v>
      </c>
      <c r="H21" s="8">
        <v>0</v>
      </c>
      <c r="I21" s="8">
        <v>0</v>
      </c>
      <c r="J21" s="8">
        <v>0</v>
      </c>
    </row>
    <row r="22" spans="1:10" ht="15">
      <c r="B22" s="7"/>
    </row>
    <row r="23" spans="1:10" ht="15">
      <c r="B23" s="7"/>
    </row>
    <row r="24" spans="1:10" ht="15">
      <c r="B24" s="7"/>
    </row>
    <row r="25" spans="1:10" ht="15">
      <c r="B25" s="7"/>
    </row>
    <row r="26" spans="1:10" ht="15">
      <c r="B26" s="6"/>
    </row>
  </sheetData>
  <autoFilter ref="A1:J21">
    <filterColumn colId="5">
      <filters>
        <filter val="1"/>
      </filters>
    </filterColumn>
    <filterColumn colId="7">
      <filters>
        <filter val="0"/>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D6" sqref="D6"/>
    </sheetView>
  </sheetViews>
  <sheetFormatPr baseColWidth="10" defaultRowHeight="14" x14ac:dyDescent="0"/>
  <cols>
    <col min="1" max="1" width="10.83203125" style="8"/>
    <col min="2" max="2" width="43.5" style="8" customWidth="1"/>
    <col min="3"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75">
      <c r="A2" s="8" t="s">
        <v>349</v>
      </c>
      <c r="B2" s="7" t="s">
        <v>346</v>
      </c>
      <c r="C2" s="8" t="s">
        <v>6</v>
      </c>
      <c r="D2" s="8" t="s">
        <v>20</v>
      </c>
      <c r="E2" s="8">
        <v>4</v>
      </c>
      <c r="F2" s="8">
        <v>0</v>
      </c>
      <c r="G2" s="8">
        <v>0</v>
      </c>
      <c r="H2" s="8">
        <v>0</v>
      </c>
      <c r="I2" s="8">
        <v>0</v>
      </c>
      <c r="J2" s="8">
        <v>0</v>
      </c>
    </row>
    <row r="3" spans="1:10" ht="45">
      <c r="A3" s="8" t="s">
        <v>349</v>
      </c>
      <c r="B3" s="7" t="s">
        <v>347</v>
      </c>
      <c r="C3" s="8" t="s">
        <v>18</v>
      </c>
      <c r="D3" s="8" t="s">
        <v>8</v>
      </c>
      <c r="E3" s="8">
        <v>6</v>
      </c>
      <c r="F3" s="8">
        <v>0</v>
      </c>
      <c r="G3" s="8">
        <v>0</v>
      </c>
      <c r="H3" s="8">
        <v>0</v>
      </c>
      <c r="I3" s="8">
        <v>0</v>
      </c>
      <c r="J3" s="8">
        <v>1</v>
      </c>
    </row>
    <row r="4" spans="1:10" ht="45">
      <c r="A4" s="8" t="s">
        <v>349</v>
      </c>
      <c r="B4" s="7" t="s">
        <v>348</v>
      </c>
      <c r="C4" s="8" t="s">
        <v>6</v>
      </c>
      <c r="D4" s="8" t="s">
        <v>8</v>
      </c>
      <c r="E4" s="8">
        <v>1</v>
      </c>
      <c r="F4" s="8">
        <v>0</v>
      </c>
      <c r="G4" s="8">
        <v>0</v>
      </c>
      <c r="H4" s="8">
        <v>0</v>
      </c>
      <c r="I4" s="8">
        <v>0</v>
      </c>
      <c r="J4" s="8">
        <v>1</v>
      </c>
    </row>
  </sheetData>
  <autoFilter ref="A1:I4"/>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27"/>
  <sheetViews>
    <sheetView zoomScale="115" zoomScaleNormal="115" zoomScalePageLayoutView="115" workbookViewId="0">
      <pane ySplit="1" topLeftCell="A2" activePane="bottomLeft" state="frozen"/>
      <selection pane="bottomLeft" activeCell="G2" sqref="G2"/>
    </sheetView>
  </sheetViews>
  <sheetFormatPr baseColWidth="10" defaultRowHeight="14" x14ac:dyDescent="0"/>
  <cols>
    <col min="1" max="1" width="10.83203125" style="8"/>
    <col min="2" max="2" width="35.33203125" style="8" customWidth="1"/>
    <col min="3" max="16384" width="10.83203125" style="8"/>
  </cols>
  <sheetData>
    <row r="1" spans="1:10">
      <c r="A1" s="10"/>
      <c r="B1" s="10" t="s">
        <v>1</v>
      </c>
      <c r="C1" s="10" t="s">
        <v>5</v>
      </c>
      <c r="D1" s="10" t="s">
        <v>2</v>
      </c>
      <c r="E1" s="10" t="s">
        <v>3</v>
      </c>
      <c r="F1" s="10" t="s">
        <v>4</v>
      </c>
      <c r="G1" s="10" t="s">
        <v>16</v>
      </c>
      <c r="H1" s="3" t="s">
        <v>567</v>
      </c>
      <c r="I1" s="3" t="s">
        <v>577</v>
      </c>
      <c r="J1" s="3" t="s">
        <v>569</v>
      </c>
    </row>
    <row r="2" spans="1:10" ht="105" hidden="1">
      <c r="A2" s="9" t="s">
        <v>350</v>
      </c>
      <c r="B2" s="7" t="s">
        <v>351</v>
      </c>
      <c r="C2" s="8" t="s">
        <v>6</v>
      </c>
      <c r="D2" s="8" t="s">
        <v>8</v>
      </c>
      <c r="E2" s="8">
        <v>1</v>
      </c>
      <c r="F2" s="8">
        <v>0</v>
      </c>
      <c r="G2" s="8">
        <v>0</v>
      </c>
      <c r="H2" s="8">
        <v>0</v>
      </c>
      <c r="I2" s="8">
        <v>0</v>
      </c>
      <c r="J2" s="8">
        <v>0</v>
      </c>
    </row>
    <row r="3" spans="1:10" ht="120" hidden="1">
      <c r="A3" s="9" t="s">
        <v>350</v>
      </c>
      <c r="B3" s="7" t="s">
        <v>352</v>
      </c>
      <c r="C3" s="8" t="s">
        <v>6</v>
      </c>
      <c r="D3" s="8" t="s">
        <v>8</v>
      </c>
      <c r="E3" s="8">
        <v>1</v>
      </c>
      <c r="F3" s="8">
        <v>0</v>
      </c>
      <c r="G3" s="8">
        <v>0</v>
      </c>
      <c r="H3" s="8">
        <v>0</v>
      </c>
      <c r="I3" s="8">
        <v>0</v>
      </c>
      <c r="J3" s="8">
        <v>0</v>
      </c>
    </row>
    <row r="4" spans="1:10" ht="90" hidden="1">
      <c r="A4" s="9" t="s">
        <v>350</v>
      </c>
      <c r="B4" s="7" t="s">
        <v>353</v>
      </c>
      <c r="C4" s="8" t="s">
        <v>18</v>
      </c>
      <c r="D4" s="8" t="s">
        <v>8</v>
      </c>
      <c r="E4" s="8">
        <v>3</v>
      </c>
      <c r="F4" s="8">
        <v>0</v>
      </c>
      <c r="G4" s="8">
        <v>0</v>
      </c>
      <c r="H4" s="8">
        <v>0</v>
      </c>
      <c r="I4" s="8">
        <v>0</v>
      </c>
      <c r="J4" s="8">
        <v>0</v>
      </c>
    </row>
    <row r="5" spans="1:10" ht="90" hidden="1">
      <c r="A5" s="9" t="s">
        <v>350</v>
      </c>
      <c r="B5" s="7" t="s">
        <v>354</v>
      </c>
      <c r="C5" s="8" t="s">
        <v>6</v>
      </c>
      <c r="D5" s="8" t="s">
        <v>8</v>
      </c>
      <c r="E5" s="8">
        <v>3</v>
      </c>
      <c r="F5" s="8">
        <v>0</v>
      </c>
      <c r="G5" s="8">
        <v>0</v>
      </c>
      <c r="H5" s="8">
        <v>0</v>
      </c>
      <c r="I5" s="8">
        <v>0</v>
      </c>
      <c r="J5" s="8">
        <v>0</v>
      </c>
    </row>
    <row r="6" spans="1:10" ht="45" hidden="1">
      <c r="A6" s="9" t="s">
        <v>350</v>
      </c>
      <c r="B6" s="7" t="s">
        <v>355</v>
      </c>
      <c r="C6" s="8" t="s">
        <v>18</v>
      </c>
      <c r="D6" s="8" t="s">
        <v>8</v>
      </c>
      <c r="E6" s="8">
        <v>1</v>
      </c>
      <c r="F6" s="8">
        <v>0</v>
      </c>
      <c r="G6" s="8">
        <v>0</v>
      </c>
      <c r="H6" s="8">
        <v>0</v>
      </c>
      <c r="I6" s="8">
        <v>0</v>
      </c>
      <c r="J6" s="8">
        <v>1</v>
      </c>
    </row>
    <row r="7" spans="1:10" ht="45" hidden="1">
      <c r="A7" s="9" t="s">
        <v>350</v>
      </c>
      <c r="B7" s="7" t="s">
        <v>356</v>
      </c>
      <c r="C7" s="8" t="s">
        <v>18</v>
      </c>
      <c r="D7" s="8" t="s">
        <v>8</v>
      </c>
      <c r="E7" s="8">
        <v>1</v>
      </c>
      <c r="F7" s="8">
        <v>0</v>
      </c>
      <c r="G7" s="8">
        <v>0</v>
      </c>
      <c r="H7" s="8">
        <v>0</v>
      </c>
      <c r="I7" s="8">
        <v>0</v>
      </c>
      <c r="J7" s="8">
        <v>1</v>
      </c>
    </row>
    <row r="8" spans="1:10" ht="90" hidden="1">
      <c r="A8" s="9" t="s">
        <v>350</v>
      </c>
      <c r="B8" s="7" t="s">
        <v>357</v>
      </c>
      <c r="C8" s="8" t="s">
        <v>18</v>
      </c>
      <c r="D8" s="8" t="s">
        <v>8</v>
      </c>
      <c r="E8" s="8">
        <v>1</v>
      </c>
      <c r="F8" s="8">
        <v>0</v>
      </c>
      <c r="G8" s="8">
        <v>0</v>
      </c>
      <c r="H8" s="8">
        <v>0</v>
      </c>
      <c r="I8" s="8">
        <v>0</v>
      </c>
      <c r="J8" s="8">
        <v>1</v>
      </c>
    </row>
    <row r="9" spans="1:10" ht="90" hidden="1">
      <c r="A9" s="9" t="s">
        <v>350</v>
      </c>
      <c r="B9" s="7" t="s">
        <v>358</v>
      </c>
      <c r="C9" s="8" t="s">
        <v>18</v>
      </c>
      <c r="D9" s="8" t="s">
        <v>8</v>
      </c>
      <c r="E9" s="8">
        <v>1</v>
      </c>
      <c r="F9" s="8">
        <v>0</v>
      </c>
      <c r="G9" s="8">
        <v>0</v>
      </c>
      <c r="H9" s="8">
        <v>0</v>
      </c>
      <c r="I9" s="8">
        <v>0</v>
      </c>
      <c r="J9" s="8">
        <v>1</v>
      </c>
    </row>
    <row r="10" spans="1:10" ht="105">
      <c r="A10" s="9" t="s">
        <v>350</v>
      </c>
      <c r="B10" s="7" t="s">
        <v>359</v>
      </c>
      <c r="C10" s="8" t="s">
        <v>6</v>
      </c>
      <c r="D10" s="8" t="s">
        <v>8</v>
      </c>
      <c r="E10" s="8">
        <v>1</v>
      </c>
      <c r="F10" s="8">
        <v>1</v>
      </c>
      <c r="G10" s="8">
        <v>0</v>
      </c>
      <c r="H10" s="8">
        <v>0</v>
      </c>
      <c r="I10" s="8">
        <v>1</v>
      </c>
      <c r="J10" s="8">
        <v>0</v>
      </c>
    </row>
    <row r="11" spans="1:10" ht="120" hidden="1">
      <c r="A11" s="9" t="s">
        <v>350</v>
      </c>
      <c r="B11" s="7" t="s">
        <v>360</v>
      </c>
      <c r="C11" s="8" t="s">
        <v>6</v>
      </c>
      <c r="D11" s="8" t="s">
        <v>8</v>
      </c>
      <c r="E11" s="8">
        <v>6</v>
      </c>
      <c r="F11" s="8">
        <v>0</v>
      </c>
      <c r="G11" s="8">
        <v>0</v>
      </c>
      <c r="H11" s="8">
        <v>0</v>
      </c>
      <c r="I11" s="8">
        <v>0</v>
      </c>
      <c r="J11" s="8">
        <v>0</v>
      </c>
    </row>
    <row r="12" spans="1:10" ht="120" hidden="1">
      <c r="A12" s="9" t="s">
        <v>350</v>
      </c>
      <c r="B12" s="7" t="s">
        <v>361</v>
      </c>
      <c r="C12" s="8" t="s">
        <v>6</v>
      </c>
      <c r="D12" s="8" t="s">
        <v>8</v>
      </c>
      <c r="E12" s="8">
        <v>6</v>
      </c>
      <c r="F12" s="8">
        <v>0</v>
      </c>
      <c r="G12" s="8">
        <v>0</v>
      </c>
      <c r="H12" s="8">
        <v>0</v>
      </c>
      <c r="I12" s="8">
        <v>0</v>
      </c>
      <c r="J12" s="8">
        <v>0</v>
      </c>
    </row>
    <row r="13" spans="1:10" ht="120" hidden="1">
      <c r="A13" s="9" t="s">
        <v>350</v>
      </c>
      <c r="B13" s="7" t="s">
        <v>362</v>
      </c>
      <c r="C13" s="8" t="s">
        <v>6</v>
      </c>
      <c r="D13" s="8" t="s">
        <v>8</v>
      </c>
      <c r="E13" s="8">
        <v>6</v>
      </c>
      <c r="F13" s="8">
        <v>0</v>
      </c>
      <c r="G13" s="8">
        <v>0</v>
      </c>
      <c r="H13" s="8">
        <v>0</v>
      </c>
      <c r="I13" s="8">
        <v>0</v>
      </c>
      <c r="J13" s="8">
        <v>0</v>
      </c>
    </row>
    <row r="14" spans="1:10" ht="75" hidden="1">
      <c r="A14" s="9" t="s">
        <v>350</v>
      </c>
      <c r="B14" s="7" t="s">
        <v>363</v>
      </c>
      <c r="C14" s="8" t="s">
        <v>6</v>
      </c>
      <c r="D14" s="8" t="s">
        <v>8</v>
      </c>
      <c r="E14" s="8">
        <v>3</v>
      </c>
      <c r="F14" s="8">
        <v>0</v>
      </c>
      <c r="G14" s="8">
        <v>0</v>
      </c>
      <c r="H14" s="8">
        <v>0</v>
      </c>
      <c r="I14" s="8">
        <v>0</v>
      </c>
      <c r="J14" s="8">
        <v>0</v>
      </c>
    </row>
    <row r="15" spans="1:10" ht="60" hidden="1">
      <c r="A15" s="9" t="s">
        <v>350</v>
      </c>
      <c r="B15" s="7" t="s">
        <v>584</v>
      </c>
      <c r="C15" s="8" t="s">
        <v>6</v>
      </c>
      <c r="D15" s="8" t="s">
        <v>8</v>
      </c>
      <c r="E15" s="8">
        <v>6</v>
      </c>
      <c r="F15" s="8">
        <v>0</v>
      </c>
      <c r="G15" s="8">
        <v>0</v>
      </c>
      <c r="H15" s="8">
        <v>1</v>
      </c>
      <c r="I15" s="8">
        <v>0</v>
      </c>
      <c r="J15" s="8">
        <v>0</v>
      </c>
    </row>
    <row r="16" spans="1:10" ht="60" hidden="1">
      <c r="A16" s="9" t="s">
        <v>350</v>
      </c>
      <c r="B16" s="7" t="s">
        <v>583</v>
      </c>
      <c r="C16" s="8" t="s">
        <v>6</v>
      </c>
      <c r="D16" s="8" t="s">
        <v>8</v>
      </c>
      <c r="E16" s="8">
        <v>6</v>
      </c>
      <c r="F16" s="8">
        <v>0</v>
      </c>
      <c r="G16" s="8">
        <v>0</v>
      </c>
      <c r="H16" s="8">
        <v>1</v>
      </c>
      <c r="I16" s="8">
        <v>0</v>
      </c>
      <c r="J16" s="8">
        <v>0</v>
      </c>
    </row>
    <row r="17" spans="1:10" ht="255" hidden="1">
      <c r="A17" s="9" t="s">
        <v>350</v>
      </c>
      <c r="B17" s="65" t="s">
        <v>585</v>
      </c>
      <c r="C17" s="8" t="s">
        <v>7</v>
      </c>
      <c r="D17" s="8" t="s">
        <v>8</v>
      </c>
      <c r="E17" s="8">
        <v>3</v>
      </c>
      <c r="F17" s="8">
        <v>0</v>
      </c>
      <c r="G17" s="8">
        <v>0</v>
      </c>
      <c r="H17" s="8">
        <v>1</v>
      </c>
      <c r="I17" s="8">
        <v>0</v>
      </c>
      <c r="J17" s="8">
        <v>0</v>
      </c>
    </row>
    <row r="18" spans="1:10" ht="120" hidden="1">
      <c r="A18" s="9" t="s">
        <v>350</v>
      </c>
      <c r="B18" s="7" t="s">
        <v>364</v>
      </c>
      <c r="C18" s="8" t="s">
        <v>18</v>
      </c>
      <c r="D18" s="8" t="s">
        <v>8</v>
      </c>
      <c r="E18" s="8">
        <v>3</v>
      </c>
      <c r="F18" s="8">
        <v>0</v>
      </c>
      <c r="G18" s="8">
        <v>0</v>
      </c>
      <c r="H18" s="8">
        <v>1</v>
      </c>
      <c r="I18" s="8">
        <v>0</v>
      </c>
      <c r="J18" s="8">
        <v>0</v>
      </c>
    </row>
    <row r="19" spans="1:10" ht="105" hidden="1">
      <c r="A19" s="9" t="s">
        <v>350</v>
      </c>
      <c r="B19" s="7" t="s">
        <v>365</v>
      </c>
      <c r="C19" s="8" t="s">
        <v>18</v>
      </c>
      <c r="D19" s="8" t="s">
        <v>8</v>
      </c>
      <c r="E19" s="8">
        <v>3</v>
      </c>
      <c r="F19" s="8">
        <v>0</v>
      </c>
      <c r="G19" s="8">
        <v>0</v>
      </c>
      <c r="H19" s="8">
        <v>1</v>
      </c>
      <c r="I19" s="8">
        <v>0</v>
      </c>
      <c r="J19" s="8">
        <v>0</v>
      </c>
    </row>
    <row r="20" spans="1:10" ht="15">
      <c r="B20" s="7"/>
    </row>
    <row r="21" spans="1:10" ht="15">
      <c r="B21" s="7"/>
    </row>
    <row r="22" spans="1:10" ht="15">
      <c r="B22" s="7"/>
    </row>
    <row r="23" spans="1:10" ht="15">
      <c r="B23" s="7"/>
    </row>
    <row r="24" spans="1:10" ht="15">
      <c r="B24" s="7"/>
    </row>
    <row r="25" spans="1:10" ht="15">
      <c r="B25" s="7"/>
    </row>
    <row r="26" spans="1:10" ht="15">
      <c r="B26" s="7"/>
    </row>
    <row r="27" spans="1:10" ht="15">
      <c r="B27" s="7"/>
    </row>
  </sheetData>
  <autoFilter ref="A1:J19">
    <filterColumn colId="5">
      <filters>
        <filter val="1"/>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34"/>
  <sheetViews>
    <sheetView workbookViewId="0">
      <pane ySplit="1" topLeftCell="A20" activePane="bottomLeft" state="frozen"/>
      <selection pane="bottomLeft" activeCell="H29" sqref="H29"/>
    </sheetView>
  </sheetViews>
  <sheetFormatPr baseColWidth="10" defaultRowHeight="14" x14ac:dyDescent="0"/>
  <cols>
    <col min="1" max="1" width="10.83203125" style="8"/>
    <col min="2" max="2" width="40.332031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90">
      <c r="A2" s="8" t="s">
        <v>366</v>
      </c>
      <c r="B2" s="7" t="s">
        <v>367</v>
      </c>
      <c r="C2" s="8" t="s">
        <v>6</v>
      </c>
      <c r="D2" s="8" t="s">
        <v>8</v>
      </c>
      <c r="E2" s="8">
        <v>1</v>
      </c>
      <c r="F2" s="8">
        <v>1</v>
      </c>
      <c r="G2" s="8">
        <v>0</v>
      </c>
      <c r="H2" s="8">
        <v>2</v>
      </c>
      <c r="I2" s="8">
        <v>0</v>
      </c>
      <c r="J2" s="8">
        <v>0</v>
      </c>
    </row>
    <row r="3" spans="1:10" ht="60" hidden="1">
      <c r="A3" s="8" t="s">
        <v>366</v>
      </c>
      <c r="B3" s="7" t="s">
        <v>368</v>
      </c>
      <c r="C3" s="8" t="s">
        <v>6</v>
      </c>
      <c r="D3" s="8" t="s">
        <v>8</v>
      </c>
      <c r="E3" s="8">
        <v>2</v>
      </c>
      <c r="F3" s="8">
        <v>0</v>
      </c>
      <c r="G3" s="8">
        <v>0</v>
      </c>
      <c r="H3" s="8">
        <v>0</v>
      </c>
      <c r="I3" s="8">
        <v>0</v>
      </c>
      <c r="J3" s="8">
        <v>0</v>
      </c>
    </row>
    <row r="4" spans="1:10" ht="60" hidden="1">
      <c r="A4" s="8" t="s">
        <v>366</v>
      </c>
      <c r="B4" s="7" t="s">
        <v>369</v>
      </c>
      <c r="C4" s="8" t="s">
        <v>6</v>
      </c>
      <c r="D4" s="8" t="s">
        <v>8</v>
      </c>
      <c r="E4" s="8">
        <v>2</v>
      </c>
      <c r="F4" s="8">
        <v>0</v>
      </c>
      <c r="G4" s="8">
        <v>0</v>
      </c>
      <c r="H4" s="8">
        <v>0</v>
      </c>
      <c r="I4" s="8">
        <v>0</v>
      </c>
      <c r="J4" s="8">
        <v>0</v>
      </c>
    </row>
    <row r="5" spans="1:10" ht="45" hidden="1">
      <c r="A5" s="8" t="s">
        <v>366</v>
      </c>
      <c r="B5" s="7" t="s">
        <v>370</v>
      </c>
      <c r="C5" s="8" t="s">
        <v>6</v>
      </c>
      <c r="D5" s="8" t="s">
        <v>8</v>
      </c>
      <c r="E5" s="8">
        <v>6</v>
      </c>
      <c r="F5" s="8">
        <v>0</v>
      </c>
      <c r="G5" s="8">
        <v>0</v>
      </c>
      <c r="H5" s="8">
        <v>0</v>
      </c>
      <c r="I5" s="8">
        <v>1</v>
      </c>
      <c r="J5" s="8">
        <v>1</v>
      </c>
    </row>
    <row r="6" spans="1:10" ht="60" hidden="1">
      <c r="A6" s="8" t="s">
        <v>366</v>
      </c>
      <c r="B6" s="7" t="s">
        <v>371</v>
      </c>
      <c r="C6" s="8" t="s">
        <v>18</v>
      </c>
      <c r="D6" s="8" t="s">
        <v>8</v>
      </c>
      <c r="E6" s="8">
        <v>4</v>
      </c>
      <c r="F6" s="8">
        <v>0</v>
      </c>
      <c r="G6" s="8">
        <v>0</v>
      </c>
      <c r="H6" s="8">
        <v>1</v>
      </c>
      <c r="I6" s="8">
        <v>0</v>
      </c>
      <c r="J6" s="8">
        <v>0</v>
      </c>
    </row>
    <row r="7" spans="1:10" ht="45" hidden="1">
      <c r="A7" s="8" t="s">
        <v>366</v>
      </c>
      <c r="B7" s="7" t="s">
        <v>393</v>
      </c>
      <c r="C7" s="8" t="s">
        <v>18</v>
      </c>
      <c r="D7" s="8" t="s">
        <v>8</v>
      </c>
      <c r="E7" s="8">
        <v>3</v>
      </c>
      <c r="F7" s="8">
        <v>0</v>
      </c>
      <c r="G7" s="8">
        <v>0</v>
      </c>
      <c r="H7" s="8">
        <v>1</v>
      </c>
      <c r="I7" s="8">
        <v>0</v>
      </c>
      <c r="J7" s="8">
        <v>0</v>
      </c>
    </row>
    <row r="8" spans="1:10" ht="45" hidden="1">
      <c r="A8" s="8" t="s">
        <v>366</v>
      </c>
      <c r="B8" s="7" t="s">
        <v>372</v>
      </c>
      <c r="C8" s="8" t="s">
        <v>6</v>
      </c>
      <c r="D8" s="8" t="s">
        <v>8</v>
      </c>
      <c r="E8" s="8">
        <v>3</v>
      </c>
      <c r="F8" s="8">
        <v>0</v>
      </c>
      <c r="G8" s="8">
        <v>0</v>
      </c>
      <c r="H8" s="8">
        <v>1</v>
      </c>
      <c r="I8" s="8">
        <v>0</v>
      </c>
      <c r="J8" s="8">
        <v>0</v>
      </c>
    </row>
    <row r="9" spans="1:10" ht="75" hidden="1">
      <c r="A9" s="8" t="s">
        <v>366</v>
      </c>
      <c r="B9" s="7" t="s">
        <v>373</v>
      </c>
      <c r="C9" s="8" t="s">
        <v>6</v>
      </c>
      <c r="D9" s="8" t="s">
        <v>8</v>
      </c>
      <c r="E9" s="8">
        <v>2</v>
      </c>
      <c r="F9" s="8">
        <v>0</v>
      </c>
      <c r="G9" s="8">
        <v>0</v>
      </c>
      <c r="H9" s="8">
        <v>0</v>
      </c>
      <c r="I9" s="8">
        <v>0</v>
      </c>
      <c r="J9" s="8">
        <v>1</v>
      </c>
    </row>
    <row r="10" spans="1:10" ht="30" hidden="1">
      <c r="A10" s="8" t="s">
        <v>366</v>
      </c>
      <c r="B10" s="7" t="s">
        <v>374</v>
      </c>
      <c r="C10" s="8" t="s">
        <v>18</v>
      </c>
      <c r="D10" s="8" t="s">
        <v>8</v>
      </c>
      <c r="E10" s="8">
        <v>1</v>
      </c>
      <c r="F10" s="8">
        <v>0</v>
      </c>
      <c r="G10" s="8">
        <v>1</v>
      </c>
      <c r="H10" s="8">
        <v>0</v>
      </c>
      <c r="I10" s="8">
        <v>0</v>
      </c>
      <c r="J10" s="8">
        <v>1</v>
      </c>
    </row>
    <row r="11" spans="1:10" ht="75" hidden="1">
      <c r="A11" s="8" t="s">
        <v>366</v>
      </c>
      <c r="B11" s="7" t="s">
        <v>375</v>
      </c>
      <c r="C11" s="8" t="s">
        <v>6</v>
      </c>
      <c r="D11" s="8" t="s">
        <v>8</v>
      </c>
      <c r="E11" s="8">
        <v>4</v>
      </c>
      <c r="F11" s="8">
        <v>0</v>
      </c>
      <c r="G11" s="8">
        <v>0</v>
      </c>
      <c r="H11" s="8">
        <v>0</v>
      </c>
      <c r="I11" s="8">
        <v>0</v>
      </c>
      <c r="J11" s="8">
        <v>0</v>
      </c>
    </row>
    <row r="12" spans="1:10" ht="90" hidden="1">
      <c r="A12" s="8" t="s">
        <v>366</v>
      </c>
      <c r="B12" s="7" t="s">
        <v>376</v>
      </c>
      <c r="C12" s="8" t="s">
        <v>18</v>
      </c>
      <c r="D12" s="8" t="s">
        <v>8</v>
      </c>
      <c r="E12" s="8">
        <v>2</v>
      </c>
      <c r="F12" s="8">
        <v>0</v>
      </c>
      <c r="G12" s="8">
        <v>1</v>
      </c>
      <c r="H12" s="8">
        <v>1</v>
      </c>
      <c r="I12" s="8">
        <v>0</v>
      </c>
      <c r="J12" s="8">
        <v>0</v>
      </c>
    </row>
    <row r="13" spans="1:10" ht="60">
      <c r="A13" s="8" t="s">
        <v>366</v>
      </c>
      <c r="B13" s="7" t="s">
        <v>377</v>
      </c>
      <c r="C13" s="8" t="s">
        <v>7</v>
      </c>
      <c r="D13" s="8" t="s">
        <v>8</v>
      </c>
      <c r="E13" s="8">
        <v>3</v>
      </c>
      <c r="F13" s="8">
        <v>1</v>
      </c>
      <c r="G13" s="8">
        <v>0</v>
      </c>
      <c r="H13" s="8">
        <v>0</v>
      </c>
      <c r="I13" s="8">
        <v>1</v>
      </c>
      <c r="J13" s="8">
        <v>0</v>
      </c>
    </row>
    <row r="14" spans="1:10" ht="45" hidden="1">
      <c r="A14" s="8" t="s">
        <v>366</v>
      </c>
      <c r="B14" s="7" t="s">
        <v>378</v>
      </c>
      <c r="C14" s="8" t="s">
        <v>6</v>
      </c>
      <c r="D14" s="8" t="s">
        <v>8</v>
      </c>
      <c r="E14" s="8">
        <v>4</v>
      </c>
      <c r="F14" s="8">
        <v>0</v>
      </c>
      <c r="G14" s="8">
        <v>0</v>
      </c>
      <c r="H14" s="8">
        <v>0</v>
      </c>
      <c r="I14" s="8">
        <v>0</v>
      </c>
      <c r="J14" s="8">
        <v>0</v>
      </c>
    </row>
    <row r="15" spans="1:10" ht="60" hidden="1">
      <c r="A15" s="8" t="s">
        <v>366</v>
      </c>
      <c r="B15" s="7" t="s">
        <v>379</v>
      </c>
      <c r="C15" s="8" t="s">
        <v>6</v>
      </c>
      <c r="D15" s="8" t="s">
        <v>8</v>
      </c>
      <c r="E15" s="8">
        <v>1</v>
      </c>
      <c r="F15" s="8">
        <v>0</v>
      </c>
      <c r="G15" s="8">
        <v>0</v>
      </c>
      <c r="H15" s="8">
        <v>0</v>
      </c>
      <c r="I15" s="8">
        <v>0</v>
      </c>
      <c r="J15" s="8">
        <v>0</v>
      </c>
    </row>
    <row r="16" spans="1:10" ht="60" hidden="1">
      <c r="A16" s="8" t="s">
        <v>366</v>
      </c>
      <c r="B16" s="7" t="s">
        <v>380</v>
      </c>
      <c r="C16" s="8" t="s">
        <v>6</v>
      </c>
      <c r="D16" s="8" t="s">
        <v>8</v>
      </c>
      <c r="E16" s="8">
        <v>1</v>
      </c>
      <c r="F16" s="8">
        <v>0</v>
      </c>
      <c r="G16" s="8">
        <v>0</v>
      </c>
      <c r="H16" s="8">
        <v>0</v>
      </c>
      <c r="I16" s="8">
        <v>0</v>
      </c>
      <c r="J16" s="8">
        <v>0</v>
      </c>
    </row>
    <row r="17" spans="1:10" ht="60" hidden="1">
      <c r="A17" s="8" t="s">
        <v>366</v>
      </c>
      <c r="B17" s="7" t="s">
        <v>381</v>
      </c>
      <c r="C17" s="8" t="s">
        <v>6</v>
      </c>
      <c r="D17" s="8" t="s">
        <v>8</v>
      </c>
      <c r="E17" s="8">
        <v>3</v>
      </c>
      <c r="F17" s="8">
        <v>0</v>
      </c>
      <c r="G17" s="8">
        <v>1</v>
      </c>
      <c r="H17" s="8">
        <v>0</v>
      </c>
      <c r="I17" s="8">
        <v>1</v>
      </c>
      <c r="J17" s="8">
        <v>0</v>
      </c>
    </row>
    <row r="18" spans="1:10" ht="60">
      <c r="A18" s="8" t="s">
        <v>366</v>
      </c>
      <c r="B18" s="7" t="s">
        <v>382</v>
      </c>
      <c r="C18" s="8" t="s">
        <v>6</v>
      </c>
      <c r="D18" s="8" t="s">
        <v>8</v>
      </c>
      <c r="E18" s="8">
        <v>6</v>
      </c>
      <c r="F18" s="8">
        <v>1</v>
      </c>
      <c r="G18" s="8">
        <v>0</v>
      </c>
      <c r="H18" s="8">
        <v>0</v>
      </c>
      <c r="I18" s="8">
        <v>1</v>
      </c>
      <c r="J18" s="8">
        <v>0</v>
      </c>
    </row>
    <row r="19" spans="1:10" ht="45">
      <c r="A19" s="8" t="s">
        <v>366</v>
      </c>
      <c r="B19" s="7" t="s">
        <v>383</v>
      </c>
      <c r="C19" s="8" t="s">
        <v>6</v>
      </c>
      <c r="D19" s="8" t="s">
        <v>8</v>
      </c>
      <c r="E19" s="8">
        <v>3</v>
      </c>
      <c r="F19" s="8">
        <v>1</v>
      </c>
      <c r="G19" s="8">
        <v>0</v>
      </c>
      <c r="H19" s="8">
        <v>0</v>
      </c>
      <c r="I19" s="8">
        <v>1</v>
      </c>
      <c r="J19" s="8">
        <v>0</v>
      </c>
    </row>
    <row r="20" spans="1:10" ht="75">
      <c r="A20" s="8" t="s">
        <v>366</v>
      </c>
      <c r="B20" s="7" t="s">
        <v>384</v>
      </c>
      <c r="C20" s="8" t="s">
        <v>6</v>
      </c>
      <c r="D20" s="8" t="s">
        <v>8</v>
      </c>
      <c r="E20" s="8">
        <v>4</v>
      </c>
      <c r="F20" s="8">
        <v>1</v>
      </c>
      <c r="G20" s="8">
        <v>0</v>
      </c>
      <c r="H20" s="8">
        <v>2</v>
      </c>
      <c r="I20" s="8">
        <v>0</v>
      </c>
      <c r="J20" s="8">
        <v>0</v>
      </c>
    </row>
    <row r="21" spans="1:10" ht="45" hidden="1">
      <c r="A21" s="8" t="s">
        <v>366</v>
      </c>
      <c r="B21" s="7" t="s">
        <v>385</v>
      </c>
      <c r="C21" s="8" t="s">
        <v>6</v>
      </c>
      <c r="D21" s="8" t="s">
        <v>8</v>
      </c>
      <c r="E21" s="8">
        <v>6</v>
      </c>
      <c r="F21" s="8">
        <v>0</v>
      </c>
      <c r="G21" s="8">
        <v>0</v>
      </c>
      <c r="H21" s="8">
        <v>0</v>
      </c>
      <c r="I21" s="8">
        <v>0</v>
      </c>
      <c r="J21" s="8">
        <v>1</v>
      </c>
    </row>
    <row r="22" spans="1:10" ht="60" hidden="1">
      <c r="A22" s="8" t="s">
        <v>366</v>
      </c>
      <c r="B22" s="7" t="s">
        <v>386</v>
      </c>
      <c r="C22" s="8" t="s">
        <v>18</v>
      </c>
      <c r="D22" s="8" t="s">
        <v>8</v>
      </c>
      <c r="E22" s="8">
        <v>1</v>
      </c>
      <c r="F22" s="8">
        <v>0</v>
      </c>
      <c r="G22" s="8">
        <v>0</v>
      </c>
      <c r="H22" s="8">
        <v>0</v>
      </c>
      <c r="I22" s="8">
        <v>0</v>
      </c>
      <c r="J22" s="8">
        <v>0</v>
      </c>
    </row>
    <row r="23" spans="1:10" ht="60" hidden="1">
      <c r="A23" s="8" t="s">
        <v>366</v>
      </c>
      <c r="B23" s="7" t="s">
        <v>387</v>
      </c>
      <c r="C23" s="8" t="s">
        <v>18</v>
      </c>
      <c r="D23" s="8" t="s">
        <v>8</v>
      </c>
      <c r="E23" s="8">
        <v>1</v>
      </c>
      <c r="F23" s="8">
        <v>0</v>
      </c>
      <c r="G23" s="8">
        <v>0</v>
      </c>
      <c r="H23" s="8">
        <v>0</v>
      </c>
      <c r="I23" s="8">
        <v>0</v>
      </c>
      <c r="J23" s="8">
        <v>0</v>
      </c>
    </row>
    <row r="24" spans="1:10" ht="120">
      <c r="A24" s="8" t="s">
        <v>366</v>
      </c>
      <c r="B24" s="7" t="s">
        <v>388</v>
      </c>
      <c r="C24" s="8" t="s">
        <v>6</v>
      </c>
      <c r="D24" s="8" t="s">
        <v>8</v>
      </c>
      <c r="E24" s="8">
        <v>4</v>
      </c>
      <c r="F24" s="8">
        <v>1</v>
      </c>
      <c r="G24" s="8">
        <v>0</v>
      </c>
      <c r="H24" s="8">
        <v>2</v>
      </c>
      <c r="I24" s="8">
        <v>0</v>
      </c>
      <c r="J24" s="8">
        <v>0</v>
      </c>
    </row>
    <row r="25" spans="1:10" ht="60" hidden="1">
      <c r="A25" s="8" t="s">
        <v>366</v>
      </c>
      <c r="B25" s="7" t="s">
        <v>389</v>
      </c>
      <c r="C25" s="8" t="s">
        <v>6</v>
      </c>
      <c r="D25" s="8" t="s">
        <v>8</v>
      </c>
      <c r="E25" s="8">
        <v>4</v>
      </c>
      <c r="F25" s="8">
        <v>1</v>
      </c>
      <c r="G25" s="8">
        <v>0</v>
      </c>
      <c r="H25" s="8">
        <v>1</v>
      </c>
      <c r="I25" s="8">
        <v>0</v>
      </c>
      <c r="J25" s="8">
        <v>0</v>
      </c>
    </row>
    <row r="26" spans="1:10" ht="90" hidden="1">
      <c r="A26" s="8" t="s">
        <v>366</v>
      </c>
      <c r="B26" s="7" t="s">
        <v>390</v>
      </c>
      <c r="C26" s="8" t="s">
        <v>18</v>
      </c>
      <c r="D26" s="8" t="s">
        <v>8</v>
      </c>
      <c r="E26" s="8">
        <v>4</v>
      </c>
      <c r="F26" s="8">
        <v>1</v>
      </c>
      <c r="G26" s="8">
        <v>0</v>
      </c>
      <c r="H26" s="8">
        <v>1</v>
      </c>
      <c r="I26" s="8">
        <v>0</v>
      </c>
      <c r="J26" s="8">
        <v>0</v>
      </c>
    </row>
    <row r="27" spans="1:10" ht="90">
      <c r="A27" s="8" t="s">
        <v>366</v>
      </c>
      <c r="B27" s="7" t="s">
        <v>391</v>
      </c>
      <c r="C27" s="8" t="s">
        <v>18</v>
      </c>
      <c r="D27" s="8" t="s">
        <v>8</v>
      </c>
      <c r="E27" s="8">
        <v>6</v>
      </c>
      <c r="F27" s="8">
        <v>1</v>
      </c>
      <c r="G27" s="8">
        <v>0</v>
      </c>
      <c r="H27" s="8">
        <v>2</v>
      </c>
      <c r="I27" s="8">
        <v>0</v>
      </c>
      <c r="J27" s="8">
        <v>0</v>
      </c>
    </row>
    <row r="28" spans="1:10" ht="45" hidden="1">
      <c r="A28" s="8" t="s">
        <v>366</v>
      </c>
      <c r="B28" s="7" t="s">
        <v>392</v>
      </c>
      <c r="C28" s="8" t="s">
        <v>6</v>
      </c>
      <c r="D28" s="8" t="s">
        <v>8</v>
      </c>
      <c r="E28" s="8">
        <v>1</v>
      </c>
      <c r="F28" s="8">
        <v>0</v>
      </c>
      <c r="G28" s="8">
        <v>0</v>
      </c>
      <c r="H28" s="8">
        <v>0</v>
      </c>
      <c r="I28" s="8">
        <v>0</v>
      </c>
      <c r="J28" s="8">
        <v>0</v>
      </c>
    </row>
    <row r="29" spans="1:10" ht="15">
      <c r="B29" s="7"/>
    </row>
    <row r="30" spans="1:10" ht="15">
      <c r="B30" s="7"/>
    </row>
    <row r="31" spans="1:10" ht="15">
      <c r="B31" s="7"/>
    </row>
    <row r="32" spans="1:10" ht="15">
      <c r="B32" s="7"/>
    </row>
    <row r="33" spans="2:2" ht="15">
      <c r="B33" s="7"/>
    </row>
    <row r="34" spans="2:2" ht="15">
      <c r="B34" s="6"/>
    </row>
  </sheetData>
  <autoFilter ref="A1:I28">
    <filterColumn colId="5">
      <filters>
        <filter val="1"/>
      </filters>
    </filterColumn>
    <filterColumn colId="7">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35"/>
  <sheetViews>
    <sheetView zoomScale="85" zoomScaleNormal="85" zoomScalePageLayoutView="85" workbookViewId="0">
      <pane ySplit="1" topLeftCell="A2" activePane="bottomLeft" state="frozen"/>
      <selection pane="bottomLeft" activeCell="H9" sqref="H9"/>
    </sheetView>
  </sheetViews>
  <sheetFormatPr baseColWidth="10" defaultRowHeight="14" x14ac:dyDescent="0"/>
  <cols>
    <col min="2" max="2" width="75.33203125" style="5" customWidth="1"/>
    <col min="6" max="6" width="17.33203125" customWidth="1"/>
  </cols>
  <sheetData>
    <row r="1" spans="1:10" ht="13.5" customHeight="1">
      <c r="A1" s="3" t="s">
        <v>0</v>
      </c>
      <c r="B1" s="3" t="s">
        <v>1</v>
      </c>
      <c r="C1" s="3" t="s">
        <v>5</v>
      </c>
      <c r="D1" s="3" t="s">
        <v>2</v>
      </c>
      <c r="E1" s="3" t="s">
        <v>3</v>
      </c>
      <c r="F1" s="3" t="s">
        <v>4</v>
      </c>
      <c r="G1" s="3" t="s">
        <v>16</v>
      </c>
      <c r="H1" s="3" t="s">
        <v>567</v>
      </c>
      <c r="I1" s="3" t="s">
        <v>578</v>
      </c>
      <c r="J1" s="3" t="s">
        <v>569</v>
      </c>
    </row>
    <row r="2" spans="1:10" ht="15" hidden="1">
      <c r="A2" t="s">
        <v>52</v>
      </c>
      <c r="B2" s="4" t="s">
        <v>22</v>
      </c>
      <c r="C2" t="s">
        <v>6</v>
      </c>
      <c r="D2" t="s">
        <v>20</v>
      </c>
      <c r="E2">
        <v>4</v>
      </c>
      <c r="F2">
        <v>0</v>
      </c>
      <c r="G2">
        <v>0</v>
      </c>
      <c r="H2">
        <v>0</v>
      </c>
      <c r="I2">
        <v>0</v>
      </c>
      <c r="J2">
        <v>0</v>
      </c>
    </row>
    <row r="3" spans="1:10" ht="60" hidden="1">
      <c r="A3" t="s">
        <v>52</v>
      </c>
      <c r="B3" s="4" t="s">
        <v>23</v>
      </c>
      <c r="C3" t="s">
        <v>6</v>
      </c>
      <c r="D3" t="s">
        <v>8</v>
      </c>
      <c r="E3">
        <v>2</v>
      </c>
      <c r="F3">
        <v>1</v>
      </c>
      <c r="G3">
        <v>0</v>
      </c>
      <c r="H3">
        <v>1</v>
      </c>
      <c r="I3">
        <v>1</v>
      </c>
      <c r="J3">
        <v>0</v>
      </c>
    </row>
    <row r="4" spans="1:10" ht="30" hidden="1">
      <c r="A4" t="s">
        <v>52</v>
      </c>
      <c r="B4" s="4" t="s">
        <v>24</v>
      </c>
      <c r="C4" t="s">
        <v>7</v>
      </c>
      <c r="D4" t="s">
        <v>19</v>
      </c>
      <c r="E4">
        <v>6</v>
      </c>
      <c r="F4">
        <v>0</v>
      </c>
      <c r="G4">
        <v>0</v>
      </c>
      <c r="H4">
        <v>0</v>
      </c>
      <c r="I4">
        <v>0</v>
      </c>
      <c r="J4">
        <v>0</v>
      </c>
    </row>
    <row r="5" spans="1:10" ht="75" hidden="1">
      <c r="A5" t="s">
        <v>52</v>
      </c>
      <c r="B5" s="4" t="s">
        <v>25</v>
      </c>
      <c r="C5" t="s">
        <v>6</v>
      </c>
      <c r="D5" t="s">
        <v>8</v>
      </c>
      <c r="E5">
        <v>3</v>
      </c>
      <c r="F5">
        <v>0</v>
      </c>
      <c r="G5">
        <v>0</v>
      </c>
      <c r="H5">
        <v>0</v>
      </c>
      <c r="I5">
        <v>1</v>
      </c>
      <c r="J5">
        <v>0</v>
      </c>
    </row>
    <row r="6" spans="1:10" ht="75" hidden="1">
      <c r="A6" t="s">
        <v>52</v>
      </c>
      <c r="B6" s="4" t="s">
        <v>26</v>
      </c>
      <c r="C6" t="s">
        <v>6</v>
      </c>
      <c r="D6" t="s">
        <v>8</v>
      </c>
      <c r="E6">
        <v>3</v>
      </c>
      <c r="F6">
        <v>0</v>
      </c>
      <c r="G6">
        <v>0</v>
      </c>
      <c r="H6">
        <v>1</v>
      </c>
      <c r="I6">
        <v>1</v>
      </c>
      <c r="J6">
        <v>0</v>
      </c>
    </row>
    <row r="7" spans="1:10" ht="15" hidden="1">
      <c r="A7" t="s">
        <v>52</v>
      </c>
      <c r="B7" s="4" t="s">
        <v>27</v>
      </c>
      <c r="C7" t="s">
        <v>7</v>
      </c>
      <c r="D7" t="s">
        <v>8</v>
      </c>
      <c r="E7">
        <v>4</v>
      </c>
      <c r="F7">
        <v>1</v>
      </c>
      <c r="G7">
        <v>0</v>
      </c>
      <c r="H7">
        <v>1</v>
      </c>
      <c r="I7">
        <v>0</v>
      </c>
      <c r="J7">
        <v>0</v>
      </c>
    </row>
    <row r="8" spans="1:10" ht="135" hidden="1">
      <c r="A8" t="s">
        <v>52</v>
      </c>
      <c r="B8" s="4" t="s">
        <v>570</v>
      </c>
      <c r="C8" t="s">
        <v>6</v>
      </c>
      <c r="D8" t="s">
        <v>8</v>
      </c>
      <c r="E8">
        <v>6</v>
      </c>
      <c r="F8">
        <v>1</v>
      </c>
      <c r="G8">
        <v>0</v>
      </c>
      <c r="H8">
        <v>1</v>
      </c>
      <c r="I8">
        <v>0</v>
      </c>
      <c r="J8">
        <v>0</v>
      </c>
    </row>
    <row r="9" spans="1:10" ht="135">
      <c r="A9" t="s">
        <v>52</v>
      </c>
      <c r="B9" s="4" t="s">
        <v>571</v>
      </c>
      <c r="C9" t="s">
        <v>6</v>
      </c>
      <c r="D9" t="s">
        <v>8</v>
      </c>
      <c r="E9">
        <v>4</v>
      </c>
      <c r="F9">
        <v>1</v>
      </c>
      <c r="G9">
        <v>0</v>
      </c>
      <c r="H9">
        <v>2</v>
      </c>
      <c r="I9">
        <v>0</v>
      </c>
      <c r="J9">
        <v>0</v>
      </c>
    </row>
    <row r="10" spans="1:10" ht="90">
      <c r="A10" t="s">
        <v>52</v>
      </c>
      <c r="B10" s="4" t="s">
        <v>28</v>
      </c>
      <c r="C10" t="s">
        <v>18</v>
      </c>
      <c r="D10" t="s">
        <v>8</v>
      </c>
      <c r="E10">
        <v>2</v>
      </c>
      <c r="F10">
        <v>1</v>
      </c>
      <c r="G10">
        <v>0</v>
      </c>
      <c r="H10">
        <v>2</v>
      </c>
      <c r="I10">
        <v>0</v>
      </c>
      <c r="J10">
        <v>0</v>
      </c>
    </row>
    <row r="11" spans="1:10" ht="90" hidden="1">
      <c r="A11" t="s">
        <v>52</v>
      </c>
      <c r="B11" s="4" t="s">
        <v>29</v>
      </c>
      <c r="C11" t="s">
        <v>18</v>
      </c>
      <c r="D11" t="s">
        <v>8</v>
      </c>
      <c r="E11">
        <v>3</v>
      </c>
      <c r="F11">
        <v>0</v>
      </c>
      <c r="G11">
        <v>0</v>
      </c>
      <c r="H11">
        <v>0</v>
      </c>
      <c r="I11">
        <v>0</v>
      </c>
      <c r="J11">
        <v>0</v>
      </c>
    </row>
    <row r="12" spans="1:10" ht="90" hidden="1">
      <c r="A12" t="s">
        <v>52</v>
      </c>
      <c r="B12" s="4" t="s">
        <v>30</v>
      </c>
      <c r="C12" t="s">
        <v>18</v>
      </c>
      <c r="D12" t="s">
        <v>8</v>
      </c>
      <c r="E12">
        <v>3</v>
      </c>
      <c r="F12">
        <v>0</v>
      </c>
      <c r="G12">
        <v>0</v>
      </c>
      <c r="H12">
        <v>0</v>
      </c>
      <c r="I12">
        <v>0</v>
      </c>
      <c r="J12">
        <v>0</v>
      </c>
    </row>
    <row r="13" spans="1:10" ht="90" hidden="1">
      <c r="A13" t="s">
        <v>52</v>
      </c>
      <c r="B13" s="4" t="s">
        <v>31</v>
      </c>
      <c r="C13" t="s">
        <v>18</v>
      </c>
      <c r="D13" t="s">
        <v>8</v>
      </c>
      <c r="E13">
        <v>4</v>
      </c>
      <c r="F13">
        <v>1</v>
      </c>
      <c r="G13">
        <v>0</v>
      </c>
      <c r="H13">
        <v>1</v>
      </c>
      <c r="I13">
        <v>0</v>
      </c>
      <c r="J13">
        <v>0</v>
      </c>
    </row>
    <row r="14" spans="1:10" ht="30" hidden="1">
      <c r="A14" t="s">
        <v>52</v>
      </c>
      <c r="B14" s="4" t="s">
        <v>32</v>
      </c>
      <c r="C14" t="s">
        <v>6</v>
      </c>
      <c r="D14" t="s">
        <v>8</v>
      </c>
      <c r="E14">
        <v>3</v>
      </c>
      <c r="F14">
        <v>1</v>
      </c>
      <c r="G14">
        <v>0</v>
      </c>
      <c r="H14">
        <v>1</v>
      </c>
      <c r="I14">
        <v>1</v>
      </c>
      <c r="J14">
        <v>0</v>
      </c>
    </row>
    <row r="15" spans="1:10" ht="30" hidden="1">
      <c r="A15" t="s">
        <v>52</v>
      </c>
      <c r="B15" s="4" t="s">
        <v>33</v>
      </c>
      <c r="C15" t="s">
        <v>6</v>
      </c>
      <c r="D15" t="s">
        <v>8</v>
      </c>
      <c r="E15">
        <v>3</v>
      </c>
      <c r="F15">
        <v>1</v>
      </c>
      <c r="G15">
        <v>0</v>
      </c>
      <c r="H15">
        <v>1</v>
      </c>
      <c r="I15">
        <v>0</v>
      </c>
      <c r="J15">
        <v>0</v>
      </c>
    </row>
    <row r="16" spans="1:10" ht="45" hidden="1">
      <c r="A16" t="s">
        <v>52</v>
      </c>
      <c r="B16" s="4" t="s">
        <v>34</v>
      </c>
      <c r="C16" t="s">
        <v>6</v>
      </c>
      <c r="D16" t="s">
        <v>8</v>
      </c>
      <c r="E16">
        <v>2</v>
      </c>
      <c r="F16">
        <v>0</v>
      </c>
      <c r="G16">
        <v>0</v>
      </c>
      <c r="H16">
        <v>1</v>
      </c>
      <c r="I16">
        <v>0</v>
      </c>
      <c r="J16">
        <v>0</v>
      </c>
    </row>
    <row r="17" spans="1:10" ht="75">
      <c r="A17" t="s">
        <v>52</v>
      </c>
      <c r="B17" s="4" t="s">
        <v>35</v>
      </c>
      <c r="C17" t="s">
        <v>18</v>
      </c>
      <c r="D17" t="s">
        <v>8</v>
      </c>
      <c r="E17">
        <v>3</v>
      </c>
      <c r="F17">
        <v>1</v>
      </c>
      <c r="G17">
        <v>0</v>
      </c>
      <c r="H17">
        <v>2</v>
      </c>
      <c r="I17">
        <v>0</v>
      </c>
      <c r="J17">
        <v>0</v>
      </c>
    </row>
    <row r="18" spans="1:10" ht="75" hidden="1">
      <c r="A18" t="s">
        <v>52</v>
      </c>
      <c r="B18" s="4" t="s">
        <v>36</v>
      </c>
      <c r="C18" t="s">
        <v>18</v>
      </c>
      <c r="D18" t="s">
        <v>8</v>
      </c>
      <c r="E18">
        <v>1</v>
      </c>
      <c r="F18">
        <v>0</v>
      </c>
      <c r="G18">
        <v>0</v>
      </c>
      <c r="H18">
        <v>0</v>
      </c>
      <c r="I18">
        <v>0</v>
      </c>
      <c r="J18">
        <v>0</v>
      </c>
    </row>
    <row r="19" spans="1:10" ht="30" hidden="1">
      <c r="A19" t="s">
        <v>52</v>
      </c>
      <c r="B19" s="4" t="s">
        <v>53</v>
      </c>
      <c r="C19" t="s">
        <v>18</v>
      </c>
      <c r="D19" t="s">
        <v>8</v>
      </c>
      <c r="E19">
        <v>4</v>
      </c>
      <c r="F19">
        <v>1</v>
      </c>
      <c r="G19">
        <v>0</v>
      </c>
      <c r="H19">
        <v>1</v>
      </c>
      <c r="I19">
        <v>0</v>
      </c>
      <c r="J19">
        <v>0</v>
      </c>
    </row>
    <row r="20" spans="1:10" ht="45" hidden="1">
      <c r="A20" t="s">
        <v>52</v>
      </c>
      <c r="B20" s="4" t="s">
        <v>37</v>
      </c>
      <c r="C20" t="s">
        <v>6</v>
      </c>
      <c r="D20" t="s">
        <v>8</v>
      </c>
      <c r="E20">
        <v>4</v>
      </c>
      <c r="F20">
        <v>1</v>
      </c>
      <c r="G20">
        <v>0</v>
      </c>
      <c r="H20">
        <v>1</v>
      </c>
      <c r="I20">
        <v>0</v>
      </c>
      <c r="J20">
        <v>0</v>
      </c>
    </row>
    <row r="21" spans="1:10" ht="30" hidden="1">
      <c r="A21" t="s">
        <v>52</v>
      </c>
      <c r="B21" s="4" t="s">
        <v>38</v>
      </c>
      <c r="C21" t="s">
        <v>6</v>
      </c>
      <c r="D21" t="s">
        <v>8</v>
      </c>
      <c r="E21">
        <v>1</v>
      </c>
      <c r="F21">
        <v>1</v>
      </c>
      <c r="G21">
        <v>0</v>
      </c>
      <c r="H21">
        <v>1</v>
      </c>
      <c r="I21">
        <v>0</v>
      </c>
      <c r="J21">
        <v>0</v>
      </c>
    </row>
    <row r="22" spans="1:10" ht="45" hidden="1">
      <c r="A22" t="s">
        <v>52</v>
      </c>
      <c r="B22" s="4" t="s">
        <v>572</v>
      </c>
      <c r="C22" t="s">
        <v>18</v>
      </c>
      <c r="D22" t="s">
        <v>8</v>
      </c>
      <c r="E22">
        <v>3</v>
      </c>
      <c r="F22">
        <v>0</v>
      </c>
      <c r="G22">
        <v>0</v>
      </c>
      <c r="H22">
        <v>0</v>
      </c>
      <c r="I22">
        <v>0</v>
      </c>
      <c r="J22">
        <v>0</v>
      </c>
    </row>
    <row r="23" spans="1:10" ht="30" hidden="1">
      <c r="A23" t="s">
        <v>52</v>
      </c>
      <c r="B23" s="4" t="s">
        <v>39</v>
      </c>
      <c r="C23" t="s">
        <v>18</v>
      </c>
      <c r="D23" t="s">
        <v>8</v>
      </c>
      <c r="E23">
        <v>3</v>
      </c>
      <c r="F23">
        <v>0</v>
      </c>
      <c r="G23">
        <v>0</v>
      </c>
      <c r="H23">
        <v>0</v>
      </c>
      <c r="I23">
        <v>0</v>
      </c>
      <c r="J23">
        <v>0</v>
      </c>
    </row>
    <row r="24" spans="1:10" ht="30" hidden="1">
      <c r="A24" t="s">
        <v>52</v>
      </c>
      <c r="B24" s="4" t="s">
        <v>40</v>
      </c>
      <c r="C24" t="s">
        <v>18</v>
      </c>
      <c r="D24" t="s">
        <v>8</v>
      </c>
      <c r="E24">
        <v>2</v>
      </c>
      <c r="F24">
        <v>0</v>
      </c>
      <c r="G24">
        <v>0</v>
      </c>
      <c r="H24">
        <v>0</v>
      </c>
      <c r="I24">
        <v>0</v>
      </c>
      <c r="J24">
        <v>0</v>
      </c>
    </row>
    <row r="25" spans="1:10" ht="30" hidden="1">
      <c r="A25" t="s">
        <v>52</v>
      </c>
      <c r="B25" s="4" t="s">
        <v>41</v>
      </c>
      <c r="C25" t="s">
        <v>6</v>
      </c>
      <c r="D25" t="s">
        <v>8</v>
      </c>
      <c r="E25">
        <v>3</v>
      </c>
      <c r="F25">
        <v>0</v>
      </c>
      <c r="G25">
        <v>0</v>
      </c>
      <c r="H25">
        <v>0</v>
      </c>
      <c r="I25">
        <v>0</v>
      </c>
      <c r="J25">
        <v>0</v>
      </c>
    </row>
    <row r="26" spans="1:10" ht="30" hidden="1">
      <c r="A26" t="s">
        <v>52</v>
      </c>
      <c r="B26" s="4" t="s">
        <v>42</v>
      </c>
      <c r="C26" t="s">
        <v>18</v>
      </c>
      <c r="D26" t="s">
        <v>8</v>
      </c>
      <c r="E26">
        <v>3</v>
      </c>
      <c r="F26">
        <v>0</v>
      </c>
      <c r="G26">
        <v>0</v>
      </c>
      <c r="H26">
        <v>0</v>
      </c>
      <c r="I26">
        <v>0</v>
      </c>
      <c r="J26">
        <v>0</v>
      </c>
    </row>
    <row r="27" spans="1:10" ht="15" hidden="1">
      <c r="A27" t="s">
        <v>52</v>
      </c>
      <c r="B27" s="4" t="s">
        <v>43</v>
      </c>
      <c r="C27" t="s">
        <v>6</v>
      </c>
      <c r="D27" t="s">
        <v>8</v>
      </c>
      <c r="E27">
        <v>2</v>
      </c>
      <c r="F27">
        <v>0</v>
      </c>
      <c r="G27">
        <v>0</v>
      </c>
      <c r="H27">
        <v>0</v>
      </c>
      <c r="I27">
        <v>0</v>
      </c>
      <c r="J27">
        <v>0</v>
      </c>
    </row>
    <row r="28" spans="1:10" ht="30" hidden="1">
      <c r="A28" t="s">
        <v>52</v>
      </c>
      <c r="B28" s="4" t="s">
        <v>44</v>
      </c>
      <c r="C28" t="s">
        <v>18</v>
      </c>
      <c r="D28" t="s">
        <v>8</v>
      </c>
      <c r="E28">
        <v>3</v>
      </c>
      <c r="F28">
        <v>1</v>
      </c>
      <c r="G28">
        <v>0</v>
      </c>
      <c r="H28">
        <v>1</v>
      </c>
      <c r="I28">
        <v>0</v>
      </c>
      <c r="J28">
        <v>0</v>
      </c>
    </row>
    <row r="29" spans="1:10" ht="30" hidden="1">
      <c r="A29" t="s">
        <v>52</v>
      </c>
      <c r="B29" s="4" t="s">
        <v>45</v>
      </c>
      <c r="C29" t="s">
        <v>18</v>
      </c>
      <c r="D29" t="s">
        <v>8</v>
      </c>
      <c r="E29">
        <v>1</v>
      </c>
      <c r="F29">
        <v>1</v>
      </c>
      <c r="G29">
        <v>0</v>
      </c>
      <c r="H29">
        <v>1</v>
      </c>
      <c r="I29">
        <v>0</v>
      </c>
      <c r="J29">
        <v>0</v>
      </c>
    </row>
    <row r="30" spans="1:10" ht="45" hidden="1">
      <c r="A30" t="s">
        <v>52</v>
      </c>
      <c r="B30" s="4" t="s">
        <v>46</v>
      </c>
      <c r="C30" t="s">
        <v>18</v>
      </c>
      <c r="D30" t="s">
        <v>8</v>
      </c>
      <c r="E30">
        <v>1</v>
      </c>
      <c r="F30">
        <v>0</v>
      </c>
      <c r="G30">
        <v>0</v>
      </c>
      <c r="H30">
        <v>0</v>
      </c>
      <c r="I30">
        <v>1</v>
      </c>
      <c r="J30">
        <v>0</v>
      </c>
    </row>
    <row r="31" spans="1:10" ht="45" hidden="1">
      <c r="A31" t="s">
        <v>52</v>
      </c>
      <c r="B31" s="4" t="s">
        <v>47</v>
      </c>
      <c r="C31" t="s">
        <v>18</v>
      </c>
      <c r="D31" t="s">
        <v>8</v>
      </c>
      <c r="E31">
        <v>3</v>
      </c>
      <c r="F31">
        <v>0</v>
      </c>
      <c r="G31">
        <v>0</v>
      </c>
      <c r="H31">
        <v>0</v>
      </c>
      <c r="I31">
        <v>1</v>
      </c>
      <c r="J31">
        <v>0</v>
      </c>
    </row>
    <row r="32" spans="1:10" ht="90" hidden="1">
      <c r="A32" t="s">
        <v>52</v>
      </c>
      <c r="B32" s="4" t="s">
        <v>48</v>
      </c>
      <c r="C32" t="s">
        <v>18</v>
      </c>
      <c r="D32" t="s">
        <v>8</v>
      </c>
      <c r="E32">
        <v>3</v>
      </c>
      <c r="F32">
        <v>0</v>
      </c>
      <c r="G32">
        <v>0</v>
      </c>
      <c r="H32">
        <v>0</v>
      </c>
      <c r="I32">
        <v>0</v>
      </c>
      <c r="J32">
        <v>1</v>
      </c>
    </row>
    <row r="33" spans="1:10" ht="90" hidden="1">
      <c r="A33" t="s">
        <v>52</v>
      </c>
      <c r="B33" s="4" t="s">
        <v>49</v>
      </c>
      <c r="C33" t="s">
        <v>18</v>
      </c>
      <c r="D33" t="s">
        <v>8</v>
      </c>
      <c r="E33">
        <v>3</v>
      </c>
      <c r="F33">
        <v>0</v>
      </c>
      <c r="G33">
        <v>1</v>
      </c>
      <c r="H33">
        <v>0</v>
      </c>
      <c r="I33">
        <v>0</v>
      </c>
      <c r="J33">
        <v>1</v>
      </c>
    </row>
    <row r="34" spans="1:10" ht="90" hidden="1">
      <c r="A34" t="s">
        <v>52</v>
      </c>
      <c r="B34" s="4" t="s">
        <v>50</v>
      </c>
      <c r="C34" t="s">
        <v>6</v>
      </c>
      <c r="D34" t="s">
        <v>8</v>
      </c>
      <c r="E34">
        <v>1</v>
      </c>
      <c r="F34">
        <v>0</v>
      </c>
      <c r="G34">
        <v>0</v>
      </c>
      <c r="H34">
        <v>0</v>
      </c>
      <c r="I34">
        <v>0</v>
      </c>
      <c r="J34">
        <v>1</v>
      </c>
    </row>
    <row r="35" spans="1:10" ht="30">
      <c r="A35" t="s">
        <v>52</v>
      </c>
      <c r="B35" s="4" t="s">
        <v>51</v>
      </c>
      <c r="C35" t="s">
        <v>18</v>
      </c>
      <c r="D35" t="s">
        <v>8</v>
      </c>
      <c r="E35">
        <v>6</v>
      </c>
      <c r="F35">
        <v>0</v>
      </c>
      <c r="G35">
        <v>1</v>
      </c>
      <c r="H35">
        <v>0</v>
      </c>
      <c r="I35">
        <v>1</v>
      </c>
      <c r="J35">
        <v>1</v>
      </c>
    </row>
  </sheetData>
  <autoFilter ref="A1:J35">
    <filterColumn colId="5">
      <filters>
        <filter val="1"/>
      </filters>
    </filterColumn>
    <filterColumn colId="7">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5" activePane="bottomLeft" state="frozen"/>
      <selection pane="bottomLeft" activeCell="B8" sqref="B2:B8"/>
    </sheetView>
  </sheetViews>
  <sheetFormatPr baseColWidth="10" defaultRowHeight="14" x14ac:dyDescent="0"/>
  <cols>
    <col min="1" max="1" width="10.83203125" style="8"/>
    <col min="2" max="2" width="46.332031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60">
      <c r="A2" s="8" t="s">
        <v>675</v>
      </c>
      <c r="B2" s="7" t="s">
        <v>676</v>
      </c>
      <c r="C2" s="8" t="s">
        <v>6</v>
      </c>
      <c r="D2" s="8" t="s">
        <v>20</v>
      </c>
      <c r="E2" s="8">
        <v>4</v>
      </c>
      <c r="F2" s="8">
        <v>0</v>
      </c>
      <c r="G2" s="8">
        <v>0</v>
      </c>
      <c r="H2" s="8">
        <v>0</v>
      </c>
      <c r="I2" s="8">
        <v>0</v>
      </c>
      <c r="J2" s="8">
        <v>0</v>
      </c>
    </row>
    <row r="3" spans="1:10" ht="45">
      <c r="A3" s="8" t="s">
        <v>675</v>
      </c>
      <c r="B3" s="7" t="s">
        <v>677</v>
      </c>
      <c r="C3" s="8" t="s">
        <v>7</v>
      </c>
      <c r="D3" s="8" t="s">
        <v>19</v>
      </c>
      <c r="E3" s="8">
        <v>3</v>
      </c>
      <c r="F3" s="8">
        <v>0</v>
      </c>
      <c r="G3" s="8">
        <v>0</v>
      </c>
      <c r="H3" s="8">
        <v>0</v>
      </c>
      <c r="I3" s="8">
        <v>0</v>
      </c>
      <c r="J3" s="8">
        <v>0</v>
      </c>
    </row>
    <row r="4" spans="1:10" ht="30">
      <c r="A4" s="8" t="s">
        <v>675</v>
      </c>
      <c r="B4" s="7" t="s">
        <v>678</v>
      </c>
      <c r="C4" s="8" t="s">
        <v>6</v>
      </c>
      <c r="D4" s="8" t="s">
        <v>20</v>
      </c>
      <c r="E4" s="8">
        <v>4</v>
      </c>
      <c r="F4" s="8">
        <v>0</v>
      </c>
      <c r="G4" s="8">
        <v>0</v>
      </c>
      <c r="H4" s="8">
        <v>0</v>
      </c>
      <c r="I4" s="8">
        <v>0</v>
      </c>
      <c r="J4" s="8">
        <v>0</v>
      </c>
    </row>
    <row r="5" spans="1:10" ht="30">
      <c r="A5" s="8" t="s">
        <v>675</v>
      </c>
      <c r="B5" s="7" t="s">
        <v>679</v>
      </c>
      <c r="C5" s="8" t="s">
        <v>6</v>
      </c>
      <c r="D5" s="8" t="s">
        <v>8</v>
      </c>
      <c r="E5" s="8">
        <v>1</v>
      </c>
      <c r="F5" s="8">
        <v>0</v>
      </c>
      <c r="G5" s="8">
        <v>1</v>
      </c>
      <c r="H5" s="8">
        <v>0</v>
      </c>
      <c r="I5" s="8">
        <v>0</v>
      </c>
      <c r="J5" s="8">
        <v>0</v>
      </c>
    </row>
    <row r="6" spans="1:10" ht="105">
      <c r="A6" s="8" t="s">
        <v>675</v>
      </c>
      <c r="B6" s="7" t="s">
        <v>680</v>
      </c>
      <c r="C6" s="8" t="s">
        <v>18</v>
      </c>
      <c r="D6" s="8" t="s">
        <v>8</v>
      </c>
      <c r="E6" s="8">
        <v>3</v>
      </c>
      <c r="F6" s="8">
        <v>0</v>
      </c>
      <c r="G6" s="8">
        <v>0</v>
      </c>
      <c r="H6" s="8">
        <v>0</v>
      </c>
      <c r="I6" s="8">
        <v>0</v>
      </c>
      <c r="J6" s="8">
        <v>0</v>
      </c>
    </row>
    <row r="7" spans="1:10" ht="105">
      <c r="A7" s="8" t="s">
        <v>675</v>
      </c>
      <c r="B7" s="7" t="s">
        <v>680</v>
      </c>
      <c r="C7" s="8" t="s">
        <v>6</v>
      </c>
      <c r="D7" s="8" t="s">
        <v>20</v>
      </c>
      <c r="E7" s="8">
        <v>4</v>
      </c>
      <c r="F7" s="8">
        <v>0</v>
      </c>
      <c r="G7" s="8">
        <v>0</v>
      </c>
      <c r="H7" s="8">
        <v>0</v>
      </c>
      <c r="I7" s="8">
        <v>0</v>
      </c>
      <c r="J7" s="8">
        <v>0</v>
      </c>
    </row>
    <row r="8" spans="1:10" ht="105">
      <c r="A8" s="8" t="s">
        <v>675</v>
      </c>
      <c r="B8" s="7" t="s">
        <v>680</v>
      </c>
      <c r="C8" s="8" t="s">
        <v>6</v>
      </c>
      <c r="D8" s="8" t="s">
        <v>8</v>
      </c>
      <c r="E8" s="8">
        <v>3</v>
      </c>
      <c r="F8" s="8">
        <v>0</v>
      </c>
      <c r="G8" s="8">
        <v>1</v>
      </c>
      <c r="H8" s="8">
        <v>0</v>
      </c>
      <c r="I8" s="8">
        <v>0</v>
      </c>
      <c r="J8" s="8">
        <v>0</v>
      </c>
    </row>
  </sheetData>
  <autoFilter ref="A1:J8"/>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6"/>
  <sheetViews>
    <sheetView workbookViewId="0">
      <pane ySplit="1" topLeftCell="A2" activePane="bottomLeft" state="frozen"/>
      <selection pane="bottomLeft" activeCell="E3" sqref="E3"/>
    </sheetView>
  </sheetViews>
  <sheetFormatPr baseColWidth="10" defaultRowHeight="14" x14ac:dyDescent="0"/>
  <cols>
    <col min="1" max="1" width="10.83203125" style="8"/>
    <col min="2" max="2" width="47.5" style="8" customWidth="1"/>
    <col min="3" max="16384" width="10.83203125" style="8"/>
  </cols>
  <sheetData>
    <row r="1" spans="1:10">
      <c r="A1" s="10"/>
      <c r="B1" s="10" t="s">
        <v>1</v>
      </c>
      <c r="C1" s="10" t="s">
        <v>5</v>
      </c>
      <c r="D1" s="10" t="s">
        <v>2</v>
      </c>
      <c r="E1" s="10" t="s">
        <v>3</v>
      </c>
      <c r="F1" s="10" t="s">
        <v>4</v>
      </c>
      <c r="G1" s="10" t="s">
        <v>16</v>
      </c>
      <c r="H1" s="3" t="s">
        <v>567</v>
      </c>
      <c r="I1" s="3" t="s">
        <v>577</v>
      </c>
      <c r="J1" s="3" t="s">
        <v>569</v>
      </c>
    </row>
    <row r="2" spans="1:10" ht="45">
      <c r="A2" s="6" t="s">
        <v>399</v>
      </c>
      <c r="B2" s="7" t="s">
        <v>394</v>
      </c>
      <c r="C2" s="8" t="s">
        <v>6</v>
      </c>
      <c r="D2" s="8" t="s">
        <v>20</v>
      </c>
      <c r="E2" s="8">
        <v>4</v>
      </c>
      <c r="F2" s="8">
        <v>0</v>
      </c>
      <c r="G2" s="8">
        <v>0</v>
      </c>
      <c r="H2" s="8">
        <v>0</v>
      </c>
      <c r="I2" s="8">
        <v>0</v>
      </c>
      <c r="J2" s="8">
        <v>0</v>
      </c>
    </row>
    <row r="3" spans="1:10" ht="30">
      <c r="A3" s="6" t="s">
        <v>399</v>
      </c>
      <c r="B3" s="7" t="s">
        <v>395</v>
      </c>
      <c r="C3" s="8" t="s">
        <v>6</v>
      </c>
      <c r="D3" s="8" t="s">
        <v>8</v>
      </c>
      <c r="E3" s="8">
        <v>1</v>
      </c>
      <c r="F3" s="8">
        <v>0</v>
      </c>
      <c r="G3" s="8">
        <v>0</v>
      </c>
      <c r="H3" s="8">
        <v>2</v>
      </c>
      <c r="I3" s="8">
        <v>0</v>
      </c>
      <c r="J3" s="8">
        <v>0</v>
      </c>
    </row>
    <row r="4" spans="1:10" ht="30" hidden="1">
      <c r="A4" s="6" t="s">
        <v>399</v>
      </c>
      <c r="B4" s="7" t="s">
        <v>396</v>
      </c>
      <c r="C4" s="8" t="s">
        <v>6</v>
      </c>
      <c r="D4" s="8" t="s">
        <v>8</v>
      </c>
      <c r="E4" s="8">
        <v>1</v>
      </c>
      <c r="F4" s="8">
        <v>1</v>
      </c>
      <c r="G4" s="8">
        <v>0</v>
      </c>
      <c r="H4" s="8">
        <v>0</v>
      </c>
      <c r="I4" s="8">
        <v>0</v>
      </c>
      <c r="J4" s="8">
        <v>0</v>
      </c>
    </row>
    <row r="5" spans="1:10" ht="45" hidden="1">
      <c r="A5" s="6" t="s">
        <v>399</v>
      </c>
      <c r="B5" s="7" t="s">
        <v>397</v>
      </c>
      <c r="C5" s="8" t="s">
        <v>6</v>
      </c>
      <c r="D5" s="8" t="s">
        <v>8</v>
      </c>
      <c r="E5" s="8">
        <v>3</v>
      </c>
      <c r="F5" s="8">
        <v>0</v>
      </c>
      <c r="G5" s="8">
        <v>0</v>
      </c>
      <c r="H5" s="8">
        <v>2</v>
      </c>
      <c r="I5" s="8">
        <v>0</v>
      </c>
      <c r="J5" s="8">
        <v>0</v>
      </c>
    </row>
    <row r="6" spans="1:10" ht="60" hidden="1">
      <c r="A6" s="6" t="s">
        <v>399</v>
      </c>
      <c r="B6" s="7" t="s">
        <v>398</v>
      </c>
      <c r="C6" s="8" t="s">
        <v>6</v>
      </c>
      <c r="D6" s="8" t="s">
        <v>8</v>
      </c>
      <c r="E6" s="8">
        <v>1</v>
      </c>
      <c r="F6" s="8">
        <v>0</v>
      </c>
      <c r="G6" s="8">
        <v>0</v>
      </c>
      <c r="H6" s="8">
        <v>0</v>
      </c>
      <c r="I6" s="8">
        <v>0</v>
      </c>
      <c r="J6" s="8">
        <v>0</v>
      </c>
    </row>
  </sheetData>
  <autoFilter ref="A1:J6">
    <filterColumn colId="4">
      <filters blank="1"/>
    </filterColumn>
  </autoFilter>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1" topLeftCell="A7" activePane="bottomLeft" state="frozen"/>
      <selection pane="bottomLeft" activeCell="H10" sqref="H10"/>
    </sheetView>
  </sheetViews>
  <sheetFormatPr baseColWidth="10" defaultRowHeight="14" x14ac:dyDescent="0"/>
  <cols>
    <col min="1" max="1" width="10.83203125" style="8"/>
    <col min="2" max="2" width="31.332031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60">
      <c r="A2" s="6" t="s">
        <v>400</v>
      </c>
      <c r="B2" s="2" t="s">
        <v>401</v>
      </c>
      <c r="C2" s="8" t="s">
        <v>6</v>
      </c>
      <c r="D2" s="8" t="s">
        <v>8</v>
      </c>
      <c r="E2" s="8">
        <v>3</v>
      </c>
      <c r="F2" s="8">
        <v>0</v>
      </c>
      <c r="G2" s="8">
        <v>0</v>
      </c>
      <c r="H2" s="8">
        <v>2</v>
      </c>
      <c r="I2" s="8">
        <v>1</v>
      </c>
      <c r="J2" s="8">
        <v>0</v>
      </c>
    </row>
    <row r="3" spans="1:10" ht="75">
      <c r="A3" s="6" t="s">
        <v>400</v>
      </c>
      <c r="B3" s="2" t="s">
        <v>402</v>
      </c>
      <c r="C3" s="8" t="s">
        <v>6</v>
      </c>
      <c r="D3" s="8" t="s">
        <v>8</v>
      </c>
      <c r="E3" s="8">
        <v>3</v>
      </c>
      <c r="F3" s="8">
        <v>0</v>
      </c>
      <c r="G3" s="8">
        <v>0</v>
      </c>
      <c r="H3" s="8">
        <v>0</v>
      </c>
      <c r="I3" s="8">
        <v>1</v>
      </c>
      <c r="J3" s="8">
        <v>1</v>
      </c>
    </row>
    <row r="4" spans="1:10" ht="135">
      <c r="A4" s="6" t="s">
        <v>400</v>
      </c>
      <c r="B4" s="2" t="s">
        <v>403</v>
      </c>
      <c r="C4" s="8" t="s">
        <v>6</v>
      </c>
      <c r="D4" s="8" t="s">
        <v>8</v>
      </c>
      <c r="E4" s="8">
        <v>6</v>
      </c>
      <c r="F4" s="8">
        <v>1</v>
      </c>
      <c r="G4" s="8">
        <v>0</v>
      </c>
      <c r="H4" s="8">
        <v>2</v>
      </c>
      <c r="I4" s="8">
        <v>0</v>
      </c>
      <c r="J4" s="8">
        <v>0</v>
      </c>
    </row>
    <row r="5" spans="1:10" ht="135">
      <c r="A5" s="6" t="s">
        <v>400</v>
      </c>
      <c r="B5" s="2" t="s">
        <v>404</v>
      </c>
      <c r="C5" s="8" t="s">
        <v>6</v>
      </c>
      <c r="D5" s="8" t="s">
        <v>8</v>
      </c>
      <c r="E5" s="8">
        <v>6</v>
      </c>
      <c r="F5" s="8">
        <v>1</v>
      </c>
      <c r="G5" s="8">
        <v>0</v>
      </c>
      <c r="H5" s="8">
        <v>2</v>
      </c>
      <c r="I5" s="8">
        <v>0</v>
      </c>
      <c r="J5" s="8">
        <v>0</v>
      </c>
    </row>
    <row r="6" spans="1:10" ht="135">
      <c r="A6" s="6" t="s">
        <v>400</v>
      </c>
      <c r="B6" s="2" t="s">
        <v>412</v>
      </c>
      <c r="C6" s="8" t="s">
        <v>6</v>
      </c>
      <c r="D6" s="8" t="s">
        <v>8</v>
      </c>
      <c r="E6" s="8">
        <v>6</v>
      </c>
      <c r="F6" s="8">
        <v>0</v>
      </c>
      <c r="G6" s="8">
        <v>0</v>
      </c>
      <c r="H6" s="8">
        <v>2</v>
      </c>
      <c r="I6" s="8">
        <v>0</v>
      </c>
      <c r="J6" s="8">
        <v>0</v>
      </c>
    </row>
    <row r="7" spans="1:10" ht="135">
      <c r="A7" s="6" t="s">
        <v>400</v>
      </c>
      <c r="B7" s="2" t="s">
        <v>411</v>
      </c>
      <c r="C7" s="8" t="s">
        <v>18</v>
      </c>
      <c r="D7" s="8" t="s">
        <v>8</v>
      </c>
      <c r="E7" s="8">
        <v>3</v>
      </c>
      <c r="F7" s="8">
        <v>0</v>
      </c>
      <c r="G7" s="8">
        <v>0</v>
      </c>
      <c r="H7" s="8">
        <v>2</v>
      </c>
      <c r="I7" s="8">
        <v>0</v>
      </c>
      <c r="J7" s="8">
        <v>0</v>
      </c>
    </row>
    <row r="8" spans="1:10" ht="60">
      <c r="A8" s="6" t="s">
        <v>400</v>
      </c>
      <c r="B8" s="2" t="s">
        <v>405</v>
      </c>
      <c r="C8" s="8" t="s">
        <v>18</v>
      </c>
      <c r="D8" s="8" t="s">
        <v>8</v>
      </c>
      <c r="E8" s="8">
        <v>3</v>
      </c>
      <c r="F8" s="8">
        <v>0</v>
      </c>
      <c r="G8" s="8">
        <v>0</v>
      </c>
      <c r="H8" s="8">
        <v>0</v>
      </c>
      <c r="I8" s="8">
        <v>1</v>
      </c>
      <c r="J8" s="8">
        <v>1</v>
      </c>
    </row>
    <row r="9" spans="1:10" ht="60">
      <c r="A9" s="6" t="s">
        <v>400</v>
      </c>
      <c r="B9" s="2" t="s">
        <v>406</v>
      </c>
      <c r="C9" s="8" t="s">
        <v>18</v>
      </c>
      <c r="D9" s="8" t="s">
        <v>8</v>
      </c>
      <c r="E9" s="8">
        <v>4</v>
      </c>
      <c r="F9" s="8">
        <v>1</v>
      </c>
      <c r="G9" s="8">
        <v>0</v>
      </c>
      <c r="H9" s="8">
        <v>1</v>
      </c>
      <c r="I9" s="8">
        <v>0</v>
      </c>
      <c r="J9" s="8">
        <v>0</v>
      </c>
    </row>
    <row r="10" spans="1:10" ht="75">
      <c r="A10" s="6" t="s">
        <v>400</v>
      </c>
      <c r="B10" s="2" t="s">
        <v>407</v>
      </c>
      <c r="C10" s="8" t="s">
        <v>18</v>
      </c>
      <c r="D10" s="8" t="s">
        <v>8</v>
      </c>
      <c r="E10" s="8">
        <v>3</v>
      </c>
      <c r="F10" s="8">
        <v>0</v>
      </c>
      <c r="G10" s="8">
        <v>0</v>
      </c>
      <c r="H10" s="8">
        <v>1</v>
      </c>
      <c r="I10" s="8">
        <v>0</v>
      </c>
      <c r="J10" s="8">
        <v>0</v>
      </c>
    </row>
    <row r="11" spans="1:10" ht="75">
      <c r="A11" s="6" t="s">
        <v>400</v>
      </c>
      <c r="B11" s="2" t="s">
        <v>408</v>
      </c>
      <c r="C11" s="8" t="s">
        <v>6</v>
      </c>
      <c r="D11" s="8" t="s">
        <v>8</v>
      </c>
      <c r="E11" s="8">
        <v>3</v>
      </c>
      <c r="F11" s="8">
        <v>1</v>
      </c>
      <c r="G11" s="8">
        <v>0</v>
      </c>
      <c r="H11" s="8">
        <v>1</v>
      </c>
      <c r="I11" s="8">
        <v>0</v>
      </c>
      <c r="J11" s="8">
        <v>0</v>
      </c>
    </row>
    <row r="12" spans="1:10" ht="75">
      <c r="A12" s="6" t="s">
        <v>400</v>
      </c>
      <c r="B12" s="2" t="s">
        <v>409</v>
      </c>
      <c r="C12" s="8" t="s">
        <v>6</v>
      </c>
      <c r="D12" s="8" t="s">
        <v>8</v>
      </c>
      <c r="E12" s="8">
        <v>3</v>
      </c>
      <c r="F12" s="8">
        <v>1</v>
      </c>
      <c r="G12" s="8">
        <v>0</v>
      </c>
      <c r="H12" s="8">
        <v>1</v>
      </c>
      <c r="I12" s="8">
        <v>0</v>
      </c>
      <c r="J12" s="8">
        <v>0</v>
      </c>
    </row>
    <row r="13" spans="1:10" ht="75">
      <c r="A13" s="6" t="s">
        <v>400</v>
      </c>
      <c r="B13" s="2" t="s">
        <v>586</v>
      </c>
      <c r="C13" s="8" t="s">
        <v>6</v>
      </c>
      <c r="D13" s="8" t="s">
        <v>8</v>
      </c>
      <c r="E13" s="8">
        <v>3</v>
      </c>
      <c r="F13" s="8">
        <v>0</v>
      </c>
      <c r="G13" s="8">
        <v>0</v>
      </c>
      <c r="H13" s="8">
        <v>1</v>
      </c>
      <c r="I13" s="8">
        <v>0</v>
      </c>
      <c r="J13" s="8">
        <v>0</v>
      </c>
    </row>
    <row r="14" spans="1:10" ht="60">
      <c r="A14" s="6" t="s">
        <v>400</v>
      </c>
      <c r="B14" s="2" t="s">
        <v>410</v>
      </c>
      <c r="C14" s="8" t="s">
        <v>7</v>
      </c>
      <c r="D14" s="8" t="s">
        <v>19</v>
      </c>
      <c r="E14" s="8">
        <v>3</v>
      </c>
      <c r="F14" s="8">
        <v>0</v>
      </c>
      <c r="G14" s="8">
        <v>0</v>
      </c>
      <c r="H14" s="8">
        <v>0</v>
      </c>
      <c r="I14" s="8">
        <v>1</v>
      </c>
      <c r="J14" s="8">
        <v>0</v>
      </c>
    </row>
  </sheetData>
  <autoFilter ref="A1:I14"/>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ySplit="1" topLeftCell="A16" activePane="bottomLeft" state="frozen"/>
      <selection pane="bottomLeft" activeCell="G21" sqref="G21"/>
    </sheetView>
  </sheetViews>
  <sheetFormatPr baseColWidth="10" defaultRowHeight="14" x14ac:dyDescent="0"/>
  <cols>
    <col min="1" max="1" width="10.83203125" style="8"/>
    <col min="2" max="2" width="60.6640625" style="8" customWidth="1"/>
    <col min="3" max="16384" width="10.83203125" style="8"/>
  </cols>
  <sheetData>
    <row r="1" spans="1:9" s="10" customFormat="1">
      <c r="B1" s="10" t="s">
        <v>1</v>
      </c>
      <c r="C1" s="10" t="s">
        <v>5</v>
      </c>
      <c r="D1" s="10" t="s">
        <v>2</v>
      </c>
      <c r="E1" s="10" t="s">
        <v>3</v>
      </c>
      <c r="F1" s="10" t="s">
        <v>4</v>
      </c>
      <c r="G1" s="3" t="s">
        <v>567</v>
      </c>
      <c r="H1" s="3" t="s">
        <v>577</v>
      </c>
      <c r="I1" s="3" t="s">
        <v>569</v>
      </c>
    </row>
    <row r="2" spans="1:9" ht="60">
      <c r="A2" s="8" t="s">
        <v>435</v>
      </c>
      <c r="B2" s="7" t="s">
        <v>413</v>
      </c>
      <c r="C2" s="8" t="s">
        <v>6</v>
      </c>
      <c r="D2" s="8" t="s">
        <v>8</v>
      </c>
      <c r="E2" s="8">
        <v>3</v>
      </c>
      <c r="F2" s="8">
        <v>0</v>
      </c>
      <c r="G2" s="8">
        <v>0</v>
      </c>
      <c r="H2" s="8">
        <v>1</v>
      </c>
      <c r="I2" s="8">
        <v>0</v>
      </c>
    </row>
    <row r="3" spans="1:9" ht="45">
      <c r="A3" s="8" t="s">
        <v>435</v>
      </c>
      <c r="B3" s="7" t="s">
        <v>414</v>
      </c>
      <c r="C3" s="8" t="s">
        <v>6</v>
      </c>
      <c r="D3" s="8" t="s">
        <v>8</v>
      </c>
      <c r="E3" s="8">
        <v>3</v>
      </c>
      <c r="F3" s="8">
        <v>0</v>
      </c>
      <c r="G3" s="8">
        <v>0</v>
      </c>
      <c r="H3" s="8">
        <v>0</v>
      </c>
      <c r="I3" s="8">
        <v>0</v>
      </c>
    </row>
    <row r="4" spans="1:9" ht="30">
      <c r="A4" s="8" t="s">
        <v>435</v>
      </c>
      <c r="B4" s="7" t="s">
        <v>415</v>
      </c>
      <c r="C4" s="8" t="s">
        <v>6</v>
      </c>
      <c r="D4" s="8" t="s">
        <v>8</v>
      </c>
      <c r="E4" s="8">
        <v>6</v>
      </c>
      <c r="F4" s="8">
        <v>1</v>
      </c>
      <c r="G4" s="8">
        <v>2</v>
      </c>
      <c r="H4" s="8">
        <v>1</v>
      </c>
      <c r="I4" s="8">
        <v>0</v>
      </c>
    </row>
    <row r="5" spans="1:9" ht="30">
      <c r="A5" s="8" t="s">
        <v>435</v>
      </c>
      <c r="B5" s="7" t="s">
        <v>416</v>
      </c>
      <c r="C5" s="8" t="s">
        <v>6</v>
      </c>
      <c r="D5" s="8" t="s">
        <v>8</v>
      </c>
      <c r="E5" s="8">
        <v>6</v>
      </c>
      <c r="F5" s="8">
        <v>0</v>
      </c>
      <c r="G5" s="8">
        <v>0</v>
      </c>
      <c r="H5" s="8">
        <v>1</v>
      </c>
      <c r="I5" s="8">
        <v>0</v>
      </c>
    </row>
    <row r="6" spans="1:9" ht="45">
      <c r="A6" s="8" t="s">
        <v>435</v>
      </c>
      <c r="B6" s="7" t="s">
        <v>417</v>
      </c>
      <c r="C6" s="8" t="s">
        <v>6</v>
      </c>
      <c r="D6" s="8" t="s">
        <v>20</v>
      </c>
      <c r="E6" s="8">
        <v>4</v>
      </c>
      <c r="F6" s="8">
        <v>0</v>
      </c>
      <c r="G6" s="8">
        <v>0</v>
      </c>
      <c r="H6" s="8">
        <v>0</v>
      </c>
      <c r="I6" s="8">
        <v>0</v>
      </c>
    </row>
    <row r="7" spans="1:9" ht="45">
      <c r="A7" s="8" t="s">
        <v>435</v>
      </c>
      <c r="B7" s="7" t="s">
        <v>418</v>
      </c>
      <c r="C7" s="8" t="s">
        <v>6</v>
      </c>
      <c r="D7" s="8" t="s">
        <v>20</v>
      </c>
      <c r="E7" s="8">
        <v>4</v>
      </c>
      <c r="F7" s="8">
        <v>0</v>
      </c>
      <c r="G7" s="8">
        <v>0</v>
      </c>
      <c r="H7" s="8">
        <v>0</v>
      </c>
      <c r="I7" s="8">
        <v>0</v>
      </c>
    </row>
    <row r="8" spans="1:9" ht="45">
      <c r="A8" s="8" t="s">
        <v>435</v>
      </c>
      <c r="B8" s="7" t="s">
        <v>419</v>
      </c>
      <c r="C8" s="8" t="s">
        <v>6</v>
      </c>
      <c r="D8" s="8" t="s">
        <v>8</v>
      </c>
      <c r="E8" s="8">
        <v>4</v>
      </c>
      <c r="F8" s="8">
        <v>1</v>
      </c>
      <c r="G8" s="8">
        <v>2</v>
      </c>
      <c r="H8" s="8">
        <v>0</v>
      </c>
      <c r="I8" s="8">
        <v>0</v>
      </c>
    </row>
    <row r="9" spans="1:9" ht="30">
      <c r="A9" s="8" t="s">
        <v>435</v>
      </c>
      <c r="B9" s="7" t="s">
        <v>436</v>
      </c>
      <c r="C9" s="8" t="s">
        <v>6</v>
      </c>
      <c r="D9" s="8" t="s">
        <v>8</v>
      </c>
      <c r="E9" s="8">
        <v>2</v>
      </c>
      <c r="F9" s="8">
        <v>0</v>
      </c>
      <c r="G9" s="8">
        <v>0</v>
      </c>
      <c r="H9" s="8">
        <v>0</v>
      </c>
      <c r="I9" s="8">
        <v>0</v>
      </c>
    </row>
    <row r="10" spans="1:9" ht="60">
      <c r="A10" s="8" t="s">
        <v>435</v>
      </c>
      <c r="B10" s="7" t="s">
        <v>420</v>
      </c>
      <c r="C10" s="8" t="s">
        <v>6</v>
      </c>
      <c r="D10" s="8" t="s">
        <v>8</v>
      </c>
      <c r="E10" s="8">
        <v>6</v>
      </c>
      <c r="F10" s="8">
        <v>0</v>
      </c>
      <c r="G10" s="8">
        <v>0</v>
      </c>
      <c r="H10" s="8">
        <v>0</v>
      </c>
      <c r="I10" s="8">
        <v>0</v>
      </c>
    </row>
    <row r="11" spans="1:9" ht="45">
      <c r="A11" s="8" t="s">
        <v>435</v>
      </c>
      <c r="B11" s="7" t="s">
        <v>421</v>
      </c>
      <c r="C11" s="8" t="s">
        <v>6</v>
      </c>
      <c r="D11" s="8" t="s">
        <v>8</v>
      </c>
      <c r="E11" s="8">
        <v>3</v>
      </c>
      <c r="F11" s="8">
        <v>0</v>
      </c>
      <c r="G11" s="8">
        <v>0</v>
      </c>
      <c r="H11" s="8">
        <v>0</v>
      </c>
      <c r="I11" s="8">
        <v>0</v>
      </c>
    </row>
    <row r="12" spans="1:9" ht="120">
      <c r="A12" s="8" t="s">
        <v>435</v>
      </c>
      <c r="B12" s="7" t="s">
        <v>422</v>
      </c>
      <c r="C12" s="8" t="s">
        <v>7</v>
      </c>
      <c r="D12" s="8" t="s">
        <v>19</v>
      </c>
      <c r="E12" s="8">
        <v>2</v>
      </c>
      <c r="F12" s="8">
        <v>0</v>
      </c>
      <c r="G12" s="8">
        <v>0</v>
      </c>
      <c r="H12" s="8">
        <v>0</v>
      </c>
      <c r="I12" s="8">
        <v>0</v>
      </c>
    </row>
    <row r="13" spans="1:9" ht="120">
      <c r="A13" s="8" t="s">
        <v>435</v>
      </c>
      <c r="B13" s="7" t="s">
        <v>423</v>
      </c>
      <c r="C13" s="8" t="s">
        <v>6</v>
      </c>
      <c r="D13" s="8" t="s">
        <v>8</v>
      </c>
      <c r="E13" s="8">
        <v>4</v>
      </c>
      <c r="F13" s="8">
        <v>1</v>
      </c>
      <c r="G13" s="8">
        <v>0</v>
      </c>
      <c r="H13" s="8">
        <v>0</v>
      </c>
      <c r="I13" s="8">
        <v>0</v>
      </c>
    </row>
    <row r="14" spans="1:9" ht="60">
      <c r="A14" s="8" t="s">
        <v>435</v>
      </c>
      <c r="B14" s="7" t="s">
        <v>424</v>
      </c>
      <c r="C14" s="8" t="s">
        <v>6</v>
      </c>
      <c r="D14" s="8" t="s">
        <v>20</v>
      </c>
      <c r="E14" s="8">
        <v>4</v>
      </c>
      <c r="F14" s="8">
        <v>0</v>
      </c>
      <c r="G14" s="8">
        <v>0</v>
      </c>
      <c r="H14" s="8">
        <v>0</v>
      </c>
      <c r="I14" s="8">
        <v>0</v>
      </c>
    </row>
    <row r="15" spans="1:9" ht="60">
      <c r="A15" s="8" t="s">
        <v>435</v>
      </c>
      <c r="B15" s="7" t="s">
        <v>425</v>
      </c>
      <c r="C15" s="8" t="s">
        <v>6</v>
      </c>
      <c r="D15" s="8" t="s">
        <v>8</v>
      </c>
      <c r="E15" s="8">
        <v>1</v>
      </c>
      <c r="F15" s="8">
        <v>0</v>
      </c>
      <c r="G15" s="8">
        <v>0</v>
      </c>
      <c r="H15" s="8">
        <v>0</v>
      </c>
      <c r="I15" s="8">
        <v>0</v>
      </c>
    </row>
    <row r="16" spans="1:9" ht="45">
      <c r="A16" s="8" t="s">
        <v>435</v>
      </c>
      <c r="B16" s="7" t="s">
        <v>426</v>
      </c>
      <c r="C16" s="8" t="s">
        <v>6</v>
      </c>
      <c r="D16" s="8" t="s">
        <v>8</v>
      </c>
      <c r="E16" s="8">
        <v>6</v>
      </c>
      <c r="F16" s="8">
        <v>0</v>
      </c>
      <c r="G16" s="8">
        <v>0</v>
      </c>
      <c r="H16" s="8">
        <v>0</v>
      </c>
      <c r="I16" s="8">
        <v>0</v>
      </c>
    </row>
    <row r="17" spans="1:9" ht="45">
      <c r="A17" s="8" t="s">
        <v>435</v>
      </c>
      <c r="B17" s="7" t="s">
        <v>427</v>
      </c>
      <c r="C17" s="8" t="s">
        <v>18</v>
      </c>
      <c r="D17" s="8" t="s">
        <v>8</v>
      </c>
      <c r="E17" s="8">
        <v>3</v>
      </c>
      <c r="F17" s="8">
        <v>1</v>
      </c>
      <c r="G17" s="8">
        <v>0</v>
      </c>
      <c r="H17" s="8">
        <v>1</v>
      </c>
      <c r="I17" s="8">
        <v>0</v>
      </c>
    </row>
    <row r="18" spans="1:9" ht="45">
      <c r="A18" s="8" t="s">
        <v>435</v>
      </c>
      <c r="B18" s="7" t="s">
        <v>428</v>
      </c>
      <c r="C18" s="8" t="s">
        <v>6</v>
      </c>
      <c r="D18" s="8" t="s">
        <v>8</v>
      </c>
      <c r="E18" s="8">
        <v>3</v>
      </c>
      <c r="F18" s="8">
        <v>1</v>
      </c>
      <c r="G18" s="8">
        <v>1</v>
      </c>
      <c r="H18" s="8">
        <v>0</v>
      </c>
      <c r="I18" s="8">
        <v>0</v>
      </c>
    </row>
    <row r="19" spans="1:9" ht="45">
      <c r="A19" s="8" t="s">
        <v>435</v>
      </c>
      <c r="B19" s="7" t="s">
        <v>429</v>
      </c>
      <c r="C19" s="8" t="s">
        <v>18</v>
      </c>
      <c r="D19" s="8" t="s">
        <v>8</v>
      </c>
      <c r="E19" s="8">
        <v>1</v>
      </c>
      <c r="F19" s="8">
        <v>1</v>
      </c>
      <c r="G19" s="8">
        <v>2</v>
      </c>
      <c r="H19" s="8">
        <v>0</v>
      </c>
      <c r="I19" s="8">
        <v>0</v>
      </c>
    </row>
    <row r="20" spans="1:9" ht="45">
      <c r="A20" s="8" t="s">
        <v>435</v>
      </c>
      <c r="B20" s="7" t="s">
        <v>430</v>
      </c>
      <c r="C20" s="8" t="s">
        <v>6</v>
      </c>
      <c r="D20" s="8" t="s">
        <v>8</v>
      </c>
      <c r="E20" s="8">
        <v>1</v>
      </c>
      <c r="F20" s="8">
        <v>1</v>
      </c>
      <c r="G20" s="8">
        <v>2</v>
      </c>
      <c r="H20" s="8">
        <v>0</v>
      </c>
      <c r="I20" s="8">
        <v>1</v>
      </c>
    </row>
    <row r="21" spans="1:9" ht="45">
      <c r="A21" s="8" t="s">
        <v>435</v>
      </c>
      <c r="B21" s="7" t="s">
        <v>431</v>
      </c>
      <c r="C21" s="8" t="s">
        <v>6</v>
      </c>
      <c r="D21" s="8" t="s">
        <v>20</v>
      </c>
      <c r="E21" s="8">
        <v>4</v>
      </c>
      <c r="F21" s="8">
        <v>0</v>
      </c>
      <c r="G21" s="8">
        <v>0</v>
      </c>
      <c r="H21" s="8">
        <v>0</v>
      </c>
      <c r="I21" s="8">
        <v>0</v>
      </c>
    </row>
    <row r="22" spans="1:9" ht="30">
      <c r="A22" s="8" t="s">
        <v>435</v>
      </c>
      <c r="B22" s="7" t="s">
        <v>432</v>
      </c>
      <c r="C22" s="8" t="s">
        <v>6</v>
      </c>
      <c r="D22" s="8" t="s">
        <v>20</v>
      </c>
      <c r="E22" s="8">
        <v>4</v>
      </c>
      <c r="F22" s="8">
        <v>0</v>
      </c>
      <c r="G22" s="8">
        <v>0</v>
      </c>
      <c r="H22" s="8">
        <v>0</v>
      </c>
      <c r="I22" s="8">
        <v>0</v>
      </c>
    </row>
    <row r="23" spans="1:9" ht="15">
      <c r="A23" s="8" t="s">
        <v>435</v>
      </c>
      <c r="B23" s="7" t="s">
        <v>433</v>
      </c>
      <c r="C23" s="8" t="s">
        <v>6</v>
      </c>
      <c r="D23" s="8" t="s">
        <v>8</v>
      </c>
      <c r="E23" s="8">
        <v>3</v>
      </c>
      <c r="F23" s="8">
        <v>0</v>
      </c>
      <c r="G23" s="8">
        <v>0</v>
      </c>
      <c r="H23" s="8">
        <v>0</v>
      </c>
      <c r="I23" s="8">
        <v>0</v>
      </c>
    </row>
    <row r="24" spans="1:9" ht="30">
      <c r="A24" s="8" t="s">
        <v>435</v>
      </c>
      <c r="B24" s="7" t="s">
        <v>434</v>
      </c>
      <c r="C24" s="8" t="s">
        <v>7</v>
      </c>
      <c r="D24" s="8" t="s">
        <v>19</v>
      </c>
      <c r="E24" s="8">
        <v>3</v>
      </c>
      <c r="F24" s="8">
        <v>0</v>
      </c>
      <c r="G24" s="8">
        <v>0</v>
      </c>
      <c r="H24" s="8">
        <v>0</v>
      </c>
      <c r="I24" s="8">
        <v>0</v>
      </c>
    </row>
  </sheetData>
  <autoFilter ref="A1:I24"/>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pane ySplit="1" topLeftCell="A2" activePane="bottomLeft" state="frozen"/>
      <selection pane="bottomLeft" activeCell="H1" sqref="H1"/>
    </sheetView>
  </sheetViews>
  <sheetFormatPr baseColWidth="10" defaultRowHeight="14" x14ac:dyDescent="0"/>
  <cols>
    <col min="1" max="1" width="10.83203125" style="8"/>
    <col min="2" max="2" width="31.332031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105">
      <c r="A2" s="8" t="s">
        <v>460</v>
      </c>
      <c r="B2" s="7" t="s">
        <v>455</v>
      </c>
      <c r="C2" s="8" t="s">
        <v>6</v>
      </c>
      <c r="D2" s="8" t="s">
        <v>20</v>
      </c>
      <c r="E2" s="8">
        <v>4</v>
      </c>
      <c r="F2" s="8">
        <v>0</v>
      </c>
      <c r="G2" s="8">
        <v>0</v>
      </c>
      <c r="H2" s="8">
        <v>0</v>
      </c>
      <c r="I2" s="8">
        <v>0</v>
      </c>
      <c r="J2" s="8">
        <v>0</v>
      </c>
    </row>
    <row r="3" spans="1:10" ht="135">
      <c r="A3" s="8" t="s">
        <v>460</v>
      </c>
      <c r="B3" s="7" t="s">
        <v>456</v>
      </c>
      <c r="C3" s="8" t="s">
        <v>6</v>
      </c>
      <c r="D3" s="8" t="s">
        <v>20</v>
      </c>
      <c r="E3" s="8">
        <v>4</v>
      </c>
      <c r="F3" s="8">
        <v>0</v>
      </c>
      <c r="G3" s="8">
        <v>0</v>
      </c>
      <c r="H3" s="8">
        <v>0</v>
      </c>
      <c r="I3" s="8">
        <v>0</v>
      </c>
      <c r="J3" s="8">
        <v>0</v>
      </c>
    </row>
    <row r="4" spans="1:10" ht="90">
      <c r="A4" s="8" t="s">
        <v>460</v>
      </c>
      <c r="B4" s="7" t="s">
        <v>457</v>
      </c>
      <c r="C4" s="8" t="s">
        <v>7</v>
      </c>
      <c r="D4" s="8" t="s">
        <v>8</v>
      </c>
      <c r="E4" s="8">
        <v>1</v>
      </c>
      <c r="F4" s="8">
        <v>1</v>
      </c>
      <c r="G4" s="8">
        <v>0</v>
      </c>
      <c r="H4" s="8">
        <v>1</v>
      </c>
      <c r="I4" s="8">
        <v>0</v>
      </c>
      <c r="J4" s="8">
        <v>0</v>
      </c>
    </row>
    <row r="5" spans="1:10" ht="90">
      <c r="A5" s="8" t="s">
        <v>460</v>
      </c>
      <c r="B5" s="7" t="s">
        <v>458</v>
      </c>
      <c r="C5" s="8" t="s">
        <v>7</v>
      </c>
      <c r="D5" s="8" t="s">
        <v>8</v>
      </c>
      <c r="E5" s="8">
        <v>1</v>
      </c>
      <c r="F5" s="8">
        <v>1</v>
      </c>
      <c r="G5" s="8">
        <v>0</v>
      </c>
      <c r="H5" s="8">
        <v>1</v>
      </c>
      <c r="I5" s="8">
        <v>0</v>
      </c>
      <c r="J5" s="8">
        <v>0</v>
      </c>
    </row>
    <row r="6" spans="1:10" ht="90">
      <c r="A6" s="8" t="s">
        <v>460</v>
      </c>
      <c r="B6" s="7" t="s">
        <v>459</v>
      </c>
      <c r="C6" s="8" t="s">
        <v>7</v>
      </c>
      <c r="D6" s="8" t="s">
        <v>8</v>
      </c>
      <c r="E6" s="8">
        <v>1</v>
      </c>
      <c r="F6" s="8">
        <v>1</v>
      </c>
      <c r="G6" s="8">
        <v>0</v>
      </c>
      <c r="H6" s="8">
        <v>1</v>
      </c>
      <c r="I6" s="8">
        <v>0</v>
      </c>
      <c r="J6" s="8">
        <v>0</v>
      </c>
    </row>
  </sheetData>
  <autoFilter ref="A1:I6"/>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17" activePane="bottomLeft" state="frozen"/>
      <selection pane="bottomLeft" activeCell="H17" sqref="H17"/>
    </sheetView>
  </sheetViews>
  <sheetFormatPr baseColWidth="10" defaultRowHeight="14" x14ac:dyDescent="0"/>
  <cols>
    <col min="1" max="1" width="10.83203125" style="8"/>
    <col min="2" max="2" width="27.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195">
      <c r="A2" s="6" t="s">
        <v>453</v>
      </c>
      <c r="B2" s="7" t="s">
        <v>437</v>
      </c>
      <c r="C2" s="8" t="s">
        <v>6</v>
      </c>
      <c r="D2" s="8" t="s">
        <v>8</v>
      </c>
      <c r="E2" s="8">
        <v>1</v>
      </c>
      <c r="F2" s="8">
        <v>0</v>
      </c>
      <c r="G2" s="8">
        <v>0</v>
      </c>
      <c r="H2" s="8">
        <v>0</v>
      </c>
      <c r="I2" s="8">
        <v>0</v>
      </c>
      <c r="J2" s="8">
        <v>1</v>
      </c>
    </row>
    <row r="3" spans="1:10" ht="195">
      <c r="A3" s="6" t="s">
        <v>453</v>
      </c>
      <c r="B3" s="7" t="s">
        <v>438</v>
      </c>
      <c r="C3" s="8" t="s">
        <v>6</v>
      </c>
      <c r="D3" s="8" t="s">
        <v>8</v>
      </c>
      <c r="E3" s="8">
        <v>1</v>
      </c>
      <c r="H3" s="8">
        <v>0</v>
      </c>
      <c r="I3" s="8">
        <v>0</v>
      </c>
      <c r="J3" s="8">
        <v>1</v>
      </c>
    </row>
    <row r="4" spans="1:10" ht="195">
      <c r="A4" s="6" t="s">
        <v>453</v>
      </c>
      <c r="B4" s="7" t="s">
        <v>439</v>
      </c>
      <c r="C4" s="8" t="s">
        <v>18</v>
      </c>
      <c r="D4" s="8" t="s">
        <v>8</v>
      </c>
      <c r="E4" s="8">
        <v>3</v>
      </c>
      <c r="F4" s="8">
        <v>0</v>
      </c>
      <c r="G4" s="8">
        <v>1</v>
      </c>
      <c r="H4" s="8">
        <v>0</v>
      </c>
      <c r="I4" s="8">
        <v>0</v>
      </c>
      <c r="J4" s="8">
        <v>1</v>
      </c>
    </row>
    <row r="5" spans="1:10" ht="270">
      <c r="A5" s="6" t="s">
        <v>453</v>
      </c>
      <c r="B5" s="7" t="s">
        <v>440</v>
      </c>
      <c r="C5" s="8" t="s">
        <v>6</v>
      </c>
      <c r="D5" s="8" t="s">
        <v>20</v>
      </c>
      <c r="E5" s="8">
        <v>4</v>
      </c>
      <c r="F5" s="8">
        <v>0</v>
      </c>
      <c r="G5" s="8">
        <v>0</v>
      </c>
      <c r="H5" s="8">
        <v>0</v>
      </c>
      <c r="I5" s="8">
        <v>0</v>
      </c>
      <c r="J5" s="8">
        <v>0</v>
      </c>
    </row>
    <row r="6" spans="1:10" ht="45">
      <c r="A6" s="6" t="s">
        <v>453</v>
      </c>
      <c r="B6" s="7" t="s">
        <v>454</v>
      </c>
      <c r="C6" s="8" t="s">
        <v>6</v>
      </c>
      <c r="D6" s="8" t="s">
        <v>20</v>
      </c>
      <c r="E6" s="8">
        <v>4</v>
      </c>
      <c r="F6" s="8">
        <v>0</v>
      </c>
      <c r="G6" s="8">
        <v>0</v>
      </c>
      <c r="H6" s="8">
        <v>0</v>
      </c>
      <c r="I6" s="8">
        <v>0</v>
      </c>
      <c r="J6" s="8">
        <v>0</v>
      </c>
    </row>
    <row r="7" spans="1:10" ht="180">
      <c r="A7" s="6" t="s">
        <v>453</v>
      </c>
      <c r="B7" s="7" t="s">
        <v>441</v>
      </c>
      <c r="C7" s="8" t="s">
        <v>6</v>
      </c>
      <c r="D7" s="8" t="s">
        <v>8</v>
      </c>
      <c r="E7" s="8">
        <v>2</v>
      </c>
      <c r="F7" s="8">
        <v>0</v>
      </c>
      <c r="G7" s="8">
        <v>1</v>
      </c>
      <c r="H7" s="8">
        <v>0</v>
      </c>
      <c r="I7" s="8">
        <v>0</v>
      </c>
      <c r="J7" s="8">
        <v>1</v>
      </c>
    </row>
    <row r="8" spans="1:10" ht="165">
      <c r="A8" s="6" t="s">
        <v>453</v>
      </c>
      <c r="B8" s="7" t="s">
        <v>442</v>
      </c>
      <c r="C8" s="8" t="s">
        <v>6</v>
      </c>
      <c r="D8" s="8" t="s">
        <v>8</v>
      </c>
      <c r="E8" s="8">
        <v>1</v>
      </c>
      <c r="F8" s="8">
        <v>0</v>
      </c>
      <c r="G8" s="8">
        <v>1</v>
      </c>
      <c r="H8" s="8">
        <v>0</v>
      </c>
      <c r="I8" s="8">
        <v>0</v>
      </c>
      <c r="J8" s="8">
        <v>1</v>
      </c>
    </row>
    <row r="9" spans="1:10" ht="135">
      <c r="A9" s="6" t="s">
        <v>453</v>
      </c>
      <c r="B9" s="7" t="s">
        <v>443</v>
      </c>
      <c r="C9" s="8" t="s">
        <v>6</v>
      </c>
      <c r="D9" s="8" t="s">
        <v>8</v>
      </c>
      <c r="E9" s="8">
        <v>1</v>
      </c>
      <c r="F9" s="8">
        <v>0</v>
      </c>
      <c r="G9" s="8">
        <v>0</v>
      </c>
      <c r="H9" s="8">
        <v>0</v>
      </c>
      <c r="I9" s="8">
        <v>0</v>
      </c>
      <c r="J9" s="8">
        <v>0</v>
      </c>
    </row>
    <row r="10" spans="1:10" ht="135">
      <c r="A10" s="6" t="s">
        <v>453</v>
      </c>
      <c r="B10" s="7" t="s">
        <v>444</v>
      </c>
      <c r="C10" s="8" t="s">
        <v>6</v>
      </c>
      <c r="D10" s="8" t="s">
        <v>8</v>
      </c>
      <c r="E10" s="8">
        <v>1</v>
      </c>
      <c r="F10" s="8">
        <v>0</v>
      </c>
      <c r="G10" s="8">
        <v>0</v>
      </c>
      <c r="H10" s="8">
        <v>0</v>
      </c>
      <c r="I10" s="8">
        <v>0</v>
      </c>
      <c r="J10" s="8">
        <v>0</v>
      </c>
    </row>
    <row r="11" spans="1:10" ht="390">
      <c r="A11" s="6" t="s">
        <v>453</v>
      </c>
      <c r="B11" s="7" t="s">
        <v>445</v>
      </c>
      <c r="C11" s="8" t="s">
        <v>6</v>
      </c>
      <c r="D11" s="8" t="s">
        <v>8</v>
      </c>
      <c r="E11" s="8">
        <v>1</v>
      </c>
      <c r="F11" s="8">
        <v>1</v>
      </c>
      <c r="G11" s="8">
        <v>1</v>
      </c>
      <c r="H11" s="8">
        <v>0</v>
      </c>
      <c r="I11" s="8">
        <v>1</v>
      </c>
      <c r="J11" s="8">
        <v>0</v>
      </c>
    </row>
    <row r="12" spans="1:10" ht="165">
      <c r="A12" s="6" t="s">
        <v>453</v>
      </c>
      <c r="B12" s="7" t="s">
        <v>446</v>
      </c>
      <c r="C12" s="8" t="s">
        <v>6</v>
      </c>
      <c r="D12" s="8" t="s">
        <v>8</v>
      </c>
      <c r="E12" s="8">
        <v>1</v>
      </c>
      <c r="F12" s="8">
        <v>0</v>
      </c>
      <c r="G12" s="8">
        <v>0</v>
      </c>
      <c r="H12" s="8">
        <v>2</v>
      </c>
      <c r="I12" s="8">
        <v>0</v>
      </c>
      <c r="J12" s="8">
        <v>0</v>
      </c>
    </row>
    <row r="13" spans="1:10" ht="60">
      <c r="A13" s="6" t="s">
        <v>453</v>
      </c>
      <c r="B13" s="7" t="s">
        <v>447</v>
      </c>
      <c r="C13" s="8" t="s">
        <v>6</v>
      </c>
      <c r="D13" s="8" t="s">
        <v>8</v>
      </c>
      <c r="E13" s="8">
        <v>1</v>
      </c>
      <c r="F13" s="8">
        <v>0</v>
      </c>
      <c r="G13" s="8">
        <v>1</v>
      </c>
      <c r="H13" s="8">
        <v>2</v>
      </c>
      <c r="I13" s="8">
        <v>1</v>
      </c>
      <c r="J13" s="8">
        <v>0</v>
      </c>
    </row>
    <row r="14" spans="1:10" ht="45">
      <c r="A14" s="6" t="s">
        <v>453</v>
      </c>
      <c r="B14" s="7" t="s">
        <v>448</v>
      </c>
      <c r="C14" s="8" t="s">
        <v>6</v>
      </c>
      <c r="D14" s="8" t="s">
        <v>8</v>
      </c>
      <c r="E14" s="8">
        <v>1</v>
      </c>
      <c r="F14" s="8">
        <v>0</v>
      </c>
      <c r="G14" s="8">
        <v>0</v>
      </c>
      <c r="H14" s="8">
        <v>0</v>
      </c>
      <c r="I14" s="8">
        <v>0</v>
      </c>
      <c r="J14" s="8">
        <v>0</v>
      </c>
    </row>
    <row r="15" spans="1:10" ht="225">
      <c r="A15" s="6" t="s">
        <v>453</v>
      </c>
      <c r="B15" s="7" t="s">
        <v>449</v>
      </c>
      <c r="C15" s="8" t="s">
        <v>6</v>
      </c>
      <c r="D15" s="8" t="s">
        <v>8</v>
      </c>
      <c r="E15" s="8">
        <v>2</v>
      </c>
      <c r="F15" s="8">
        <v>0</v>
      </c>
      <c r="G15" s="8">
        <v>0</v>
      </c>
      <c r="H15" s="8">
        <v>2</v>
      </c>
      <c r="I15" s="8">
        <v>0</v>
      </c>
      <c r="J15" s="8">
        <v>1</v>
      </c>
    </row>
    <row r="16" spans="1:10" ht="225">
      <c r="A16" s="6" t="s">
        <v>453</v>
      </c>
      <c r="B16" s="7" t="s">
        <v>450</v>
      </c>
      <c r="C16" s="8" t="s">
        <v>6</v>
      </c>
      <c r="D16" s="8" t="s">
        <v>8</v>
      </c>
      <c r="E16" s="8">
        <v>2</v>
      </c>
      <c r="F16" s="8">
        <v>0</v>
      </c>
      <c r="G16" s="8">
        <v>0</v>
      </c>
      <c r="H16" s="8">
        <v>2</v>
      </c>
      <c r="I16" s="8">
        <v>0</v>
      </c>
      <c r="J16" s="8">
        <v>1</v>
      </c>
    </row>
    <row r="17" spans="1:10" ht="105">
      <c r="A17" s="6" t="s">
        <v>453</v>
      </c>
      <c r="B17" s="7" t="s">
        <v>451</v>
      </c>
      <c r="C17" s="8" t="s">
        <v>18</v>
      </c>
      <c r="D17" s="8" t="s">
        <v>8</v>
      </c>
      <c r="E17" s="8">
        <v>2</v>
      </c>
      <c r="F17" s="8">
        <v>0</v>
      </c>
      <c r="G17" s="8">
        <v>0</v>
      </c>
      <c r="H17" s="8">
        <v>0</v>
      </c>
      <c r="I17" s="8">
        <v>0</v>
      </c>
      <c r="J17" s="8">
        <v>1</v>
      </c>
    </row>
    <row r="18" spans="1:10" ht="105">
      <c r="A18" s="6" t="s">
        <v>453</v>
      </c>
      <c r="B18" s="7" t="s">
        <v>452</v>
      </c>
      <c r="C18" s="8" t="s">
        <v>18</v>
      </c>
      <c r="D18" s="8" t="s">
        <v>8</v>
      </c>
      <c r="E18" s="8">
        <v>2</v>
      </c>
      <c r="F18" s="8">
        <v>1</v>
      </c>
      <c r="G18" s="8">
        <v>0</v>
      </c>
      <c r="H18" s="8">
        <v>2</v>
      </c>
      <c r="I18" s="8">
        <v>0</v>
      </c>
      <c r="J18" s="8">
        <v>0</v>
      </c>
    </row>
  </sheetData>
  <autoFilter ref="A1:I18"/>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pane ySplit="1" topLeftCell="A13" activePane="bottomLeft" state="frozen"/>
      <selection pane="bottomLeft" activeCell="H14" sqref="H14"/>
    </sheetView>
  </sheetViews>
  <sheetFormatPr baseColWidth="10" defaultRowHeight="14" x14ac:dyDescent="0"/>
  <cols>
    <col min="1" max="1" width="10.83203125" style="8"/>
    <col min="2" max="2" width="55.332031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30">
      <c r="A2" s="6" t="s">
        <v>461</v>
      </c>
      <c r="B2" s="7" t="s">
        <v>462</v>
      </c>
      <c r="C2" s="8" t="s">
        <v>7</v>
      </c>
      <c r="D2" s="8" t="s">
        <v>19</v>
      </c>
      <c r="E2" s="8">
        <v>3</v>
      </c>
      <c r="F2" s="8">
        <v>0</v>
      </c>
      <c r="G2" s="8">
        <v>0</v>
      </c>
      <c r="H2" s="8">
        <v>0</v>
      </c>
      <c r="I2" s="8">
        <v>0</v>
      </c>
      <c r="J2" s="8">
        <v>0</v>
      </c>
    </row>
    <row r="3" spans="1:10" ht="45">
      <c r="A3" s="8" t="s">
        <v>461</v>
      </c>
      <c r="B3" s="7" t="s">
        <v>463</v>
      </c>
      <c r="C3" s="8" t="s">
        <v>7</v>
      </c>
      <c r="D3" s="8" t="s">
        <v>8</v>
      </c>
      <c r="E3" s="8">
        <v>1</v>
      </c>
      <c r="F3" s="8">
        <v>0</v>
      </c>
      <c r="G3" s="8">
        <v>0</v>
      </c>
      <c r="H3" s="8">
        <v>0</v>
      </c>
      <c r="I3" s="8">
        <v>0</v>
      </c>
      <c r="J3" s="8">
        <v>1</v>
      </c>
    </row>
    <row r="4" spans="1:10" ht="45">
      <c r="A4" s="6" t="s">
        <v>461</v>
      </c>
      <c r="B4" s="7" t="s">
        <v>464</v>
      </c>
      <c r="C4" s="8" t="s">
        <v>7</v>
      </c>
      <c r="D4" s="8" t="s">
        <v>8</v>
      </c>
      <c r="E4" s="8">
        <v>1</v>
      </c>
      <c r="F4" s="8">
        <v>0</v>
      </c>
      <c r="G4" s="8">
        <v>0</v>
      </c>
      <c r="H4" s="8">
        <v>0</v>
      </c>
      <c r="I4" s="8">
        <v>0</v>
      </c>
      <c r="J4" s="8">
        <v>1</v>
      </c>
    </row>
    <row r="5" spans="1:10" ht="120">
      <c r="A5" s="8" t="s">
        <v>461</v>
      </c>
      <c r="B5" s="7" t="s">
        <v>465</v>
      </c>
      <c r="C5" s="8" t="s">
        <v>6</v>
      </c>
      <c r="D5" s="8" t="s">
        <v>8</v>
      </c>
      <c r="E5" s="8">
        <v>1</v>
      </c>
      <c r="F5" s="8">
        <v>0</v>
      </c>
      <c r="G5" s="8">
        <v>0</v>
      </c>
      <c r="H5" s="8">
        <v>2</v>
      </c>
      <c r="I5" s="8">
        <v>0</v>
      </c>
      <c r="J5" s="8">
        <v>0</v>
      </c>
    </row>
    <row r="6" spans="1:10" ht="120">
      <c r="A6" s="6" t="s">
        <v>461</v>
      </c>
      <c r="B6" s="7" t="s">
        <v>466</v>
      </c>
      <c r="C6" s="8" t="s">
        <v>6</v>
      </c>
      <c r="D6" s="8" t="s">
        <v>8</v>
      </c>
      <c r="E6" s="8">
        <v>1</v>
      </c>
      <c r="F6" s="8">
        <v>1</v>
      </c>
      <c r="G6" s="8">
        <v>0</v>
      </c>
      <c r="H6" s="8">
        <v>2</v>
      </c>
      <c r="I6" s="8">
        <v>0</v>
      </c>
      <c r="J6" s="8">
        <v>0</v>
      </c>
    </row>
    <row r="7" spans="1:10" ht="120">
      <c r="A7" s="8" t="s">
        <v>461</v>
      </c>
      <c r="B7" s="7" t="s">
        <v>467</v>
      </c>
      <c r="C7" s="8" t="s">
        <v>6</v>
      </c>
      <c r="D7" s="8" t="s">
        <v>8</v>
      </c>
      <c r="E7" s="8">
        <v>1</v>
      </c>
      <c r="F7" s="8">
        <v>1</v>
      </c>
      <c r="G7" s="8">
        <v>0</v>
      </c>
      <c r="H7" s="8">
        <v>2</v>
      </c>
      <c r="I7" s="8">
        <v>0</v>
      </c>
      <c r="J7" s="8">
        <v>0</v>
      </c>
    </row>
    <row r="8" spans="1:10" ht="180">
      <c r="A8" s="6" t="s">
        <v>461</v>
      </c>
      <c r="B8" s="7" t="s">
        <v>468</v>
      </c>
      <c r="C8" s="8" t="s">
        <v>6</v>
      </c>
      <c r="D8" s="8" t="s">
        <v>8</v>
      </c>
      <c r="E8" s="8">
        <v>1</v>
      </c>
      <c r="F8" s="8">
        <v>0</v>
      </c>
      <c r="G8" s="8">
        <v>0</v>
      </c>
      <c r="H8" s="8">
        <v>2</v>
      </c>
      <c r="I8" s="8">
        <v>0</v>
      </c>
      <c r="J8" s="8">
        <v>0</v>
      </c>
    </row>
    <row r="9" spans="1:10" ht="165">
      <c r="A9" s="8" t="s">
        <v>461</v>
      </c>
      <c r="B9" s="7" t="s">
        <v>469</v>
      </c>
      <c r="C9" s="8" t="s">
        <v>6</v>
      </c>
      <c r="D9" s="8" t="s">
        <v>8</v>
      </c>
      <c r="E9" s="8">
        <v>1</v>
      </c>
      <c r="F9" s="8">
        <v>0</v>
      </c>
      <c r="G9" s="8">
        <v>0</v>
      </c>
      <c r="H9" s="8">
        <v>2</v>
      </c>
      <c r="I9" s="8">
        <v>0</v>
      </c>
      <c r="J9" s="8">
        <v>0</v>
      </c>
    </row>
    <row r="10" spans="1:10" ht="165">
      <c r="A10" s="6" t="s">
        <v>461</v>
      </c>
      <c r="B10" s="7" t="s">
        <v>470</v>
      </c>
      <c r="C10" s="8" t="s">
        <v>6</v>
      </c>
      <c r="D10" s="8" t="s">
        <v>8</v>
      </c>
      <c r="E10" s="8">
        <v>1</v>
      </c>
      <c r="F10" s="8">
        <v>0</v>
      </c>
      <c r="G10" s="8">
        <v>1</v>
      </c>
      <c r="H10" s="8">
        <v>2</v>
      </c>
      <c r="I10" s="8">
        <v>1</v>
      </c>
      <c r="J10" s="8">
        <v>0</v>
      </c>
    </row>
    <row r="11" spans="1:10" ht="165">
      <c r="A11" s="8" t="s">
        <v>461</v>
      </c>
      <c r="B11" s="7" t="s">
        <v>471</v>
      </c>
      <c r="C11" s="8" t="s">
        <v>18</v>
      </c>
      <c r="D11" s="8" t="s">
        <v>8</v>
      </c>
      <c r="E11" s="8">
        <v>3</v>
      </c>
      <c r="F11" s="8">
        <v>1</v>
      </c>
      <c r="G11" s="8">
        <v>0</v>
      </c>
      <c r="H11" s="8">
        <v>2</v>
      </c>
      <c r="I11" s="8">
        <v>1</v>
      </c>
      <c r="J11" s="8">
        <v>0</v>
      </c>
    </row>
    <row r="12" spans="1:10" ht="165">
      <c r="A12" s="6" t="s">
        <v>461</v>
      </c>
      <c r="B12" s="7" t="s">
        <v>472</v>
      </c>
      <c r="C12" s="8" t="s">
        <v>18</v>
      </c>
      <c r="D12" s="8" t="s">
        <v>8</v>
      </c>
      <c r="E12" s="8">
        <v>3</v>
      </c>
      <c r="F12" s="8">
        <v>1</v>
      </c>
      <c r="G12" s="8">
        <v>1</v>
      </c>
      <c r="H12" s="8">
        <v>2</v>
      </c>
      <c r="I12" s="8">
        <v>1</v>
      </c>
      <c r="J12" s="8">
        <v>0</v>
      </c>
    </row>
    <row r="13" spans="1:10" ht="165">
      <c r="A13" s="8" t="s">
        <v>461</v>
      </c>
      <c r="B13" s="7" t="s">
        <v>473</v>
      </c>
      <c r="C13" s="8" t="s">
        <v>6</v>
      </c>
      <c r="D13" s="8" t="s">
        <v>8</v>
      </c>
      <c r="E13" s="8">
        <v>6</v>
      </c>
      <c r="F13" s="8">
        <v>1</v>
      </c>
      <c r="G13" s="8">
        <v>0</v>
      </c>
      <c r="H13" s="8">
        <v>2</v>
      </c>
      <c r="I13" s="8">
        <v>0</v>
      </c>
      <c r="J13" s="8">
        <v>0</v>
      </c>
    </row>
    <row r="14" spans="1:10" ht="15">
      <c r="B14" s="7"/>
    </row>
    <row r="15" spans="1:10" ht="15">
      <c r="B15" s="7"/>
    </row>
    <row r="16" spans="1:10" ht="15">
      <c r="B16" s="7"/>
    </row>
    <row r="17" spans="2:2" ht="15">
      <c r="B17" s="7"/>
    </row>
    <row r="18" spans="2:2" ht="15">
      <c r="B18" s="7"/>
    </row>
    <row r="19" spans="2:2" ht="15">
      <c r="B19" s="7"/>
    </row>
    <row r="20" spans="2:2" ht="15">
      <c r="B20" s="7"/>
    </row>
    <row r="21" spans="2:2" ht="15">
      <c r="B21" s="7"/>
    </row>
    <row r="22" spans="2:2" ht="15">
      <c r="B22" s="7"/>
    </row>
    <row r="23" spans="2:2" ht="15">
      <c r="B23" s="7"/>
    </row>
    <row r="24" spans="2:2" ht="15">
      <c r="B24" s="6"/>
    </row>
  </sheetData>
  <autoFilter ref="A1:I13"/>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34"/>
  <sheetViews>
    <sheetView workbookViewId="0">
      <pane ySplit="1" topLeftCell="A33" activePane="bottomLeft" state="frozen"/>
      <selection pane="bottomLeft" activeCell="D36" sqref="D36:D55"/>
    </sheetView>
  </sheetViews>
  <sheetFormatPr baseColWidth="10" defaultRowHeight="14" x14ac:dyDescent="0"/>
  <cols>
    <col min="1" max="1" width="10.83203125" style="8"/>
    <col min="2" max="2" width="4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150">
      <c r="A2" s="8" t="s">
        <v>516</v>
      </c>
      <c r="B2" s="7" t="s">
        <v>490</v>
      </c>
      <c r="C2" s="8" t="s">
        <v>6</v>
      </c>
      <c r="D2" s="8" t="s">
        <v>8</v>
      </c>
      <c r="E2" s="8">
        <v>1</v>
      </c>
      <c r="F2" s="8">
        <v>1</v>
      </c>
      <c r="G2" s="8">
        <v>0</v>
      </c>
      <c r="H2" s="8">
        <v>0</v>
      </c>
      <c r="I2" s="8">
        <v>1</v>
      </c>
      <c r="J2" s="8">
        <v>0</v>
      </c>
    </row>
    <row r="3" spans="1:10" ht="150" hidden="1">
      <c r="A3" s="8" t="s">
        <v>516</v>
      </c>
      <c r="B3" s="7" t="s">
        <v>491</v>
      </c>
      <c r="C3" s="8" t="s">
        <v>6</v>
      </c>
      <c r="D3" s="8" t="s">
        <v>8</v>
      </c>
      <c r="E3" s="8">
        <v>1</v>
      </c>
      <c r="F3" s="8">
        <v>0</v>
      </c>
      <c r="G3" s="8">
        <v>1</v>
      </c>
      <c r="H3" s="8">
        <v>0</v>
      </c>
      <c r="I3" s="8">
        <v>1</v>
      </c>
      <c r="J3" s="8">
        <v>0</v>
      </c>
    </row>
    <row r="4" spans="1:10" ht="135" hidden="1">
      <c r="A4" s="8" t="s">
        <v>516</v>
      </c>
      <c r="B4" s="7" t="s">
        <v>492</v>
      </c>
      <c r="C4" s="8" t="s">
        <v>6</v>
      </c>
      <c r="D4" s="8" t="s">
        <v>8</v>
      </c>
      <c r="E4" s="8">
        <v>6</v>
      </c>
      <c r="F4" s="8">
        <v>0</v>
      </c>
      <c r="G4" s="8">
        <v>0</v>
      </c>
      <c r="H4" s="8">
        <v>0</v>
      </c>
      <c r="I4" s="8">
        <v>0</v>
      </c>
      <c r="J4" s="8">
        <v>0</v>
      </c>
    </row>
    <row r="5" spans="1:10" ht="135" hidden="1">
      <c r="A5" s="8" t="s">
        <v>516</v>
      </c>
      <c r="B5" s="7" t="s">
        <v>493</v>
      </c>
      <c r="C5" s="8" t="s">
        <v>6</v>
      </c>
      <c r="D5" s="8" t="s">
        <v>8</v>
      </c>
      <c r="E5" s="8">
        <v>2</v>
      </c>
      <c r="F5" s="8">
        <v>0</v>
      </c>
      <c r="G5" s="8">
        <v>0</v>
      </c>
      <c r="H5" s="8">
        <v>0</v>
      </c>
      <c r="I5" s="8">
        <v>0</v>
      </c>
      <c r="J5" s="8">
        <v>0</v>
      </c>
    </row>
    <row r="6" spans="1:10" ht="60" hidden="1">
      <c r="A6" s="8" t="s">
        <v>516</v>
      </c>
      <c r="B6" s="7" t="s">
        <v>494</v>
      </c>
      <c r="C6" s="8" t="s">
        <v>7</v>
      </c>
      <c r="D6" s="8" t="s">
        <v>8</v>
      </c>
      <c r="E6" s="8">
        <v>3</v>
      </c>
      <c r="F6" s="8">
        <v>1</v>
      </c>
      <c r="G6" s="8">
        <v>1</v>
      </c>
      <c r="H6" s="8">
        <v>1</v>
      </c>
      <c r="I6" s="8">
        <v>1</v>
      </c>
      <c r="J6" s="8">
        <v>0</v>
      </c>
    </row>
    <row r="7" spans="1:10" ht="45" hidden="1">
      <c r="A7" s="8" t="s">
        <v>516</v>
      </c>
      <c r="B7" s="7" t="s">
        <v>495</v>
      </c>
      <c r="C7" s="8" t="s">
        <v>6</v>
      </c>
      <c r="D7" s="8" t="s">
        <v>8</v>
      </c>
      <c r="E7" s="8">
        <v>1</v>
      </c>
      <c r="F7" s="8">
        <v>0</v>
      </c>
      <c r="G7" s="8">
        <v>0</v>
      </c>
      <c r="H7" s="8">
        <v>0</v>
      </c>
      <c r="I7" s="8">
        <v>0</v>
      </c>
      <c r="J7" s="8">
        <v>0</v>
      </c>
    </row>
    <row r="8" spans="1:10" ht="45" hidden="1">
      <c r="A8" s="8" t="s">
        <v>516</v>
      </c>
      <c r="B8" s="7" t="s">
        <v>496</v>
      </c>
      <c r="C8" s="8" t="s">
        <v>6</v>
      </c>
      <c r="D8" s="8" t="s">
        <v>8</v>
      </c>
      <c r="E8" s="8">
        <v>4</v>
      </c>
      <c r="F8" s="8">
        <v>0</v>
      </c>
      <c r="G8" s="8">
        <v>0</v>
      </c>
      <c r="H8" s="8">
        <v>0</v>
      </c>
      <c r="I8" s="8">
        <v>0</v>
      </c>
      <c r="J8" s="8">
        <v>0</v>
      </c>
    </row>
    <row r="9" spans="1:10" ht="165" hidden="1">
      <c r="A9" s="8" t="s">
        <v>516</v>
      </c>
      <c r="B9" s="7" t="s">
        <v>497</v>
      </c>
      <c r="C9" s="8" t="s">
        <v>6</v>
      </c>
      <c r="D9" s="8" t="s">
        <v>8</v>
      </c>
      <c r="E9" s="8">
        <v>6</v>
      </c>
      <c r="F9" s="8">
        <v>0</v>
      </c>
      <c r="G9" s="8">
        <v>0</v>
      </c>
      <c r="H9" s="8">
        <v>0</v>
      </c>
      <c r="I9" s="8">
        <v>0</v>
      </c>
      <c r="J9" s="8">
        <v>0</v>
      </c>
    </row>
    <row r="10" spans="1:10" ht="165" hidden="1">
      <c r="A10" s="8" t="s">
        <v>516</v>
      </c>
      <c r="B10" s="7" t="s">
        <v>498</v>
      </c>
      <c r="C10" s="8" t="s">
        <v>6</v>
      </c>
      <c r="D10" s="8" t="s">
        <v>8</v>
      </c>
      <c r="E10" s="8">
        <v>3</v>
      </c>
      <c r="F10" s="8">
        <v>0</v>
      </c>
      <c r="G10" s="8">
        <v>0</v>
      </c>
      <c r="H10" s="8">
        <v>0</v>
      </c>
      <c r="J10" s="8">
        <v>0</v>
      </c>
    </row>
    <row r="11" spans="1:10" ht="105" hidden="1">
      <c r="A11" s="8" t="s">
        <v>516</v>
      </c>
      <c r="B11" s="7" t="s">
        <v>499</v>
      </c>
      <c r="C11" s="8" t="s">
        <v>6</v>
      </c>
      <c r="D11" s="8" t="s">
        <v>20</v>
      </c>
      <c r="E11" s="8">
        <v>4</v>
      </c>
      <c r="F11" s="8">
        <v>0</v>
      </c>
      <c r="G11" s="8">
        <v>0</v>
      </c>
      <c r="H11" s="8">
        <v>0</v>
      </c>
      <c r="I11" s="8">
        <v>0</v>
      </c>
      <c r="J11" s="8">
        <v>0</v>
      </c>
    </row>
    <row r="12" spans="1:10" ht="90" hidden="1">
      <c r="A12" s="8" t="s">
        <v>516</v>
      </c>
      <c r="B12" s="7" t="s">
        <v>500</v>
      </c>
      <c r="C12" s="8" t="s">
        <v>6</v>
      </c>
      <c r="D12" s="8" t="s">
        <v>8</v>
      </c>
      <c r="E12" s="8">
        <v>3</v>
      </c>
      <c r="F12" s="8">
        <v>1</v>
      </c>
      <c r="G12" s="8">
        <v>0</v>
      </c>
      <c r="H12" s="8">
        <v>1</v>
      </c>
      <c r="I12" s="8">
        <v>0</v>
      </c>
      <c r="J12" s="8">
        <v>0</v>
      </c>
    </row>
    <row r="13" spans="1:10" ht="90" hidden="1">
      <c r="A13" s="8" t="s">
        <v>516</v>
      </c>
      <c r="B13" s="7" t="s">
        <v>501</v>
      </c>
      <c r="C13" s="8" t="s">
        <v>6</v>
      </c>
      <c r="D13" s="8" t="s">
        <v>8</v>
      </c>
      <c r="E13" s="8">
        <v>3</v>
      </c>
      <c r="F13" s="8">
        <v>1</v>
      </c>
      <c r="G13" s="8">
        <v>0</v>
      </c>
      <c r="H13" s="8">
        <v>1</v>
      </c>
      <c r="I13" s="8">
        <v>0</v>
      </c>
      <c r="J13" s="8">
        <v>0</v>
      </c>
    </row>
    <row r="14" spans="1:10" ht="75" hidden="1">
      <c r="A14" s="8" t="s">
        <v>516</v>
      </c>
      <c r="B14" s="7" t="s">
        <v>502</v>
      </c>
      <c r="C14" s="8" t="s">
        <v>6</v>
      </c>
      <c r="D14" s="8" t="s">
        <v>8</v>
      </c>
      <c r="E14" s="8">
        <v>3</v>
      </c>
      <c r="F14" s="8">
        <v>0</v>
      </c>
      <c r="G14" s="8">
        <v>0</v>
      </c>
      <c r="H14" s="8">
        <v>0</v>
      </c>
      <c r="I14" s="8">
        <v>0</v>
      </c>
      <c r="J14" s="8">
        <v>0</v>
      </c>
    </row>
    <row r="15" spans="1:10" ht="75" hidden="1">
      <c r="A15" s="8" t="s">
        <v>516</v>
      </c>
      <c r="B15" s="7" t="s">
        <v>503</v>
      </c>
      <c r="C15" s="8" t="s">
        <v>6</v>
      </c>
      <c r="D15" s="8" t="s">
        <v>8</v>
      </c>
      <c r="E15" s="8">
        <v>3</v>
      </c>
      <c r="F15" s="8">
        <v>0</v>
      </c>
      <c r="G15" s="8">
        <v>0</v>
      </c>
      <c r="H15" s="8">
        <v>0</v>
      </c>
      <c r="I15" s="8">
        <v>0</v>
      </c>
      <c r="J15" s="8">
        <v>0</v>
      </c>
    </row>
    <row r="16" spans="1:10" ht="60" hidden="1">
      <c r="A16" s="8" t="s">
        <v>516</v>
      </c>
      <c r="B16" s="7" t="s">
        <v>504</v>
      </c>
      <c r="C16" s="8" t="s">
        <v>6</v>
      </c>
      <c r="D16" s="8" t="s">
        <v>8</v>
      </c>
      <c r="E16" s="8">
        <v>3</v>
      </c>
      <c r="F16" s="8">
        <v>0</v>
      </c>
      <c r="G16" s="8">
        <v>0</v>
      </c>
      <c r="H16" s="8">
        <v>0</v>
      </c>
      <c r="I16" s="8">
        <v>0</v>
      </c>
      <c r="J16" s="8">
        <v>0</v>
      </c>
    </row>
    <row r="17" spans="1:10" ht="105" hidden="1">
      <c r="A17" s="8" t="s">
        <v>516</v>
      </c>
      <c r="B17" s="7" t="s">
        <v>505</v>
      </c>
      <c r="C17" s="8" t="s">
        <v>6</v>
      </c>
      <c r="D17" s="8" t="s">
        <v>8</v>
      </c>
      <c r="E17" s="8">
        <v>3</v>
      </c>
      <c r="F17" s="8">
        <v>0</v>
      </c>
      <c r="G17" s="8">
        <v>0</v>
      </c>
      <c r="H17" s="8">
        <v>0</v>
      </c>
      <c r="I17" s="8">
        <v>0</v>
      </c>
      <c r="J17" s="8">
        <v>1</v>
      </c>
    </row>
    <row r="18" spans="1:10" ht="105" hidden="1">
      <c r="A18" s="8" t="s">
        <v>516</v>
      </c>
      <c r="B18" s="7" t="s">
        <v>506</v>
      </c>
      <c r="C18" s="8" t="s">
        <v>6</v>
      </c>
      <c r="D18" s="8" t="s">
        <v>8</v>
      </c>
      <c r="E18" s="8">
        <v>3</v>
      </c>
      <c r="F18" s="8">
        <v>0</v>
      </c>
      <c r="G18" s="8">
        <v>1</v>
      </c>
      <c r="H18" s="8">
        <v>0</v>
      </c>
      <c r="I18" s="8">
        <v>0</v>
      </c>
      <c r="J18" s="8">
        <v>1</v>
      </c>
    </row>
    <row r="19" spans="1:10" ht="105" hidden="1">
      <c r="A19" s="8" t="s">
        <v>516</v>
      </c>
      <c r="B19" s="7" t="s">
        <v>507</v>
      </c>
      <c r="C19" s="8" t="s">
        <v>6</v>
      </c>
      <c r="D19" s="8" t="s">
        <v>8</v>
      </c>
      <c r="E19" s="8">
        <v>3</v>
      </c>
      <c r="F19" s="8">
        <v>0</v>
      </c>
      <c r="G19" s="8">
        <v>1</v>
      </c>
      <c r="H19" s="8">
        <v>0</v>
      </c>
      <c r="I19" s="8">
        <v>0</v>
      </c>
      <c r="J19" s="8">
        <v>1</v>
      </c>
    </row>
    <row r="20" spans="1:10" ht="60">
      <c r="A20" s="8" t="s">
        <v>516</v>
      </c>
      <c r="B20" s="7" t="s">
        <v>517</v>
      </c>
      <c r="C20" s="8" t="s">
        <v>18</v>
      </c>
      <c r="D20" s="8" t="s">
        <v>8</v>
      </c>
      <c r="E20" s="8">
        <v>3</v>
      </c>
      <c r="F20" s="8">
        <v>1</v>
      </c>
      <c r="G20" s="8">
        <v>0</v>
      </c>
      <c r="H20" s="8">
        <v>0</v>
      </c>
      <c r="I20" s="8">
        <v>1</v>
      </c>
      <c r="J20" s="8">
        <v>0</v>
      </c>
    </row>
    <row r="21" spans="1:10" ht="60" hidden="1">
      <c r="A21" s="8" t="s">
        <v>516</v>
      </c>
      <c r="B21" s="7" t="s">
        <v>508</v>
      </c>
      <c r="C21" s="8" t="s">
        <v>6</v>
      </c>
      <c r="D21" s="8" t="s">
        <v>8</v>
      </c>
      <c r="E21" s="8">
        <v>1</v>
      </c>
      <c r="F21" s="8">
        <v>0</v>
      </c>
      <c r="G21" s="8">
        <v>0</v>
      </c>
      <c r="H21" s="8">
        <v>0</v>
      </c>
      <c r="I21" s="8">
        <v>0</v>
      </c>
      <c r="J21" s="8">
        <v>1</v>
      </c>
    </row>
    <row r="22" spans="1:10" ht="60" hidden="1">
      <c r="A22" s="8" t="s">
        <v>516</v>
      </c>
      <c r="B22" s="7" t="s">
        <v>509</v>
      </c>
      <c r="C22" s="8" t="s">
        <v>6</v>
      </c>
      <c r="D22" s="8" t="s">
        <v>8</v>
      </c>
      <c r="E22" s="8">
        <v>3</v>
      </c>
      <c r="F22" s="8">
        <v>0</v>
      </c>
      <c r="G22" s="8">
        <v>0</v>
      </c>
      <c r="H22" s="8">
        <v>0</v>
      </c>
      <c r="I22" s="8">
        <v>0</v>
      </c>
      <c r="J22" s="8">
        <v>1</v>
      </c>
    </row>
    <row r="23" spans="1:10" ht="180" hidden="1">
      <c r="A23" s="8" t="s">
        <v>516</v>
      </c>
      <c r="B23" s="7" t="s">
        <v>510</v>
      </c>
      <c r="C23" s="8" t="s">
        <v>6</v>
      </c>
      <c r="D23" s="8" t="s">
        <v>8</v>
      </c>
      <c r="E23" s="8">
        <v>3</v>
      </c>
      <c r="F23" s="8">
        <v>0</v>
      </c>
      <c r="G23" s="8">
        <v>0</v>
      </c>
      <c r="H23" s="8">
        <v>0</v>
      </c>
      <c r="I23" s="8">
        <v>0</v>
      </c>
      <c r="J23" s="8">
        <v>0</v>
      </c>
    </row>
    <row r="24" spans="1:10" ht="195" hidden="1">
      <c r="A24" s="8" t="s">
        <v>516</v>
      </c>
      <c r="B24" s="7" t="s">
        <v>511</v>
      </c>
      <c r="C24" s="8" t="s">
        <v>6</v>
      </c>
      <c r="D24" s="8" t="s">
        <v>8</v>
      </c>
      <c r="E24" s="8">
        <v>3</v>
      </c>
      <c r="F24" s="8">
        <v>0</v>
      </c>
      <c r="G24" s="8">
        <v>0</v>
      </c>
      <c r="H24" s="8">
        <v>0</v>
      </c>
      <c r="I24" s="8">
        <v>0</v>
      </c>
      <c r="J24" s="8">
        <v>0</v>
      </c>
    </row>
    <row r="25" spans="1:10" ht="180" hidden="1">
      <c r="A25" s="8" t="s">
        <v>516</v>
      </c>
      <c r="B25" s="7" t="s">
        <v>512</v>
      </c>
      <c r="C25" s="8" t="s">
        <v>6</v>
      </c>
      <c r="D25" s="8" t="s">
        <v>8</v>
      </c>
      <c r="E25" s="8">
        <v>3</v>
      </c>
      <c r="F25" s="8">
        <v>0</v>
      </c>
      <c r="G25" s="8">
        <v>1</v>
      </c>
      <c r="H25" s="8">
        <v>0</v>
      </c>
      <c r="I25" s="8">
        <v>0</v>
      </c>
      <c r="J25" s="8">
        <v>0</v>
      </c>
    </row>
    <row r="26" spans="1:10" ht="120" hidden="1">
      <c r="A26" s="8" t="s">
        <v>516</v>
      </c>
      <c r="B26" s="7" t="s">
        <v>513</v>
      </c>
      <c r="C26" s="8" t="s">
        <v>6</v>
      </c>
      <c r="D26" s="8" t="s">
        <v>8</v>
      </c>
      <c r="E26" s="8">
        <v>3</v>
      </c>
      <c r="F26" s="8">
        <v>0</v>
      </c>
      <c r="G26" s="8">
        <v>1</v>
      </c>
      <c r="H26" s="8">
        <v>0</v>
      </c>
      <c r="I26" s="8">
        <v>0</v>
      </c>
      <c r="J26" s="8">
        <v>0</v>
      </c>
    </row>
    <row r="27" spans="1:10" ht="105" hidden="1">
      <c r="A27" s="8" t="s">
        <v>516</v>
      </c>
      <c r="B27" s="7" t="s">
        <v>514</v>
      </c>
      <c r="C27" s="8" t="s">
        <v>6</v>
      </c>
      <c r="D27" s="8" t="s">
        <v>8</v>
      </c>
      <c r="E27" s="8">
        <v>2</v>
      </c>
      <c r="F27" s="8">
        <v>1</v>
      </c>
      <c r="G27" s="8">
        <v>1</v>
      </c>
      <c r="H27" s="8">
        <v>1</v>
      </c>
      <c r="I27" s="8">
        <v>0</v>
      </c>
      <c r="J27" s="8">
        <v>0</v>
      </c>
    </row>
    <row r="28" spans="1:10" ht="105" hidden="1">
      <c r="A28" s="8" t="s">
        <v>516</v>
      </c>
      <c r="B28" s="7" t="s">
        <v>515</v>
      </c>
      <c r="C28" s="8" t="s">
        <v>6</v>
      </c>
      <c r="D28" s="8" t="s">
        <v>8</v>
      </c>
      <c r="E28" s="8">
        <v>2</v>
      </c>
      <c r="F28" s="8">
        <v>1</v>
      </c>
      <c r="G28" s="8">
        <v>0</v>
      </c>
      <c r="H28" s="8">
        <v>1</v>
      </c>
      <c r="I28" s="8">
        <v>0</v>
      </c>
      <c r="J28" s="8">
        <v>0</v>
      </c>
    </row>
    <row r="29" spans="1:10" ht="15">
      <c r="B29" s="6"/>
    </row>
    <row r="30" spans="1:10" ht="15">
      <c r="B30" s="6"/>
    </row>
    <row r="31" spans="1:10" ht="15">
      <c r="B31" s="6"/>
    </row>
    <row r="32" spans="1:10" ht="15">
      <c r="B32" s="6"/>
    </row>
    <row r="33" spans="2:2" ht="15">
      <c r="B33" s="6"/>
    </row>
    <row r="34" spans="2:2" ht="15">
      <c r="B34" s="6"/>
    </row>
  </sheetData>
  <autoFilter ref="A1:I28">
    <filterColumn colId="5">
      <filters>
        <filter val="1"/>
      </filters>
    </filterColumn>
    <filterColumn colId="7">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pane ySplit="1" topLeftCell="A19" activePane="bottomLeft" state="frozen"/>
      <selection pane="bottomLeft" activeCell="F20" sqref="F20"/>
    </sheetView>
  </sheetViews>
  <sheetFormatPr baseColWidth="10" defaultRowHeight="14" x14ac:dyDescent="0"/>
  <cols>
    <col min="1" max="1" width="10.83203125" style="8"/>
    <col min="2" max="2" width="40.6640625" style="8" customWidth="1"/>
    <col min="3" max="16384" width="10.83203125" style="8"/>
  </cols>
  <sheetData>
    <row r="1" spans="1:10" s="10" customFormat="1">
      <c r="B1" s="10" t="s">
        <v>1</v>
      </c>
      <c r="C1" s="10" t="s">
        <v>5</v>
      </c>
      <c r="D1" s="10" t="s">
        <v>2</v>
      </c>
      <c r="E1" s="10" t="s">
        <v>3</v>
      </c>
      <c r="F1" s="10" t="s">
        <v>4</v>
      </c>
      <c r="G1" s="10" t="s">
        <v>16</v>
      </c>
      <c r="H1" s="3" t="s">
        <v>567</v>
      </c>
      <c r="I1" s="3" t="s">
        <v>577</v>
      </c>
      <c r="J1" s="3" t="s">
        <v>569</v>
      </c>
    </row>
    <row r="2" spans="1:10" ht="105">
      <c r="A2" s="6" t="s">
        <v>489</v>
      </c>
      <c r="B2" s="7" t="s">
        <v>474</v>
      </c>
      <c r="C2" s="8" t="s">
        <v>6</v>
      </c>
      <c r="D2" s="8" t="s">
        <v>20</v>
      </c>
      <c r="E2" s="8">
        <v>4</v>
      </c>
      <c r="F2" s="8">
        <v>0</v>
      </c>
      <c r="G2" s="8">
        <v>0</v>
      </c>
      <c r="H2" s="8">
        <v>0</v>
      </c>
      <c r="I2" s="8">
        <v>0</v>
      </c>
      <c r="J2" s="8">
        <v>0</v>
      </c>
    </row>
    <row r="3" spans="1:10" ht="30">
      <c r="A3" s="6" t="s">
        <v>489</v>
      </c>
      <c r="B3" s="7" t="s">
        <v>475</v>
      </c>
      <c r="C3" s="8" t="s">
        <v>6</v>
      </c>
      <c r="D3" s="8" t="s">
        <v>8</v>
      </c>
      <c r="E3" s="8">
        <v>4</v>
      </c>
      <c r="F3" s="8">
        <v>0</v>
      </c>
      <c r="G3" s="8">
        <v>0</v>
      </c>
      <c r="H3" s="8">
        <v>0</v>
      </c>
      <c r="I3" s="8">
        <v>1</v>
      </c>
      <c r="J3" s="8">
        <v>0</v>
      </c>
    </row>
    <row r="4" spans="1:10" ht="30">
      <c r="A4" s="6" t="s">
        <v>489</v>
      </c>
      <c r="B4" s="7" t="s">
        <v>476</v>
      </c>
      <c r="C4" s="8" t="s">
        <v>6</v>
      </c>
      <c r="D4" s="8" t="s">
        <v>8</v>
      </c>
      <c r="E4" s="8">
        <v>3</v>
      </c>
      <c r="F4" s="8">
        <v>0</v>
      </c>
      <c r="G4" s="8">
        <v>0</v>
      </c>
      <c r="H4" s="8">
        <v>0</v>
      </c>
      <c r="I4" s="8">
        <v>1</v>
      </c>
      <c r="J4" s="8">
        <v>0</v>
      </c>
    </row>
    <row r="5" spans="1:10" ht="75">
      <c r="A5" s="6" t="s">
        <v>489</v>
      </c>
      <c r="B5" s="7" t="s">
        <v>477</v>
      </c>
      <c r="C5" s="8" t="s">
        <v>6</v>
      </c>
      <c r="D5" s="8" t="s">
        <v>8</v>
      </c>
      <c r="E5" s="8">
        <v>4</v>
      </c>
      <c r="F5" s="8">
        <v>1</v>
      </c>
      <c r="G5" s="8">
        <v>0</v>
      </c>
      <c r="H5" s="8">
        <v>2</v>
      </c>
      <c r="I5" s="8">
        <v>0</v>
      </c>
      <c r="J5" s="8">
        <v>0</v>
      </c>
    </row>
    <row r="6" spans="1:10" ht="195">
      <c r="A6" s="6" t="s">
        <v>489</v>
      </c>
      <c r="B6" s="7" t="s">
        <v>478</v>
      </c>
      <c r="C6" s="8" t="s">
        <v>6</v>
      </c>
      <c r="D6" s="8" t="s">
        <v>8</v>
      </c>
      <c r="E6" s="8">
        <v>3</v>
      </c>
      <c r="F6" s="8">
        <v>1</v>
      </c>
      <c r="G6" s="8">
        <v>0</v>
      </c>
      <c r="H6" s="8">
        <v>2</v>
      </c>
      <c r="I6" s="8">
        <v>0</v>
      </c>
      <c r="J6" s="8">
        <v>1</v>
      </c>
    </row>
    <row r="7" spans="1:10" ht="195">
      <c r="A7" s="6" t="s">
        <v>489</v>
      </c>
      <c r="B7" s="7" t="s">
        <v>479</v>
      </c>
      <c r="C7" s="8" t="s">
        <v>6</v>
      </c>
      <c r="D7" s="8" t="s">
        <v>8</v>
      </c>
      <c r="E7" s="8">
        <v>3</v>
      </c>
      <c r="F7" s="8">
        <v>1</v>
      </c>
      <c r="G7" s="8">
        <v>1</v>
      </c>
      <c r="H7" s="8">
        <v>2</v>
      </c>
      <c r="I7" s="8">
        <v>0</v>
      </c>
      <c r="J7" s="8">
        <v>1</v>
      </c>
    </row>
    <row r="8" spans="1:10" ht="195">
      <c r="A8" s="6" t="s">
        <v>489</v>
      </c>
      <c r="B8" s="7" t="s">
        <v>480</v>
      </c>
      <c r="C8" s="8" t="s">
        <v>6</v>
      </c>
      <c r="D8" s="8" t="s">
        <v>8</v>
      </c>
      <c r="E8" s="8">
        <v>4</v>
      </c>
      <c r="F8" s="8">
        <v>1</v>
      </c>
      <c r="G8" s="8">
        <v>0</v>
      </c>
      <c r="H8" s="8">
        <v>2</v>
      </c>
      <c r="I8" s="8">
        <v>1</v>
      </c>
      <c r="J8" s="8">
        <v>1</v>
      </c>
    </row>
    <row r="9" spans="1:10" ht="195">
      <c r="A9" s="6" t="s">
        <v>489</v>
      </c>
      <c r="B9" s="7" t="s">
        <v>481</v>
      </c>
      <c r="C9" s="8" t="s">
        <v>18</v>
      </c>
      <c r="D9" s="8" t="s">
        <v>8</v>
      </c>
      <c r="E9" s="8">
        <v>4</v>
      </c>
      <c r="F9" s="8">
        <v>1</v>
      </c>
      <c r="G9" s="8">
        <v>0</v>
      </c>
      <c r="H9" s="8">
        <v>2</v>
      </c>
      <c r="I9" s="8">
        <v>1</v>
      </c>
      <c r="J9" s="8">
        <v>1</v>
      </c>
    </row>
    <row r="10" spans="1:10" ht="195">
      <c r="A10" s="6" t="s">
        <v>489</v>
      </c>
      <c r="B10" s="7" t="s">
        <v>482</v>
      </c>
      <c r="C10" s="8" t="s">
        <v>6</v>
      </c>
      <c r="D10" s="8" t="s">
        <v>8</v>
      </c>
      <c r="E10" s="8">
        <v>3</v>
      </c>
      <c r="F10" s="8">
        <v>1</v>
      </c>
      <c r="G10" s="8">
        <v>0</v>
      </c>
      <c r="H10" s="8">
        <v>2</v>
      </c>
      <c r="I10" s="8">
        <v>1</v>
      </c>
      <c r="J10" s="8">
        <v>0</v>
      </c>
    </row>
    <row r="11" spans="1:10" ht="60">
      <c r="A11" s="6" t="s">
        <v>489</v>
      </c>
      <c r="B11" s="7" t="s">
        <v>483</v>
      </c>
      <c r="C11" s="8" t="s">
        <v>6</v>
      </c>
      <c r="D11" s="8" t="s">
        <v>8</v>
      </c>
      <c r="E11" s="8">
        <v>4</v>
      </c>
      <c r="F11" s="8">
        <v>1</v>
      </c>
      <c r="G11" s="8">
        <v>0</v>
      </c>
      <c r="H11" s="8">
        <v>2</v>
      </c>
      <c r="I11" s="8">
        <v>0</v>
      </c>
      <c r="J11" s="8">
        <v>0</v>
      </c>
    </row>
    <row r="12" spans="1:10" ht="60">
      <c r="A12" s="6" t="s">
        <v>489</v>
      </c>
      <c r="B12" s="7" t="s">
        <v>484</v>
      </c>
      <c r="C12" s="8" t="s">
        <v>6</v>
      </c>
      <c r="D12" s="8" t="s">
        <v>8</v>
      </c>
      <c r="E12" s="8">
        <v>1</v>
      </c>
      <c r="F12" s="8">
        <v>1</v>
      </c>
      <c r="G12" s="8">
        <v>0</v>
      </c>
      <c r="H12" s="8">
        <v>2</v>
      </c>
      <c r="I12" s="8">
        <v>0</v>
      </c>
      <c r="J12" s="8">
        <v>0</v>
      </c>
    </row>
    <row r="13" spans="1:10" ht="105">
      <c r="A13" s="6" t="s">
        <v>489</v>
      </c>
      <c r="B13" s="7" t="s">
        <v>485</v>
      </c>
      <c r="C13" s="8" t="s">
        <v>6</v>
      </c>
      <c r="D13" s="8" t="s">
        <v>8</v>
      </c>
      <c r="E13" s="8">
        <v>1</v>
      </c>
      <c r="F13" s="8">
        <v>0</v>
      </c>
      <c r="G13" s="8">
        <v>0</v>
      </c>
      <c r="H13" s="8">
        <v>1</v>
      </c>
      <c r="I13" s="8">
        <v>0</v>
      </c>
      <c r="J13" s="8">
        <v>0</v>
      </c>
    </row>
    <row r="14" spans="1:10" ht="45">
      <c r="A14" s="6" t="s">
        <v>489</v>
      </c>
      <c r="B14" s="7" t="s">
        <v>486</v>
      </c>
      <c r="C14" s="8" t="s">
        <v>6</v>
      </c>
      <c r="D14" s="8" t="s">
        <v>20</v>
      </c>
      <c r="E14" s="8">
        <v>4</v>
      </c>
      <c r="F14" s="8">
        <v>0</v>
      </c>
      <c r="G14" s="8">
        <v>0</v>
      </c>
      <c r="H14" s="8">
        <v>0</v>
      </c>
      <c r="I14" s="8">
        <v>0</v>
      </c>
      <c r="J14" s="8">
        <v>0</v>
      </c>
    </row>
    <row r="15" spans="1:10" ht="75">
      <c r="A15" s="6" t="s">
        <v>489</v>
      </c>
      <c r="B15" s="7" t="s">
        <v>587</v>
      </c>
      <c r="C15" s="8" t="s">
        <v>18</v>
      </c>
      <c r="D15" s="8" t="s">
        <v>8</v>
      </c>
      <c r="E15" s="8">
        <v>3</v>
      </c>
      <c r="F15" s="8">
        <v>0</v>
      </c>
      <c r="G15" s="8">
        <v>1</v>
      </c>
      <c r="H15" s="8">
        <v>0</v>
      </c>
      <c r="I15" s="8">
        <v>0</v>
      </c>
      <c r="J15" s="8">
        <v>1</v>
      </c>
    </row>
    <row r="16" spans="1:10" ht="60">
      <c r="A16" s="6" t="s">
        <v>489</v>
      </c>
      <c r="B16" s="7" t="s">
        <v>487</v>
      </c>
      <c r="C16" s="8" t="s">
        <v>18</v>
      </c>
      <c r="D16" s="8" t="s">
        <v>8</v>
      </c>
      <c r="E16" s="8">
        <v>3</v>
      </c>
      <c r="F16" s="8">
        <v>0</v>
      </c>
      <c r="G16" s="8">
        <v>1</v>
      </c>
      <c r="H16" s="8">
        <v>0</v>
      </c>
      <c r="I16" s="8">
        <v>0</v>
      </c>
      <c r="J16" s="8">
        <v>1</v>
      </c>
    </row>
    <row r="17" spans="1:10" ht="105">
      <c r="A17" s="6" t="s">
        <v>489</v>
      </c>
      <c r="B17" s="7" t="s">
        <v>488</v>
      </c>
      <c r="C17" s="8" t="s">
        <v>6</v>
      </c>
      <c r="D17" s="8" t="s">
        <v>8</v>
      </c>
      <c r="E17" s="8">
        <v>1</v>
      </c>
      <c r="F17" s="8">
        <v>0</v>
      </c>
      <c r="G17" s="8">
        <v>0</v>
      </c>
      <c r="H17" s="8">
        <v>0</v>
      </c>
      <c r="I17" s="8">
        <v>1</v>
      </c>
      <c r="J17" s="8">
        <v>0</v>
      </c>
    </row>
    <row r="18" spans="1:10" ht="150">
      <c r="A18" s="6" t="s">
        <v>489</v>
      </c>
      <c r="B18" s="65" t="s">
        <v>588</v>
      </c>
      <c r="C18" s="8" t="s">
        <v>6</v>
      </c>
      <c r="D18" s="8" t="s">
        <v>8</v>
      </c>
      <c r="E18" s="8">
        <v>3</v>
      </c>
      <c r="F18" s="8">
        <v>0</v>
      </c>
      <c r="G18" s="8">
        <v>0</v>
      </c>
      <c r="H18" s="8">
        <v>0</v>
      </c>
      <c r="I18" s="8">
        <v>1</v>
      </c>
      <c r="J18" s="8">
        <v>0</v>
      </c>
    </row>
    <row r="19" spans="1:10" ht="150">
      <c r="A19" s="6" t="s">
        <v>489</v>
      </c>
      <c r="B19" s="65" t="s">
        <v>589</v>
      </c>
      <c r="C19" s="8" t="s">
        <v>6</v>
      </c>
      <c r="D19" s="8" t="s">
        <v>8</v>
      </c>
      <c r="E19" s="8">
        <v>4</v>
      </c>
      <c r="F19" s="8">
        <v>1</v>
      </c>
      <c r="G19" s="8">
        <v>1</v>
      </c>
      <c r="H19" s="8">
        <v>2</v>
      </c>
      <c r="I19" s="8">
        <v>1</v>
      </c>
      <c r="J19" s="8">
        <v>0</v>
      </c>
    </row>
    <row r="20" spans="1:10" ht="30">
      <c r="A20" s="6" t="s">
        <v>489</v>
      </c>
      <c r="B20" s="7" t="s">
        <v>590</v>
      </c>
      <c r="C20" s="8" t="s">
        <v>7</v>
      </c>
      <c r="D20" s="8" t="s">
        <v>8</v>
      </c>
      <c r="E20" s="8">
        <v>6</v>
      </c>
      <c r="F20" s="8">
        <v>0</v>
      </c>
      <c r="G20" s="8">
        <v>1</v>
      </c>
      <c r="H20" s="8">
        <v>1</v>
      </c>
      <c r="I20" s="8">
        <v>0</v>
      </c>
      <c r="J20" s="8">
        <v>0</v>
      </c>
    </row>
    <row r="21" spans="1:10" ht="15">
      <c r="B21" s="7"/>
    </row>
  </sheetData>
  <autoFilter ref="A1:I20"/>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39"/>
  <sheetViews>
    <sheetView workbookViewId="0">
      <pane ySplit="1" topLeftCell="A2" activePane="bottomLeft" state="frozen"/>
      <selection pane="bottomLeft" activeCell="E28" sqref="E28"/>
    </sheetView>
  </sheetViews>
  <sheetFormatPr baseColWidth="10" defaultRowHeight="14" x14ac:dyDescent="0"/>
  <cols>
    <col min="2" max="2" width="50.33203125" customWidth="1"/>
  </cols>
  <sheetData>
    <row r="1" spans="1:10" s="10" customFormat="1">
      <c r="B1" s="10" t="s">
        <v>1</v>
      </c>
      <c r="C1" s="10" t="s">
        <v>5</v>
      </c>
      <c r="D1" s="10" t="s">
        <v>2</v>
      </c>
      <c r="E1" s="10" t="s">
        <v>3</v>
      </c>
      <c r="F1" s="10" t="s">
        <v>4</v>
      </c>
      <c r="G1" s="10" t="s">
        <v>16</v>
      </c>
      <c r="H1" s="3" t="s">
        <v>567</v>
      </c>
      <c r="I1" s="3" t="s">
        <v>577</v>
      </c>
      <c r="J1" s="3" t="s">
        <v>569</v>
      </c>
    </row>
    <row r="2" spans="1:10" ht="90" hidden="1">
      <c r="A2" s="6"/>
      <c r="B2" s="7" t="s">
        <v>518</v>
      </c>
      <c r="C2" t="s">
        <v>6</v>
      </c>
      <c r="D2" t="s">
        <v>8</v>
      </c>
      <c r="E2">
        <v>3</v>
      </c>
      <c r="F2">
        <v>0</v>
      </c>
      <c r="G2">
        <v>0</v>
      </c>
      <c r="H2">
        <v>0</v>
      </c>
      <c r="I2">
        <v>0</v>
      </c>
      <c r="J2">
        <v>1</v>
      </c>
    </row>
    <row r="3" spans="1:10" ht="30" hidden="1">
      <c r="A3" s="6" t="s">
        <v>544</v>
      </c>
      <c r="B3" s="7" t="s">
        <v>519</v>
      </c>
      <c r="C3" t="s">
        <v>6</v>
      </c>
      <c r="D3" t="s">
        <v>54</v>
      </c>
      <c r="E3">
        <v>2</v>
      </c>
      <c r="F3">
        <v>0</v>
      </c>
      <c r="G3">
        <v>0</v>
      </c>
      <c r="H3">
        <v>0</v>
      </c>
      <c r="I3">
        <v>0</v>
      </c>
      <c r="J3">
        <v>0</v>
      </c>
    </row>
    <row r="4" spans="1:10" ht="105" hidden="1">
      <c r="A4" s="6" t="s">
        <v>544</v>
      </c>
      <c r="B4" s="7" t="s">
        <v>520</v>
      </c>
      <c r="C4" t="s">
        <v>6</v>
      </c>
      <c r="D4" t="s">
        <v>8</v>
      </c>
      <c r="E4">
        <v>6</v>
      </c>
      <c r="F4">
        <v>0</v>
      </c>
      <c r="G4">
        <v>1</v>
      </c>
      <c r="H4">
        <v>0</v>
      </c>
      <c r="I4">
        <v>1</v>
      </c>
      <c r="J4">
        <v>0</v>
      </c>
    </row>
    <row r="5" spans="1:10" ht="120" hidden="1">
      <c r="A5" s="6" t="s">
        <v>544</v>
      </c>
      <c r="B5" s="7" t="s">
        <v>521</v>
      </c>
      <c r="C5" t="s">
        <v>6</v>
      </c>
      <c r="D5" t="s">
        <v>8</v>
      </c>
      <c r="E5">
        <v>3</v>
      </c>
      <c r="F5">
        <v>0</v>
      </c>
      <c r="G5">
        <v>0</v>
      </c>
      <c r="H5">
        <v>0</v>
      </c>
      <c r="I5">
        <v>0</v>
      </c>
      <c r="J5">
        <v>0</v>
      </c>
    </row>
    <row r="6" spans="1:10" ht="120" hidden="1">
      <c r="A6" s="6" t="s">
        <v>544</v>
      </c>
      <c r="B6" s="7" t="s">
        <v>522</v>
      </c>
      <c r="C6" t="s">
        <v>6</v>
      </c>
      <c r="D6" t="s">
        <v>8</v>
      </c>
      <c r="E6">
        <v>3</v>
      </c>
      <c r="F6">
        <v>1</v>
      </c>
      <c r="G6">
        <v>0</v>
      </c>
      <c r="H6">
        <v>1</v>
      </c>
      <c r="I6">
        <v>1</v>
      </c>
      <c r="J6">
        <v>0</v>
      </c>
    </row>
    <row r="7" spans="1:10" ht="75">
      <c r="A7" s="6" t="s">
        <v>544</v>
      </c>
      <c r="B7" s="7" t="s">
        <v>523</v>
      </c>
      <c r="C7" t="s">
        <v>7</v>
      </c>
      <c r="D7" t="s">
        <v>8</v>
      </c>
      <c r="E7">
        <v>1</v>
      </c>
      <c r="F7">
        <v>1</v>
      </c>
      <c r="G7">
        <v>0</v>
      </c>
      <c r="H7">
        <v>0</v>
      </c>
      <c r="I7">
        <v>1</v>
      </c>
      <c r="J7">
        <v>0</v>
      </c>
    </row>
    <row r="8" spans="1:10" ht="45" hidden="1">
      <c r="A8" s="6" t="s">
        <v>544</v>
      </c>
      <c r="B8" s="7" t="s">
        <v>524</v>
      </c>
      <c r="C8" t="s">
        <v>6</v>
      </c>
      <c r="D8" t="s">
        <v>8</v>
      </c>
      <c r="E8">
        <v>4</v>
      </c>
      <c r="F8">
        <v>0</v>
      </c>
      <c r="G8">
        <v>0</v>
      </c>
      <c r="H8">
        <v>0</v>
      </c>
      <c r="I8">
        <v>0</v>
      </c>
      <c r="J8">
        <v>0</v>
      </c>
    </row>
    <row r="9" spans="1:10" ht="30" hidden="1">
      <c r="A9" s="6" t="s">
        <v>544</v>
      </c>
      <c r="B9" s="7" t="s">
        <v>525</v>
      </c>
      <c r="C9" t="s">
        <v>6</v>
      </c>
      <c r="D9" t="s">
        <v>8</v>
      </c>
      <c r="E9">
        <v>6</v>
      </c>
      <c r="F9">
        <v>0</v>
      </c>
      <c r="G9">
        <v>0</v>
      </c>
      <c r="H9">
        <v>0</v>
      </c>
      <c r="I9">
        <v>0</v>
      </c>
      <c r="J9">
        <v>0</v>
      </c>
    </row>
    <row r="10" spans="1:10" ht="45" hidden="1">
      <c r="A10" s="6" t="s">
        <v>544</v>
      </c>
      <c r="B10" s="7" t="s">
        <v>526</v>
      </c>
      <c r="C10" t="s">
        <v>6</v>
      </c>
      <c r="D10" t="s">
        <v>8</v>
      </c>
      <c r="E10">
        <v>1</v>
      </c>
      <c r="F10">
        <v>1</v>
      </c>
      <c r="G10">
        <v>1</v>
      </c>
      <c r="H10">
        <v>2</v>
      </c>
      <c r="I10">
        <v>1</v>
      </c>
      <c r="J10">
        <v>0</v>
      </c>
    </row>
    <row r="11" spans="1:10" ht="30" hidden="1">
      <c r="A11" s="6" t="s">
        <v>544</v>
      </c>
      <c r="B11" s="7" t="s">
        <v>527</v>
      </c>
      <c r="C11" t="s">
        <v>18</v>
      </c>
      <c r="D11" t="s">
        <v>8</v>
      </c>
      <c r="E11">
        <v>4</v>
      </c>
      <c r="F11">
        <v>0</v>
      </c>
      <c r="G11">
        <v>0</v>
      </c>
      <c r="H11">
        <v>2</v>
      </c>
      <c r="I11">
        <v>1</v>
      </c>
      <c r="J11">
        <v>0</v>
      </c>
    </row>
    <row r="12" spans="1:10" ht="30" hidden="1">
      <c r="A12" s="6" t="s">
        <v>544</v>
      </c>
      <c r="B12" s="7" t="s">
        <v>528</v>
      </c>
      <c r="C12" t="s">
        <v>18</v>
      </c>
      <c r="D12" t="s">
        <v>8</v>
      </c>
      <c r="E12">
        <v>4</v>
      </c>
      <c r="F12">
        <v>0</v>
      </c>
      <c r="G12">
        <v>0</v>
      </c>
      <c r="H12">
        <v>2</v>
      </c>
      <c r="I12">
        <v>1</v>
      </c>
      <c r="J12">
        <v>0</v>
      </c>
    </row>
    <row r="13" spans="1:10" ht="90" hidden="1">
      <c r="A13" s="6" t="s">
        <v>544</v>
      </c>
      <c r="B13" s="7" t="s">
        <v>529</v>
      </c>
      <c r="C13" t="s">
        <v>6</v>
      </c>
      <c r="D13" t="s">
        <v>8</v>
      </c>
      <c r="E13">
        <v>6</v>
      </c>
      <c r="F13">
        <v>0</v>
      </c>
      <c r="G13">
        <v>0</v>
      </c>
      <c r="H13">
        <v>0</v>
      </c>
      <c r="I13">
        <v>0</v>
      </c>
      <c r="J13">
        <v>0</v>
      </c>
    </row>
    <row r="14" spans="1:10" ht="90" hidden="1">
      <c r="A14" s="6" t="s">
        <v>544</v>
      </c>
      <c r="B14" s="7" t="s">
        <v>530</v>
      </c>
      <c r="C14" t="s">
        <v>6</v>
      </c>
      <c r="D14" t="s">
        <v>8</v>
      </c>
      <c r="E14">
        <v>3</v>
      </c>
      <c r="F14">
        <v>0</v>
      </c>
      <c r="G14">
        <v>0</v>
      </c>
      <c r="H14">
        <v>0</v>
      </c>
      <c r="I14">
        <v>0</v>
      </c>
      <c r="J14">
        <v>0</v>
      </c>
    </row>
    <row r="15" spans="1:10" ht="60" hidden="1">
      <c r="A15" s="6" t="s">
        <v>544</v>
      </c>
      <c r="B15" s="7" t="s">
        <v>531</v>
      </c>
      <c r="C15" t="s">
        <v>6</v>
      </c>
      <c r="D15" t="s">
        <v>8</v>
      </c>
      <c r="E15">
        <v>1</v>
      </c>
      <c r="F15">
        <v>0</v>
      </c>
      <c r="G15">
        <v>0</v>
      </c>
      <c r="H15">
        <v>0</v>
      </c>
      <c r="I15">
        <v>0</v>
      </c>
      <c r="J15">
        <v>0</v>
      </c>
    </row>
    <row r="16" spans="1:10" ht="45" hidden="1">
      <c r="A16" s="6" t="s">
        <v>544</v>
      </c>
      <c r="B16" s="7" t="s">
        <v>532</v>
      </c>
      <c r="C16" t="s">
        <v>18</v>
      </c>
      <c r="D16" t="s">
        <v>8</v>
      </c>
      <c r="E16">
        <v>2</v>
      </c>
      <c r="F16">
        <v>0</v>
      </c>
      <c r="G16">
        <v>0</v>
      </c>
      <c r="H16">
        <v>0</v>
      </c>
      <c r="I16">
        <v>1</v>
      </c>
      <c r="J16">
        <v>0</v>
      </c>
    </row>
    <row r="17" spans="1:10" ht="45" hidden="1">
      <c r="A17" s="6" t="s">
        <v>544</v>
      </c>
      <c r="B17" s="7" t="s">
        <v>533</v>
      </c>
      <c r="C17" t="s">
        <v>18</v>
      </c>
      <c r="D17" t="s">
        <v>8</v>
      </c>
      <c r="E17">
        <v>2</v>
      </c>
      <c r="F17">
        <v>0</v>
      </c>
      <c r="G17">
        <v>0</v>
      </c>
      <c r="H17">
        <v>0</v>
      </c>
      <c r="I17">
        <v>1</v>
      </c>
      <c r="J17">
        <v>0</v>
      </c>
    </row>
    <row r="18" spans="1:10" ht="45" hidden="1">
      <c r="A18" s="6" t="s">
        <v>544</v>
      </c>
      <c r="B18" s="7" t="s">
        <v>534</v>
      </c>
      <c r="C18" t="s">
        <v>18</v>
      </c>
      <c r="D18" t="s">
        <v>8</v>
      </c>
      <c r="E18">
        <v>1</v>
      </c>
      <c r="F18">
        <v>0</v>
      </c>
      <c r="G18">
        <v>0</v>
      </c>
      <c r="H18">
        <v>0</v>
      </c>
      <c r="I18">
        <v>1</v>
      </c>
      <c r="J18">
        <v>0</v>
      </c>
    </row>
    <row r="19" spans="1:10" ht="30" hidden="1">
      <c r="A19" s="6" t="s">
        <v>544</v>
      </c>
      <c r="B19" s="7" t="s">
        <v>535</v>
      </c>
      <c r="C19" t="s">
        <v>6</v>
      </c>
      <c r="D19" t="s">
        <v>8</v>
      </c>
      <c r="E19">
        <v>3</v>
      </c>
      <c r="F19">
        <v>0</v>
      </c>
      <c r="G19">
        <v>0</v>
      </c>
      <c r="H19">
        <v>0</v>
      </c>
      <c r="I19">
        <v>0</v>
      </c>
      <c r="J19">
        <v>0</v>
      </c>
    </row>
    <row r="20" spans="1:10" ht="30" hidden="1">
      <c r="A20" s="6" t="s">
        <v>544</v>
      </c>
      <c r="B20" s="7" t="s">
        <v>536</v>
      </c>
      <c r="C20" t="s">
        <v>6</v>
      </c>
      <c r="D20" t="s">
        <v>8</v>
      </c>
      <c r="E20">
        <v>3</v>
      </c>
      <c r="F20">
        <v>1</v>
      </c>
      <c r="G20">
        <v>0</v>
      </c>
      <c r="H20">
        <v>1</v>
      </c>
      <c r="I20">
        <v>0</v>
      </c>
      <c r="J20">
        <v>0</v>
      </c>
    </row>
    <row r="21" spans="1:10" ht="105" hidden="1">
      <c r="A21" s="6" t="s">
        <v>544</v>
      </c>
      <c r="B21" s="7" t="s">
        <v>537</v>
      </c>
      <c r="C21" t="s">
        <v>7</v>
      </c>
      <c r="D21" t="s">
        <v>19</v>
      </c>
      <c r="E21">
        <v>6</v>
      </c>
      <c r="F21">
        <v>0</v>
      </c>
      <c r="G21">
        <v>0</v>
      </c>
      <c r="H21">
        <v>0</v>
      </c>
      <c r="I21">
        <v>0</v>
      </c>
      <c r="J21">
        <v>0</v>
      </c>
    </row>
    <row r="22" spans="1:10" ht="105" hidden="1">
      <c r="A22" s="6" t="s">
        <v>544</v>
      </c>
      <c r="B22" s="7" t="s">
        <v>538</v>
      </c>
      <c r="C22" t="s">
        <v>6</v>
      </c>
      <c r="D22" t="s">
        <v>8</v>
      </c>
      <c r="E22">
        <v>3</v>
      </c>
      <c r="F22">
        <v>0</v>
      </c>
      <c r="G22">
        <v>0</v>
      </c>
      <c r="H22">
        <v>0</v>
      </c>
      <c r="I22">
        <v>0</v>
      </c>
      <c r="J22">
        <v>1</v>
      </c>
    </row>
    <row r="23" spans="1:10" ht="105" hidden="1">
      <c r="A23" s="6" t="s">
        <v>544</v>
      </c>
      <c r="B23" s="7" t="s">
        <v>539</v>
      </c>
      <c r="C23" t="s">
        <v>6</v>
      </c>
      <c r="D23" t="s">
        <v>8</v>
      </c>
      <c r="E23">
        <v>3</v>
      </c>
      <c r="F23">
        <v>1</v>
      </c>
      <c r="G23">
        <v>1</v>
      </c>
      <c r="H23">
        <v>1</v>
      </c>
      <c r="I23">
        <v>0</v>
      </c>
      <c r="J23">
        <v>0</v>
      </c>
    </row>
    <row r="24" spans="1:10" ht="105" hidden="1">
      <c r="A24" s="6" t="s">
        <v>544</v>
      </c>
      <c r="B24" s="7" t="s">
        <v>540</v>
      </c>
      <c r="C24" t="s">
        <v>6</v>
      </c>
      <c r="D24" t="s">
        <v>8</v>
      </c>
      <c r="E24">
        <v>3</v>
      </c>
      <c r="F24">
        <v>1</v>
      </c>
      <c r="G24">
        <v>0</v>
      </c>
      <c r="H24">
        <v>1</v>
      </c>
      <c r="I24">
        <v>0</v>
      </c>
      <c r="J24">
        <v>0</v>
      </c>
    </row>
    <row r="25" spans="1:10" ht="195" hidden="1">
      <c r="A25" s="6" t="s">
        <v>544</v>
      </c>
      <c r="B25" s="7" t="s">
        <v>541</v>
      </c>
      <c r="C25" t="s">
        <v>6</v>
      </c>
      <c r="D25" t="s">
        <v>8</v>
      </c>
      <c r="E25">
        <v>3</v>
      </c>
      <c r="F25">
        <v>1</v>
      </c>
      <c r="G25">
        <v>0</v>
      </c>
      <c r="H25">
        <v>1</v>
      </c>
      <c r="I25">
        <v>0</v>
      </c>
      <c r="J25">
        <v>0</v>
      </c>
    </row>
    <row r="26" spans="1:10" ht="60" hidden="1">
      <c r="A26" s="6" t="s">
        <v>544</v>
      </c>
      <c r="B26" s="7" t="s">
        <v>542</v>
      </c>
      <c r="C26" t="s">
        <v>6</v>
      </c>
      <c r="D26" t="s">
        <v>8</v>
      </c>
      <c r="E26">
        <v>2</v>
      </c>
      <c r="F26">
        <v>0</v>
      </c>
      <c r="G26">
        <v>0</v>
      </c>
      <c r="H26">
        <v>0</v>
      </c>
      <c r="I26">
        <v>0</v>
      </c>
      <c r="J26">
        <v>1</v>
      </c>
    </row>
    <row r="27" spans="1:10" ht="165" hidden="1">
      <c r="A27" s="6" t="s">
        <v>544</v>
      </c>
      <c r="B27" s="7" t="s">
        <v>543</v>
      </c>
      <c r="C27" t="s">
        <v>6</v>
      </c>
      <c r="D27" t="s">
        <v>8</v>
      </c>
      <c r="E27">
        <v>3</v>
      </c>
      <c r="F27">
        <v>0</v>
      </c>
      <c r="G27">
        <v>0</v>
      </c>
      <c r="H27">
        <v>0</v>
      </c>
      <c r="I27">
        <v>0</v>
      </c>
      <c r="J27">
        <v>1</v>
      </c>
    </row>
    <row r="28" spans="1:10" ht="15">
      <c r="B28" s="2"/>
    </row>
    <row r="29" spans="1:10" ht="15">
      <c r="B29" s="2"/>
    </row>
    <row r="30" spans="1:10" ht="15">
      <c r="B30" s="2"/>
    </row>
    <row r="31" spans="1:10" ht="15">
      <c r="B31" s="2"/>
    </row>
    <row r="32" spans="1:10" ht="15">
      <c r="B32" s="2"/>
    </row>
    <row r="33" spans="2:2" ht="15">
      <c r="B33" s="2"/>
    </row>
    <row r="34" spans="2:2" ht="15">
      <c r="B34" s="2"/>
    </row>
    <row r="35" spans="2:2" ht="15">
      <c r="B35" s="2"/>
    </row>
    <row r="36" spans="2:2" ht="15">
      <c r="B36" s="2"/>
    </row>
    <row r="37" spans="2:2" ht="15">
      <c r="B37" s="2"/>
    </row>
    <row r="38" spans="2:2" ht="15">
      <c r="B38" s="2"/>
    </row>
    <row r="39" spans="2:2" ht="15">
      <c r="B39" s="2"/>
    </row>
  </sheetData>
  <autoFilter ref="A1:J27">
    <filterColumn colId="4">
      <filters>
        <filter val="²"/>
      </filters>
    </filterColumn>
    <filterColumn colId="7">
      <filters>
        <filter val="0"/>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8"/>
  <sheetViews>
    <sheetView workbookViewId="0">
      <pane ySplit="1" topLeftCell="A2" activePane="bottomLeft" state="frozen"/>
      <selection pane="bottomLeft" activeCell="H9" sqref="H9"/>
    </sheetView>
  </sheetViews>
  <sheetFormatPr baseColWidth="10" defaultRowHeight="14" x14ac:dyDescent="0"/>
  <cols>
    <col min="2" max="2" width="55.5" customWidth="1"/>
    <col min="6" max="6" width="15" bestFit="1" customWidth="1"/>
  </cols>
  <sheetData>
    <row r="1" spans="1:10">
      <c r="A1" s="3" t="s">
        <v>0</v>
      </c>
      <c r="B1" s="3" t="s">
        <v>1</v>
      </c>
      <c r="C1" s="3" t="s">
        <v>5</v>
      </c>
      <c r="D1" s="3" t="s">
        <v>2</v>
      </c>
      <c r="E1" s="3" t="s">
        <v>3</v>
      </c>
      <c r="F1" s="3" t="s">
        <v>4</v>
      </c>
      <c r="G1" s="3" t="s">
        <v>16</v>
      </c>
      <c r="H1" s="3" t="s">
        <v>567</v>
      </c>
      <c r="I1" s="3" t="s">
        <v>577</v>
      </c>
      <c r="J1" s="3" t="s">
        <v>569</v>
      </c>
    </row>
    <row r="2" spans="1:10" ht="21" customHeight="1">
      <c r="A2" s="1" t="s">
        <v>61</v>
      </c>
      <c r="B2" s="2" t="s">
        <v>55</v>
      </c>
      <c r="C2" t="s">
        <v>18</v>
      </c>
      <c r="D2" t="s">
        <v>8</v>
      </c>
      <c r="E2">
        <v>4</v>
      </c>
      <c r="F2">
        <v>1</v>
      </c>
      <c r="G2">
        <v>0</v>
      </c>
      <c r="H2">
        <v>2</v>
      </c>
      <c r="I2">
        <v>1</v>
      </c>
      <c r="J2">
        <v>0</v>
      </c>
    </row>
    <row r="3" spans="1:10" ht="29.25" customHeight="1">
      <c r="A3" s="1" t="s">
        <v>61</v>
      </c>
      <c r="B3" s="2" t="s">
        <v>573</v>
      </c>
      <c r="C3" t="s">
        <v>7</v>
      </c>
      <c r="D3" t="s">
        <v>8</v>
      </c>
      <c r="E3">
        <v>1</v>
      </c>
      <c r="F3">
        <v>1</v>
      </c>
      <c r="G3">
        <v>0</v>
      </c>
      <c r="H3">
        <v>2</v>
      </c>
      <c r="I3">
        <v>0</v>
      </c>
      <c r="J3">
        <v>1</v>
      </c>
    </row>
    <row r="4" spans="1:10" ht="29.25" customHeight="1">
      <c r="A4" s="1" t="s">
        <v>61</v>
      </c>
      <c r="B4" s="2" t="s">
        <v>56</v>
      </c>
      <c r="C4" t="s">
        <v>7</v>
      </c>
      <c r="D4" t="s">
        <v>8</v>
      </c>
      <c r="E4">
        <v>1</v>
      </c>
      <c r="F4">
        <v>1</v>
      </c>
      <c r="G4">
        <v>0</v>
      </c>
      <c r="H4">
        <v>2</v>
      </c>
      <c r="I4">
        <v>0</v>
      </c>
      <c r="J4">
        <v>1</v>
      </c>
    </row>
    <row r="5" spans="1:10" ht="69" hidden="1" customHeight="1">
      <c r="A5" s="1" t="s">
        <v>61</v>
      </c>
      <c r="B5" s="2" t="s">
        <v>57</v>
      </c>
      <c r="C5" t="s">
        <v>7</v>
      </c>
      <c r="D5" t="s">
        <v>19</v>
      </c>
      <c r="E5">
        <v>2</v>
      </c>
      <c r="F5">
        <v>0</v>
      </c>
      <c r="G5">
        <v>0</v>
      </c>
      <c r="H5">
        <v>0</v>
      </c>
      <c r="I5">
        <v>0</v>
      </c>
      <c r="J5">
        <v>0</v>
      </c>
    </row>
    <row r="6" spans="1:10" s="8" customFormat="1" ht="165" hidden="1">
      <c r="A6" s="1" t="s">
        <v>61</v>
      </c>
      <c r="B6" s="7" t="s">
        <v>58</v>
      </c>
      <c r="C6" s="8" t="s">
        <v>7</v>
      </c>
      <c r="D6" s="8" t="s">
        <v>62</v>
      </c>
      <c r="E6" s="8">
        <v>1</v>
      </c>
      <c r="F6" s="8">
        <v>0</v>
      </c>
      <c r="G6" s="8">
        <v>0</v>
      </c>
      <c r="H6">
        <v>0</v>
      </c>
      <c r="I6">
        <v>0</v>
      </c>
      <c r="J6" s="8">
        <v>0</v>
      </c>
    </row>
    <row r="7" spans="1:10" ht="31.5" hidden="1" customHeight="1">
      <c r="A7" s="1" t="s">
        <v>61</v>
      </c>
      <c r="B7" s="2" t="s">
        <v>59</v>
      </c>
      <c r="C7" t="s">
        <v>6</v>
      </c>
      <c r="D7" t="s">
        <v>8</v>
      </c>
      <c r="E7">
        <v>3</v>
      </c>
      <c r="F7">
        <v>0</v>
      </c>
      <c r="G7">
        <v>0</v>
      </c>
      <c r="H7">
        <v>1</v>
      </c>
      <c r="I7">
        <v>0</v>
      </c>
      <c r="J7">
        <v>1</v>
      </c>
    </row>
    <row r="8" spans="1:10" ht="36.75" hidden="1" customHeight="1">
      <c r="A8" s="1" t="s">
        <v>61</v>
      </c>
      <c r="B8" s="2" t="s">
        <v>60</v>
      </c>
      <c r="C8" t="s">
        <v>6</v>
      </c>
      <c r="D8" t="s">
        <v>8</v>
      </c>
      <c r="E8">
        <v>6</v>
      </c>
      <c r="F8">
        <v>0</v>
      </c>
      <c r="G8">
        <v>0</v>
      </c>
      <c r="H8">
        <v>0</v>
      </c>
      <c r="I8">
        <v>0</v>
      </c>
      <c r="J8">
        <v>0</v>
      </c>
    </row>
  </sheetData>
  <autoFilter ref="A1:J8">
    <filterColumn colId="5">
      <filters>
        <filter val="1"/>
      </filters>
    </filterColumn>
  </autoFilter>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6"/>
  <sheetViews>
    <sheetView topLeftCell="B1" workbookViewId="0">
      <selection activeCell="U17" sqref="U17"/>
    </sheetView>
  </sheetViews>
  <sheetFormatPr baseColWidth="10" defaultRowHeight="14" x14ac:dyDescent="0"/>
  <cols>
    <col min="1" max="1" width="21" bestFit="1" customWidth="1"/>
    <col min="2" max="2" width="9.5" bestFit="1" customWidth="1"/>
    <col min="3" max="3" width="4.1640625" bestFit="1" customWidth="1"/>
    <col min="4" max="8" width="4.1640625" customWidth="1"/>
    <col min="9" max="9" width="4.1640625" bestFit="1" customWidth="1"/>
    <col min="10" max="20" width="4.1640625" customWidth="1"/>
    <col min="21" max="21" width="4.1640625" bestFit="1" customWidth="1"/>
    <col min="22" max="26" width="4.1640625" customWidth="1"/>
    <col min="27" max="27" width="4.1640625" bestFit="1" customWidth="1"/>
    <col min="28" max="32" width="4.1640625" customWidth="1"/>
    <col min="33" max="33" width="4.1640625" bestFit="1" customWidth="1"/>
    <col min="34" max="38" width="4.1640625" customWidth="1"/>
    <col min="39" max="39" width="4.1640625" bestFit="1" customWidth="1"/>
    <col min="40" max="44" width="4.1640625" customWidth="1"/>
    <col min="45" max="45" width="4.1640625" bestFit="1" customWidth="1"/>
    <col min="46" max="50" width="4.1640625" customWidth="1"/>
    <col min="51" max="51" width="4.1640625" bestFit="1" customWidth="1"/>
    <col min="52" max="56" width="4.1640625" customWidth="1"/>
    <col min="57" max="57" width="4.1640625" bestFit="1" customWidth="1"/>
    <col min="58" max="62" width="4.1640625" customWidth="1"/>
    <col min="63" max="63" width="4.1640625" bestFit="1" customWidth="1"/>
    <col min="64" max="68" width="4.1640625" customWidth="1"/>
    <col min="69" max="69" width="4.1640625" bestFit="1" customWidth="1"/>
    <col min="70" max="74" width="4.1640625" customWidth="1"/>
  </cols>
  <sheetData>
    <row r="1" spans="1:38" s="5" customFormat="1" ht="34" thickTop="1" thickBot="1">
      <c r="A1" s="66"/>
      <c r="B1" s="67" t="s">
        <v>86</v>
      </c>
      <c r="C1" s="80" t="s">
        <v>592</v>
      </c>
      <c r="D1" s="71" t="s">
        <v>604</v>
      </c>
      <c r="E1" s="71" t="s">
        <v>605</v>
      </c>
      <c r="F1" s="71" t="s">
        <v>606</v>
      </c>
      <c r="G1" s="71" t="s">
        <v>607</v>
      </c>
      <c r="H1" s="71" t="s">
        <v>608</v>
      </c>
      <c r="I1" s="80" t="s">
        <v>593</v>
      </c>
      <c r="J1" s="78" t="s">
        <v>609</v>
      </c>
      <c r="K1" s="78" t="s">
        <v>610</v>
      </c>
      <c r="L1" s="78" t="s">
        <v>611</v>
      </c>
      <c r="M1" s="78" t="s">
        <v>612</v>
      </c>
      <c r="N1" s="78" t="s">
        <v>613</v>
      </c>
      <c r="O1" s="80" t="s">
        <v>594</v>
      </c>
      <c r="P1" s="78" t="s">
        <v>614</v>
      </c>
      <c r="Q1" s="78" t="s">
        <v>615</v>
      </c>
      <c r="R1" s="78" t="s">
        <v>621</v>
      </c>
      <c r="S1" s="78" t="s">
        <v>622</v>
      </c>
      <c r="T1" s="78" t="s">
        <v>623</v>
      </c>
      <c r="U1" s="80" t="s">
        <v>595</v>
      </c>
      <c r="V1" s="78" t="s">
        <v>616</v>
      </c>
      <c r="W1" s="78" t="s">
        <v>617</v>
      </c>
      <c r="X1" s="78" t="s">
        <v>618</v>
      </c>
      <c r="Y1" s="78" t="s">
        <v>619</v>
      </c>
      <c r="Z1" s="78" t="s">
        <v>620</v>
      </c>
      <c r="AA1" s="80" t="s">
        <v>601</v>
      </c>
      <c r="AB1" s="68" t="s">
        <v>649</v>
      </c>
      <c r="AC1" s="68" t="s">
        <v>650</v>
      </c>
      <c r="AD1" s="68" t="s">
        <v>651</v>
      </c>
      <c r="AE1" s="68" t="s">
        <v>652</v>
      </c>
      <c r="AF1" s="68" t="s">
        <v>653</v>
      </c>
      <c r="AG1" s="80" t="s">
        <v>598</v>
      </c>
      <c r="AH1" s="68" t="s">
        <v>634</v>
      </c>
      <c r="AI1" s="68" t="s">
        <v>635</v>
      </c>
      <c r="AJ1" s="68" t="s">
        <v>636</v>
      </c>
      <c r="AK1" s="68" t="s">
        <v>637</v>
      </c>
      <c r="AL1" s="68" t="s">
        <v>638</v>
      </c>
    </row>
    <row r="2" spans="1:38">
      <c r="A2" s="43" t="s">
        <v>76</v>
      </c>
      <c r="B2" s="70">
        <f>COUNTIFS(totales!$C$2:$C$831,"morfológico",totales!$D$2:'totales'!$D$831,"temporal")</f>
        <v>34</v>
      </c>
      <c r="C2" s="81">
        <f>COUNTIFS(totales!$C$2:$C$831,"morfológico",totales!$D$2:$D$831,"temporal",totales!$H$2:$H$831,0,totales!$I$2:$I$831,0,totales!$J$2:$J$831,0)</f>
        <v>4</v>
      </c>
      <c r="D2" s="73">
        <f>COUNTIFS(totales!$C$2:$C$831,"morfológico",totales!$D$2:$D$831,"temporal",totales!$H$2:$H$831,0,totales!$I$2:$I$831,0,totales!$J$2:$J$831,0,totales!$E$2:$E$831,1)</f>
        <v>0</v>
      </c>
      <c r="E2" s="73">
        <f>COUNTIFS(totales!$C$2:$C$831,"morfológico",totales!$D$2:$D$831,"temporal",totales!$H$2:$H$831,0,totales!$I$2:$I$831,0,totales!$J$2:$J$831,0,totales!$E$2:$E$831,2)</f>
        <v>0</v>
      </c>
      <c r="F2" s="73">
        <f>COUNTIFS(totales!$C$2:$C$831,"morfológico",totales!$D$2:$D$831,"temporal",totales!$H$2:$H$831,0,totales!$I$2:$I$831,0,totales!$J$2:$J$831,0,totales!$E$2:$E$831,3)</f>
        <v>4</v>
      </c>
      <c r="G2" s="73">
        <f>COUNTIFS(totales!$C$2:$C$831,"morfológico",totales!$D$2:$D$831,"temporal",totales!$H$2:$H$831,0,totales!$I$2:$I$831,0,totales!$J$2:$J$831,0,totales!$E$2:$E$831,4)</f>
        <v>0</v>
      </c>
      <c r="H2" s="74">
        <f>COUNTIFS(totales!$C$2:$C$831,"morfológico",totales!$D$2:$D$831,"temporal",totales!$H$2:$H$831,0,totales!$I$2:$I$831,0,totales!$J$2:$J$831,0,totales!$E$2:$E$831,6)</f>
        <v>0</v>
      </c>
      <c r="I2" s="81">
        <f>COUNTIFS(totales!$C$2:$C$831,"morfológico",totales!$D$2:$D$831,"temporal",totales!$H$2:$H$831,1,totales!$I$2:$I$831,0,totales!$J$2:$J$831,0)</f>
        <v>11</v>
      </c>
      <c r="J2" s="73">
        <f>COUNTIFS(totales!$C$2:$C$831,"morfológico",totales!$D$2:$D$831,"temporal",totales!$H$2:$H$831,1,totales!$I$2:$I$831,0,totales!$J$2:$J$831,0,totales!$E$2:$E$831,1)</f>
        <v>5</v>
      </c>
      <c r="K2" s="73">
        <f>COUNTIFS(totales!$C$2:$C$831,"morfológico",totales!$D$2:$D$831,"temporal",totales!$H$2:$H$831,1,totales!$I$2:$I$831,0,totales!$J$2:$J$831,0,totales!$E$2:$E$831,2)</f>
        <v>0</v>
      </c>
      <c r="L2" s="73">
        <f>COUNTIFS(totales!$C$2:$C$831,"morfológico",totales!$D$2:$D$831,"temporal",totales!$H$2:$H$831,1,totales!$I$2:$I$831,0,totales!$J$2:$J$831,0,totales!$E$2:$E$831,3)</f>
        <v>4</v>
      </c>
      <c r="M2" s="73">
        <f>COUNTIFS(totales!$C$2:$C$831,"morfológico",totales!$D$2:$D$831,"temporal",totales!$H$2:$H$831,1,totales!$I$2:$I$831,0,totales!$J$2:$J$831,0,totales!$E$2:$E$831,4)</f>
        <v>1</v>
      </c>
      <c r="N2" s="74">
        <f>COUNTIFS(totales!$C$2:$C$831,"morfológico",totales!$D$2:$D$831,"temporal",totales!$H$2:$H$831,1,totales!$I$2:$I$831,0,totales!$J$2:$J$831,0,totales!$E$2:$E$831,6)</f>
        <v>1</v>
      </c>
      <c r="O2" s="81">
        <f>COUNTIFS(totales!$C$2:$C$831,"morfológico",totales!$D$2:$D$831,"temporal",totales!$H$2:$H$831,2,totales!$I$2:$I$831,0,totales!$J$2:$J$831,0)</f>
        <v>0</v>
      </c>
      <c r="P2" s="73">
        <f>COUNTIFS(totales!$C$2:$C$831,"morfológico",totales!$D$2:$D$831,"temporal",totales!$H$2:$H$831,2,totales!$I$2:$I$831,0,totales!$J$2:$J$831,0,totales!$E$2:$E$831,1)</f>
        <v>0</v>
      </c>
      <c r="Q2" s="73">
        <f>COUNTIFS(totales!$C$2:$C$831,"morfológico",totales!$D$2:$D$831,"temporal",totales!$H$2:$H$831,2,totales!$I$2:$I$831,0,totales!$J$2:$J$831,0,totales!$E$2:$E$831,2)</f>
        <v>0</v>
      </c>
      <c r="R2" s="73">
        <f>COUNTIFS(totales!$C$2:$C$831,"morfológico",totales!$D$2:$D$831,"temporal",totales!$H$2:$H$831,2,totales!$I$2:$I$831,0,totales!$J$2:$J$831,0,totales!$E$2:$E$831,3)</f>
        <v>0</v>
      </c>
      <c r="S2" s="73">
        <f>COUNTIFS(totales!$C$2:$C$831,"morfológico",totales!$D$2:$D$831,"temporal",totales!$H$2:$H$831,2,totales!$I$2:$I$831,0,totales!$J$2:$J$831,0,totales!$E$2:$E$831,4)</f>
        <v>0</v>
      </c>
      <c r="T2" s="74">
        <f>COUNTIFS(totales!$C$2:$C$831,"morfológico",totales!$D$2:$D$831,"temporal",totales!$H$2:$H$831,2,totales!$I$2:$I$831,0,totales!$J$2:$J$831,0,totales!$E$2:$E$831,6)</f>
        <v>0</v>
      </c>
      <c r="U2" s="81">
        <f>COUNTIFS(totales!$C$2:$C$831,"morfológico",totales!$D$2:$D$831,"temporal",totales!$H$2:$H$831,0,totales!$I$2:$I$831,1,totales!$J$2:$J$831,0)</f>
        <v>7</v>
      </c>
      <c r="V2" s="73">
        <f>COUNTIFS(totales!$C$2:$C$831,"morfológico",totales!$D$2:$D$831,"temporal",totales!$H$2:$H$831,0,totales!$I$2:$I$831,1,totales!$J$2:$J$831,0,totales!$E$2:$E$831,1)</f>
        <v>3</v>
      </c>
      <c r="W2" s="73">
        <f>COUNTIFS(totales!$C$2:$C$831,"morfológico",totales!$D$2:$D$831,"temporal",totales!$H$2:$H$831,0,totales!$I$2:$I$831,1,totales!$J$2:$J$831,0,totales!$E$2:$E$831,2)</f>
        <v>0</v>
      </c>
      <c r="X2" s="73">
        <f>COUNTIFS(totales!$C$2:$C$831,"morfológico",totales!$D$2:$D$831,"temporal",totales!$H$2:$H$831,0,totales!$I$2:$I$831,1,totales!$J$2:$J$831,0,totales!$E$2:$E$831,3)</f>
        <v>3</v>
      </c>
      <c r="Y2" s="73">
        <f>COUNTIFS(totales!$C$2:$C$831,"morfológico",totales!$D$2:$D$831,"temporal",totales!$H$2:$H$831,0,totales!$I$2:$I$831,1,totales!$J$2:$J$831,0,totales!$E$2:$E$831,4)</f>
        <v>1</v>
      </c>
      <c r="Z2" s="74">
        <f>COUNTIFS(totales!$C$2:$C$831,"morfológico",totales!$D$2:$D$831,"temporal",totales!$H$2:$H$831,0,totales!$I$2:$I$831,1,totales!$J$2:$J$831,0,totales!$E$2:$E$831,6)</f>
        <v>0</v>
      </c>
      <c r="AA2" s="81">
        <f>COUNTIFS(totales!$C$2:$C$831,"morfológico",totales!$D$2:$D$831,"temporal",totales!$H$2:$H$831,2,totales!$I$2:$I$831,1,totales!$J$2:$J$831,0)</f>
        <v>0</v>
      </c>
      <c r="AB2" s="73">
        <f>COUNTIFS(totales!$C$2:$C$831,"morfológico",totales!$D$2:$D$831,"temporal",totales!$H$2:$H$831,2,totales!$I$2:$I$831,1,totales!$J$2:$J$831,0,totales!$E$2:$E$831,1)</f>
        <v>0</v>
      </c>
      <c r="AC2" s="73">
        <f>COUNTIFS(totales!$C$2:$C$831,"morfológico",totales!$D$2:$D$831,"temporal",totales!$H$2:$H$831,2,totales!$I$2:$I$831,1,totales!$J$2:$J$831,0,totales!$E$2:$E$831,2)</f>
        <v>0</v>
      </c>
      <c r="AD2" s="73">
        <f>COUNTIFS(totales!$C$2:$C$831,"morfológico",totales!$D$2:$D$831,"temporal",totales!$H$2:$H$831,2,totales!$I$2:$I$831,1,totales!$J$2:$J$831,0,totales!$E$2:$E$831,3)</f>
        <v>0</v>
      </c>
      <c r="AE2" s="73">
        <f>COUNTIFS(totales!$C$2:$C$831,"morfológico",totales!$D$2:$D$831,"temporal",totales!$H$2:$H$831,2,totales!$I$2:$I$831,1,totales!$J$2:$J$831,0,totales!$E$2:$E$831,4)</f>
        <v>0</v>
      </c>
      <c r="AF2" s="74">
        <f>COUNTIFS(totales!$C$2:$C$831,"morfológico",totales!$D$2:$D$831,"temporal",totales!$H$2:$H$831,2,totales!$I$2:$I$831,1,totales!$J$2:$J$831,0,totales!$E$2:$E$831,6)</f>
        <v>0</v>
      </c>
      <c r="AG2" s="81">
        <f>COUNTIFS(totales!$C$2:$C$831,"morfológico",totales!$D$2:$D$831,"temporal",totales!$H$2:$H$831,1,totales!$I$2:$I$831,1,totales!$J$2:$J$831,0)</f>
        <v>6</v>
      </c>
      <c r="AH2" s="73">
        <f>COUNTIFS(totales!$C$2:$C$831,"morfológico",totales!$D$2:$D$831,"temporal",totales!$H$2:$H$831,1,totales!$I$2:$I$831,1,totales!$J$2:$J$831,0,totales!$E$2:$E$831,1)</f>
        <v>1</v>
      </c>
      <c r="AI2" s="73">
        <f>COUNTIFS(totales!$C$2:$C$831,"morfológico",totales!$D$2:$D$831,"temporal",totales!$H$2:$H$831,1,totales!$I$2:$I$831,1,totales!$J$2:$J$831,0,totales!$E$2:$E$831,2)</f>
        <v>0</v>
      </c>
      <c r="AJ2" s="73">
        <f>COUNTIFS(totales!$C$2:$C$831,"morfológico",totales!$D$2:$D$831,"temporal",totales!$H$2:$H$831,1,totales!$I$2:$I$831,1,totales!$J$2:$J$831,0,totales!$E$2:$E$831,3)</f>
        <v>5</v>
      </c>
      <c r="AK2" s="73">
        <f>COUNTIFS(totales!$C$2:$C$831,"morfológico",totales!$D$2:$D$831,"temporal",totales!$H$2:$H$831,1,totales!$I$2:$I$831,1,totales!$J$2:$J$831,0,totales!$E$2:$E$831,4)</f>
        <v>0</v>
      </c>
      <c r="AL2" s="74">
        <f>COUNTIFS(totales!$C$2:$C$831,"morfológico",totales!$D$2:$D$831,"temporal",totales!$H$2:$H$831,1,totales!$I$2:$I$831,1,totales!$J$2:$J$831,0,totales!$E$2:$E$831,6)</f>
        <v>0</v>
      </c>
    </row>
    <row r="3" spans="1:38">
      <c r="A3" s="43" t="s">
        <v>77</v>
      </c>
      <c r="B3" s="70">
        <f>COUNTIFS(totales!$C$2:$C$831,"analítico",totales!$D$2:'totales'!$D$831,"temporal")</f>
        <v>332</v>
      </c>
      <c r="C3" s="82">
        <f>COUNTIFS(totales!$C$2:$C$831,"analítico",totales!$D$2:$D$831,"temporal",totales!$H$2:$H$831,0,totales!$I$2:$I$831,0,totales!$J$2:$J$831,0)</f>
        <v>157</v>
      </c>
      <c r="D3" s="13">
        <f>COUNTIFS(totales!$C$2:$C$831,"analítico",totales!$D$2:$D$831,"temporal",totales!$H$2:$H$831,0,totales!$I$2:$I$831,0,totales!$J$2:$J$831,0,totales!$E$2:$E$831,1)</f>
        <v>46</v>
      </c>
      <c r="E3" s="13">
        <f>COUNTIFS(totales!$C$2:$C$831,"analítico",totales!$D$2:$D$831,"temporal",totales!$H$2:$H$831,0,totales!$I$2:$I$831,0,totales!$J$2:$J$831,0,totales!$E$2:$E$831,2)</f>
        <v>23</v>
      </c>
      <c r="F3" s="13">
        <f>COUNTIFS(totales!$C$2:$C$831,"analítico",totales!$D$2:$D$831,"temporal",totales!$H$2:$H$831,0,totales!$I$2:$I$831,0,totales!$J$2:$J$831,0,totales!$E$2:$E$831,3)</f>
        <v>53</v>
      </c>
      <c r="G3" s="13">
        <f>COUNTIFS(totales!$C$2:$C$831,"analítico",totales!$D$2:$D$831,"temporal",totales!$H$2:$H$831,0,totales!$I$2:$I$831,0,totales!$J$2:$J$831,0,totales!$E$2:$E$831,4)</f>
        <v>17</v>
      </c>
      <c r="H3" s="75">
        <f>COUNTIFS(totales!$C$2:$C$831,"analítico",totales!$D$2:$D$831,"temporal",totales!$H$2:$H$831,0,totales!$I$2:$I$831,0,totales!$J$2:$J$831,0,totales!$E$2:$E$831,6)</f>
        <v>18</v>
      </c>
      <c r="I3" s="82">
        <f>COUNTIFS(totales!$C$2:$C$831,"analítico",totales!$D$2:$D$831,"temporal",totales!$H$2:$H$831,1,totales!$I$2:$I$831,0,totales!$J$2:$J$831,0)</f>
        <v>33</v>
      </c>
      <c r="J3" s="13">
        <f>COUNTIFS(totales!$C$2:$C$831,"analítico",totales!$D$2:$D$831,"temporal",totales!$H$2:$H$831,1,totales!$I$2:$I$831,0,totales!$J$2:$J$831,0,totales!$E$2:$E$831,1)</f>
        <v>2</v>
      </c>
      <c r="K3" s="13">
        <f>COUNTIFS(totales!$C$2:$C$831,"analítico",totales!$D$2:$D$831,"temporal",totales!$H$2:$H$831,1,totales!$I$2:$I$831,0,totales!$J$2:$J$831,0,totales!$E$2:$E$831,2)</f>
        <v>5</v>
      </c>
      <c r="L3" s="13">
        <f>COUNTIFS(totales!$C$2:$C$831,"analítico",totales!$D$2:$D$831,"temporal",totales!$H$2:$H$831,1,totales!$I$2:$I$831,0,totales!$J$2:$J$831,0,totales!$E$2:$E$831,3)</f>
        <v>15</v>
      </c>
      <c r="M3" s="13">
        <f>COUNTIFS(totales!$C$2:$C$831,"analítico",totales!$D$2:$D$831,"temporal",totales!$H$2:$H$831,1,totales!$I$2:$I$831,0,totales!$J$2:$J$831,0,totales!$E$2:$E$831,4)</f>
        <v>2</v>
      </c>
      <c r="N3" s="75">
        <f>COUNTIFS(totales!$C$2:$C$831,"analítico",totales!$D$2:$D$831,"temporal",totales!$H$2:$H$831,1,totales!$I$2:$I$831,0,totales!$J$2:$J$831,0,totales!$E$2:$E$831,6)</f>
        <v>9</v>
      </c>
      <c r="O3" s="82">
        <f>COUNTIFS(totales!$C$2:$C$831,"analítico",totales!$D$2:$D$831,"temporal",totales!$H$2:$H$831,2,totales!$I$2:$I$831,0,totales!$J$2:$J$831,0)</f>
        <v>30</v>
      </c>
      <c r="P3" s="13">
        <f>COUNTIFS(totales!$C$2:$C$831,"analítico",totales!$D$2:$D$831,"temporal",totales!$H$2:$H$831,2,totales!$I$2:$I$831,0,totales!$J$2:$J$831,0,totales!$E$2:$E$831,1)</f>
        <v>14</v>
      </c>
      <c r="Q3" s="13">
        <f>COUNTIFS(totales!$C$2:$C$831,"analítico",totales!$D$2:$D$831,"temporal",totales!$H$2:$H$831,2,totales!$I$2:$I$831,0,totales!$J$2:$J$831,0,totales!$E$2:$E$831,2)</f>
        <v>0</v>
      </c>
      <c r="R3" s="13">
        <f>COUNTIFS(totales!$C$2:$C$831,"analítico",totales!$D$2:$D$831,"temporal",totales!$H$2:$H$831,2,totales!$I$2:$I$831,0,totales!$J$2:$J$831,0,totales!$E$2:$E$831,3)</f>
        <v>5</v>
      </c>
      <c r="S3" s="13">
        <f>COUNTIFS(totales!$C$2:$C$831,"analítico",totales!$D$2:$D$831,"temporal",totales!$H$2:$H$831,2,totales!$I$2:$I$831,0,totales!$J$2:$J$831,0,totales!$E$2:$E$831,4)</f>
        <v>5</v>
      </c>
      <c r="T3" s="75">
        <f>COUNTIFS(totales!$C$2:$C$831,"analítico",totales!$D$2:$D$831,"temporal",totales!$H$2:$H$831,2,totales!$I$2:$I$831,0,totales!$J$2:$J$831,0,totales!$E$2:$E$831,6)</f>
        <v>6</v>
      </c>
      <c r="U3" s="82">
        <f>COUNTIFS(totales!$C$2:$C$831,"analítico",totales!$D$2:$D$831,"temporal",totales!$H$2:$H$831,0,totales!$I$2:$I$831,1,totales!$J$2:$J$831,0)</f>
        <v>46</v>
      </c>
      <c r="V3" s="13">
        <f>COUNTIFS(totales!$C$2:$C$831,"analítico",totales!$D$2:$D$831,"temporal",totales!$H$2:$H$831,0,totales!$I$2:$I$831,1,totales!$J$2:$J$831,0,totales!$E$2:$E$831,1)</f>
        <v>7</v>
      </c>
      <c r="W3" s="13">
        <f>COUNTIFS(totales!$C$2:$C$831,"analítico",totales!$D$2:$D$831,"temporal",totales!$H$2:$H$831,0,totales!$I$2:$I$831,1,totales!$J$2:$J$831,0,totales!$E$2:$E$831,2)</f>
        <v>5</v>
      </c>
      <c r="X3" s="13">
        <f>COUNTIFS(totales!$C$2:$C$831,"analítico",totales!$D$2:$D$831,"temporal",totales!$H$2:$H$831,0,totales!$I$2:$I$831,1,totales!$J$2:$J$831,0,totales!$E$2:$E$831,3)</f>
        <v>24</v>
      </c>
      <c r="Y3" s="13">
        <f>COUNTIFS(totales!$C$2:$C$831,"analítico",totales!$D$2:$D$831,"temporal",totales!$H$2:$H$831,0,totales!$I$2:$I$831,1,totales!$J$2:$J$831,0,totales!$E$2:$E$831,4)</f>
        <v>3</v>
      </c>
      <c r="Z3" s="75">
        <f>COUNTIFS(totales!$C$2:$C$831,"analítico",totales!$D$2:$D$831,"temporal",totales!$H$2:$H$831,0,totales!$I$2:$I$831,1,totales!$J$2:$J$831,0,totales!$E$2:$E$831,6)</f>
        <v>7</v>
      </c>
      <c r="AA3" s="82">
        <f>COUNTIFS(totales!$C$2:$C$831,"analítico",totales!$D$2:$D$831,"temporal",totales!$H$2:$H$831,2,totales!$I$2:$I$831,1,totales!$J$2:$J$831,0)</f>
        <v>9</v>
      </c>
      <c r="AB3" s="13">
        <f>COUNTIFS(totales!$C$2:$C$831,"analítico",totales!$D$2:$D$831,"temporal",totales!$H$2:$H$831,2,totales!$I$2:$I$831,1,totales!$J$2:$J$831,0,totales!$E$2:$E$831,1)</f>
        <v>3</v>
      </c>
      <c r="AC3" s="13">
        <f>COUNTIFS(totales!$C$2:$C$831,"analítico",totales!$D$2:$D$831,"temporal",totales!$H$2:$H$831,2,totales!$I$2:$I$831,1,totales!$J$2:$J$831,0,totales!$E$2:$E$831,2)</f>
        <v>0</v>
      </c>
      <c r="AD3" s="13">
        <f>COUNTIFS(totales!$C$2:$C$831,"analítico",totales!$D$2:$D$831,"temporal",totales!$H$2:$H$831,2,totales!$I$2:$I$831,1,totales!$J$2:$J$831,0,totales!$E$2:$E$831,3)</f>
        <v>5</v>
      </c>
      <c r="AE3" s="13">
        <f>COUNTIFS(totales!$C$2:$C$831,"analítico",totales!$D$2:$D$831,"temporal",totales!$H$2:$H$831,2,totales!$I$2:$I$831,1,totales!$J$2:$J$831,0,totales!$E$2:$E$831,4)</f>
        <v>1</v>
      </c>
      <c r="AF3" s="75">
        <f>COUNTIFS(totales!$C$2:$C$831,"analítico",totales!$D$2:$D$831,"temporal",totales!$H$2:$H$831,2,totales!$I$2:$I$831,1,totales!$J$2:$J$831,0,totales!$E$2:$E$831,6)</f>
        <v>0</v>
      </c>
      <c r="AG3" s="82">
        <f>COUNTIFS(totales!$C$2:$C$831,"analítico",totales!$D$2:$D$831,"temporal",totales!$H$2:$H$831,1,totales!$I$2:$I$831,1,totales!$J$2:$J$831,0)</f>
        <v>7</v>
      </c>
      <c r="AH3" s="13">
        <f>COUNTIFS(totales!$C$2:$C$831,"analítico",totales!$D$2:$D$831,"temporal",totales!$H$2:$H$831,1,totales!$I$2:$I$831,1,totales!$J$2:$J$831,0,totales!$E$2:$E$831,1)</f>
        <v>1</v>
      </c>
      <c r="AI3" s="13">
        <f>COUNTIFS(totales!$C$2:$C$831,"analítico",totales!$D$2:$D$831,"temporal",totales!$H$2:$H$831,1,totales!$I$2:$I$831,1,totales!$J$2:$J$831,0,totales!$E$2:$E$831,2)</f>
        <v>1</v>
      </c>
      <c r="AJ3" s="13">
        <f>COUNTIFS(totales!$C$2:$C$831,"analítico",totales!$D$2:$D$831,"temporal",totales!$H$2:$H$831,1,totales!$I$2:$I$831,1,totales!$J$2:$J$831,0,totales!$E$2:$E$831,3)</f>
        <v>4</v>
      </c>
      <c r="AK3" s="13">
        <f>COUNTIFS(totales!$C$2:$C$831,"analítico",totales!$D$2:$D$831,"temporal",totales!$H$2:$H$831,1,totales!$I$2:$I$831,1,totales!$J$2:$J$831,0,totales!$E$2:$E$831,4)</f>
        <v>0</v>
      </c>
      <c r="AL3" s="75">
        <f>COUNTIFS(totales!$C$2:$C$831,"analítico",totales!$D$2:$D$831,"temporal",totales!$H$2:$H$831,1,totales!$I$2:$I$831,1,totales!$J$2:$J$831,0,totales!$E$2:$E$831,6)</f>
        <v>1</v>
      </c>
    </row>
    <row r="4" spans="1:38" ht="15" thickBot="1">
      <c r="A4" s="43" t="s">
        <v>78</v>
      </c>
      <c r="B4" s="70">
        <f>COUNTIFS(totales!$C$2:$C$831,"presente",totales!$D$2:'totales'!$D$831,"temporal")</f>
        <v>92</v>
      </c>
      <c r="C4" s="83">
        <f>COUNTIFS(totales!$C$2:$C$831,"presente",totales!$D$2:$D$831,"temporal",totales!$H$2:$H$831,0,totales!$I$2:$I$831,0,totales!$J$2:$J$831,0)</f>
        <v>23</v>
      </c>
      <c r="D4" s="76">
        <f>COUNTIFS(totales!$C$2:$C$831,"presente",totales!$D$2:$D$831,"temporal",totales!$H$2:$H$831,0,totales!$I$2:$I$831,0,totales!$J$2:$J$831,0,totales!$E$2:$E$831,1)</f>
        <v>4</v>
      </c>
      <c r="E4" s="76">
        <f>COUNTIFS(totales!$C$2:$C$831,"presente",totales!$D$2:$D$831,"temporal",totales!$H$2:$H$831,0,totales!$I$2:$I$831,0,totales!$J$2:$J$831,0,totales!$E$2:$E$831,2)</f>
        <v>4</v>
      </c>
      <c r="F4" s="76">
        <f>COUNTIFS(totales!$C$2:$C$831,"presente",totales!$D$2:$D$831,"temporal",totales!$H$2:$H$831,0,totales!$I$2:$I$831,0,totales!$J$2:$J$831,0,totales!$E$2:$E$831,3)</f>
        <v>13</v>
      </c>
      <c r="G4" s="76">
        <f>COUNTIFS(totales!$C$2:$C$831,"presente",totales!$D$2:$D$831,"temporal",totales!$H$2:$H$831,0,totales!$I$2:$I$831,0,totales!$J$2:$J$831,0,totales!$E$2:$E$831,4)</f>
        <v>1</v>
      </c>
      <c r="H4" s="77">
        <f>COUNTIFS(totales!$C$2:$C$831,"presente",totales!$D$2:$D$831,"temporal",totales!$H$2:$H$831,0,totales!$I$2:$I$831,0,totales!$J$2:$J$831,0,totales!$E$2:$E$831,6)</f>
        <v>1</v>
      </c>
      <c r="I4" s="83">
        <f>COUNTIFS(totales!$C$2:$C$831,"presente",totales!$D$2:$D$831,"temporal",totales!$H$2:$H$831,1,totales!$I$2:$I$831,0,totales!$J$2:$J$831,0)</f>
        <v>22</v>
      </c>
      <c r="J4" s="76">
        <f>COUNTIFS(totales!$C$2:$C$831,"presente",totales!$D$2:$D$831,"temporal",totales!$H$2:$H$831,1,totales!$I$2:$I$831,0,totales!$J$2:$J$831,0,totales!$E$2:$E$831,1)</f>
        <v>3</v>
      </c>
      <c r="K4" s="76">
        <f>COUNTIFS(totales!$C$2:$C$831,"presente",totales!$D$2:$D$831,"temporal",totales!$H$2:$H$831,1,totales!$I$2:$I$831,0,totales!$J$2:$J$831,0,totales!$E$2:$E$831,2)</f>
        <v>4</v>
      </c>
      <c r="L4" s="76">
        <f>COUNTIFS(totales!$C$2:$C$831,"presente",totales!$D$2:$D$831,"temporal",totales!$H$2:$H$831,1,totales!$I$2:$I$831,0,totales!$J$2:$J$831,0,totales!$E$2:$E$831,3)</f>
        <v>10</v>
      </c>
      <c r="M4" s="76">
        <f>COUNTIFS(totales!$C$2:$C$831,"presente",totales!$D$2:$D$831,"temporal",totales!$H$2:$H$831,1,totales!$I$2:$I$831,0,totales!$J$2:$J$831,0,totales!$E$2:$E$831,4)</f>
        <v>5</v>
      </c>
      <c r="N4" s="77">
        <f>COUNTIFS(totales!$C$2:$C$831,"presente",totales!$D$2:$D$831,"temporal",totales!$H$2:$H$831,1,totales!$I$2:$I$831,0,totales!$J$2:$J$831,0,totales!$E$2:$E$831,6)</f>
        <v>0</v>
      </c>
      <c r="O4" s="83">
        <f>COUNTIFS(totales!$C$2:$C$831,"presente",totales!$D$2:$D$831,"temporal",totales!$H$2:$H$831,2,totales!$I$2:$I$831,0,totales!$J$2:$J$831,0)</f>
        <v>11</v>
      </c>
      <c r="P4" s="76">
        <f>COUNTIFS(totales!$C$2:$C$831,"presente",totales!$D$2:$D$831,"temporal",totales!$H$2:$H$831,2,totales!$I$2:$I$831,0,totales!$J$2:$J$831,0,totales!$E$2:$E$831,1)</f>
        <v>0</v>
      </c>
      <c r="Q4" s="76">
        <f>COUNTIFS(totales!$C$2:$C$831,"presente",totales!$D$2:$D$831,"temporal",totales!$H$2:$H$831,2,totales!$I$2:$I$831,0,totales!$J$2:$J$831,0,totales!$E$2:$E$831,2)</f>
        <v>3</v>
      </c>
      <c r="R4" s="76">
        <f>COUNTIFS(totales!$C$2:$C$831,"presente",totales!$D$2:$D$831,"temporal",totales!$H$2:$H$831,2,totales!$I$2:$I$831,0,totales!$J$2:$J$831,0,totales!$E$2:$E$831,3)</f>
        <v>6</v>
      </c>
      <c r="S4" s="76">
        <f>COUNTIFS(totales!$C$2:$C$831,"presente",totales!$D$2:$D$831,"temporal",totales!$H$2:$H$831,2,totales!$I$2:$I$831,0,totales!$J$2:$J$831,0,totales!$E$2:$E$831,4)</f>
        <v>1</v>
      </c>
      <c r="T4" s="77">
        <f>COUNTIFS(totales!$C$2:$C$831,"presente",totales!$D$2:$D$831,"temporal",totales!$H$2:$H$831,2,totales!$I$2:$I$831,0,totales!$J$2:$J$831,0,totales!$E$2:$E$831,6)</f>
        <v>1</v>
      </c>
      <c r="U4" s="83">
        <f>COUNTIFS(totales!$C$2:$C$831,"presente",totales!$D$2:$D$831,"temporal",totales!$H$2:$H$831,0,totales!$I$2:$I$831,1,totales!$J$2:$J$831,0)</f>
        <v>10</v>
      </c>
      <c r="V4" s="76">
        <f>COUNTIFS(totales!$C$2:$C$831,"presente",totales!$D$2:$D$831,"temporal",totales!$H$2:$H$831,0,totales!$I$2:$I$831,1,totales!$J$2:$J$831,0,totales!$E$2:$E$831,1)</f>
        <v>4</v>
      </c>
      <c r="W4" s="76">
        <f>COUNTIFS(totales!$C$2:$C$831,"presente",totales!$D$2:$D$831,"temporal",totales!$H$2:$H$831,0,totales!$I$2:$I$831,1,totales!$J$2:$J$831,0,totales!$E$2:$E$831,2)</f>
        <v>2</v>
      </c>
      <c r="X4" s="76">
        <f>COUNTIFS(totales!$C$2:$C$831,"presente",totales!$D$2:$D$831,"temporal",totales!$H$2:$H$831,0,totales!$I$2:$I$831,1,totales!$J$2:$J$831,0,totales!$E$2:$E$831,3)</f>
        <v>3</v>
      </c>
      <c r="Y4" s="76">
        <f>COUNTIFS(totales!$C$2:$C$831,"presente",totales!$D$2:$D$831,"temporal",totales!$H$2:$H$831,0,totales!$I$2:$I$831,1,totales!$J$2:$J$831,0,totales!$E$2:$E$831,4)</f>
        <v>0</v>
      </c>
      <c r="Z4" s="77">
        <f>COUNTIFS(totales!$C$2:$C$831,"presente",totales!$D$2:$D$831,"temporal",totales!$H$2:$H$831,0,totales!$I$2:$I$831,1,totales!$J$2:$J$831,0,totales!$E$2:$E$831,6)</f>
        <v>1</v>
      </c>
      <c r="AA4" s="83">
        <f>COUNTIFS(totales!$C$2:$C$831,"presente",totales!$D$2:$D$831,"temporal",totales!$H$2:$H$831,2,totales!$I$2:$I$831,1,totales!$J$2:$J$831,0)</f>
        <v>6</v>
      </c>
      <c r="AB4" s="76">
        <f>COUNTIFS(totales!$C$2:$C$831,"presente",totales!$D$2:$D$831,"temporal",totales!$H$2:$H$831,2,totales!$I$2:$I$831,1,totales!$J$2:$J$831,0,totales!$E$2:$E$831,1)</f>
        <v>0</v>
      </c>
      <c r="AC4" s="76">
        <f>COUNTIFS(totales!$C$2:$C$831,"presente",totales!$D$2:$D$831,"temporal",totales!$H$2:$H$831,2,totales!$I$2:$I$831,1,totales!$J$2:$J$831,0,totales!$E$2:$E$831,2)</f>
        <v>0</v>
      </c>
      <c r="AD4" s="76">
        <f>COUNTIFS(totales!$C$2:$C$831,"presente",totales!$D$2:$D$831,"temporal",totales!$H$2:$H$831,2,totales!$I$2:$I$831,1,totales!$J$2:$J$831,0,totales!$E$2:$E$831,3)</f>
        <v>3</v>
      </c>
      <c r="AE4" s="76">
        <f>COUNTIFS(totales!$C$2:$C$831,"presente",totales!$D$2:$D$831,"temporal",totales!$H$2:$H$831,2,totales!$I$2:$I$831,1,totales!$J$2:$J$831,0,totales!$E$2:$E$831,4)</f>
        <v>3</v>
      </c>
      <c r="AF4" s="77">
        <f>COUNTIFS(totales!$C$2:$C$831,"presente",totales!$D$2:$D$831,"temporal",totales!$H$2:$H$831,2,totales!$I$2:$I$831,1,totales!$J$2:$J$831,0,totales!$E$2:$E$831,6)</f>
        <v>0</v>
      </c>
      <c r="AG4" s="83">
        <f>COUNTIFS(totales!$C$2:$C$831,"presente",totales!$D$2:$D$831,"temporal",totales!$H$2:$H$831,1,totales!$I$2:$I$831,1,totales!$J$2:$J$831,0)</f>
        <v>0</v>
      </c>
      <c r="AH4" s="76">
        <f>COUNTIFS(totales!$C$2:$C$831,"presente",totales!$D$2:$D$831,"temporal",totales!$H$2:$H$831,1,totales!$I$2:$I$831,1,totales!$J$2:$J$831,0,totales!$E$2:$E$831,1)</f>
        <v>0</v>
      </c>
      <c r="AI4" s="76">
        <f>COUNTIFS(totales!$C$2:$C$831,"presente",totales!$D$2:$D$831,"temporal",totales!$H$2:$H$831,1,totales!$I$2:$I$831,1,totales!$J$2:$J$831,0,totales!$E$2:$E$831,2)</f>
        <v>0</v>
      </c>
      <c r="AJ4" s="76">
        <f>COUNTIFS(totales!$C$2:$C$831,"presente",totales!$D$2:$D$831,"temporal",totales!$H$2:$H$831,1,totales!$I$2:$I$831,1,totales!$J$2:$J$831,0,totales!$E$2:$E$831,3)</f>
        <v>0</v>
      </c>
      <c r="AK4" s="76">
        <f>COUNTIFS(totales!$C$2:$C$831,"presente",totales!$D$2:$D$831,"temporal",totales!$H$2:$H$831,1,totales!$I$2:$I$831,1,totales!$J$2:$J$831,0,totales!$E$2:$E$831,4)</f>
        <v>0</v>
      </c>
      <c r="AL4" s="77">
        <f>COUNTIFS(totales!$C$2:$C$831,"presente",totales!$D$2:$D$831,"temporal",totales!$H$2:$H$831,1,totales!$I$2:$I$831,1,totales!$J$2:$J$831,0,totales!$E$2:$E$831,6)</f>
        <v>0</v>
      </c>
    </row>
    <row r="5" spans="1:38">
      <c r="A5" s="45" t="s">
        <v>87</v>
      </c>
      <c r="B5" s="47">
        <f>SUM(B2:B4)</f>
        <v>458</v>
      </c>
      <c r="C5" s="84">
        <f>SUM(C2:C4)</f>
        <v>184</v>
      </c>
      <c r="D5" s="72"/>
      <c r="E5" s="72"/>
      <c r="F5" s="72"/>
      <c r="G5" s="72"/>
      <c r="H5" s="72"/>
      <c r="I5" s="84">
        <f>SUM(I2:I4)</f>
        <v>66</v>
      </c>
      <c r="J5" s="40"/>
      <c r="K5" s="40"/>
      <c r="L5" s="40"/>
      <c r="M5" s="40"/>
      <c r="N5" s="40"/>
      <c r="O5" s="84">
        <f>SUM(O2:O4)</f>
        <v>41</v>
      </c>
      <c r="P5" s="40"/>
      <c r="Q5" s="40"/>
      <c r="R5" s="40"/>
      <c r="S5" s="40"/>
      <c r="T5" s="40"/>
      <c r="U5" s="84">
        <f>SUM(U2:U4)</f>
        <v>63</v>
      </c>
      <c r="V5" s="40"/>
      <c r="W5" s="40"/>
      <c r="X5" s="40"/>
      <c r="Y5" s="40"/>
      <c r="Z5" s="40"/>
      <c r="AA5" s="84">
        <f>SUM(AA2:AA4)</f>
        <v>15</v>
      </c>
      <c r="AB5" s="40"/>
      <c r="AC5" s="40"/>
      <c r="AD5" s="40"/>
      <c r="AE5" s="40"/>
      <c r="AF5" s="40"/>
      <c r="AG5" s="84">
        <f>SUM(AG2:AG4)</f>
        <v>13</v>
      </c>
      <c r="AH5" s="69"/>
      <c r="AI5" s="69"/>
      <c r="AJ5" s="69"/>
      <c r="AK5" s="69"/>
      <c r="AL5" s="69"/>
    </row>
    <row r="6" spans="1:38" s="100" customFormat="1">
      <c r="A6" s="99"/>
      <c r="B6" s="99"/>
      <c r="C6" s="99"/>
      <c r="D6" s="99"/>
      <c r="E6" s="99"/>
      <c r="F6" s="99"/>
      <c r="G6" s="99"/>
      <c r="H6" s="99"/>
      <c r="I6" s="99"/>
      <c r="J6" s="35"/>
      <c r="K6" s="35"/>
      <c r="L6" s="35"/>
      <c r="M6" s="35"/>
      <c r="N6" s="35"/>
      <c r="O6" s="99"/>
      <c r="P6" s="35"/>
      <c r="Q6" s="35"/>
      <c r="R6" s="35"/>
      <c r="S6" s="35"/>
      <c r="T6" s="35"/>
      <c r="U6" s="99"/>
      <c r="V6" s="35"/>
      <c r="W6" s="35"/>
      <c r="X6" s="35"/>
      <c r="Y6" s="35"/>
      <c r="Z6" s="35"/>
      <c r="AA6" s="99"/>
      <c r="AB6" s="35"/>
      <c r="AC6" s="35"/>
      <c r="AD6" s="35"/>
      <c r="AE6" s="35"/>
      <c r="AF6" s="35"/>
    </row>
    <row r="7" spans="1:38">
      <c r="B7" s="90" t="s">
        <v>664</v>
      </c>
      <c r="C7" s="91"/>
      <c r="D7" s="91"/>
      <c r="E7" s="91"/>
      <c r="F7" s="91"/>
      <c r="G7" s="91"/>
      <c r="H7" s="91"/>
      <c r="I7" s="91"/>
      <c r="J7" s="91"/>
      <c r="K7" s="91"/>
      <c r="L7" s="91"/>
      <c r="M7" s="91"/>
      <c r="N7" s="91"/>
      <c r="O7" s="91"/>
      <c r="P7" s="91"/>
      <c r="Q7" s="91"/>
      <c r="R7" s="91"/>
      <c r="S7" s="91"/>
      <c r="T7" s="91"/>
      <c r="U7" s="91"/>
      <c r="V7" s="91"/>
      <c r="W7" s="91"/>
      <c r="X7" s="91"/>
      <c r="Y7" s="92"/>
    </row>
    <row r="8" spans="1:38">
      <c r="B8" s="93"/>
      <c r="C8" s="94"/>
      <c r="D8" s="94"/>
      <c r="E8" s="94"/>
      <c r="F8" s="94"/>
      <c r="G8" s="94" t="s">
        <v>665</v>
      </c>
      <c r="H8" s="94"/>
      <c r="I8" s="94"/>
      <c r="J8" s="94"/>
      <c r="K8" s="94"/>
      <c r="L8" s="94"/>
      <c r="M8" s="94"/>
      <c r="N8" s="94"/>
      <c r="O8" s="94"/>
      <c r="P8" s="94"/>
      <c r="Q8" s="94" t="s">
        <v>671</v>
      </c>
      <c r="R8" s="94"/>
      <c r="S8" s="94"/>
      <c r="T8" s="94"/>
      <c r="U8" s="94"/>
      <c r="V8" s="94"/>
      <c r="W8" s="94"/>
      <c r="X8" s="94"/>
      <c r="Y8" s="95"/>
    </row>
    <row r="9" spans="1:38">
      <c r="B9" s="93"/>
      <c r="C9" s="94"/>
      <c r="D9" s="94"/>
      <c r="E9" s="94"/>
      <c r="F9" s="94"/>
      <c r="G9" s="94"/>
      <c r="H9" s="94"/>
      <c r="I9" s="94"/>
      <c r="J9" s="94"/>
      <c r="K9" s="94"/>
      <c r="L9" s="94" t="s">
        <v>666</v>
      </c>
      <c r="M9" s="94"/>
      <c r="N9" s="94"/>
      <c r="O9" s="94"/>
      <c r="P9" s="94"/>
      <c r="Q9" s="94"/>
      <c r="R9" s="94" t="s">
        <v>672</v>
      </c>
      <c r="S9" s="94"/>
      <c r="T9" s="94"/>
      <c r="U9" s="94"/>
      <c r="V9" s="94"/>
      <c r="W9" s="94"/>
      <c r="X9" s="94"/>
      <c r="Y9" s="95"/>
    </row>
    <row r="10" spans="1:38">
      <c r="B10" s="93"/>
      <c r="C10" s="94"/>
      <c r="D10" s="94"/>
      <c r="E10" s="94"/>
      <c r="F10" s="94"/>
      <c r="G10" s="94"/>
      <c r="H10" s="94"/>
      <c r="I10" s="94"/>
      <c r="J10" s="94"/>
      <c r="K10" s="94"/>
      <c r="L10" s="94" t="s">
        <v>667</v>
      </c>
      <c r="M10" s="94"/>
      <c r="N10" s="94"/>
      <c r="O10" s="94"/>
      <c r="P10" s="94"/>
      <c r="Q10" s="94"/>
      <c r="R10" s="94" t="s">
        <v>673</v>
      </c>
      <c r="S10" s="94"/>
      <c r="T10" s="94"/>
      <c r="U10" s="94"/>
      <c r="V10" s="94"/>
      <c r="W10" s="94"/>
      <c r="X10" s="94"/>
      <c r="Y10" s="95"/>
    </row>
    <row r="11" spans="1:38">
      <c r="B11" s="93"/>
      <c r="C11" s="94"/>
      <c r="D11" s="94"/>
      <c r="E11" s="94"/>
      <c r="F11" s="94"/>
      <c r="G11" s="94" t="s">
        <v>668</v>
      </c>
      <c r="H11" s="94"/>
      <c r="I11" s="94"/>
      <c r="J11" s="94"/>
      <c r="K11" s="94"/>
      <c r="L11" s="94"/>
      <c r="M11" s="94"/>
      <c r="N11" s="94"/>
      <c r="O11" s="94"/>
      <c r="P11" s="94"/>
      <c r="Q11" s="94"/>
      <c r="R11" s="94"/>
      <c r="S11" s="94"/>
      <c r="T11" s="94"/>
      <c r="U11" s="94"/>
      <c r="V11" s="94"/>
      <c r="W11" s="94"/>
      <c r="X11" s="94"/>
      <c r="Y11" s="95"/>
    </row>
    <row r="12" spans="1:38">
      <c r="B12" s="93"/>
      <c r="C12" s="94"/>
      <c r="D12" s="94"/>
      <c r="E12" s="94"/>
      <c r="F12" s="94"/>
      <c r="G12" s="94"/>
      <c r="H12" s="94"/>
      <c r="I12" s="94"/>
      <c r="J12" s="94"/>
      <c r="K12" s="94"/>
      <c r="L12" s="94" t="s">
        <v>669</v>
      </c>
      <c r="M12" s="94"/>
      <c r="N12" s="94"/>
      <c r="O12" s="94"/>
      <c r="P12" s="94"/>
      <c r="Q12" s="94" t="s">
        <v>674</v>
      </c>
      <c r="R12" s="94"/>
      <c r="S12" s="94"/>
      <c r="T12" s="94"/>
      <c r="U12" s="94"/>
      <c r="V12" s="94"/>
      <c r="W12" s="94"/>
      <c r="X12" s="94"/>
      <c r="Y12" s="95"/>
    </row>
    <row r="13" spans="1:38" s="35" customFormat="1">
      <c r="A13" s="99"/>
      <c r="B13" s="96"/>
      <c r="C13" s="97"/>
      <c r="D13" s="97"/>
      <c r="E13" s="97"/>
      <c r="F13" s="97"/>
      <c r="G13" s="97"/>
      <c r="H13" s="97"/>
      <c r="I13" s="97"/>
      <c r="J13" s="97"/>
      <c r="K13" s="97"/>
      <c r="L13" s="97" t="s">
        <v>670</v>
      </c>
      <c r="M13" s="97"/>
      <c r="N13" s="97"/>
      <c r="O13" s="97"/>
      <c r="P13" s="97"/>
      <c r="Q13" s="97"/>
      <c r="R13" s="97"/>
      <c r="S13" s="97"/>
      <c r="T13" s="97"/>
      <c r="U13" s="97"/>
      <c r="V13" s="97"/>
      <c r="W13" s="97"/>
      <c r="X13" s="97"/>
      <c r="Y13" s="98"/>
    </row>
    <row r="14" spans="1:38" ht="15" thickBot="1"/>
    <row r="15" spans="1:38" ht="34" thickTop="1" thickBot="1">
      <c r="A15" s="66"/>
      <c r="B15" s="67" t="s">
        <v>86</v>
      </c>
      <c r="C15" s="80" t="s">
        <v>597</v>
      </c>
      <c r="D15" s="68" t="s">
        <v>629</v>
      </c>
      <c r="E15" s="68" t="s">
        <v>630</v>
      </c>
      <c r="F15" s="68" t="s">
        <v>631</v>
      </c>
      <c r="G15" s="68" t="s">
        <v>632</v>
      </c>
      <c r="H15" s="68" t="s">
        <v>633</v>
      </c>
      <c r="I15" s="80" t="s">
        <v>599</v>
      </c>
      <c r="J15" s="68" t="s">
        <v>639</v>
      </c>
      <c r="K15" s="68" t="s">
        <v>640</v>
      </c>
      <c r="L15" s="68" t="s">
        <v>641</v>
      </c>
      <c r="M15" s="68" t="s">
        <v>642</v>
      </c>
      <c r="N15" s="68" t="s">
        <v>643</v>
      </c>
      <c r="O15" s="80" t="s">
        <v>600</v>
      </c>
      <c r="P15" s="68" t="s">
        <v>644</v>
      </c>
      <c r="Q15" s="68" t="s">
        <v>645</v>
      </c>
      <c r="R15" s="68" t="s">
        <v>646</v>
      </c>
      <c r="S15" s="68" t="s">
        <v>647</v>
      </c>
      <c r="T15" s="68" t="s">
        <v>648</v>
      </c>
      <c r="U15" s="80" t="s">
        <v>596</v>
      </c>
      <c r="V15" s="79" t="s">
        <v>624</v>
      </c>
      <c r="W15" s="79" t="s">
        <v>625</v>
      </c>
      <c r="X15" s="79" t="s">
        <v>626</v>
      </c>
      <c r="Y15" s="79" t="s">
        <v>627</v>
      </c>
      <c r="Z15" s="79" t="s">
        <v>628</v>
      </c>
      <c r="AA15" s="80" t="s">
        <v>602</v>
      </c>
      <c r="AB15" s="68" t="s">
        <v>654</v>
      </c>
      <c r="AC15" s="68" t="s">
        <v>655</v>
      </c>
      <c r="AD15" s="68" t="s">
        <v>656</v>
      </c>
      <c r="AE15" s="68" t="s">
        <v>657</v>
      </c>
      <c r="AF15" s="68" t="s">
        <v>658</v>
      </c>
      <c r="AG15" s="80" t="s">
        <v>603</v>
      </c>
      <c r="AH15" s="68" t="s">
        <v>659</v>
      </c>
      <c r="AI15" s="68" t="s">
        <v>660</v>
      </c>
      <c r="AJ15" s="68" t="s">
        <v>661</v>
      </c>
      <c r="AK15" s="68" t="s">
        <v>662</v>
      </c>
      <c r="AL15" s="86" t="s">
        <v>663</v>
      </c>
    </row>
    <row r="16" spans="1:38">
      <c r="A16" s="43" t="s">
        <v>76</v>
      </c>
      <c r="B16" s="70">
        <f>COUNTIFS(totales!$C$2:$C$831,"morfológico",totales!$D$2:'totales'!$D$831,"temporal")</f>
        <v>34</v>
      </c>
      <c r="C16" s="81">
        <f>COUNTIFS(totales!$C$2:$C$831,"morfológico",totales!$D$2:$D$831,"temporal",totales!$H$2:$H$831,0,totales!$I$2:$I$831,1,totales!$J$2:$J$831,1)</f>
        <v>0</v>
      </c>
      <c r="D16" s="73">
        <f>COUNTIFS(totales!$C$2:$C$831,"morfológico",totales!$D$2:$D$831,"temporal",totales!$H$2:$H$831,0,totales!$I$2:$I$831,1,totales!$J$2:$J$831,1,totales!$E$2:$E$831,1)</f>
        <v>0</v>
      </c>
      <c r="E16" s="73">
        <f>COUNTIFS(totales!$C$2:$C$831,"morfológico",totales!$D$2:$D$831,"temporal",totales!$H$2:$H$831,0,totales!$I$2:$I$831,1,totales!$J$2:$J$831,1,totales!$E$2:$E$831,2)</f>
        <v>0</v>
      </c>
      <c r="F16" s="73">
        <f>COUNTIFS(totales!$C$2:$C$831,"morfológico",totales!$D$2:$D$831,"temporal",totales!$H$2:$H$831,0,totales!$I$2:$I$831,1,totales!$J$2:$J$831,1,totales!$E$2:$E$831,3)</f>
        <v>0</v>
      </c>
      <c r="G16" s="73">
        <f>COUNTIFS(totales!$C$2:$C$831,"morfológico",totales!$D$2:$D$831,"temporal",totales!$H$2:$H$831,0,totales!$I$2:$I$831,1,totales!$J$2:$J$831,1,totales!$E$2:$E$831,4)</f>
        <v>0</v>
      </c>
      <c r="H16" s="74">
        <f>COUNTIFS(totales!$C$2:$C$831,"morfológico",totales!$D$2:$D$831,"temporal",totales!$H$2:$H$831,0,totales!$I$2:$I$831,1,totales!$J$2:$J$831,1,totales!$E$2:$E$831,6)</f>
        <v>0</v>
      </c>
      <c r="I16" s="81">
        <f>COUNTIFS(totales!$C$2:$C$831,"morfológico",totales!$D$2:$D$831,"temporal",totales!$H$2:$H$831,1,totales!$I$2:$I$831,0,totales!$J$2:$J$831,1)</f>
        <v>0</v>
      </c>
      <c r="J16" s="73">
        <f>COUNTIFS(totales!$C$2:$C$831,"morfológico",totales!$D$2:$D$831,"temporal",totales!$H$2:$H$831,1,totales!$I$2:$I$831,0,totales!$J$2:$J$831,1,totales!$E$2:$E$831,1)</f>
        <v>0</v>
      </c>
      <c r="K16" s="73">
        <f>COUNTIFS(totales!$C$2:$C$831,"morfológico",totales!$D$2:$D$831,"temporal",totales!$H$2:$H$831,1,totales!$I$2:$I$831,0,totales!$J$2:$J$831,1,totales!$E$2:$E$831,2)</f>
        <v>0</v>
      </c>
      <c r="L16" s="73">
        <f>COUNTIFS(totales!$C$2:$C$831,"morfológico",totales!$D$2:$D$831,"temporal",totales!$H$2:$H$831,1,totales!$I$2:$I$831,0,totales!$J$2:$J$831,1,totales!$E$2:$E$831,3)</f>
        <v>0</v>
      </c>
      <c r="M16" s="73">
        <f>COUNTIFS(totales!$C$2:$C$831,"morfológico",totales!$D$2:$D$831,"temporal",totales!$H$2:$H$831,1,totales!$I$2:$I$831,0,totales!$J$2:$J$831,1,totales!$E$2:$E$831,4)</f>
        <v>0</v>
      </c>
      <c r="N16" s="74">
        <f>COUNTIFS(totales!$C$2:$C$831,"morfológico",totales!$D$2:$D$831,"temporal",totales!$H$2:$H$831,1,totales!$I$2:$I$831,0,totales!$J$2:$J$831,1,totales!$E$2:$E$831,6)</f>
        <v>0</v>
      </c>
      <c r="O16" s="81">
        <f>COUNTIFS(totales!$C$2:$C$831,"morfológico",totales!$D$2:$D$831,"temporal",totales!$H$2:$H$831,1,totales!$I$2:$I$831,1,totales!$J$2:$J$831,1)</f>
        <v>0</v>
      </c>
      <c r="P16" s="73">
        <f>COUNTIFS(totales!$C$2:$C$831,"morfológico",totales!$D$2:$D$831,"temporal",totales!$H$2:$H$831,1,totales!$I$2:$I$831,1,totales!$J$2:$J$831,1)</f>
        <v>0</v>
      </c>
      <c r="Q16" s="73">
        <f>COUNTIFS(totales!$C$2:$C$831,"morfológico",totales!$D$2:$D$831,"temporal",totales!$H$2:$H$831,1,totales!$I$2:$I$831,1,totales!$J$2:$J$831,1)</f>
        <v>0</v>
      </c>
      <c r="R16" s="73">
        <f>COUNTIFS(totales!$C$2:$C$831,"morfológico",totales!$D$2:$D$831,"temporal",totales!$H$2:$H$831,1,totales!$I$2:$I$831,1,totales!$J$2:$J$831,1)</f>
        <v>0</v>
      </c>
      <c r="S16" s="73">
        <f>COUNTIFS(totales!$C$2:$C$831,"morfológico",totales!$D$2:$D$831,"temporal",totales!$H$2:$H$831,1,totales!$I$2:$I$831,1,totales!$J$2:$J$831,1)</f>
        <v>0</v>
      </c>
      <c r="T16" s="74">
        <f>COUNTIFS(totales!$C$2:$C$831,"morfológico",totales!$D$2:$D$831,"temporal",totales!$H$2:$H$831,1,totales!$I$2:$I$831,1,totales!$J$2:$J$831,1)</f>
        <v>0</v>
      </c>
      <c r="U16" s="81">
        <f>COUNTIFS(totales!$C$2:$C$831,"morfológico",totales!$D$2:$D$831,"temporal",totales!$H$2:$H$831,0,totales!$I$2:$I$831,0,totales!$J$2:$J$831,1)</f>
        <v>4</v>
      </c>
      <c r="V16" s="73">
        <f>COUNTIFS(totales!$C$2:$C$831,"morfológico",totales!$D$2:$D$831,"temporal",totales!$H$2:$H$831,0,totales!$I$2:$I$831,0,totales!$J$2:$J$831,1,totales!$E$2:$E$831,1)</f>
        <v>3</v>
      </c>
      <c r="W16" s="73">
        <f>COUNTIFS(totales!$C$2:$C$831,"morfológico",totales!$D$2:$D$831,"temporal",totales!$H$2:$H$831,0,totales!$I$2:$I$831,0,totales!$J$2:$J$831,1,totales!$E$2:$E$831,2)</f>
        <v>0</v>
      </c>
      <c r="X16" s="73">
        <f>COUNTIFS(totales!$C$2:$C$831,"morfológico",totales!$D$2:$D$831,"temporal",totales!$H$2:$H$831,0,totales!$I$2:$I$831,0,totales!$J$2:$J$831,1,totales!$E$2:$E$831,3)</f>
        <v>1</v>
      </c>
      <c r="Y16" s="73">
        <f>COUNTIFS(totales!$C$2:$C$831,"morfológico",totales!$D$2:$D$831,"temporal",totales!$H$2:$H$831,0,totales!$I$2:$I$831,0,totales!$J$2:$J$831,1,totales!$E$2:$E$831,4)</f>
        <v>0</v>
      </c>
      <c r="Z16" s="74">
        <f>COUNTIFS(totales!$C$2:$C$831,"morfológico",totales!$D$2:$D$831,"temporal",totales!$H$2:$H$831,0,totales!$I$2:$I$831,0,totales!$J$2:$J$831,1,totales!$E$2:$E$831,6)</f>
        <v>0</v>
      </c>
      <c r="AA16" s="81">
        <f>COUNTIFS(totales!$C$2:$C$831,"morfológico",totales!$D$2:$D$831,"temporal",totales!$H$2:$H$831,2,totales!$I$2:$I$831,0,totales!$J$2:$J$831,1)</f>
        <v>2</v>
      </c>
      <c r="AB16" s="73">
        <f>COUNTIFS(totales!$C$2:$C$831,"morfológico",totales!$D$2:$D$831,"temporal",totales!$H$2:$H$831,2,totales!$I$2:$I$831,0,totales!$J$2:$J$831,1,totales!$E$2:$E$831,1)</f>
        <v>2</v>
      </c>
      <c r="AC16" s="73">
        <f>COUNTIFS(totales!$C$2:$C$831,"morfológico",totales!$D$2:$D$831,"temporal",totales!$H$2:$H$831,2,totales!$I$2:$I$831,0,totales!$J$2:$J$831,1,totales!$E$2:$E$831,2)</f>
        <v>0</v>
      </c>
      <c r="AD16" s="73">
        <f>COUNTIFS(totales!$C$2:$C$831,"morfológico",totales!$D$2:$D$831,"temporal",totales!$H$2:$H$831,2,totales!$I$2:$I$831,0,totales!$J$2:$J$831,1,totales!$E$2:$E$831,3)</f>
        <v>0</v>
      </c>
      <c r="AE16" s="73">
        <f>COUNTIFS(totales!$C$2:$C$831,"morfológico",totales!$D$2:$D$831,"temporal",totales!$H$2:$H$831,2,totales!$I$2:$I$831,0,totales!$J$2:$J$831,1,totales!$E$2:$E$831,4)</f>
        <v>0</v>
      </c>
      <c r="AF16" s="73">
        <f>COUNTIFS(totales!$C$2:$C$831,"morfológico",totales!$D$2:$D$831,"temporal",totales!$H$2:$H$831,2,totales!$I$2:$I$831,0,totales!$J$2:$J$831,1,totales!$E$2:$E$831,6)</f>
        <v>0</v>
      </c>
      <c r="AG16" s="81">
        <f>COUNTIFS(totales!$C$2:$C$831,"morfológico",totales!$D$2:$D$831,"temporal",totales!$H$2:$H$831,2,totales!$I$2:$I$831,1,totales!$J$2:$J$831,1)</f>
        <v>0</v>
      </c>
      <c r="AH16" s="73">
        <f>COUNTIFS(totales!$C$2:$C$831,"morfológico",totales!$D$2:$D$831,"temporal",totales!$H$2:$H$831,2,totales!$I$2:$I$831,1,totales!$J$2:$J$831,1,totales!$E$2:$E$831,1)</f>
        <v>0</v>
      </c>
      <c r="AI16" s="73">
        <f>COUNTIFS(totales!$C$2:$C$831,"morfológico",totales!$D$2:$D$831,"temporal",totales!$H$2:$H$831,2,totales!$I$2:$I$831,1,totales!$J$2:$J$831,1,totales!$E$2:$E$831,1)</f>
        <v>0</v>
      </c>
      <c r="AJ16" s="73">
        <f>COUNTIFS(totales!$C$2:$C$831,"morfológico",totales!$D$2:$D$831,"temporal",totales!$H$2:$H$831,2,totales!$I$2:$I$831,1,totales!$J$2:$J$831,1,totales!$E$2:$E$831,1)</f>
        <v>0</v>
      </c>
      <c r="AK16" s="73">
        <f>COUNTIFS(totales!$C$2:$C$831,"morfológico",totales!$D$2:$D$831,"temporal",totales!$H$2:$H$831,2,totales!$I$2:$I$831,1,totales!$J$2:$J$831,1,totales!$E$2:$E$831,1)</f>
        <v>0</v>
      </c>
      <c r="AL16" s="73">
        <f>COUNTIFS(totales!$C$2:$C$831,"morfológico",totales!$D$2:$D$831,"temporal",totales!$H$2:$H$831,2,totales!$I$2:$I$831,1,totales!$J$2:$J$831,1,totales!$E$2:$E$831,1)</f>
        <v>0</v>
      </c>
    </row>
    <row r="17" spans="1:38">
      <c r="A17" s="43" t="s">
        <v>77</v>
      </c>
      <c r="B17" s="70">
        <f>COUNTIFS(totales!$C$2:$C$831,"analítico",totales!$D$2:'totales'!$D$831,"temporal")</f>
        <v>332</v>
      </c>
      <c r="C17" s="82">
        <f>COUNTIFS(totales!$C$2:$C$831,"analítico",totales!$D$2:$D$831,"temporal",totales!$H$2:$H$831,0,totales!$I$2:$I$831,1,totales!$J$2:$J$831,1)</f>
        <v>11</v>
      </c>
      <c r="D17" s="13">
        <f>COUNTIFS(totales!$C$2:$C$831,"analítico",totales!$D$2:$D$831,"temporal",totales!$H$2:$H$831,0,totales!$I$2:$I$831,1,totales!$J$2:$J$831,1,totales!$E$2:$E$831,1)</f>
        <v>0</v>
      </c>
      <c r="E17" s="13">
        <f>COUNTIFS(totales!$C$2:$C$831,"analítico",totales!$D$2:$D$831,"temporal",totales!$H$2:$H$831,0,totales!$I$2:$I$831,1,totales!$J$2:$J$831,1,totales!$E$2:$E$831,2)</f>
        <v>2</v>
      </c>
      <c r="F17" s="13">
        <f>COUNTIFS(totales!$C$2:$C$831,"analítico",totales!$D$2:$D$831,"temporal",totales!$H$2:$H$831,0,totales!$I$2:$I$831,1,totales!$J$2:$J$831,1,totales!$E$2:$E$831,3)</f>
        <v>7</v>
      </c>
      <c r="G17" s="13">
        <f>COUNTIFS(totales!$C$2:$C$831,"analítico",totales!$D$2:$D$831,"temporal",totales!$H$2:$H$831,0,totales!$I$2:$I$831,1,totales!$J$2:$J$831,1,totales!$E$2:$E$831,4)</f>
        <v>1</v>
      </c>
      <c r="H17" s="75">
        <f>COUNTIFS(totales!$C$2:$C$831,"analítico",totales!$D$2:$D$831,"temporal",totales!$H$2:$H$831,0,totales!$I$2:$I$831,1,totales!$J$2:$J$831,1,totales!$E$2:$E$831,6)</f>
        <v>1</v>
      </c>
      <c r="I17" s="82">
        <f>COUNTIFS(totales!$C$2:$C$831,"analítico",totales!$D$2:$D$831,"temporal",totales!$H$2:$H$831,1,totales!$I$2:$I$831,0,totales!$J$2:$J$831,1)</f>
        <v>2</v>
      </c>
      <c r="J17" s="13">
        <f>COUNTIFS(totales!$C$2:$C$831,"analítico",totales!$D$2:$D$831,"temporal",totales!$H$2:$H$831,1,totales!$I$2:$I$831,0,totales!$J$2:$J$831,1,totales!$E$2:$E$831,1)</f>
        <v>0</v>
      </c>
      <c r="K17" s="13">
        <f>COUNTIFS(totales!$C$2:$C$831,"analítico",totales!$D$2:$D$831,"temporal",totales!$H$2:$H$831,1,totales!$I$2:$I$831,0,totales!$J$2:$J$831,1,totales!$E$2:$E$831,2)</f>
        <v>1</v>
      </c>
      <c r="L17" s="13">
        <f>COUNTIFS(totales!$C$2:$C$831,"analítico",totales!$D$2:$D$831,"temporal",totales!$H$2:$H$831,1,totales!$I$2:$I$831,0,totales!$J$2:$J$831,1,totales!$E$2:$E$831,3)</f>
        <v>1</v>
      </c>
      <c r="M17" s="13">
        <f>COUNTIFS(totales!$C$2:$C$831,"analítico",totales!$D$2:$D$831,"temporal",totales!$H$2:$H$831,1,totales!$I$2:$I$831,0,totales!$J$2:$J$831,1,totales!$E$2:$E$831,4)</f>
        <v>0</v>
      </c>
      <c r="N17" s="75">
        <f>COUNTIFS(totales!$C$2:$C$831,"analítico",totales!$D$2:$D$831,"temporal",totales!$H$2:$H$831,1,totales!$I$2:$I$831,0,totales!$J$2:$J$831,1,totales!$E$2:$E$831,6)</f>
        <v>0</v>
      </c>
      <c r="O17" s="82">
        <f>COUNTIFS(totales!$C$2:$C$831,"analítico",totales!$D$2:$D$831,"temporal",totales!$H$2:$H$831,1,totales!$I$2:$I$831,1,totales!$J$2:$J$831,1)</f>
        <v>0</v>
      </c>
      <c r="P17" s="13">
        <f>COUNTIFS(totales!$C$2:$C$831,"analítico",totales!$D$2:$D$831,"temporal",totales!$H$2:$H$831,1,totales!$I$2:$I$831,1,totales!$J$2:$J$831,1)</f>
        <v>0</v>
      </c>
      <c r="Q17" s="13">
        <f>COUNTIFS(totales!$C$2:$C$831,"analítico",totales!$D$2:$D$831,"temporal",totales!$H$2:$H$831,1,totales!$I$2:$I$831,1,totales!$J$2:$J$831,1)</f>
        <v>0</v>
      </c>
      <c r="R17" s="13">
        <f>COUNTIFS(totales!$C$2:$C$831,"analítico",totales!$D$2:$D$831,"temporal",totales!$H$2:$H$831,1,totales!$I$2:$I$831,1,totales!$J$2:$J$831,1)</f>
        <v>0</v>
      </c>
      <c r="S17" s="13">
        <f>COUNTIFS(totales!$C$2:$C$831,"analítico",totales!$D$2:$D$831,"temporal",totales!$H$2:$H$831,1,totales!$I$2:$I$831,1,totales!$J$2:$J$831,1)</f>
        <v>0</v>
      </c>
      <c r="T17" s="75">
        <f>COUNTIFS(totales!$C$2:$C$831,"analítico",totales!$D$2:$D$831,"temporal",totales!$H$2:$H$831,1,totales!$I$2:$I$831,1,totales!$J$2:$J$831,1)</f>
        <v>0</v>
      </c>
      <c r="U17" s="82">
        <f>COUNTIFS(totales!$C$2:$C$831,"analítico",totales!$D$2:$D$831,"temporal",totales!$H$2:$H$831,0,totales!$I$2:$I$831,0,totales!$J$2:$J$831,1)</f>
        <v>32</v>
      </c>
      <c r="V17" s="13">
        <f>COUNTIFS(totales!$C$2:$C$831,"analítico",totales!$D$2:$D$831,"temporal",totales!$H$2:$H$831,0,totales!$I$2:$I$831,0,totales!$J$2:$J$831,1,totales!$E$2:$E$831,1)</f>
        <v>11</v>
      </c>
      <c r="W17" s="13">
        <f>COUNTIFS(totales!$C$2:$C$831,"analítico",totales!$D$2:$D$831,"temporal",totales!$H$2:$H$831,0,totales!$I$2:$I$831,0,totales!$J$2:$J$831,1,totales!$E$2:$E$831,2)</f>
        <v>6</v>
      </c>
      <c r="X17" s="13">
        <f>COUNTIFS(totales!$C$2:$C$831,"analítico",totales!$D$2:$D$831,"temporal",totales!$H$2:$H$831,0,totales!$I$2:$I$831,0,totales!$J$2:$J$831,1,totales!$E$2:$E$831,3)</f>
        <v>11</v>
      </c>
      <c r="Y17" s="13">
        <f>COUNTIFS(totales!$C$2:$C$831,"analítico",totales!$D$2:$D$831,"temporal",totales!$H$2:$H$831,0,totales!$I$2:$I$831,0,totales!$J$2:$J$831,1,totales!$E$2:$E$831,4)</f>
        <v>1</v>
      </c>
      <c r="Z17" s="75">
        <f>COUNTIFS(totales!$C$2:$C$831,"analítico",totales!$D$2:$D$831,"temporal",totales!$H$2:$H$831,0,totales!$I$2:$I$831,0,totales!$J$2:$J$831,1,totales!$E$2:$E$831,6)</f>
        <v>3</v>
      </c>
      <c r="AA17" s="82">
        <f>COUNTIFS(totales!$C$2:$C$831,"analítico",totales!$D$2:$D$831,"temporal",totales!$H$2:$H$831,2,totales!$I$2:$I$831,0,totales!$J$2:$J$831,1)</f>
        <v>4</v>
      </c>
      <c r="AB17" s="13">
        <f>COUNTIFS(totales!$C$2:$C$831,"analítico",totales!$D$2:$D$831,"temporal",totales!$H$2:$H$831,2,totales!$I$2:$I$831,0,totales!$J$2:$J$831,1,totales!$E$2:$E$831,1)</f>
        <v>0</v>
      </c>
      <c r="AC17" s="13">
        <f>COUNTIFS(totales!$C$2:$C$831,"analítico",totales!$D$2:$D$831,"temporal",totales!$H$2:$H$831,2,totales!$I$2:$I$831,0,totales!$J$2:$J$831,1,totales!$E$2:$E$831,2)</f>
        <v>2</v>
      </c>
      <c r="AD17" s="13">
        <f>COUNTIFS(totales!$C$2:$C$831,"analítico",totales!$D$2:$D$831,"temporal",totales!$H$2:$H$831,2,totales!$I$2:$I$831,0,totales!$J$2:$J$831,1,totales!$E$2:$E$831,3)</f>
        <v>2</v>
      </c>
      <c r="AE17" s="13">
        <f>COUNTIFS(totales!$C$2:$C$831,"analítico",totales!$D$2:$D$831,"temporal",totales!$H$2:$H$831,2,totales!$I$2:$I$831,0,totales!$J$2:$J$831,1,totales!$E$2:$E$831,4)</f>
        <v>0</v>
      </c>
      <c r="AF17" s="13">
        <f>COUNTIFS(totales!$C$2:$C$831,"analítico",totales!$D$2:$D$831,"temporal",totales!$H$2:$H$831,2,totales!$I$2:$I$831,0,totales!$J$2:$J$831,1,totales!$E$2:$E$831,6)</f>
        <v>0</v>
      </c>
      <c r="AG17" s="82">
        <f>COUNTIFS(totales!$C$2:$C$831,"analítico",totales!$D$2:$D$831,"temporal",totales!$H$2:$H$831,2,totales!$I$2:$I$831,1,totales!$J$2:$J$831,1)</f>
        <v>1</v>
      </c>
      <c r="AH17" s="13">
        <f>COUNTIFS(totales!$C$2:$C$831,"analítico",totales!$D$2:$D$831,"temporal",totales!$H$2:$H$831,2,totales!$I$2:$I$831,1,totales!$J$2:$J$831,1,totales!$E$2:$E$831,1)</f>
        <v>0</v>
      </c>
      <c r="AI17" s="13">
        <f>COUNTIFS(totales!$C$2:$C$831,"analítico",totales!$D$2:$D$831,"temporal",totales!$H$2:$H$831,2,totales!$I$2:$I$831,1,totales!$J$2:$J$831,1,totales!$E$2:$E$831,2)</f>
        <v>0</v>
      </c>
      <c r="AJ17" s="13">
        <f>COUNTIFS(totales!$C$2:$C$831,"analítico",totales!$D$2:$D$831,"temporal",totales!$H$2:$H$831,2,totales!$I$2:$I$831,1,totales!$J$2:$J$831,1,totales!$E$2:$E$831,3)</f>
        <v>0</v>
      </c>
      <c r="AK17" s="13">
        <f>COUNTIFS(totales!$C$2:$C$831,"analítico",totales!$D$2:$D$831,"temporal",totales!$H$2:$H$831,2,totales!$I$2:$I$831,1,totales!$J$2:$J$831,1,totales!$E$2:$E$831,4)</f>
        <v>1</v>
      </c>
      <c r="AL17" s="13">
        <f>COUNTIFS(totales!$C$2:$C$831,"analítico",totales!$D$2:$D$831,"temporal",totales!$H$2:$H$831,2,totales!$I$2:$I$831,1,totales!$J$2:$J$831,1,totales!$E$2:$E$831,6)</f>
        <v>0</v>
      </c>
    </row>
    <row r="18" spans="1:38" ht="15" thickBot="1">
      <c r="A18" s="43" t="s">
        <v>78</v>
      </c>
      <c r="B18" s="70">
        <f>COUNTIFS(totales!$C$2:$C$831,"presente",totales!$D$2:'totales'!$D$831,"temporal")</f>
        <v>92</v>
      </c>
      <c r="C18" s="83">
        <f>COUNTIFS(totales!$C$2:$C$831,"presente",totales!$D$2:$D$831,"temporal",totales!$H$2:$H$831,0,totales!$I$2:$I$831,1,totales!$J$2:$J$831,1)</f>
        <v>2</v>
      </c>
      <c r="D18" s="76">
        <f>COUNTIFS(totales!$C$2:$C$831,"presente",totales!$D$2:$D$831,"temporal",totales!$H$2:$H$831,0,totales!$I$2:$I$831,1,totales!$J$2:$J$831,1,totales!$E$2:$E$831,1)</f>
        <v>0</v>
      </c>
      <c r="E18" s="76">
        <f>COUNTIFS(totales!$C$2:$C$831,"presente",totales!$D$2:$D$831,"temporal",totales!$H$2:$H$831,0,totales!$I$2:$I$831,1,totales!$J$2:$J$831,1,totales!$E$2:$E$831,2)</f>
        <v>0</v>
      </c>
      <c r="F18" s="76">
        <f>COUNTIFS(totales!$C$2:$C$831,"presente",totales!$D$2:$D$831,"temporal",totales!$H$2:$H$831,0,totales!$I$2:$I$831,1,totales!$J$2:$J$831,1,totales!$E$2:$E$831,3)</f>
        <v>1</v>
      </c>
      <c r="G18" s="76">
        <f>COUNTIFS(totales!$C$2:$C$831,"presente",totales!$D$2:$D$831,"temporal",totales!$H$2:$H$831,0,totales!$I$2:$I$831,1,totales!$J$2:$J$831,1,totales!$E$2:$E$831,4)</f>
        <v>0</v>
      </c>
      <c r="H18" s="77">
        <f>COUNTIFS(totales!$C$2:$C$831,"presente",totales!$D$2:$D$831,"temporal",totales!$H$2:$H$831,0,totales!$I$2:$I$831,1,totales!$J$2:$J$831,1,totales!$E$2:$E$831,6)</f>
        <v>1</v>
      </c>
      <c r="I18" s="83">
        <f>COUNTIFS(totales!$C$2:$C$831,"presente",totales!$D$2:$D$831,"temporal",totales!$H$2:$H$831,1,totales!$I$2:$I$831,0,totales!$J$2:$J$831,1)</f>
        <v>0</v>
      </c>
      <c r="J18" s="76">
        <f>COUNTIFS(totales!$C$2:$C$831,"presente",totales!$D$2:$D$831,"temporal",totales!$H$2:$H$831,1,totales!$I$2:$I$831,0,totales!$J$2:$J$831,1,totales!$E$2:$E$831,1)</f>
        <v>0</v>
      </c>
      <c r="K18" s="76">
        <f>COUNTIFS(totales!$C$2:$C$831,"presente",totales!$D$2:$D$831,"temporal",totales!$H$2:$H$831,1,totales!$I$2:$I$831,0,totales!$J$2:$J$831,1,totales!$E$2:$E$831,2)</f>
        <v>0</v>
      </c>
      <c r="L18" s="76">
        <f>COUNTIFS(totales!$C$2:$C$831,"presente",totales!$D$2:$D$831,"temporal",totales!$H$2:$H$831,1,totales!$I$2:$I$831,0,totales!$J$2:$J$831,1,totales!$E$2:$E$831,3)</f>
        <v>0</v>
      </c>
      <c r="M18" s="76">
        <f>COUNTIFS(totales!$C$2:$C$831,"presente",totales!$D$2:$D$831,"temporal",totales!$H$2:$H$831,1,totales!$I$2:$I$831,0,totales!$J$2:$J$831,1,totales!$E$2:$E$831,4)</f>
        <v>0</v>
      </c>
      <c r="N18" s="77">
        <f>COUNTIFS(totales!$C$2:$C$831,"presente",totales!$D$2:$D$831,"temporal",totales!$H$2:$H$831,1,totales!$I$2:$I$831,0,totales!$J$2:$J$831,1,totales!$E$2:$E$831,6)</f>
        <v>0</v>
      </c>
      <c r="O18" s="83">
        <f>COUNTIFS(totales!$C$2:$C$831,"presente",totales!$D$2:$D$831,"temporal",totales!$H$2:$H$831,1,totales!$I$2:$I$831,1,totales!$J$2:$J$831,1)</f>
        <v>0</v>
      </c>
      <c r="P18" s="76">
        <f>COUNTIFS(totales!$C$2:$C$831,"presente",totales!$D$2:$D$831,"temporal",totales!$H$2:$H$831,1,totales!$I$2:$I$831,1,totales!$J$2:$J$831,1)</f>
        <v>0</v>
      </c>
      <c r="Q18" s="76">
        <f>COUNTIFS(totales!$C$2:$C$831,"presente",totales!$D$2:$D$831,"temporal",totales!$H$2:$H$831,1,totales!$I$2:$I$831,1,totales!$J$2:$J$831,1)</f>
        <v>0</v>
      </c>
      <c r="R18" s="76">
        <f>COUNTIFS(totales!$C$2:$C$831,"presente",totales!$D$2:$D$831,"temporal",totales!$H$2:$H$831,1,totales!$I$2:$I$831,1,totales!$J$2:$J$831,1)</f>
        <v>0</v>
      </c>
      <c r="S18" s="76">
        <f>COUNTIFS(totales!$C$2:$C$831,"presente",totales!$D$2:$D$831,"temporal",totales!$H$2:$H$831,1,totales!$I$2:$I$831,1,totales!$J$2:$J$831,1)</f>
        <v>0</v>
      </c>
      <c r="T18" s="77">
        <f>COUNTIFS(totales!$C$2:$C$831,"presente",totales!$D$2:$D$831,"temporal",totales!$H$2:$H$831,1,totales!$I$2:$I$831,1,totales!$J$2:$J$831,1)</f>
        <v>0</v>
      </c>
      <c r="U18" s="83">
        <f>COUNTIFS(totales!$C$2:$C$831,"presente",totales!$D$2:$D$831,"temporal",totales!$H$2:$H$831,0,totales!$I$2:$I$831,0,totales!$J$2:$J$831,1)</f>
        <v>17</v>
      </c>
      <c r="V18" s="76">
        <f>COUNTIFS(totales!$C$2:$C$831,"presente",totales!$D$2:$D$831,"temporal",totales!$H$2:$H$831,0,totales!$I$2:$I$831,0,totales!$J$2:$J$831,1,totales!$E$2:$E$831,1)</f>
        <v>7</v>
      </c>
      <c r="W18" s="76">
        <f>COUNTIFS(totales!$C$2:$C$831,"presente",totales!$D$2:$D$831,"temporal",totales!$H$2:$H$831,0,totales!$I$2:$I$831,0,totales!$J$2:$J$831,1,totales!$E$2:$E$831,2)</f>
        <v>2</v>
      </c>
      <c r="X18" s="76">
        <f>COUNTIFS(totales!$C$2:$C$831,"presente",totales!$D$2:$D$831,"temporal",totales!$H$2:$H$831,0,totales!$I$2:$I$831,0,totales!$J$2:$J$831,1,totales!$E$2:$E$831,3)</f>
        <v>7</v>
      </c>
      <c r="Y18" s="76">
        <f>COUNTIFS(totales!$C$2:$C$831,"presente",totales!$D$2:$D$831,"temporal",totales!$H$2:$H$831,0,totales!$I$2:$I$831,0,totales!$J$2:$J$831,1,totales!$E$2:$E$831,4)</f>
        <v>0</v>
      </c>
      <c r="Z18" s="77">
        <f>COUNTIFS(totales!$C$2:$C$831,"presente",totales!$D$2:$D$831,"temporal",totales!$H$2:$H$831,0,totales!$I$2:$I$831,0,totales!$J$2:$J$831,1,totales!$E$2:$E$831,6)</f>
        <v>1</v>
      </c>
      <c r="AA18" s="83">
        <f>COUNTIFS(totales!$C$2:$C$831,"presente",totales!$D$2:$D$831,"temporal",totales!$H$2:$H$831,2,totales!$I$2:$I$831,0,totales!$J$2:$J$831,1)</f>
        <v>0</v>
      </c>
      <c r="AB18" s="76">
        <f>COUNTIFS(totales!$C$2:$C$831,"presente",totales!$D$2:$D$831,"temporal",totales!$H$2:$H$831,2,totales!$I$2:$I$831,0,totales!$J$2:$J$831,1,totales!$E$2:$E$831,1)</f>
        <v>0</v>
      </c>
      <c r="AC18" s="76">
        <f>COUNTIFS(totales!$C$2:$C$831,"presente",totales!$D$2:$D$831,"temporal",totales!$H$2:$H$831,2,totales!$I$2:$I$831,0,totales!$J$2:$J$831,1,totales!$E$2:$E$831,2)</f>
        <v>0</v>
      </c>
      <c r="AD18" s="76">
        <f>COUNTIFS(totales!$C$2:$C$831,"presente",totales!$D$2:$D$831,"temporal",totales!$H$2:$H$831,2,totales!$I$2:$I$831,0,totales!$J$2:$J$831,1,totales!$E$2:$E$831,3)</f>
        <v>0</v>
      </c>
      <c r="AE18" s="76">
        <f>COUNTIFS(totales!$C$2:$C$831,"presente",totales!$D$2:$D$831,"temporal",totales!$H$2:$H$831,2,totales!$I$2:$I$831,0,totales!$J$2:$J$831,1,totales!$E$2:$E$831,4)</f>
        <v>0</v>
      </c>
      <c r="AF18" s="76">
        <f>COUNTIFS(totales!$C$2:$C$831,"presente",totales!$D$2:$D$831,"temporal",totales!$H$2:$H$831,2,totales!$I$2:$I$831,0,totales!$J$2:$J$831,1,totales!$E$2:$E$831,6)</f>
        <v>0</v>
      </c>
      <c r="AG18" s="83">
        <f>COUNTIFS(totales!$C$2:$C$831,"presente",totales!$D$2:$D$831,"temporal",totales!$H$2:$H$831,2,totales!$I$2:$I$831,1,totales!$J$2:$J$831,1)</f>
        <v>1</v>
      </c>
      <c r="AH18" s="76">
        <f>COUNTIFS(totales!$C$2:$C$831,"presente",totales!$D$2:$D$831,"temporal",totales!$H$2:$H$831,2,totales!$I$2:$I$831,1,totales!$J$2:$J$831,1,totales!$E$2:$E$831,1)</f>
        <v>0</v>
      </c>
      <c r="AI18" s="76">
        <f>COUNTIFS(totales!$C$2:$C$831,"presente",totales!$D$2:$D$831,"temporal",totales!$H$2:$H$831,2,totales!$I$2:$I$831,1,totales!$J$2:$J$831,1,totales!$E$2:$E$831,2)</f>
        <v>0</v>
      </c>
      <c r="AJ18" s="76">
        <f>COUNTIFS(totales!$C$2:$C$831,"presente",totales!$D$2:$D$831,"temporal",totales!$H$2:$H$831,2,totales!$I$2:$I$831,1,totales!$J$2:$J$831,1,totales!$E$2:$E$831,3)</f>
        <v>0</v>
      </c>
      <c r="AK18" s="76">
        <f>COUNTIFS(totales!$C$2:$C$831,"presente",totales!$D$2:$D$831,"temporal",totales!$H$2:$H$831,2,totales!$I$2:$I$831,1,totales!$J$2:$J$831,1,totales!$E$2:$E$831,4)</f>
        <v>1</v>
      </c>
      <c r="AL18" s="76">
        <f>COUNTIFS(totales!$C$2:$C$831,"presente",totales!$D$2:$D$831,"temporal",totales!$H$2:$H$831,2,totales!$I$2:$I$831,1,totales!$J$2:$J$831,1,totales!$E$2:$E$831,6)</f>
        <v>0</v>
      </c>
    </row>
    <row r="19" spans="1:38">
      <c r="A19" s="45" t="s">
        <v>87</v>
      </c>
      <c r="B19" s="47">
        <f>SUM(B16:B18)</f>
        <v>458</v>
      </c>
      <c r="C19" s="84">
        <f>SUM(C16:C18)</f>
        <v>13</v>
      </c>
      <c r="D19" s="40"/>
      <c r="E19" s="40"/>
      <c r="F19" s="40"/>
      <c r="G19" s="40"/>
      <c r="H19" s="40"/>
      <c r="I19" s="84">
        <f>SUM(I16:I18)</f>
        <v>2</v>
      </c>
      <c r="J19" s="40"/>
      <c r="K19" s="40"/>
      <c r="L19" s="40"/>
      <c r="M19" s="40"/>
      <c r="N19" s="40"/>
      <c r="O19" s="84">
        <f>SUM(O16:O18)</f>
        <v>0</v>
      </c>
      <c r="P19" s="40"/>
      <c r="Q19" s="40"/>
      <c r="R19" s="40"/>
      <c r="S19" s="40"/>
      <c r="T19" s="40"/>
      <c r="U19" s="84">
        <f>SUM(U16:U18)</f>
        <v>53</v>
      </c>
      <c r="V19" s="40"/>
      <c r="W19" s="40"/>
      <c r="X19" s="40"/>
      <c r="Y19" s="40"/>
      <c r="Z19" s="40"/>
      <c r="AA19" s="84">
        <f>SUM(AA16:AA18)</f>
        <v>6</v>
      </c>
      <c r="AB19" s="40"/>
      <c r="AC19" s="40"/>
      <c r="AD19" s="40"/>
      <c r="AE19" s="40"/>
      <c r="AF19" s="40"/>
      <c r="AG19" s="84">
        <f>SUM(AG16:AG18)</f>
        <v>2</v>
      </c>
      <c r="AH19" s="40"/>
      <c r="AI19" s="40"/>
      <c r="AJ19" s="40"/>
      <c r="AK19" s="40"/>
      <c r="AL19" s="85"/>
    </row>
    <row r="23" spans="1:38">
      <c r="A23" s="87"/>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9"/>
    </row>
    <row r="25" spans="1:38" ht="15" thickBot="1"/>
    <row r="26" spans="1:38" ht="34" thickTop="1" thickBot="1">
      <c r="A26" s="66"/>
      <c r="B26" s="67" t="s">
        <v>86</v>
      </c>
      <c r="C26" s="80" t="s">
        <v>592</v>
      </c>
      <c r="D26" s="71" t="s">
        <v>604</v>
      </c>
      <c r="E26" s="71" t="s">
        <v>605</v>
      </c>
      <c r="F26" s="71" t="s">
        <v>606</v>
      </c>
      <c r="G26" s="71" t="s">
        <v>607</v>
      </c>
      <c r="H26" s="71" t="s">
        <v>608</v>
      </c>
      <c r="I26" s="80" t="s">
        <v>593</v>
      </c>
      <c r="J26" s="78" t="s">
        <v>609</v>
      </c>
      <c r="K26" s="78" t="s">
        <v>610</v>
      </c>
      <c r="L26" s="78" t="s">
        <v>611</v>
      </c>
      <c r="M26" s="78" t="s">
        <v>612</v>
      </c>
      <c r="N26" s="78" t="s">
        <v>613</v>
      </c>
      <c r="O26" s="80" t="s">
        <v>594</v>
      </c>
      <c r="P26" s="78" t="s">
        <v>614</v>
      </c>
      <c r="Q26" s="78" t="s">
        <v>615</v>
      </c>
      <c r="R26" s="78" t="s">
        <v>621</v>
      </c>
      <c r="S26" s="78" t="s">
        <v>622</v>
      </c>
      <c r="T26" s="78" t="s">
        <v>623</v>
      </c>
      <c r="U26" s="80" t="s">
        <v>595</v>
      </c>
      <c r="V26" s="78" t="s">
        <v>616</v>
      </c>
      <c r="W26" s="78" t="s">
        <v>617</v>
      </c>
      <c r="X26" s="78" t="s">
        <v>618</v>
      </c>
      <c r="Y26" s="78" t="s">
        <v>619</v>
      </c>
      <c r="Z26" s="78" t="s">
        <v>620</v>
      </c>
      <c r="AA26" s="80" t="s">
        <v>601</v>
      </c>
      <c r="AB26" s="68" t="s">
        <v>649</v>
      </c>
      <c r="AC26" s="68" t="s">
        <v>650</v>
      </c>
      <c r="AD26" s="68" t="s">
        <v>651</v>
      </c>
      <c r="AE26" s="68" t="s">
        <v>652</v>
      </c>
      <c r="AF26" s="68" t="s">
        <v>653</v>
      </c>
      <c r="AG26" s="80" t="s">
        <v>598</v>
      </c>
      <c r="AH26" s="68" t="s">
        <v>634</v>
      </c>
      <c r="AI26" s="68" t="s">
        <v>635</v>
      </c>
      <c r="AJ26" s="68" t="s">
        <v>636</v>
      </c>
      <c r="AK26" s="68" t="s">
        <v>637</v>
      </c>
      <c r="AL26" s="68" t="s">
        <v>638</v>
      </c>
    </row>
    <row r="27" spans="1:38">
      <c r="A27" s="43" t="s">
        <v>76</v>
      </c>
      <c r="B27" s="70">
        <f>(B16/$B$19)*100</f>
        <v>7.4235807860262017</v>
      </c>
      <c r="C27" s="81">
        <f>(C2/$B2)*100</f>
        <v>11.76470588235294</v>
      </c>
      <c r="D27" s="73">
        <f>(D2/$C2)*100</f>
        <v>0</v>
      </c>
      <c r="E27" s="73">
        <f t="shared" ref="E27:H27" si="0">(E2/$C2)*100</f>
        <v>0</v>
      </c>
      <c r="F27" s="73">
        <f>(F2/$C2)*100</f>
        <v>100</v>
      </c>
      <c r="G27" s="73">
        <f t="shared" si="0"/>
        <v>0</v>
      </c>
      <c r="H27" s="73">
        <f t="shared" si="0"/>
        <v>0</v>
      </c>
      <c r="I27" s="81">
        <f>(I2/$B2)*100</f>
        <v>32.352941176470587</v>
      </c>
      <c r="J27" s="73">
        <f t="shared" ref="J27:N29" si="1">(J2/$I2)*100</f>
        <v>45.454545454545453</v>
      </c>
      <c r="K27" s="73">
        <f t="shared" si="1"/>
        <v>0</v>
      </c>
      <c r="L27" s="73">
        <f t="shared" si="1"/>
        <v>36.363636363636367</v>
      </c>
      <c r="M27" s="73">
        <f t="shared" si="1"/>
        <v>9.0909090909090917</v>
      </c>
      <c r="N27" s="73">
        <f t="shared" si="1"/>
        <v>9.0909090909090917</v>
      </c>
      <c r="O27" s="81">
        <f>(O2/$B2)*100</f>
        <v>0</v>
      </c>
      <c r="P27" s="73">
        <v>0</v>
      </c>
      <c r="Q27" s="73">
        <v>0</v>
      </c>
      <c r="R27" s="73">
        <v>0</v>
      </c>
      <c r="S27" s="73">
        <v>0</v>
      </c>
      <c r="T27" s="73">
        <v>0</v>
      </c>
      <c r="U27" s="81">
        <f>(U2/$B2)*100</f>
        <v>20.588235294117645</v>
      </c>
      <c r="V27" s="73">
        <f t="shared" ref="V27:Y29" si="2">(V2/$U2)*100</f>
        <v>42.857142857142854</v>
      </c>
      <c r="W27" s="73">
        <f t="shared" si="2"/>
        <v>0</v>
      </c>
      <c r="X27" s="73">
        <f t="shared" si="2"/>
        <v>42.857142857142854</v>
      </c>
      <c r="Y27" s="73">
        <f t="shared" si="2"/>
        <v>14.285714285714285</v>
      </c>
      <c r="Z27" s="73">
        <f>(Z2/$U2)*100</f>
        <v>0</v>
      </c>
      <c r="AA27" s="81">
        <f>(AA2/$B2)*100</f>
        <v>0</v>
      </c>
      <c r="AB27" s="73">
        <v>0</v>
      </c>
      <c r="AC27" s="73">
        <v>0</v>
      </c>
      <c r="AD27" s="73">
        <v>0</v>
      </c>
      <c r="AE27" s="73">
        <v>0</v>
      </c>
      <c r="AF27" s="73">
        <v>0</v>
      </c>
      <c r="AG27" s="81">
        <f>(AG2/$B2)*100</f>
        <v>17.647058823529413</v>
      </c>
      <c r="AH27" s="73">
        <f t="shared" ref="AH27:AJ28" si="3">(AH2/$AG2)*100</f>
        <v>16.666666666666664</v>
      </c>
      <c r="AI27" s="73">
        <f t="shared" si="3"/>
        <v>0</v>
      </c>
      <c r="AJ27" s="73">
        <f t="shared" si="3"/>
        <v>83.333333333333343</v>
      </c>
      <c r="AK27" s="84">
        <f>(AK2/$B$5)*100</f>
        <v>0</v>
      </c>
      <c r="AL27" s="73">
        <f>(AL2/$AG2)*100</f>
        <v>0</v>
      </c>
    </row>
    <row r="28" spans="1:38">
      <c r="A28" s="43" t="s">
        <v>77</v>
      </c>
      <c r="B28" s="70">
        <f t="shared" ref="B28:B29" si="4">(B17/$B$19)*100</f>
        <v>72.489082969432317</v>
      </c>
      <c r="C28" s="82">
        <f>(C3/$B3)*100</f>
        <v>47.289156626506021</v>
      </c>
      <c r="D28" s="13">
        <f t="shared" ref="D28:H29" si="5">(D3/$C3)*100</f>
        <v>29.29936305732484</v>
      </c>
      <c r="E28" s="13">
        <f t="shared" si="5"/>
        <v>14.64968152866242</v>
      </c>
      <c r="F28" s="13">
        <f t="shared" si="5"/>
        <v>33.757961783439491</v>
      </c>
      <c r="G28" s="13">
        <f t="shared" si="5"/>
        <v>10.828025477707007</v>
      </c>
      <c r="H28" s="13">
        <f t="shared" si="5"/>
        <v>11.464968152866243</v>
      </c>
      <c r="I28" s="82">
        <f>(I3/$B3)*100</f>
        <v>9.9397590361445776</v>
      </c>
      <c r="J28" s="13">
        <f t="shared" si="1"/>
        <v>6.0606060606060606</v>
      </c>
      <c r="K28" s="13">
        <f t="shared" si="1"/>
        <v>15.151515151515152</v>
      </c>
      <c r="L28" s="13">
        <f t="shared" si="1"/>
        <v>45.454545454545453</v>
      </c>
      <c r="M28" s="13">
        <f t="shared" si="1"/>
        <v>6.0606060606060606</v>
      </c>
      <c r="N28" s="13">
        <f t="shared" si="1"/>
        <v>27.27272727272727</v>
      </c>
      <c r="O28" s="82">
        <f>(O3/$B3)*100</f>
        <v>9.0361445783132535</v>
      </c>
      <c r="P28" s="13">
        <f t="shared" ref="P28:T29" si="6">(P3/$O3)*100</f>
        <v>46.666666666666664</v>
      </c>
      <c r="Q28" s="13">
        <f t="shared" si="6"/>
        <v>0</v>
      </c>
      <c r="R28" s="13">
        <f t="shared" si="6"/>
        <v>16.666666666666664</v>
      </c>
      <c r="S28" s="13">
        <f t="shared" si="6"/>
        <v>16.666666666666664</v>
      </c>
      <c r="T28" s="13">
        <f t="shared" si="6"/>
        <v>20</v>
      </c>
      <c r="U28" s="82">
        <f>(U3/$B3)*100</f>
        <v>13.855421686746988</v>
      </c>
      <c r="V28" s="13">
        <f t="shared" si="2"/>
        <v>15.217391304347828</v>
      </c>
      <c r="W28" s="13">
        <f t="shared" si="2"/>
        <v>10.869565217391305</v>
      </c>
      <c r="X28" s="13">
        <f t="shared" si="2"/>
        <v>52.173913043478258</v>
      </c>
      <c r="Y28" s="13">
        <f t="shared" si="2"/>
        <v>6.5217391304347823</v>
      </c>
      <c r="Z28" s="13">
        <f>(Z3/$U3)*100</f>
        <v>15.217391304347828</v>
      </c>
      <c r="AA28" s="82">
        <f>(AA3/$B3)*100</f>
        <v>2.7108433734939759</v>
      </c>
      <c r="AB28" s="13">
        <f t="shared" ref="AB28:AF29" si="7">(AB3/$AA3)*100</f>
        <v>33.333333333333329</v>
      </c>
      <c r="AC28" s="13">
        <f t="shared" si="7"/>
        <v>0</v>
      </c>
      <c r="AD28" s="13">
        <f t="shared" si="7"/>
        <v>55.555555555555557</v>
      </c>
      <c r="AE28" s="13">
        <f t="shared" si="7"/>
        <v>11.111111111111111</v>
      </c>
      <c r="AF28" s="13">
        <f t="shared" si="7"/>
        <v>0</v>
      </c>
      <c r="AG28" s="82">
        <f>(AG3/$B3)*100</f>
        <v>2.1084337349397591</v>
      </c>
      <c r="AH28" s="13">
        <f t="shared" si="3"/>
        <v>14.285714285714285</v>
      </c>
      <c r="AI28" s="13">
        <f t="shared" si="3"/>
        <v>14.285714285714285</v>
      </c>
      <c r="AJ28" s="13">
        <f t="shared" si="3"/>
        <v>57.142857142857139</v>
      </c>
      <c r="AK28" s="13">
        <f>(AK3/$AG3)*100</f>
        <v>0</v>
      </c>
      <c r="AL28" s="13">
        <f>(AL3/$AG3)*100</f>
        <v>14.285714285714285</v>
      </c>
    </row>
    <row r="29" spans="1:38" ht="15" thickBot="1">
      <c r="A29" s="43" t="s">
        <v>78</v>
      </c>
      <c r="B29" s="70">
        <f t="shared" si="4"/>
        <v>20.087336244541483</v>
      </c>
      <c r="C29" s="83">
        <f>(C4/$B4)*100</f>
        <v>25</v>
      </c>
      <c r="D29" s="76">
        <f t="shared" si="5"/>
        <v>17.391304347826086</v>
      </c>
      <c r="E29" s="76">
        <f t="shared" si="5"/>
        <v>17.391304347826086</v>
      </c>
      <c r="F29" s="76">
        <f t="shared" si="5"/>
        <v>56.521739130434781</v>
      </c>
      <c r="G29" s="76">
        <f t="shared" si="5"/>
        <v>4.3478260869565215</v>
      </c>
      <c r="H29" s="76">
        <f t="shared" si="5"/>
        <v>4.3478260869565215</v>
      </c>
      <c r="I29" s="83">
        <f>(I4/$B4)*100</f>
        <v>23.913043478260871</v>
      </c>
      <c r="J29" s="76">
        <f t="shared" si="1"/>
        <v>13.636363636363635</v>
      </c>
      <c r="K29" s="76">
        <f t="shared" si="1"/>
        <v>18.181818181818183</v>
      </c>
      <c r="L29" s="76">
        <f t="shared" si="1"/>
        <v>45.454545454545453</v>
      </c>
      <c r="M29" s="76">
        <f t="shared" si="1"/>
        <v>22.727272727272727</v>
      </c>
      <c r="N29" s="76">
        <f t="shared" si="1"/>
        <v>0</v>
      </c>
      <c r="O29" s="83">
        <f>(O4/$B4)*100</f>
        <v>11.956521739130435</v>
      </c>
      <c r="P29" s="76">
        <f t="shared" si="6"/>
        <v>0</v>
      </c>
      <c r="Q29" s="76">
        <f t="shared" si="6"/>
        <v>27.27272727272727</v>
      </c>
      <c r="R29" s="76">
        <f t="shared" si="6"/>
        <v>54.54545454545454</v>
      </c>
      <c r="S29" s="76">
        <f t="shared" si="6"/>
        <v>9.0909090909090917</v>
      </c>
      <c r="T29" s="76">
        <f t="shared" si="6"/>
        <v>9.0909090909090917</v>
      </c>
      <c r="U29" s="83">
        <f>(U4/$B4)*100</f>
        <v>10.869565217391305</v>
      </c>
      <c r="V29" s="76">
        <f t="shared" si="2"/>
        <v>40</v>
      </c>
      <c r="W29" s="76">
        <f t="shared" si="2"/>
        <v>20</v>
      </c>
      <c r="X29" s="76">
        <f t="shared" si="2"/>
        <v>30</v>
      </c>
      <c r="Y29" s="76">
        <f t="shared" si="2"/>
        <v>0</v>
      </c>
      <c r="Z29" s="76">
        <f>(Z4/$U4)*100</f>
        <v>10</v>
      </c>
      <c r="AA29" s="83">
        <f>(AA4/$B4)*100</f>
        <v>6.5217391304347823</v>
      </c>
      <c r="AB29" s="76">
        <f t="shared" si="7"/>
        <v>0</v>
      </c>
      <c r="AC29" s="76">
        <f t="shared" si="7"/>
        <v>0</v>
      </c>
      <c r="AD29" s="76">
        <f t="shared" si="7"/>
        <v>50</v>
      </c>
      <c r="AE29" s="76">
        <f t="shared" si="7"/>
        <v>50</v>
      </c>
      <c r="AF29" s="76">
        <f t="shared" si="7"/>
        <v>0</v>
      </c>
      <c r="AG29" s="83">
        <f>(AG4/$B4)*100</f>
        <v>0</v>
      </c>
      <c r="AH29" s="76">
        <v>0</v>
      </c>
      <c r="AI29" s="76">
        <v>0</v>
      </c>
      <c r="AJ29" s="76">
        <v>0</v>
      </c>
      <c r="AK29" s="76">
        <v>0</v>
      </c>
      <c r="AL29" s="76">
        <v>0</v>
      </c>
    </row>
    <row r="30" spans="1:38">
      <c r="A30" s="45" t="s">
        <v>87</v>
      </c>
      <c r="B30" s="47">
        <f>SUM(B27:B29)</f>
        <v>100</v>
      </c>
      <c r="C30" s="84">
        <f>(C5/$B$5)*100</f>
        <v>40.174672489082965</v>
      </c>
      <c r="D30" s="72"/>
      <c r="E30" s="72"/>
      <c r="F30" s="72"/>
      <c r="G30" s="72"/>
      <c r="H30" s="72"/>
      <c r="I30" s="84">
        <f>(I5/$B$5)*100</f>
        <v>14.410480349344979</v>
      </c>
      <c r="J30" s="40"/>
      <c r="K30" s="40"/>
      <c r="L30" s="40"/>
      <c r="M30" s="40"/>
      <c r="N30" s="40"/>
      <c r="O30" s="84">
        <f>(O5/$B$5)*100</f>
        <v>8.9519650655021827</v>
      </c>
      <c r="P30" s="40"/>
      <c r="Q30" s="40"/>
      <c r="R30" s="40"/>
      <c r="S30" s="40"/>
      <c r="T30" s="40"/>
      <c r="U30" s="84">
        <f>(U5/$B$5)*100</f>
        <v>13.755458515283841</v>
      </c>
      <c r="V30" s="40"/>
      <c r="W30" s="40"/>
      <c r="X30" s="40"/>
      <c r="Y30" s="40"/>
      <c r="Z30" s="40"/>
      <c r="AA30" s="84">
        <f>(AA5/$B$5)*100</f>
        <v>3.2751091703056767</v>
      </c>
      <c r="AB30" s="40"/>
      <c r="AC30" s="40"/>
      <c r="AD30" s="40"/>
      <c r="AE30" s="40"/>
      <c r="AF30" s="40"/>
      <c r="AG30" s="84">
        <f>(AG5/$B$5)*100</f>
        <v>2.8384279475982535</v>
      </c>
      <c r="AH30" s="69"/>
      <c r="AI30" s="69"/>
      <c r="AJ30" s="69"/>
      <c r="AK30" s="69"/>
      <c r="AL30" s="69"/>
    </row>
    <row r="32" spans="1:38">
      <c r="B32" s="90" t="s">
        <v>664</v>
      </c>
      <c r="C32" s="91"/>
      <c r="D32" s="91"/>
      <c r="E32" s="91"/>
      <c r="F32" s="91"/>
      <c r="G32" s="91"/>
      <c r="H32" s="91"/>
      <c r="I32" s="91"/>
      <c r="J32" s="91"/>
      <c r="K32" s="91"/>
      <c r="L32" s="91"/>
      <c r="M32" s="91"/>
      <c r="N32" s="91"/>
      <c r="O32" s="91"/>
      <c r="P32" s="91"/>
      <c r="Q32" s="91"/>
      <c r="R32" s="91"/>
      <c r="S32" s="91"/>
      <c r="T32" s="91"/>
      <c r="U32" s="91"/>
      <c r="V32" s="91"/>
      <c r="W32" s="91"/>
      <c r="X32" s="91"/>
      <c r="Y32" s="92"/>
    </row>
    <row r="33" spans="1:38">
      <c r="B33" s="93"/>
      <c r="C33" s="94"/>
      <c r="D33" s="94"/>
      <c r="E33" s="94"/>
      <c r="F33" s="94"/>
      <c r="G33" s="94" t="s">
        <v>665</v>
      </c>
      <c r="H33" s="94"/>
      <c r="I33" s="94"/>
      <c r="J33" s="94"/>
      <c r="K33" s="94"/>
      <c r="L33" s="94"/>
      <c r="M33" s="94"/>
      <c r="N33" s="94"/>
      <c r="O33" s="94"/>
      <c r="P33" s="94"/>
      <c r="Q33" s="94" t="s">
        <v>671</v>
      </c>
      <c r="R33" s="94"/>
      <c r="S33" s="94"/>
      <c r="T33" s="94"/>
      <c r="U33" s="94"/>
      <c r="V33" s="94"/>
      <c r="W33" s="94"/>
      <c r="X33" s="94"/>
      <c r="Y33" s="95"/>
    </row>
    <row r="34" spans="1:38">
      <c r="B34" s="93"/>
      <c r="C34" s="94"/>
      <c r="D34" s="94"/>
      <c r="E34" s="94"/>
      <c r="F34" s="94"/>
      <c r="G34" s="94"/>
      <c r="H34" s="94"/>
      <c r="I34" s="94"/>
      <c r="J34" s="94"/>
      <c r="K34" s="94"/>
      <c r="L34" s="94" t="s">
        <v>666</v>
      </c>
      <c r="M34" s="94"/>
      <c r="N34" s="94"/>
      <c r="O34" s="94"/>
      <c r="P34" s="94"/>
      <c r="Q34" s="94"/>
      <c r="R34" s="94" t="s">
        <v>672</v>
      </c>
      <c r="S34" s="94"/>
      <c r="T34" s="94"/>
      <c r="U34" s="94"/>
      <c r="V34" s="94"/>
      <c r="W34" s="94"/>
      <c r="X34" s="94"/>
      <c r="Y34" s="95"/>
    </row>
    <row r="35" spans="1:38">
      <c r="B35" s="93"/>
      <c r="C35" s="94"/>
      <c r="D35" s="94"/>
      <c r="E35" s="94"/>
      <c r="F35" s="94"/>
      <c r="G35" s="94"/>
      <c r="H35" s="94"/>
      <c r="I35" s="94"/>
      <c r="J35" s="94"/>
      <c r="K35" s="94"/>
      <c r="L35" s="94" t="s">
        <v>667</v>
      </c>
      <c r="M35" s="94"/>
      <c r="N35" s="94"/>
      <c r="O35" s="94"/>
      <c r="P35" s="94"/>
      <c r="Q35" s="94"/>
      <c r="R35" s="94" t="s">
        <v>673</v>
      </c>
      <c r="S35" s="94"/>
      <c r="T35" s="94"/>
      <c r="U35" s="94"/>
      <c r="V35" s="94"/>
      <c r="W35" s="94"/>
      <c r="X35" s="94"/>
      <c r="Y35" s="95"/>
    </row>
    <row r="36" spans="1:38">
      <c r="B36" s="93"/>
      <c r="C36" s="94"/>
      <c r="D36" s="94"/>
      <c r="E36" s="94"/>
      <c r="F36" s="94"/>
      <c r="G36" s="94" t="s">
        <v>668</v>
      </c>
      <c r="H36" s="94"/>
      <c r="I36" s="94"/>
      <c r="J36" s="94"/>
      <c r="K36" s="94"/>
      <c r="L36" s="94"/>
      <c r="M36" s="94"/>
      <c r="N36" s="94"/>
      <c r="O36" s="94"/>
      <c r="P36" s="94"/>
      <c r="Q36" s="94"/>
      <c r="R36" s="94"/>
      <c r="S36" s="94"/>
      <c r="T36" s="94"/>
      <c r="U36" s="94"/>
      <c r="V36" s="94"/>
      <c r="W36" s="94"/>
      <c r="X36" s="94"/>
      <c r="Y36" s="95"/>
    </row>
    <row r="37" spans="1:38">
      <c r="B37" s="93"/>
      <c r="C37" s="94"/>
      <c r="D37" s="94"/>
      <c r="E37" s="94"/>
      <c r="F37" s="94"/>
      <c r="G37" s="94"/>
      <c r="H37" s="94"/>
      <c r="I37" s="94"/>
      <c r="J37" s="94"/>
      <c r="K37" s="94"/>
      <c r="L37" s="94" t="s">
        <v>669</v>
      </c>
      <c r="M37" s="94"/>
      <c r="N37" s="94"/>
      <c r="O37" s="94"/>
      <c r="P37" s="94"/>
      <c r="Q37" s="94" t="s">
        <v>674</v>
      </c>
      <c r="R37" s="94"/>
      <c r="S37" s="94"/>
      <c r="T37" s="94"/>
      <c r="U37" s="94"/>
      <c r="V37" s="94"/>
      <c r="W37" s="94"/>
      <c r="X37" s="94"/>
      <c r="Y37" s="95"/>
    </row>
    <row r="38" spans="1:38">
      <c r="B38" s="96"/>
      <c r="C38" s="97"/>
      <c r="D38" s="97"/>
      <c r="E38" s="97"/>
      <c r="F38" s="97"/>
      <c r="G38" s="97"/>
      <c r="H38" s="97"/>
      <c r="I38" s="97"/>
      <c r="J38" s="97"/>
      <c r="K38" s="97"/>
      <c r="L38" s="97" t="s">
        <v>670</v>
      </c>
      <c r="M38" s="97"/>
      <c r="N38" s="97"/>
      <c r="O38" s="97"/>
      <c r="P38" s="97"/>
      <c r="Q38" s="97"/>
      <c r="R38" s="97"/>
      <c r="S38" s="97"/>
      <c r="T38" s="97"/>
      <c r="U38" s="97"/>
      <c r="V38" s="97"/>
      <c r="W38" s="97"/>
      <c r="X38" s="97"/>
      <c r="Y38" s="98"/>
    </row>
    <row r="39" spans="1:38" ht="15" thickBot="1"/>
    <row r="40" spans="1:38" ht="34" thickTop="1" thickBot="1">
      <c r="A40" s="66"/>
      <c r="B40" s="67" t="s">
        <v>86</v>
      </c>
      <c r="C40" s="80" t="s">
        <v>597</v>
      </c>
      <c r="D40" s="68" t="s">
        <v>629</v>
      </c>
      <c r="E40" s="68" t="s">
        <v>630</v>
      </c>
      <c r="F40" s="68" t="s">
        <v>631</v>
      </c>
      <c r="G40" s="68" t="s">
        <v>632</v>
      </c>
      <c r="H40" s="68" t="s">
        <v>633</v>
      </c>
      <c r="I40" s="80" t="s">
        <v>599</v>
      </c>
      <c r="J40" s="68" t="s">
        <v>639</v>
      </c>
      <c r="K40" s="68" t="s">
        <v>640</v>
      </c>
      <c r="L40" s="68" t="s">
        <v>641</v>
      </c>
      <c r="M40" s="68" t="s">
        <v>642</v>
      </c>
      <c r="N40" s="68" t="s">
        <v>643</v>
      </c>
      <c r="O40" s="80" t="s">
        <v>600</v>
      </c>
      <c r="P40" s="68" t="s">
        <v>644</v>
      </c>
      <c r="Q40" s="68" t="s">
        <v>645</v>
      </c>
      <c r="R40" s="68" t="s">
        <v>646</v>
      </c>
      <c r="S40" s="68" t="s">
        <v>647</v>
      </c>
      <c r="T40" s="68" t="s">
        <v>648</v>
      </c>
      <c r="U40" s="80" t="s">
        <v>596</v>
      </c>
      <c r="V40" s="79" t="s">
        <v>624</v>
      </c>
      <c r="W40" s="79" t="s">
        <v>625</v>
      </c>
      <c r="X40" s="79" t="s">
        <v>626</v>
      </c>
      <c r="Y40" s="79" t="s">
        <v>627</v>
      </c>
      <c r="Z40" s="79" t="s">
        <v>628</v>
      </c>
      <c r="AA40" s="80" t="s">
        <v>602</v>
      </c>
      <c r="AB40" s="68" t="s">
        <v>654</v>
      </c>
      <c r="AC40" s="68" t="s">
        <v>655</v>
      </c>
      <c r="AD40" s="68" t="s">
        <v>656</v>
      </c>
      <c r="AE40" s="68" t="s">
        <v>657</v>
      </c>
      <c r="AF40" s="68" t="s">
        <v>658</v>
      </c>
      <c r="AG40" s="80" t="s">
        <v>603</v>
      </c>
      <c r="AH40" s="68" t="s">
        <v>659</v>
      </c>
      <c r="AI40" s="68" t="s">
        <v>660</v>
      </c>
      <c r="AJ40" s="68" t="s">
        <v>661</v>
      </c>
      <c r="AK40" s="68" t="s">
        <v>662</v>
      </c>
      <c r="AL40" s="86" t="s">
        <v>663</v>
      </c>
    </row>
    <row r="41" spans="1:38">
      <c r="A41" s="43" t="s">
        <v>76</v>
      </c>
      <c r="B41" s="70">
        <f>(B2/$B$5)*100</f>
        <v>7.4235807860262017</v>
      </c>
      <c r="C41" s="81">
        <f>(C16/$B16)*100</f>
        <v>0</v>
      </c>
      <c r="D41" s="73">
        <v>0</v>
      </c>
      <c r="E41" s="73">
        <v>0</v>
      </c>
      <c r="F41" s="73">
        <v>0</v>
      </c>
      <c r="G41" s="73">
        <v>0</v>
      </c>
      <c r="H41" s="73">
        <v>0</v>
      </c>
      <c r="I41" s="81">
        <f>(I16/$B16)*100</f>
        <v>0</v>
      </c>
      <c r="J41" s="73">
        <v>0</v>
      </c>
      <c r="K41" s="73">
        <v>0</v>
      </c>
      <c r="L41" s="73">
        <v>0</v>
      </c>
      <c r="M41" s="73">
        <v>0</v>
      </c>
      <c r="N41" s="73">
        <v>0</v>
      </c>
      <c r="O41" s="81">
        <f>(O16/$B16)*100</f>
        <v>0</v>
      </c>
      <c r="P41" s="73">
        <f>COUNTIFS(totales!$C$2:$C$831,"morfológico",totales!$D$2:$D$831,"temporal",totales!$H$2:$H$831,1,totales!$I$2:$I$831,1,totales!$J$2:$J$831,1)</f>
        <v>0</v>
      </c>
      <c r="Q41" s="73">
        <f>COUNTIFS(totales!$C$2:$C$831,"morfológico",totales!$D$2:$D$831,"temporal",totales!$H$2:$H$831,1,totales!$I$2:$I$831,1,totales!$J$2:$J$831,1)</f>
        <v>0</v>
      </c>
      <c r="R41" s="73">
        <f>COUNTIFS(totales!$C$2:$C$831,"morfológico",totales!$D$2:$D$831,"temporal",totales!$H$2:$H$831,1,totales!$I$2:$I$831,1,totales!$J$2:$J$831,1)</f>
        <v>0</v>
      </c>
      <c r="S41" s="73">
        <f>COUNTIFS(totales!$C$2:$C$831,"morfológico",totales!$D$2:$D$831,"temporal",totales!$H$2:$H$831,1,totales!$I$2:$I$831,1,totales!$J$2:$J$831,1)</f>
        <v>0</v>
      </c>
      <c r="T41" s="74">
        <f>COUNTIFS(totales!$C$2:$C$831,"morfológico",totales!$D$2:$D$831,"temporal",totales!$H$2:$H$831,1,totales!$I$2:$I$831,1,totales!$J$2:$J$831,1)</f>
        <v>0</v>
      </c>
      <c r="U41" s="81">
        <f>(U16/$B2)*100</f>
        <v>11.76470588235294</v>
      </c>
      <c r="V41" s="73">
        <f t="shared" ref="V41:Z43" si="8">(V16/$U16)*100</f>
        <v>75</v>
      </c>
      <c r="W41" s="73">
        <f t="shared" si="8"/>
        <v>0</v>
      </c>
      <c r="X41" s="73">
        <f t="shared" si="8"/>
        <v>25</v>
      </c>
      <c r="Y41" s="73">
        <f t="shared" si="8"/>
        <v>0</v>
      </c>
      <c r="Z41" s="73">
        <f t="shared" si="8"/>
        <v>0</v>
      </c>
      <c r="AA41" s="81">
        <f>(AA16/$B16)*100</f>
        <v>5.8823529411764701</v>
      </c>
      <c r="AB41" s="73">
        <f t="shared" ref="AB41:AF42" si="9">(AB16/$AA16)*100</f>
        <v>100</v>
      </c>
      <c r="AC41" s="73">
        <f t="shared" si="9"/>
        <v>0</v>
      </c>
      <c r="AD41" s="73">
        <f t="shared" si="9"/>
        <v>0</v>
      </c>
      <c r="AE41" s="73">
        <f t="shared" si="9"/>
        <v>0</v>
      </c>
      <c r="AF41" s="73">
        <f t="shared" si="9"/>
        <v>0</v>
      </c>
      <c r="AG41" s="81">
        <f>(AG16/$B16)*100</f>
        <v>0</v>
      </c>
      <c r="AH41" s="73">
        <v>0</v>
      </c>
      <c r="AI41" s="73">
        <v>0</v>
      </c>
      <c r="AJ41" s="73">
        <v>0</v>
      </c>
      <c r="AK41" s="73">
        <v>0</v>
      </c>
      <c r="AL41" s="73">
        <v>0</v>
      </c>
    </row>
    <row r="42" spans="1:38">
      <c r="A42" s="43" t="s">
        <v>77</v>
      </c>
      <c r="B42" s="70">
        <f t="shared" ref="B42:B43" si="10">(B3/$B$5)*100</f>
        <v>72.489082969432317</v>
      </c>
      <c r="C42" s="82">
        <f>(C17/$B17)*100</f>
        <v>3.3132530120481931</v>
      </c>
      <c r="D42" s="13">
        <f t="shared" ref="D42:H43" si="11">(D17/$C17)*100</f>
        <v>0</v>
      </c>
      <c r="E42" s="13">
        <f t="shared" si="11"/>
        <v>18.181818181818183</v>
      </c>
      <c r="F42" s="13">
        <f t="shared" si="11"/>
        <v>63.636363636363633</v>
      </c>
      <c r="G42" s="13">
        <f t="shared" si="11"/>
        <v>9.0909090909090917</v>
      </c>
      <c r="H42" s="13">
        <f t="shared" si="11"/>
        <v>9.0909090909090917</v>
      </c>
      <c r="I42" s="82">
        <f>(I17/$B17)*100</f>
        <v>0.60240963855421692</v>
      </c>
      <c r="J42" s="13">
        <f>(J17/$I17)*100</f>
        <v>0</v>
      </c>
      <c r="K42" s="13">
        <f>(K17/$I17)*100</f>
        <v>50</v>
      </c>
      <c r="L42" s="13">
        <f>(L17/$I17)*100</f>
        <v>50</v>
      </c>
      <c r="M42" s="13">
        <f>(M17/$I17)*100</f>
        <v>0</v>
      </c>
      <c r="N42" s="13">
        <f>(N17/$I17)*100</f>
        <v>0</v>
      </c>
      <c r="O42" s="82">
        <f>(O17/$B17)*100</f>
        <v>0</v>
      </c>
      <c r="P42" s="13">
        <f>COUNTIFS(totales!$C$2:$C$831,"analítico",totales!$D$2:$D$831,"temporal",totales!$H$2:$H$831,1,totales!$I$2:$I$831,1,totales!$J$2:$J$831,1)</f>
        <v>0</v>
      </c>
      <c r="Q42" s="13">
        <f>COUNTIFS(totales!$C$2:$C$831,"analítico",totales!$D$2:$D$831,"temporal",totales!$H$2:$H$831,1,totales!$I$2:$I$831,1,totales!$J$2:$J$831,1)</f>
        <v>0</v>
      </c>
      <c r="R42" s="13">
        <f>COUNTIFS(totales!$C$2:$C$831,"analítico",totales!$D$2:$D$831,"temporal",totales!$H$2:$H$831,1,totales!$I$2:$I$831,1,totales!$J$2:$J$831,1)</f>
        <v>0</v>
      </c>
      <c r="S42" s="13">
        <f>COUNTIFS(totales!$C$2:$C$831,"analítico",totales!$D$2:$D$831,"temporal",totales!$H$2:$H$831,1,totales!$I$2:$I$831,1,totales!$J$2:$J$831,1)</f>
        <v>0</v>
      </c>
      <c r="T42" s="75">
        <f>COUNTIFS(totales!$C$2:$C$831,"analítico",totales!$D$2:$D$831,"temporal",totales!$H$2:$H$831,1,totales!$I$2:$I$831,1,totales!$J$2:$J$831,1)</f>
        <v>0</v>
      </c>
      <c r="U42" s="82">
        <f>(U17/$B3)*100</f>
        <v>9.6385542168674707</v>
      </c>
      <c r="V42" s="13">
        <f t="shared" si="8"/>
        <v>34.375</v>
      </c>
      <c r="W42" s="13">
        <f t="shared" si="8"/>
        <v>18.75</v>
      </c>
      <c r="X42" s="13">
        <f t="shared" si="8"/>
        <v>34.375</v>
      </c>
      <c r="Y42" s="13">
        <f t="shared" si="8"/>
        <v>3.125</v>
      </c>
      <c r="Z42" s="13">
        <f t="shared" si="8"/>
        <v>9.375</v>
      </c>
      <c r="AA42" s="82">
        <f>(AA17/$B17)*100</f>
        <v>1.2048192771084338</v>
      </c>
      <c r="AB42" s="13">
        <f t="shared" si="9"/>
        <v>0</v>
      </c>
      <c r="AC42" s="13">
        <f t="shared" si="9"/>
        <v>50</v>
      </c>
      <c r="AD42" s="13">
        <f t="shared" si="9"/>
        <v>50</v>
      </c>
      <c r="AE42" s="13">
        <f t="shared" si="9"/>
        <v>0</v>
      </c>
      <c r="AF42" s="13">
        <f t="shared" si="9"/>
        <v>0</v>
      </c>
      <c r="AG42" s="82">
        <f>(AG17/$B17)*100</f>
        <v>0.30120481927710846</v>
      </c>
      <c r="AH42" s="13">
        <f t="shared" ref="AH42:AL43" si="12">(AH17/$AG17)*100</f>
        <v>0</v>
      </c>
      <c r="AI42" s="13">
        <f t="shared" si="12"/>
        <v>0</v>
      </c>
      <c r="AJ42" s="13">
        <f t="shared" si="12"/>
        <v>0</v>
      </c>
      <c r="AK42" s="13">
        <f t="shared" si="12"/>
        <v>100</v>
      </c>
      <c r="AL42" s="13">
        <f t="shared" si="12"/>
        <v>0</v>
      </c>
    </row>
    <row r="43" spans="1:38" ht="15" thickBot="1">
      <c r="A43" s="43" t="s">
        <v>78</v>
      </c>
      <c r="B43" s="70">
        <f t="shared" si="10"/>
        <v>20.087336244541483</v>
      </c>
      <c r="C43" s="83">
        <f>(C18/$B18)*100</f>
        <v>2.1739130434782608</v>
      </c>
      <c r="D43" s="76">
        <f t="shared" si="11"/>
        <v>0</v>
      </c>
      <c r="E43" s="76">
        <f t="shared" si="11"/>
        <v>0</v>
      </c>
      <c r="F43" s="76">
        <f t="shared" si="11"/>
        <v>50</v>
      </c>
      <c r="G43" s="76">
        <f t="shared" si="11"/>
        <v>0</v>
      </c>
      <c r="H43" s="76">
        <f t="shared" si="11"/>
        <v>50</v>
      </c>
      <c r="I43" s="83">
        <f>(I18/$B18)*100</f>
        <v>0</v>
      </c>
      <c r="J43" s="76">
        <v>0</v>
      </c>
      <c r="K43" s="76">
        <v>0</v>
      </c>
      <c r="L43" s="76">
        <v>0</v>
      </c>
      <c r="M43" s="76">
        <v>0</v>
      </c>
      <c r="N43" s="76">
        <v>0</v>
      </c>
      <c r="O43" s="83">
        <f>(O18/$B18)*100</f>
        <v>0</v>
      </c>
      <c r="P43" s="76">
        <f>COUNTIFS(totales!$C$2:$C$831,"presente",totales!$D$2:$D$831,"temporal",totales!$H$2:$H$831,1,totales!$I$2:$I$831,1,totales!$J$2:$J$831,1)</f>
        <v>0</v>
      </c>
      <c r="Q43" s="76">
        <f>COUNTIFS(totales!$C$2:$C$831,"presente",totales!$D$2:$D$831,"temporal",totales!$H$2:$H$831,1,totales!$I$2:$I$831,1,totales!$J$2:$J$831,1)</f>
        <v>0</v>
      </c>
      <c r="R43" s="76">
        <f>COUNTIFS(totales!$C$2:$C$831,"presente",totales!$D$2:$D$831,"temporal",totales!$H$2:$H$831,1,totales!$I$2:$I$831,1,totales!$J$2:$J$831,1)</f>
        <v>0</v>
      </c>
      <c r="S43" s="76">
        <f>COUNTIFS(totales!$C$2:$C$831,"presente",totales!$D$2:$D$831,"temporal",totales!$H$2:$H$831,1,totales!$I$2:$I$831,1,totales!$J$2:$J$831,1)</f>
        <v>0</v>
      </c>
      <c r="T43" s="77">
        <f>COUNTIFS(totales!$C$2:$C$831,"presente",totales!$D$2:$D$831,"temporal",totales!$H$2:$H$831,1,totales!$I$2:$I$831,1,totales!$J$2:$J$831,1)</f>
        <v>0</v>
      </c>
      <c r="U43" s="83">
        <f>(U18/$B4)*100</f>
        <v>18.478260869565215</v>
      </c>
      <c r="V43" s="76">
        <f t="shared" si="8"/>
        <v>41.17647058823529</v>
      </c>
      <c r="W43" s="76">
        <f t="shared" si="8"/>
        <v>11.76470588235294</v>
      </c>
      <c r="X43" s="76">
        <f t="shared" si="8"/>
        <v>41.17647058823529</v>
      </c>
      <c r="Y43" s="76">
        <f t="shared" si="8"/>
        <v>0</v>
      </c>
      <c r="Z43" s="76">
        <f t="shared" si="8"/>
        <v>5.8823529411764701</v>
      </c>
      <c r="AA43" s="83">
        <f>(AA18/$B18)*100</f>
        <v>0</v>
      </c>
      <c r="AB43" s="76">
        <v>0</v>
      </c>
      <c r="AC43" s="76">
        <v>0</v>
      </c>
      <c r="AD43" s="76">
        <v>0</v>
      </c>
      <c r="AE43" s="76">
        <v>0</v>
      </c>
      <c r="AF43" s="76">
        <v>0</v>
      </c>
      <c r="AG43" s="83">
        <f>(AG18/$B18)*100</f>
        <v>1.0869565217391304</v>
      </c>
      <c r="AH43" s="76">
        <f t="shared" si="12"/>
        <v>0</v>
      </c>
      <c r="AI43" s="76">
        <f t="shared" si="12"/>
        <v>0</v>
      </c>
      <c r="AJ43" s="76">
        <f t="shared" si="12"/>
        <v>0</v>
      </c>
      <c r="AK43" s="76">
        <f t="shared" si="12"/>
        <v>100</v>
      </c>
      <c r="AL43" s="76">
        <f t="shared" si="12"/>
        <v>0</v>
      </c>
    </row>
    <row r="44" spans="1:38">
      <c r="A44" s="45" t="s">
        <v>87</v>
      </c>
      <c r="B44" s="47">
        <f>SUM(B41:B43)</f>
        <v>100</v>
      </c>
      <c r="C44" s="84">
        <f>(C19/$B$5)*100</f>
        <v>2.8384279475982535</v>
      </c>
      <c r="D44" s="40"/>
      <c r="E44" s="40"/>
      <c r="F44" s="40"/>
      <c r="G44" s="40"/>
      <c r="H44" s="40"/>
      <c r="I44" s="84">
        <f>(I19/$B$5)*100</f>
        <v>0.43668122270742354</v>
      </c>
      <c r="J44" s="40"/>
      <c r="K44" s="40"/>
      <c r="L44" s="40"/>
      <c r="M44" s="40"/>
      <c r="N44" s="40"/>
      <c r="O44" s="84">
        <f>(O19/$B$5)*100</f>
        <v>0</v>
      </c>
      <c r="P44" s="40"/>
      <c r="Q44" s="40"/>
      <c r="R44" s="40"/>
      <c r="S44" s="40"/>
      <c r="T44" s="40"/>
      <c r="U44" s="84">
        <f>(U19/$B$5)*100</f>
        <v>11.572052401746726</v>
      </c>
      <c r="V44" s="40"/>
      <c r="W44" s="40"/>
      <c r="X44" s="40"/>
      <c r="Y44" s="40"/>
      <c r="Z44" s="40"/>
      <c r="AA44" s="84">
        <f>(AA19/$B$5)*100</f>
        <v>1.3100436681222707</v>
      </c>
      <c r="AB44" s="40"/>
      <c r="AC44" s="40"/>
      <c r="AD44" s="40"/>
      <c r="AE44" s="40"/>
      <c r="AF44" s="40"/>
      <c r="AG44" s="84">
        <f>(AG19/$B$5)*100</f>
        <v>0.43668122270742354</v>
      </c>
      <c r="AH44" s="40"/>
      <c r="AI44" s="40"/>
      <c r="AJ44" s="40"/>
      <c r="AK44" s="40"/>
      <c r="AL44" s="85"/>
    </row>
    <row r="46" spans="1:38">
      <c r="A46" s="87"/>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9"/>
    </row>
    <row r="47" spans="1:38" ht="15" thickBot="1"/>
    <row r="48" spans="1:38" ht="34" thickTop="1" thickBot="1">
      <c r="A48" s="66"/>
      <c r="B48" s="67" t="s">
        <v>86</v>
      </c>
      <c r="C48" s="80" t="s">
        <v>592</v>
      </c>
      <c r="D48" s="71" t="s">
        <v>604</v>
      </c>
      <c r="E48" s="71" t="s">
        <v>605</v>
      </c>
      <c r="F48" s="71" t="s">
        <v>606</v>
      </c>
      <c r="G48" s="71" t="s">
        <v>607</v>
      </c>
      <c r="H48" s="71" t="s">
        <v>608</v>
      </c>
      <c r="I48" s="80" t="s">
        <v>593</v>
      </c>
      <c r="J48" s="78" t="s">
        <v>609</v>
      </c>
      <c r="K48" s="78" t="s">
        <v>610</v>
      </c>
      <c r="L48" s="78" t="s">
        <v>611</v>
      </c>
      <c r="M48" s="78" t="s">
        <v>612</v>
      </c>
      <c r="N48" s="78" t="s">
        <v>613</v>
      </c>
      <c r="O48" s="80" t="s">
        <v>594</v>
      </c>
      <c r="P48" s="78" t="s">
        <v>614</v>
      </c>
      <c r="Q48" s="78" t="s">
        <v>615</v>
      </c>
      <c r="R48" s="78" t="s">
        <v>621</v>
      </c>
      <c r="S48" s="78" t="s">
        <v>622</v>
      </c>
      <c r="T48" s="78" t="s">
        <v>623</v>
      </c>
      <c r="U48" s="80" t="s">
        <v>595</v>
      </c>
      <c r="V48" s="78" t="s">
        <v>616</v>
      </c>
      <c r="W48" s="78" t="s">
        <v>617</v>
      </c>
      <c r="X48" s="78" t="s">
        <v>618</v>
      </c>
      <c r="Y48" s="78" t="s">
        <v>619</v>
      </c>
      <c r="Z48" s="78" t="s">
        <v>620</v>
      </c>
      <c r="AA48" s="80" t="s">
        <v>601</v>
      </c>
      <c r="AB48" s="68" t="s">
        <v>649</v>
      </c>
      <c r="AC48" s="68" t="s">
        <v>650</v>
      </c>
      <c r="AD48" s="68" t="s">
        <v>651</v>
      </c>
      <c r="AE48" s="68" t="s">
        <v>652</v>
      </c>
      <c r="AF48" s="68" t="s">
        <v>653</v>
      </c>
      <c r="AG48" s="80" t="s">
        <v>598</v>
      </c>
      <c r="AH48" s="68" t="s">
        <v>634</v>
      </c>
      <c r="AI48" s="68" t="s">
        <v>635</v>
      </c>
      <c r="AJ48" s="68" t="s">
        <v>636</v>
      </c>
      <c r="AK48" s="68" t="s">
        <v>637</v>
      </c>
      <c r="AL48" s="68" t="s">
        <v>638</v>
      </c>
    </row>
    <row r="49" spans="1:38">
      <c r="A49" s="43" t="s">
        <v>76</v>
      </c>
      <c r="B49" s="70">
        <f>(B37/$B$19)*100</f>
        <v>0</v>
      </c>
      <c r="C49" s="81"/>
      <c r="D49" s="73">
        <f>D2/$C$5</f>
        <v>0</v>
      </c>
      <c r="E49" s="73">
        <f t="shared" ref="E49:H49" si="13">E2/$C$5</f>
        <v>0</v>
      </c>
      <c r="F49" s="73">
        <f t="shared" si="13"/>
        <v>2.1739130434782608E-2</v>
      </c>
      <c r="G49" s="73">
        <f t="shared" si="13"/>
        <v>0</v>
      </c>
      <c r="H49" s="73">
        <f t="shared" si="13"/>
        <v>0</v>
      </c>
      <c r="I49" s="81"/>
      <c r="J49" s="73">
        <f t="shared" ref="J49:N51" si="14">J2/$I$5</f>
        <v>7.575757575757576E-2</v>
      </c>
      <c r="K49" s="73">
        <f t="shared" si="14"/>
        <v>0</v>
      </c>
      <c r="L49" s="73">
        <f t="shared" si="14"/>
        <v>6.0606060606060608E-2</v>
      </c>
      <c r="M49" s="73">
        <f t="shared" si="14"/>
        <v>1.5151515151515152E-2</v>
      </c>
      <c r="N49" s="73">
        <f t="shared" si="14"/>
        <v>1.5151515151515152E-2</v>
      </c>
      <c r="O49" s="81"/>
      <c r="P49" s="73">
        <f t="shared" ref="P49:T51" si="15">P2/$O$5</f>
        <v>0</v>
      </c>
      <c r="Q49" s="73">
        <f t="shared" si="15"/>
        <v>0</v>
      </c>
      <c r="R49" s="73">
        <f t="shared" si="15"/>
        <v>0</v>
      </c>
      <c r="S49" s="73">
        <f t="shared" si="15"/>
        <v>0</v>
      </c>
      <c r="T49" s="73">
        <f t="shared" si="15"/>
        <v>0</v>
      </c>
      <c r="U49" s="81"/>
      <c r="V49" s="73">
        <f t="shared" ref="V49:Z51" si="16">V2/$U$5</f>
        <v>4.7619047619047616E-2</v>
      </c>
      <c r="W49" s="73">
        <f t="shared" si="16"/>
        <v>0</v>
      </c>
      <c r="X49" s="73">
        <f t="shared" si="16"/>
        <v>4.7619047619047616E-2</v>
      </c>
      <c r="Y49" s="73">
        <f t="shared" si="16"/>
        <v>1.5873015873015872E-2</v>
      </c>
      <c r="Z49" s="73">
        <f t="shared" si="16"/>
        <v>0</v>
      </c>
      <c r="AA49" s="81"/>
      <c r="AB49" s="73">
        <f t="shared" ref="AB49:AF51" si="17">AB2/$AA$5</f>
        <v>0</v>
      </c>
      <c r="AC49" s="73">
        <f t="shared" si="17"/>
        <v>0</v>
      </c>
      <c r="AD49" s="73">
        <f t="shared" si="17"/>
        <v>0</v>
      </c>
      <c r="AE49" s="73">
        <f t="shared" si="17"/>
        <v>0</v>
      </c>
      <c r="AF49" s="73">
        <f t="shared" si="17"/>
        <v>0</v>
      </c>
      <c r="AG49" s="81"/>
      <c r="AH49" s="73">
        <f t="shared" ref="AH49:AL51" si="18">AH2/$AG$5</f>
        <v>7.6923076923076927E-2</v>
      </c>
      <c r="AI49" s="73">
        <f t="shared" si="18"/>
        <v>0</v>
      </c>
      <c r="AJ49" s="73">
        <f t="shared" si="18"/>
        <v>0.38461538461538464</v>
      </c>
      <c r="AK49" s="73">
        <f t="shared" si="18"/>
        <v>0</v>
      </c>
      <c r="AL49" s="73">
        <f t="shared" si="18"/>
        <v>0</v>
      </c>
    </row>
    <row r="50" spans="1:38">
      <c r="A50" s="43" t="s">
        <v>77</v>
      </c>
      <c r="B50" s="70">
        <f t="shared" ref="B50:B51" si="19">(B38/$B$19)*100</f>
        <v>0</v>
      </c>
      <c r="C50" s="82"/>
      <c r="D50" s="101">
        <f t="shared" ref="D50:H51" si="20">D3/$C$5</f>
        <v>0.25</v>
      </c>
      <c r="E50" s="13">
        <f t="shared" si="20"/>
        <v>0.125</v>
      </c>
      <c r="F50" s="101">
        <f t="shared" si="20"/>
        <v>0.28804347826086957</v>
      </c>
      <c r="G50" s="13">
        <f t="shared" si="20"/>
        <v>9.2391304347826081E-2</v>
      </c>
      <c r="H50" s="13">
        <f t="shared" si="20"/>
        <v>9.7826086956521743E-2</v>
      </c>
      <c r="I50" s="82"/>
      <c r="J50" s="13">
        <f t="shared" si="14"/>
        <v>3.0303030303030304E-2</v>
      </c>
      <c r="K50" s="13">
        <f t="shared" si="14"/>
        <v>7.575757575757576E-2</v>
      </c>
      <c r="L50" s="13">
        <f t="shared" si="14"/>
        <v>0.22727272727272727</v>
      </c>
      <c r="M50" s="13">
        <f t="shared" si="14"/>
        <v>3.0303030303030304E-2</v>
      </c>
      <c r="N50" s="13">
        <f t="shared" si="14"/>
        <v>0.13636363636363635</v>
      </c>
      <c r="O50" s="82"/>
      <c r="P50" s="13">
        <f t="shared" si="15"/>
        <v>0.34146341463414637</v>
      </c>
      <c r="Q50" s="13">
        <f t="shared" si="15"/>
        <v>0</v>
      </c>
      <c r="R50" s="13">
        <f t="shared" si="15"/>
        <v>0.12195121951219512</v>
      </c>
      <c r="S50" s="13">
        <f t="shared" si="15"/>
        <v>0.12195121951219512</v>
      </c>
      <c r="T50" s="13">
        <f t="shared" si="15"/>
        <v>0.14634146341463414</v>
      </c>
      <c r="U50" s="82"/>
      <c r="V50" s="13">
        <f t="shared" si="16"/>
        <v>0.1111111111111111</v>
      </c>
      <c r="W50" s="13">
        <f t="shared" si="16"/>
        <v>7.9365079365079361E-2</v>
      </c>
      <c r="X50" s="13">
        <f t="shared" si="16"/>
        <v>0.38095238095238093</v>
      </c>
      <c r="Y50" s="13">
        <f t="shared" si="16"/>
        <v>4.7619047619047616E-2</v>
      </c>
      <c r="Z50" s="13">
        <f t="shared" si="16"/>
        <v>0.1111111111111111</v>
      </c>
      <c r="AA50" s="82"/>
      <c r="AB50" s="13">
        <f t="shared" si="17"/>
        <v>0.2</v>
      </c>
      <c r="AC50" s="13">
        <f t="shared" si="17"/>
        <v>0</v>
      </c>
      <c r="AD50" s="13">
        <f t="shared" si="17"/>
        <v>0.33333333333333331</v>
      </c>
      <c r="AE50" s="13">
        <f t="shared" si="17"/>
        <v>6.6666666666666666E-2</v>
      </c>
      <c r="AF50" s="13">
        <f t="shared" si="17"/>
        <v>0</v>
      </c>
      <c r="AG50" s="82"/>
      <c r="AH50" s="13">
        <f t="shared" si="18"/>
        <v>7.6923076923076927E-2</v>
      </c>
      <c r="AI50" s="13">
        <f t="shared" si="18"/>
        <v>7.6923076923076927E-2</v>
      </c>
      <c r="AJ50" s="13">
        <f t="shared" si="18"/>
        <v>0.30769230769230771</v>
      </c>
      <c r="AK50" s="13">
        <f t="shared" si="18"/>
        <v>0</v>
      </c>
      <c r="AL50" s="13">
        <f t="shared" si="18"/>
        <v>7.6923076923076927E-2</v>
      </c>
    </row>
    <row r="51" spans="1:38" ht="15" thickBot="1">
      <c r="A51" s="43" t="s">
        <v>78</v>
      </c>
      <c r="B51" s="70">
        <f t="shared" si="19"/>
        <v>0</v>
      </c>
      <c r="C51" s="83"/>
      <c r="D51" s="76">
        <f t="shared" si="20"/>
        <v>2.1739130434782608E-2</v>
      </c>
      <c r="E51" s="76">
        <f t="shared" si="20"/>
        <v>2.1739130434782608E-2</v>
      </c>
      <c r="F51" s="76">
        <f t="shared" si="20"/>
        <v>7.0652173913043473E-2</v>
      </c>
      <c r="G51" s="76">
        <f t="shared" si="20"/>
        <v>5.434782608695652E-3</v>
      </c>
      <c r="H51" s="76">
        <f t="shared" si="20"/>
        <v>5.434782608695652E-3</v>
      </c>
      <c r="I51" s="83"/>
      <c r="J51" s="76">
        <f t="shared" si="14"/>
        <v>4.5454545454545456E-2</v>
      </c>
      <c r="K51" s="76">
        <f t="shared" si="14"/>
        <v>6.0606060606060608E-2</v>
      </c>
      <c r="L51" s="76">
        <f t="shared" si="14"/>
        <v>0.15151515151515152</v>
      </c>
      <c r="M51" s="76">
        <f t="shared" si="14"/>
        <v>7.575757575757576E-2</v>
      </c>
      <c r="N51" s="76">
        <f t="shared" si="14"/>
        <v>0</v>
      </c>
      <c r="O51" s="83"/>
      <c r="P51" s="76">
        <f t="shared" si="15"/>
        <v>0</v>
      </c>
      <c r="Q51" s="76">
        <f t="shared" si="15"/>
        <v>7.3170731707317069E-2</v>
      </c>
      <c r="R51" s="76">
        <f t="shared" si="15"/>
        <v>0.14634146341463414</v>
      </c>
      <c r="S51" s="76">
        <f t="shared" si="15"/>
        <v>2.4390243902439025E-2</v>
      </c>
      <c r="T51" s="76">
        <f t="shared" si="15"/>
        <v>2.4390243902439025E-2</v>
      </c>
      <c r="U51" s="83"/>
      <c r="V51" s="76">
        <f t="shared" si="16"/>
        <v>6.3492063492063489E-2</v>
      </c>
      <c r="W51" s="76">
        <f t="shared" si="16"/>
        <v>3.1746031746031744E-2</v>
      </c>
      <c r="X51" s="76">
        <f t="shared" si="16"/>
        <v>4.7619047619047616E-2</v>
      </c>
      <c r="Y51" s="76">
        <f t="shared" si="16"/>
        <v>0</v>
      </c>
      <c r="Z51" s="76">
        <f t="shared" si="16"/>
        <v>1.5873015873015872E-2</v>
      </c>
      <c r="AA51" s="83"/>
      <c r="AB51" s="76">
        <f t="shared" si="17"/>
        <v>0</v>
      </c>
      <c r="AC51" s="76">
        <f t="shared" si="17"/>
        <v>0</v>
      </c>
      <c r="AD51" s="76">
        <f t="shared" si="17"/>
        <v>0.2</v>
      </c>
      <c r="AE51" s="76">
        <f t="shared" si="17"/>
        <v>0.2</v>
      </c>
      <c r="AF51" s="76">
        <f t="shared" si="17"/>
        <v>0</v>
      </c>
      <c r="AG51" s="83"/>
      <c r="AH51" s="76">
        <f t="shared" si="18"/>
        <v>0</v>
      </c>
      <c r="AI51" s="76">
        <f t="shared" si="18"/>
        <v>0</v>
      </c>
      <c r="AJ51" s="76">
        <f t="shared" si="18"/>
        <v>0</v>
      </c>
      <c r="AK51" s="76">
        <f t="shared" si="18"/>
        <v>0</v>
      </c>
      <c r="AL51" s="76">
        <f t="shared" si="18"/>
        <v>0</v>
      </c>
    </row>
    <row r="52" spans="1:38">
      <c r="A52" s="45" t="s">
        <v>87</v>
      </c>
      <c r="B52" s="47">
        <f>SUM(B49:B51)</f>
        <v>0</v>
      </c>
      <c r="C52" s="84"/>
      <c r="D52" s="72"/>
      <c r="E52" s="72"/>
      <c r="F52" s="72"/>
      <c r="G52" s="72"/>
      <c r="H52" s="72"/>
      <c r="I52" s="84"/>
      <c r="J52" s="40"/>
      <c r="K52" s="40"/>
      <c r="L52" s="40"/>
      <c r="M52" s="40"/>
      <c r="N52" s="40"/>
      <c r="O52" s="84"/>
      <c r="P52" s="40"/>
      <c r="Q52" s="40"/>
      <c r="R52" s="40"/>
      <c r="S52" s="40"/>
      <c r="T52" s="40"/>
      <c r="U52" s="84"/>
      <c r="V52" s="40"/>
      <c r="W52" s="40"/>
      <c r="X52" s="40"/>
      <c r="Y52" s="40"/>
      <c r="Z52" s="40"/>
      <c r="AA52" s="84"/>
      <c r="AB52" s="40"/>
      <c r="AC52" s="40"/>
      <c r="AD52" s="40"/>
      <c r="AE52" s="40"/>
      <c r="AF52" s="40"/>
      <c r="AG52" s="84"/>
      <c r="AH52" s="69"/>
      <c r="AI52" s="69"/>
      <c r="AJ52" s="69"/>
      <c r="AK52" s="69"/>
      <c r="AL52" s="69"/>
    </row>
    <row r="54" spans="1:38">
      <c r="B54" s="90" t="s">
        <v>664</v>
      </c>
      <c r="C54" s="91"/>
      <c r="D54" s="91"/>
      <c r="E54" s="91"/>
      <c r="F54" s="91"/>
      <c r="G54" s="91"/>
      <c r="H54" s="91"/>
      <c r="I54" s="91"/>
      <c r="J54" s="91"/>
      <c r="K54" s="91"/>
      <c r="L54" s="91"/>
      <c r="M54" s="91"/>
      <c r="N54" s="91"/>
      <c r="O54" s="91"/>
      <c r="P54" s="91"/>
      <c r="Q54" s="91"/>
      <c r="R54" s="91"/>
      <c r="S54" s="91"/>
      <c r="T54" s="91"/>
      <c r="U54" s="91"/>
      <c r="V54" s="91"/>
      <c r="W54" s="91"/>
      <c r="X54" s="91"/>
      <c r="Y54" s="92"/>
    </row>
    <row r="55" spans="1:38">
      <c r="B55" s="93"/>
      <c r="C55" s="94"/>
      <c r="D55" s="94"/>
      <c r="E55" s="94"/>
      <c r="F55" s="94"/>
      <c r="G55" s="94" t="s">
        <v>665</v>
      </c>
      <c r="H55" s="94"/>
      <c r="I55" s="94"/>
      <c r="J55" s="94"/>
      <c r="K55" s="94"/>
      <c r="L55" s="94"/>
      <c r="M55" s="94"/>
      <c r="N55" s="94"/>
      <c r="O55" s="94"/>
      <c r="P55" s="94"/>
      <c r="Q55" s="94" t="s">
        <v>671</v>
      </c>
      <c r="R55" s="94"/>
      <c r="S55" s="94"/>
      <c r="T55" s="94"/>
      <c r="U55" s="94"/>
      <c r="V55" s="94"/>
      <c r="W55" s="94"/>
      <c r="X55" s="94"/>
      <c r="Y55" s="95"/>
    </row>
    <row r="56" spans="1:38">
      <c r="B56" s="93"/>
      <c r="C56" s="94"/>
      <c r="D56" s="94"/>
      <c r="E56" s="94"/>
      <c r="F56" s="94"/>
      <c r="G56" s="94"/>
      <c r="H56" s="94"/>
      <c r="I56" s="94"/>
      <c r="J56" s="94"/>
      <c r="K56" s="94"/>
      <c r="L56" s="94" t="s">
        <v>666</v>
      </c>
      <c r="M56" s="94"/>
      <c r="N56" s="94"/>
      <c r="O56" s="94"/>
      <c r="P56" s="94"/>
      <c r="Q56" s="94"/>
      <c r="R56" s="94" t="s">
        <v>672</v>
      </c>
      <c r="S56" s="94"/>
      <c r="T56" s="94"/>
      <c r="U56" s="94"/>
      <c r="V56" s="94"/>
      <c r="W56" s="94"/>
      <c r="X56" s="94"/>
      <c r="Y56" s="95"/>
    </row>
    <row r="57" spans="1:38">
      <c r="B57" s="93"/>
      <c r="C57" s="94"/>
      <c r="D57" s="94"/>
      <c r="E57" s="94"/>
      <c r="F57" s="94"/>
      <c r="G57" s="94"/>
      <c r="H57" s="94"/>
      <c r="I57" s="94"/>
      <c r="J57" s="94"/>
      <c r="K57" s="94"/>
      <c r="L57" s="94" t="s">
        <v>667</v>
      </c>
      <c r="M57" s="94"/>
      <c r="N57" s="94"/>
      <c r="O57" s="94"/>
      <c r="P57" s="94"/>
      <c r="Q57" s="94"/>
      <c r="R57" s="94" t="s">
        <v>673</v>
      </c>
      <c r="S57" s="94"/>
      <c r="T57" s="94"/>
      <c r="U57" s="94"/>
      <c r="V57" s="94"/>
      <c r="W57" s="94"/>
      <c r="X57" s="94"/>
      <c r="Y57" s="95"/>
    </row>
    <row r="58" spans="1:38">
      <c r="B58" s="93"/>
      <c r="C58" s="94"/>
      <c r="D58" s="94"/>
      <c r="E58" s="94"/>
      <c r="F58" s="94"/>
      <c r="G58" s="94" t="s">
        <v>668</v>
      </c>
      <c r="H58" s="94"/>
      <c r="I58" s="94"/>
      <c r="J58" s="94"/>
      <c r="K58" s="94"/>
      <c r="L58" s="94"/>
      <c r="M58" s="94"/>
      <c r="N58" s="94"/>
      <c r="O58" s="94"/>
      <c r="P58" s="94"/>
      <c r="Q58" s="94"/>
      <c r="R58" s="94"/>
      <c r="S58" s="94"/>
      <c r="T58" s="94"/>
      <c r="U58" s="94"/>
      <c r="V58" s="94"/>
      <c r="W58" s="94"/>
      <c r="X58" s="94"/>
      <c r="Y58" s="95"/>
    </row>
    <row r="59" spans="1:38">
      <c r="B59" s="93"/>
      <c r="C59" s="94"/>
      <c r="D59" s="94"/>
      <c r="E59" s="94"/>
      <c r="F59" s="94"/>
      <c r="G59" s="94"/>
      <c r="H59" s="94"/>
      <c r="I59" s="94"/>
      <c r="J59" s="94"/>
      <c r="K59" s="94"/>
      <c r="L59" s="94" t="s">
        <v>669</v>
      </c>
      <c r="M59" s="94"/>
      <c r="N59" s="94"/>
      <c r="O59" s="94"/>
      <c r="P59" s="94"/>
      <c r="Q59" s="94" t="s">
        <v>674</v>
      </c>
      <c r="R59" s="94"/>
      <c r="S59" s="94"/>
      <c r="T59" s="94"/>
      <c r="U59" s="94"/>
      <c r="V59" s="94"/>
      <c r="W59" s="94"/>
      <c r="X59" s="94"/>
      <c r="Y59" s="95"/>
    </row>
    <row r="60" spans="1:38">
      <c r="B60" s="96"/>
      <c r="C60" s="97"/>
      <c r="D60" s="97"/>
      <c r="E60" s="97"/>
      <c r="F60" s="97"/>
      <c r="G60" s="97"/>
      <c r="H60" s="97"/>
      <c r="I60" s="97"/>
      <c r="J60" s="97"/>
      <c r="K60" s="97"/>
      <c r="L60" s="97" t="s">
        <v>670</v>
      </c>
      <c r="M60" s="97"/>
      <c r="N60" s="97"/>
      <c r="O60" s="97"/>
      <c r="P60" s="97"/>
      <c r="Q60" s="97"/>
      <c r="R60" s="97"/>
      <c r="S60" s="97"/>
      <c r="T60" s="97"/>
      <c r="U60" s="97"/>
      <c r="V60" s="97"/>
      <c r="W60" s="97"/>
      <c r="X60" s="97"/>
      <c r="Y60" s="98"/>
    </row>
    <row r="61" spans="1:38" ht="15" thickBot="1"/>
    <row r="62" spans="1:38" ht="34" thickTop="1" thickBot="1">
      <c r="A62" s="66"/>
      <c r="B62" s="67" t="s">
        <v>86</v>
      </c>
      <c r="C62" s="80" t="s">
        <v>597</v>
      </c>
      <c r="D62" s="68" t="s">
        <v>629</v>
      </c>
      <c r="E62" s="68" t="s">
        <v>630</v>
      </c>
      <c r="F62" s="68" t="s">
        <v>631</v>
      </c>
      <c r="G62" s="68" t="s">
        <v>632</v>
      </c>
      <c r="H62" s="68" t="s">
        <v>633</v>
      </c>
      <c r="I62" s="80" t="s">
        <v>599</v>
      </c>
      <c r="J62" s="68" t="s">
        <v>639</v>
      </c>
      <c r="K62" s="68" t="s">
        <v>640</v>
      </c>
      <c r="L62" s="68" t="s">
        <v>641</v>
      </c>
      <c r="M62" s="68" t="s">
        <v>642</v>
      </c>
      <c r="N62" s="68" t="s">
        <v>643</v>
      </c>
      <c r="O62" s="80" t="s">
        <v>600</v>
      </c>
      <c r="P62" s="68" t="s">
        <v>644</v>
      </c>
      <c r="Q62" s="68" t="s">
        <v>645</v>
      </c>
      <c r="R62" s="68" t="s">
        <v>646</v>
      </c>
      <c r="S62" s="68" t="s">
        <v>647</v>
      </c>
      <c r="T62" s="68" t="s">
        <v>648</v>
      </c>
      <c r="U62" s="80" t="s">
        <v>596</v>
      </c>
      <c r="V62" s="79" t="s">
        <v>624</v>
      </c>
      <c r="W62" s="79" t="s">
        <v>625</v>
      </c>
      <c r="X62" s="79" t="s">
        <v>626</v>
      </c>
      <c r="Y62" s="79" t="s">
        <v>627</v>
      </c>
      <c r="Z62" s="79" t="s">
        <v>628</v>
      </c>
      <c r="AA62" s="80" t="s">
        <v>602</v>
      </c>
      <c r="AB62" s="68" t="s">
        <v>654</v>
      </c>
      <c r="AC62" s="68" t="s">
        <v>655</v>
      </c>
      <c r="AD62" s="68" t="s">
        <v>656</v>
      </c>
      <c r="AE62" s="68" t="s">
        <v>657</v>
      </c>
      <c r="AF62" s="68" t="s">
        <v>658</v>
      </c>
      <c r="AG62" s="80" t="s">
        <v>603</v>
      </c>
      <c r="AH62" s="68" t="s">
        <v>659</v>
      </c>
      <c r="AI62" s="68" t="s">
        <v>660</v>
      </c>
      <c r="AJ62" s="68" t="s">
        <v>661</v>
      </c>
      <c r="AK62" s="68" t="s">
        <v>662</v>
      </c>
      <c r="AL62" s="86" t="s">
        <v>663</v>
      </c>
    </row>
    <row r="63" spans="1:38">
      <c r="A63" s="43" t="s">
        <v>76</v>
      </c>
      <c r="B63" s="70">
        <f>(B23/$B$5)*100</f>
        <v>0</v>
      </c>
      <c r="C63" s="81"/>
      <c r="D63" s="73">
        <f t="shared" ref="D63:H65" si="21">D16/$C$19</f>
        <v>0</v>
      </c>
      <c r="E63" s="73">
        <f t="shared" si="21"/>
        <v>0</v>
      </c>
      <c r="F63" s="73">
        <f t="shared" si="21"/>
        <v>0</v>
      </c>
      <c r="G63" s="73">
        <f t="shared" si="21"/>
        <v>0</v>
      </c>
      <c r="H63" s="73">
        <f t="shared" si="21"/>
        <v>0</v>
      </c>
      <c r="I63" s="81"/>
      <c r="J63" s="73">
        <f t="shared" ref="J63:N65" si="22">J16/$I$19</f>
        <v>0</v>
      </c>
      <c r="K63" s="73">
        <f t="shared" si="22"/>
        <v>0</v>
      </c>
      <c r="L63" s="73">
        <f t="shared" si="22"/>
        <v>0</v>
      </c>
      <c r="M63" s="73">
        <f t="shared" si="22"/>
        <v>0</v>
      </c>
      <c r="N63" s="73">
        <f t="shared" si="22"/>
        <v>0</v>
      </c>
      <c r="O63" s="81"/>
      <c r="P63" s="73">
        <f t="shared" ref="P63:T65" si="23">P16/$U$19</f>
        <v>0</v>
      </c>
      <c r="Q63" s="73">
        <f t="shared" si="23"/>
        <v>0</v>
      </c>
      <c r="R63" s="73">
        <f t="shared" si="23"/>
        <v>0</v>
      </c>
      <c r="S63" s="73">
        <f t="shared" si="23"/>
        <v>0</v>
      </c>
      <c r="T63" s="73">
        <f t="shared" si="23"/>
        <v>0</v>
      </c>
      <c r="U63" s="81"/>
      <c r="V63" s="73">
        <f>V16/$C$5</f>
        <v>1.6304347826086956E-2</v>
      </c>
      <c r="W63" s="73">
        <f t="shared" ref="W63:Z63" si="24">W16/$C$5</f>
        <v>0</v>
      </c>
      <c r="X63" s="73">
        <f t="shared" si="24"/>
        <v>5.434782608695652E-3</v>
      </c>
      <c r="Y63" s="73">
        <f t="shared" si="24"/>
        <v>0</v>
      </c>
      <c r="Z63" s="73">
        <f t="shared" si="24"/>
        <v>0</v>
      </c>
      <c r="AA63" s="81"/>
      <c r="AB63" s="73">
        <f t="shared" ref="AB63:AF65" si="25">AB16/$AA$19</f>
        <v>0.33333333333333331</v>
      </c>
      <c r="AC63" s="73">
        <f t="shared" si="25"/>
        <v>0</v>
      </c>
      <c r="AD63" s="73">
        <f t="shared" si="25"/>
        <v>0</v>
      </c>
      <c r="AE63" s="73">
        <f t="shared" si="25"/>
        <v>0</v>
      </c>
      <c r="AF63" s="73">
        <f t="shared" si="25"/>
        <v>0</v>
      </c>
      <c r="AG63" s="81"/>
      <c r="AH63" s="73">
        <f t="shared" ref="AH63:AL65" si="26">AH16/$AG$19</f>
        <v>0</v>
      </c>
      <c r="AI63" s="73">
        <f t="shared" si="26"/>
        <v>0</v>
      </c>
      <c r="AJ63" s="73">
        <f t="shared" si="26"/>
        <v>0</v>
      </c>
      <c r="AK63" s="73">
        <f t="shared" si="26"/>
        <v>0</v>
      </c>
      <c r="AL63" s="73">
        <f t="shared" si="26"/>
        <v>0</v>
      </c>
    </row>
    <row r="64" spans="1:38">
      <c r="A64" s="43" t="s">
        <v>77</v>
      </c>
      <c r="B64" s="70">
        <f t="shared" ref="B64:B65" si="27">(B24/$B$5)*100</f>
        <v>0</v>
      </c>
      <c r="C64" s="82"/>
      <c r="D64" s="13">
        <f t="shared" si="21"/>
        <v>0</v>
      </c>
      <c r="E64" s="13">
        <f t="shared" si="21"/>
        <v>0.15384615384615385</v>
      </c>
      <c r="F64" s="13">
        <f t="shared" si="21"/>
        <v>0.53846153846153844</v>
      </c>
      <c r="G64" s="13">
        <f t="shared" si="21"/>
        <v>7.6923076923076927E-2</v>
      </c>
      <c r="H64" s="13">
        <f t="shared" si="21"/>
        <v>7.6923076923076927E-2</v>
      </c>
      <c r="I64" s="82"/>
      <c r="J64" s="13">
        <f t="shared" si="22"/>
        <v>0</v>
      </c>
      <c r="K64" s="13">
        <f t="shared" si="22"/>
        <v>0.5</v>
      </c>
      <c r="L64" s="13">
        <f t="shared" si="22"/>
        <v>0.5</v>
      </c>
      <c r="M64" s="13">
        <f t="shared" si="22"/>
        <v>0</v>
      </c>
      <c r="N64" s="13">
        <f t="shared" si="22"/>
        <v>0</v>
      </c>
      <c r="O64" s="82"/>
      <c r="P64" s="13">
        <f t="shared" si="23"/>
        <v>0</v>
      </c>
      <c r="Q64" s="13">
        <f t="shared" si="23"/>
        <v>0</v>
      </c>
      <c r="R64" s="13">
        <f t="shared" si="23"/>
        <v>0</v>
      </c>
      <c r="S64" s="13">
        <f t="shared" si="23"/>
        <v>0</v>
      </c>
      <c r="T64" s="13">
        <f t="shared" si="23"/>
        <v>0</v>
      </c>
      <c r="U64" s="82"/>
      <c r="V64" s="13">
        <f t="shared" ref="V64:Z64" si="28">V17/$C$5</f>
        <v>5.9782608695652176E-2</v>
      </c>
      <c r="W64" s="13">
        <f t="shared" si="28"/>
        <v>3.2608695652173912E-2</v>
      </c>
      <c r="X64" s="13">
        <f t="shared" si="28"/>
        <v>5.9782608695652176E-2</v>
      </c>
      <c r="Y64" s="13">
        <f t="shared" si="28"/>
        <v>5.434782608695652E-3</v>
      </c>
      <c r="Z64" s="13">
        <f t="shared" si="28"/>
        <v>1.6304347826086956E-2</v>
      </c>
      <c r="AA64" s="82"/>
      <c r="AB64" s="13">
        <f t="shared" si="25"/>
        <v>0</v>
      </c>
      <c r="AC64" s="13">
        <f t="shared" si="25"/>
        <v>0.33333333333333331</v>
      </c>
      <c r="AD64" s="13">
        <f t="shared" si="25"/>
        <v>0.33333333333333331</v>
      </c>
      <c r="AE64" s="13">
        <f t="shared" si="25"/>
        <v>0</v>
      </c>
      <c r="AF64" s="13">
        <f t="shared" si="25"/>
        <v>0</v>
      </c>
      <c r="AG64" s="82"/>
      <c r="AH64" s="13">
        <f t="shared" si="26"/>
        <v>0</v>
      </c>
      <c r="AI64" s="13">
        <f t="shared" si="26"/>
        <v>0</v>
      </c>
      <c r="AJ64" s="13">
        <f t="shared" si="26"/>
        <v>0</v>
      </c>
      <c r="AK64" s="13">
        <f t="shared" si="26"/>
        <v>0.5</v>
      </c>
      <c r="AL64" s="13">
        <f t="shared" si="26"/>
        <v>0</v>
      </c>
    </row>
    <row r="65" spans="1:38" ht="15" thickBot="1">
      <c r="A65" s="43" t="s">
        <v>78</v>
      </c>
      <c r="B65" s="70">
        <f t="shared" si="27"/>
        <v>0</v>
      </c>
      <c r="C65" s="83"/>
      <c r="D65" s="76">
        <f t="shared" si="21"/>
        <v>0</v>
      </c>
      <c r="E65" s="76">
        <f t="shared" si="21"/>
        <v>0</v>
      </c>
      <c r="F65" s="76">
        <f t="shared" si="21"/>
        <v>7.6923076923076927E-2</v>
      </c>
      <c r="G65" s="76">
        <f t="shared" si="21"/>
        <v>0</v>
      </c>
      <c r="H65" s="76">
        <f t="shared" si="21"/>
        <v>7.6923076923076927E-2</v>
      </c>
      <c r="I65" s="83"/>
      <c r="J65" s="76">
        <f t="shared" si="22"/>
        <v>0</v>
      </c>
      <c r="K65" s="76">
        <f t="shared" si="22"/>
        <v>0</v>
      </c>
      <c r="L65" s="76">
        <f t="shared" si="22"/>
        <v>0</v>
      </c>
      <c r="M65" s="76">
        <f t="shared" si="22"/>
        <v>0</v>
      </c>
      <c r="N65" s="76">
        <f t="shared" si="22"/>
        <v>0</v>
      </c>
      <c r="O65" s="83"/>
      <c r="P65" s="76">
        <f t="shared" si="23"/>
        <v>0</v>
      </c>
      <c r="Q65" s="76">
        <f t="shared" si="23"/>
        <v>0</v>
      </c>
      <c r="R65" s="76">
        <f t="shared" si="23"/>
        <v>0</v>
      </c>
      <c r="S65" s="76">
        <f t="shared" si="23"/>
        <v>0</v>
      </c>
      <c r="T65" s="76">
        <f t="shared" si="23"/>
        <v>0</v>
      </c>
      <c r="U65" s="83"/>
      <c r="V65" s="76">
        <f t="shared" ref="V65:Z65" si="29">V18/$C$5</f>
        <v>3.8043478260869568E-2</v>
      </c>
      <c r="W65" s="76">
        <f t="shared" si="29"/>
        <v>1.0869565217391304E-2</v>
      </c>
      <c r="X65" s="76">
        <f t="shared" si="29"/>
        <v>3.8043478260869568E-2</v>
      </c>
      <c r="Y65" s="76">
        <f t="shared" si="29"/>
        <v>0</v>
      </c>
      <c r="Z65" s="76">
        <f t="shared" si="29"/>
        <v>5.434782608695652E-3</v>
      </c>
      <c r="AA65" s="83"/>
      <c r="AB65" s="76">
        <f t="shared" si="25"/>
        <v>0</v>
      </c>
      <c r="AC65" s="76">
        <f t="shared" si="25"/>
        <v>0</v>
      </c>
      <c r="AD65" s="76">
        <f t="shared" si="25"/>
        <v>0</v>
      </c>
      <c r="AE65" s="76">
        <f t="shared" si="25"/>
        <v>0</v>
      </c>
      <c r="AF65" s="76">
        <f t="shared" si="25"/>
        <v>0</v>
      </c>
      <c r="AG65" s="83"/>
      <c r="AH65" s="76">
        <f t="shared" si="26"/>
        <v>0</v>
      </c>
      <c r="AI65" s="76">
        <f t="shared" si="26"/>
        <v>0</v>
      </c>
      <c r="AJ65" s="76">
        <f t="shared" si="26"/>
        <v>0</v>
      </c>
      <c r="AK65" s="76">
        <f t="shared" si="26"/>
        <v>0.5</v>
      </c>
      <c r="AL65" s="76">
        <f t="shared" si="26"/>
        <v>0</v>
      </c>
    </row>
    <row r="66" spans="1:38">
      <c r="A66" s="45" t="s">
        <v>87</v>
      </c>
      <c r="B66" s="47">
        <f>SUM(B63:B65)</f>
        <v>0</v>
      </c>
      <c r="C66" s="84"/>
      <c r="D66" s="40"/>
      <c r="E66" s="40"/>
      <c r="F66" s="40"/>
      <c r="G66" s="40"/>
      <c r="H66" s="40"/>
      <c r="I66" s="84"/>
      <c r="J66" s="40"/>
      <c r="K66" s="40"/>
      <c r="L66" s="40"/>
      <c r="M66" s="40"/>
      <c r="N66" s="40"/>
      <c r="O66" s="84"/>
      <c r="P66" s="40"/>
      <c r="Q66" s="40"/>
      <c r="R66" s="40"/>
      <c r="S66" s="40"/>
      <c r="T66" s="40"/>
      <c r="U66" s="84"/>
      <c r="V66" s="40"/>
      <c r="W66" s="40"/>
      <c r="X66" s="40"/>
      <c r="Y66" s="40"/>
      <c r="Z66" s="40"/>
      <c r="AA66" s="84"/>
      <c r="AB66" s="40"/>
      <c r="AC66" s="40"/>
      <c r="AD66" s="40"/>
      <c r="AE66" s="40"/>
      <c r="AF66" s="40"/>
      <c r="AG66" s="84"/>
      <c r="AH66" s="40"/>
      <c r="AI66" s="40"/>
      <c r="AJ66" s="40"/>
      <c r="AK66" s="40"/>
      <c r="AL66" s="85"/>
    </row>
  </sheetData>
  <conditionalFormatting sqref="D41:H43 V41:Z43 J41:N43 AB27:AF29 D27:H29 J27:N29 P27:T29 V27:Z29 AH27:AJ29 AL27:AL29 AK28:AK29 AB41:AF43">
    <cfRule type="cellIs" dxfId="60" priority="113" operator="greaterThan">
      <formula>30</formula>
    </cfRule>
  </conditionalFormatting>
  <conditionalFormatting sqref="AG27:AG29 U41:U43 I41:I43 AA27:AA29 C27:C29 I27:I29 O27:O29 U27:U29">
    <cfRule type="cellIs" dxfId="59" priority="97" operator="greaterThan">
      <formula>15</formula>
    </cfRule>
    <cfRule type="cellIs" dxfId="58" priority="103" operator="greaterThan">
      <formula>30</formula>
    </cfRule>
  </conditionalFormatting>
  <conditionalFormatting sqref="AG27:AG29 U41:U43 I41:I43 AA27:AA29 C27:C29 I27:I29 O27:O29 U27:U29">
    <cfRule type="cellIs" dxfId="57" priority="102" operator="greaterThan">
      <formula>30</formula>
    </cfRule>
  </conditionalFormatting>
  <conditionalFormatting sqref="C41:C43">
    <cfRule type="cellIs" dxfId="56" priority="56" operator="greaterThan">
      <formula>15</formula>
    </cfRule>
    <cfRule type="cellIs" dxfId="55" priority="57" operator="greaterThan">
      <formula>30</formula>
    </cfRule>
  </conditionalFormatting>
  <conditionalFormatting sqref="C41:C43">
    <cfRule type="cellIs" dxfId="54" priority="55" operator="greaterThan">
      <formula>30</formula>
    </cfRule>
  </conditionalFormatting>
  <conditionalFormatting sqref="I41:I43">
    <cfRule type="cellIs" dxfId="53" priority="53" operator="greaterThan">
      <formula>15</formula>
    </cfRule>
    <cfRule type="cellIs" dxfId="52" priority="54" operator="greaterThan">
      <formula>30</formula>
    </cfRule>
  </conditionalFormatting>
  <conditionalFormatting sqref="I41:I43">
    <cfRule type="cellIs" dxfId="51" priority="52" operator="greaterThan">
      <formula>30</formula>
    </cfRule>
  </conditionalFormatting>
  <conditionalFormatting sqref="O41:O43">
    <cfRule type="cellIs" dxfId="50" priority="50" operator="greaterThan">
      <formula>15</formula>
    </cfRule>
    <cfRule type="cellIs" dxfId="49" priority="51" operator="greaterThan">
      <formula>30</formula>
    </cfRule>
  </conditionalFormatting>
  <conditionalFormatting sqref="O41:O43">
    <cfRule type="cellIs" dxfId="48" priority="49" operator="greaterThan">
      <formula>30</formula>
    </cfRule>
  </conditionalFormatting>
  <conditionalFormatting sqref="AA27:AA29">
    <cfRule type="cellIs" dxfId="47" priority="47" operator="greaterThan">
      <formula>15</formula>
    </cfRule>
    <cfRule type="cellIs" dxfId="46" priority="48" operator="greaterThan">
      <formula>30</formula>
    </cfRule>
  </conditionalFormatting>
  <conditionalFormatting sqref="AA27:AA29">
    <cfRule type="cellIs" dxfId="45" priority="46" operator="greaterThan">
      <formula>30</formula>
    </cfRule>
  </conditionalFormatting>
  <conditionalFormatting sqref="AG27:AG29">
    <cfRule type="cellIs" dxfId="44" priority="44" operator="greaterThan">
      <formula>15</formula>
    </cfRule>
    <cfRule type="cellIs" dxfId="43" priority="45" operator="greaterThan">
      <formula>30</formula>
    </cfRule>
  </conditionalFormatting>
  <conditionalFormatting sqref="AG27:AG29">
    <cfRule type="cellIs" dxfId="42" priority="43" operator="greaterThan">
      <formula>30</formula>
    </cfRule>
  </conditionalFormatting>
  <conditionalFormatting sqref="AH41:AL43">
    <cfRule type="cellIs" dxfId="41" priority="42" operator="greaterThan">
      <formula>30</formula>
    </cfRule>
  </conditionalFormatting>
  <conditionalFormatting sqref="J49:N51 P49:T51 V49:Z51 AB49:AF51 AH49:AL51 D63:H65 J63:N65 V63:Z65 AB63:AF65 D49:H51">
    <cfRule type="cellIs" dxfId="40" priority="41" operator="greaterThan">
      <formula>30</formula>
    </cfRule>
  </conditionalFormatting>
  <conditionalFormatting sqref="AG49:AG51 U63:U65 I63:I65 AA49:AA51 C49:C51 I49:I51 O49:O51 U49:U51">
    <cfRule type="cellIs" dxfId="39" priority="39" operator="greaterThan">
      <formula>15</formula>
    </cfRule>
    <cfRule type="cellIs" dxfId="38" priority="40" operator="greaterThan">
      <formula>30</formula>
    </cfRule>
  </conditionalFormatting>
  <conditionalFormatting sqref="AG49:AG51 U63:U65 I63:I65 AA49:AA51 C49:C51 I49:I51 O49:O51 U49:U51">
    <cfRule type="cellIs" dxfId="37" priority="38" operator="greaterThan">
      <formula>30</formula>
    </cfRule>
  </conditionalFormatting>
  <conditionalFormatting sqref="C63:C65">
    <cfRule type="cellIs" dxfId="36" priority="36" operator="greaterThan">
      <formula>15</formula>
    </cfRule>
    <cfRule type="cellIs" dxfId="35" priority="37" operator="greaterThan">
      <formula>30</formula>
    </cfRule>
  </conditionalFormatting>
  <conditionalFormatting sqref="C63:C65">
    <cfRule type="cellIs" dxfId="34" priority="35" operator="greaterThan">
      <formula>30</formula>
    </cfRule>
  </conditionalFormatting>
  <conditionalFormatting sqref="I63:I65">
    <cfRule type="cellIs" dxfId="33" priority="33" operator="greaterThan">
      <formula>15</formula>
    </cfRule>
    <cfRule type="cellIs" dxfId="32" priority="34" operator="greaterThan">
      <formula>30</formula>
    </cfRule>
  </conditionalFormatting>
  <conditionalFormatting sqref="I63:I65">
    <cfRule type="cellIs" dxfId="31" priority="32" operator="greaterThan">
      <formula>30</formula>
    </cfRule>
  </conditionalFormatting>
  <conditionalFormatting sqref="O63:O65">
    <cfRule type="cellIs" dxfId="30" priority="30" operator="greaterThan">
      <formula>15</formula>
    </cfRule>
    <cfRule type="cellIs" dxfId="29" priority="31" operator="greaterThan">
      <formula>30</formula>
    </cfRule>
  </conditionalFormatting>
  <conditionalFormatting sqref="O63:O65">
    <cfRule type="cellIs" dxfId="28" priority="29" operator="greaterThan">
      <formula>30</formula>
    </cfRule>
  </conditionalFormatting>
  <conditionalFormatting sqref="AA49:AA51">
    <cfRule type="cellIs" dxfId="27" priority="27" operator="greaterThan">
      <formula>15</formula>
    </cfRule>
    <cfRule type="cellIs" dxfId="26" priority="28" operator="greaterThan">
      <formula>30</formula>
    </cfRule>
  </conditionalFormatting>
  <conditionalFormatting sqref="AA49:AA51">
    <cfRule type="cellIs" dxfId="25" priority="26" operator="greaterThan">
      <formula>30</formula>
    </cfRule>
  </conditionalFormatting>
  <conditionalFormatting sqref="AG49:AG51">
    <cfRule type="cellIs" dxfId="24" priority="24" operator="greaterThan">
      <formula>15</formula>
    </cfRule>
    <cfRule type="cellIs" dxfId="23" priority="25" operator="greaterThan">
      <formula>30</formula>
    </cfRule>
  </conditionalFormatting>
  <conditionalFormatting sqref="AG49:AG51">
    <cfRule type="cellIs" dxfId="22" priority="23" operator="greaterThan">
      <formula>30</formula>
    </cfRule>
  </conditionalFormatting>
  <conditionalFormatting sqref="AH63:AL65">
    <cfRule type="cellIs" dxfId="21" priority="22" operator="greaterThan">
      <formula>30</formula>
    </cfRule>
  </conditionalFormatting>
  <conditionalFormatting sqref="C49:C51">
    <cfRule type="cellIs" dxfId="20" priority="20" operator="greaterThan">
      <formula>15</formula>
    </cfRule>
    <cfRule type="cellIs" dxfId="19" priority="21" operator="greaterThan">
      <formula>30</formula>
    </cfRule>
  </conditionalFormatting>
  <conditionalFormatting sqref="C49:C51">
    <cfRule type="cellIs" dxfId="18" priority="19" operator="greaterThan">
      <formula>30</formula>
    </cfRule>
  </conditionalFormatting>
  <conditionalFormatting sqref="D49:H51">
    <cfRule type="cellIs" dxfId="17" priority="18" operator="greaterThan">
      <formula>30</formula>
    </cfRule>
  </conditionalFormatting>
  <conditionalFormatting sqref="J49:N51">
    <cfRule type="cellIs" dxfId="16" priority="17" operator="greaterThan">
      <formula>30</formula>
    </cfRule>
  </conditionalFormatting>
  <conditionalFormatting sqref="P49:T51">
    <cfRule type="cellIs" dxfId="15" priority="16" operator="greaterThan">
      <formula>30</formula>
    </cfRule>
  </conditionalFormatting>
  <conditionalFormatting sqref="V49:Z51">
    <cfRule type="cellIs" dxfId="14" priority="15" operator="greaterThan">
      <formula>30</formula>
    </cfRule>
  </conditionalFormatting>
  <conditionalFormatting sqref="AB49:AF51">
    <cfRule type="cellIs" dxfId="13" priority="14" operator="greaterThan">
      <formula>30</formula>
    </cfRule>
  </conditionalFormatting>
  <conditionalFormatting sqref="AH49:AL51">
    <cfRule type="cellIs" dxfId="12" priority="13" operator="greaterThan">
      <formula>30</formula>
    </cfRule>
  </conditionalFormatting>
  <conditionalFormatting sqref="D63:H65">
    <cfRule type="cellIs" dxfId="11" priority="12" operator="greaterThan">
      <formula>30</formula>
    </cfRule>
  </conditionalFormatting>
  <conditionalFormatting sqref="J63:N65">
    <cfRule type="cellIs" dxfId="10" priority="11" operator="greaterThan">
      <formula>30</formula>
    </cfRule>
  </conditionalFormatting>
  <conditionalFormatting sqref="P63:T65">
    <cfRule type="cellIs" dxfId="9" priority="10" operator="greaterThan">
      <formula>30</formula>
    </cfRule>
  </conditionalFormatting>
  <conditionalFormatting sqref="P63:T65">
    <cfRule type="cellIs" dxfId="8" priority="9" operator="greaterThan">
      <formula>30</formula>
    </cfRule>
  </conditionalFormatting>
  <conditionalFormatting sqref="V63:Z65">
    <cfRule type="cellIs" dxfId="7" priority="8" operator="greaterThan">
      <formula>30</formula>
    </cfRule>
  </conditionalFormatting>
  <conditionalFormatting sqref="AB63:AF65">
    <cfRule type="cellIs" dxfId="6" priority="7" operator="greaterThan">
      <formula>30</formula>
    </cfRule>
  </conditionalFormatting>
  <conditionalFormatting sqref="AH63:AL65">
    <cfRule type="cellIs" dxfId="5" priority="6" operator="greaterThan">
      <formula>30</formula>
    </cfRule>
  </conditionalFormatting>
  <conditionalFormatting sqref="AH63:AL65">
    <cfRule type="cellIs" dxfId="4" priority="5" operator="greaterThan">
      <formula>30</formula>
    </cfRule>
  </conditionalFormatting>
  <conditionalFormatting sqref="C49:AL51">
    <cfRule type="cellIs" dxfId="3" priority="4" operator="greaterThan">
      <formula>0.3</formula>
    </cfRule>
  </conditionalFormatting>
  <conditionalFormatting sqref="D63:AL65">
    <cfRule type="cellIs" dxfId="2" priority="3" operator="greaterThan">
      <formula>0.3</formula>
    </cfRule>
  </conditionalFormatting>
  <conditionalFormatting sqref="D49:H51">
    <cfRule type="cellIs" dxfId="1" priority="2" operator="greaterThan">
      <formula>30</formula>
    </cfRule>
  </conditionalFormatting>
  <conditionalFormatting sqref="D50:H50">
    <cfRule type="cellIs" dxfId="0" priority="1" operator="greaterThan">
      <formula>30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U85"/>
  <sheetViews>
    <sheetView workbookViewId="0">
      <selection activeCell="C24" sqref="C24"/>
    </sheetView>
  </sheetViews>
  <sheetFormatPr baseColWidth="10" defaultRowHeight="14" x14ac:dyDescent="0"/>
  <cols>
    <col min="1" max="1" width="28.1640625" customWidth="1"/>
    <col min="2" max="2" width="5.5" bestFit="1" customWidth="1"/>
    <col min="3" max="9" width="8.5" bestFit="1" customWidth="1"/>
    <col min="10" max="10" width="5.5" bestFit="1" customWidth="1"/>
    <col min="11" max="11" width="5.5" customWidth="1"/>
    <col min="12" max="15" width="5.5" bestFit="1" customWidth="1"/>
    <col min="16" max="16" width="6.5" bestFit="1" customWidth="1"/>
    <col min="17" max="19" width="7.5" customWidth="1"/>
    <col min="20" max="20" width="6.1640625" customWidth="1"/>
    <col min="21" max="21" width="5" customWidth="1"/>
  </cols>
  <sheetData>
    <row r="1" spans="1:21" ht="66" thickTop="1">
      <c r="A1" s="42"/>
      <c r="B1" s="46" t="s">
        <v>86</v>
      </c>
      <c r="C1" s="16" t="s">
        <v>8</v>
      </c>
      <c r="D1" s="17" t="s">
        <v>62</v>
      </c>
      <c r="E1" s="17" t="s">
        <v>20</v>
      </c>
      <c r="F1" s="17" t="s">
        <v>19</v>
      </c>
      <c r="G1" s="18" t="s">
        <v>230</v>
      </c>
      <c r="H1" s="18" t="s">
        <v>54</v>
      </c>
      <c r="I1" s="28" t="s">
        <v>75</v>
      </c>
      <c r="J1" s="53" t="s">
        <v>85</v>
      </c>
      <c r="K1" s="53" t="s">
        <v>581</v>
      </c>
      <c r="L1" s="38" t="s">
        <v>80</v>
      </c>
      <c r="M1" s="39" t="s">
        <v>81</v>
      </c>
      <c r="N1" s="39" t="s">
        <v>82</v>
      </c>
      <c r="O1" s="39" t="s">
        <v>83</v>
      </c>
      <c r="P1" s="39" t="s">
        <v>84</v>
      </c>
      <c r="Q1" s="104" t="s">
        <v>700</v>
      </c>
      <c r="R1" s="39" t="s">
        <v>698</v>
      </c>
      <c r="S1" s="39" t="s">
        <v>699</v>
      </c>
      <c r="T1" s="39" t="s">
        <v>699</v>
      </c>
      <c r="U1" s="105" t="s">
        <v>700</v>
      </c>
    </row>
    <row r="2" spans="1:21">
      <c r="A2" s="43" t="s">
        <v>76</v>
      </c>
      <c r="B2" s="14">
        <f>COUNTIFS(totales!$C$2:$C$831,"morfológico",totales!$D$2:$D$831,"temporal")</f>
        <v>34</v>
      </c>
      <c r="C2" s="12">
        <f>COUNTIFS(totales!$C$2:$C$831,"morfológico",totales!$D$2:$D$831,"temporal",totales!$D$2:$D$831,"temporal")</f>
        <v>34</v>
      </c>
      <c r="D2" s="11">
        <f>COUNTIFS(totales!$C$2:$C$831,"morfológico",totales!$D$2:$D$831,"concesión",totales!$D$2:$D$831,"temporal")</f>
        <v>0</v>
      </c>
      <c r="E2" s="11">
        <f>COUNTIFS(totales!$C$2:$C$831,"morfológico",totales!$D$2:$D$831,"exhortación",totales!$D$2:$D$831,"temporal")</f>
        <v>0</v>
      </c>
      <c r="F2" s="11">
        <f>COUNTIFS(totales!$C$2:$C$831,"morfológico",totales!$D$2:$D$831,"hipótesis",totales!$D$2:$D$831,"temporal")</f>
        <v>0</v>
      </c>
      <c r="G2" s="11">
        <f>COUNTIFS(totales!$C$2:$C$831,"morfológico",totales!$D$2:$D$831,"duda",totales!$D$2:$D$831,"temporal")</f>
        <v>0</v>
      </c>
      <c r="H2" s="11">
        <f>COUNTIFS(totales!$C$2:$C$831,"morfológico",totales!$D$2:$D$831,"sorpresa",totales!$D$2:$D$831,"temporal")</f>
        <v>0</v>
      </c>
      <c r="I2" s="29">
        <f>COUNTIFS(totales!$C$2:$C$831,"morfológico",totales!$D$2:$D$831,"marcador",totales!$D$2:$D$831,"temporal")</f>
        <v>0</v>
      </c>
      <c r="J2" s="54">
        <f>COUNTIFS(totales!$C$2:$C$831,"morfológico",totales!$F$2:$F$831,1,totales!$D$2:$D$831,"temporal")</f>
        <v>16</v>
      </c>
      <c r="K2" s="54">
        <f>COUNTIFS(totales!$C$2:$C$831,"morfológico",totales!$G$2:$G$831,1,totales!$D$2:$D$831,"temporal")</f>
        <v>4</v>
      </c>
      <c r="L2" s="13">
        <f>COUNTIFS(totales!$C$2:$C$831,"morfológico",totales!$E$2:$E$831,1,totales!$D$2:$D$831,"temporal")</f>
        <v>14</v>
      </c>
      <c r="M2" s="13">
        <f>COUNTIFS(totales!$C$2:$C$831,"morfológico",totales!$E$2:$E$831,2,totales!$D$2:$D$831,"temporal")</f>
        <v>0</v>
      </c>
      <c r="N2" s="13">
        <f>COUNTIFS(totales!$C$2:$C$831,"morfológico",totales!$E$2:$E$831,3,totales!$D$2:$D$831,"temporal")</f>
        <v>17</v>
      </c>
      <c r="O2" s="13">
        <f>COUNTIFS(totales!$C$2:$C$831,"morfológico",totales!$E$2:$E$831,4,totales!$D$2:$D$831,"temporal")</f>
        <v>2</v>
      </c>
      <c r="P2" s="13">
        <f>COUNTIFS(totales!$C$2:$C$831,"morfológico",totales!$E$2:$E$831,6,totales!$D$2:$D$831,"temporal")</f>
        <v>1</v>
      </c>
      <c r="Q2" s="54">
        <f>COUNTIFS(totales!$C$2:$C$831,"morfológico",totales!$H$2:$H$831,0,totales!$D$2:$D$831,"temporal")</f>
        <v>15</v>
      </c>
      <c r="R2" s="54">
        <f>COUNTIFS(totales!$C$2:$C$831,"morfológico",totales!$H$2:$H$831,2,totales!$D$2:$D$831,"temporal")</f>
        <v>2</v>
      </c>
      <c r="S2" s="54">
        <f>COUNTIFS(totales!$C$2:$C$831,"morfológico",totales!$H$2:$H$831,1,totales!$D$2:$D$831,"temporal")</f>
        <v>17</v>
      </c>
      <c r="T2" s="54">
        <f>COUNTIFS(totales!$C$2:$C$831,"morfológico",totales!$I$2:$I$831,1,totales!$D$2:$D$831,"temporal")</f>
        <v>13</v>
      </c>
      <c r="U2" s="54">
        <f>COUNTIFS(totales!$C$2:$C$831,"morfológico",totales!$I$2:$I$831,0,totales!$D$2:$D$831,"temporal")</f>
        <v>21</v>
      </c>
    </row>
    <row r="3" spans="1:21">
      <c r="A3" s="43" t="s">
        <v>77</v>
      </c>
      <c r="B3" s="14">
        <f>COUNTIFS(totales!$C$2:$C$831,"analítico",totales!$D$2:$D$831,"temporal")</f>
        <v>332</v>
      </c>
      <c r="C3" s="12">
        <f>COUNTIFS(totales!$C$2:$C$831,"analítico",totales!$D$2:$D$831,"temporal",totales!$D$2:$D$831,"temporal")</f>
        <v>332</v>
      </c>
      <c r="D3" s="11">
        <f>COUNTIFS(totales!$C$2:$C$831,"analítico",totales!$D$2:$D$831,"concesión",totales!$D$2:$D$831,"temporal")</f>
        <v>0</v>
      </c>
      <c r="E3" s="11">
        <f>COUNTIFS(totales!$C$2:$C$831,"analítico",totales!$D$2:$D$831,"exhortación",totales!$D$2:$D$831,"temporal")</f>
        <v>0</v>
      </c>
      <c r="F3" s="11">
        <f>COUNTIFS(totales!$C$2:$C$831,"analítico",totales!$D$2:$D$831,"hipótesis",totales!$D$2:$D$831,"temporal")</f>
        <v>0</v>
      </c>
      <c r="G3" s="11">
        <f>COUNTIFS(totales!$C$2:$C$831,"analítico",totales!$D$2:$D$831,"duda",totales!$D$2:$D$831,"temporal")</f>
        <v>0</v>
      </c>
      <c r="H3" s="11">
        <f>COUNTIFS(totales!$C$2:$C$831,"analítico",totales!$D$2:$D$831,"sorpresa",totales!$D$2:$D$831,"temporal")</f>
        <v>0</v>
      </c>
      <c r="I3" s="29">
        <f>COUNTIFS(totales!$C$2:$C$831,"analítico",totales!$D$2:$D$831,"marcador",totales!$D$2:$D$831,"temporal")</f>
        <v>0</v>
      </c>
      <c r="J3" s="54">
        <f>COUNTIFS(totales!$C$2:$C$831,"analítico",totales!$F$2:$F$831,1,totales!$D$2:$D$831,"temporal")</f>
        <v>89</v>
      </c>
      <c r="K3" s="54">
        <f>COUNTIFS(totales!$C$2:$C$831,"analítico",totales!$G$2:$G$831,1,totales!$D$2:$D$831,"temporal")</f>
        <v>37</v>
      </c>
      <c r="L3" s="13">
        <f>COUNTIFS(totales!$C$2:$C$831,"analítico",totales!$E$2:$E$831,1,totales!$D$2:$D$831,"temporal")</f>
        <v>84</v>
      </c>
      <c r="M3" s="13">
        <f>COUNTIFS(totales!$C$2:$C$831,"analítico",totales!$E$2:$E$831,2,totales!$D$2:$D$831,"temporal")</f>
        <v>45</v>
      </c>
      <c r="N3" s="13">
        <f>COUNTIFS(totales!$C$2:$C$831,"analítico",totales!$E$2:$E$831,3,totales!$D$2:$D$831,"temporal")</f>
        <v>127</v>
      </c>
      <c r="O3" s="13">
        <f>COUNTIFS(totales!$C$2:$C$831,"analítico",totales!$E$2:$E$831,4,totales!$D$2:$D$831,"temporal")</f>
        <v>31</v>
      </c>
      <c r="P3" s="13">
        <f>COUNTIFS(totales!$C$2:$C$831,"analítico",totales!$E$2:$E$831,6,totales!$D$2:$D$831,"temporal")</f>
        <v>45</v>
      </c>
      <c r="Q3" s="54">
        <f>COUNTIFS(totales!$C$2:$C$831,"analítico",totales!$H$2:$H$831,0,totales!$D$2:$D$831,"temporal")</f>
        <v>246</v>
      </c>
      <c r="R3" s="54">
        <f>COUNTIFS(totales!$C$2:$C$831,"analítico",totales!$H$2:$H$831,2,totales!$D$2:$D$831,"temporal")</f>
        <v>44</v>
      </c>
      <c r="S3" s="54">
        <f>COUNTIFS(totales!$C$2:$C$831,"analítico",totales!$H$2:$H$831,1,totales!$D$2:$D$831,"temporal")</f>
        <v>42</v>
      </c>
      <c r="T3" s="54">
        <f>COUNTIFS(totales!$C$2:$C$831,"analítico",totales!$I$2:$I$831,1,totales!$D$2:$D$831,"temporal")</f>
        <v>74</v>
      </c>
      <c r="U3" s="54">
        <f>COUNTIFS(totales!$C$2:$C$831,"analítico",totales!$I$2:$I$831,0,totales!$D$2:$D$831,"temporal")</f>
        <v>258</v>
      </c>
    </row>
    <row r="4" spans="1:21">
      <c r="A4" s="43" t="s">
        <v>78</v>
      </c>
      <c r="B4" s="14">
        <f>COUNTIFS(totales!$C$2:$C$831,"presente",totales!$D$2:$D$831,"temporal")</f>
        <v>92</v>
      </c>
      <c r="C4" s="12">
        <f>COUNTIFS(totales!$C$2:$C$831,"presente",totales!$D$2:$D$831,"temporal",totales!$D$2:$D$831,"temporal")</f>
        <v>92</v>
      </c>
      <c r="D4" s="11">
        <f>COUNTIFS(totales!$C$2:$C$831,"presente",totales!$D$2:$D$831,"concesión",totales!$D$2:$D$831,"temporal")</f>
        <v>0</v>
      </c>
      <c r="E4" s="11">
        <f>COUNTIFS(totales!$C$2:$C$831,"presente",totales!$D$2:$D$831,"exhortación",totales!$D$2:$D$831,"temporal")</f>
        <v>0</v>
      </c>
      <c r="F4" s="11">
        <f>COUNTIFS(totales!$C$2:$C$831,"presente",totales!$D$2:$D$831,"hipótesis",totales!$D$2:$D$831,"temporal")</f>
        <v>0</v>
      </c>
      <c r="G4" s="11">
        <f>COUNTIFS(totales!$C$2:$C$831,"presente",totales!$D$2:$D$831,"duda",totales!$D$2:$D$831,"temporal")</f>
        <v>0</v>
      </c>
      <c r="H4" s="11">
        <f>COUNTIFS(totales!$C$2:$C$831,"presente",totales!$D$2:$D$831,"sorpresa",totales!$D$2:$D$831,"temporal")</f>
        <v>0</v>
      </c>
      <c r="I4" s="29">
        <f>COUNTIFS(totales!$C$2:$C$831,"presente",totales!$D$2:$D$831,"marcador",totales!$D$2:$D$831,"temporal")</f>
        <v>0</v>
      </c>
      <c r="J4" s="54">
        <f>COUNTIFS(totales!$C$2:$C$831,"presente",totales!$F$2:$F$831,1,totales!$D$2:$D$831,"temporal")</f>
        <v>34</v>
      </c>
      <c r="K4" s="54">
        <f>COUNTIFS(totales!$C$2:$C$831,"presente",totales!$G$2:$G$831,1,totales!$D$2:$D$831,"temporal")</f>
        <v>9</v>
      </c>
      <c r="L4" s="13">
        <f>COUNTIFS(totales!$C$2:$C$831,"presente",totales!$E$2:$E$831,1,totales!$D$2:$D$831,"temporal")</f>
        <v>18</v>
      </c>
      <c r="M4" s="13">
        <f>COUNTIFS(totales!$C$2:$C$831,"presente",totales!$E$2:$E$831,2,totales!$D$2:$D$831,"temporal")</f>
        <v>15</v>
      </c>
      <c r="N4" s="13">
        <f>COUNTIFS(totales!$C$2:$C$831,"presente",totales!$E$2:$E$831,3,totales!$D$2:$D$831,"temporal")</f>
        <v>43</v>
      </c>
      <c r="O4" s="13">
        <f>COUNTIFS(totales!$C$2:$C$831,"presente",totales!$E$2:$E$831,4,totales!$D$2:$D$831,"temporal")</f>
        <v>11</v>
      </c>
      <c r="P4" s="13">
        <f>COUNTIFS(totales!$C$2:$C$831,"presente",totales!$E$2:$E$831,6,totales!$D$2:$D$831,"temporal")</f>
        <v>5</v>
      </c>
      <c r="Q4" s="54">
        <f>COUNTIFS(totales!$C$2:$C$831,"presente",totales!$H$2:$H$831,0,totales!$D$2:$D$831,"temporal")</f>
        <v>52</v>
      </c>
      <c r="R4" s="54">
        <f>COUNTIFS(totales!$C$2:$C$831,"presente",totales!$H$2:$H$831,2,totales!$D$2:$D$831,"temporal")</f>
        <v>18</v>
      </c>
      <c r="S4" s="54">
        <f>COUNTIFS(totales!$C$2:$C$831,"presente",totales!$H$2:$H$831,1,totales!$D$2:$D$831,"temporal")</f>
        <v>22</v>
      </c>
      <c r="T4" s="54">
        <f>COUNTIFS(totales!$C$2:$C$831,"presente",totales!$I$2:$I$831,1,totales!$D$2:$D$831,"temporal")</f>
        <v>19</v>
      </c>
      <c r="U4" s="54">
        <f>COUNTIFS(totales!$C$2:$C$831,"presente",totales!$I$2:$I$831,0,totales!$D$2:$D$831,"temporal")</f>
        <v>73</v>
      </c>
    </row>
    <row r="5" spans="1:21">
      <c r="A5" s="44" t="s">
        <v>79</v>
      </c>
      <c r="B5" s="23">
        <f>COUNTIFS(totales!$C$2:$C$831,"continuo",totales!$D$2:$D$831,"temporal")</f>
        <v>0</v>
      </c>
      <c r="C5" s="24">
        <f>COUNTIFS(totales!$C$2:$C$831,"continuo",totales!$D$2:$D$831,"temporal",totales!$D$2:$D$831,"temporal")</f>
        <v>0</v>
      </c>
      <c r="D5" s="25">
        <f>COUNTIFS(totales!$C$2:$C$831,"continuo",totales!$D$2:$D$831,"concesión",totales!$D$2:$D$831,"temporal")</f>
        <v>0</v>
      </c>
      <c r="E5" s="25">
        <f>COUNTIFS(totales!$C$2:$C$831,"continuo",totales!$D$2:$D$831,"exhortación",totales!$D$2:$D$831,"temporal")</f>
        <v>0</v>
      </c>
      <c r="F5" s="25">
        <f>COUNTIFS(totales!$C$2:$C$831,"continuo",totales!$D$2:$D$831,"hipótesis",totales!$D$2:$D$831,"temporal")</f>
        <v>0</v>
      </c>
      <c r="G5" s="25">
        <f>COUNTIFS(totales!$C$2:$C$831,"continuo",totales!$D$2:$D$831,"duda",totales!$D$2:$D$831,"temporal")</f>
        <v>0</v>
      </c>
      <c r="H5" s="25">
        <f>COUNTIFS(totales!$C$2:$C$831,"continuo",totales!$D$2:$D$831,"sopresa",totales!$D$2:$D$831,"temporal")</f>
        <v>0</v>
      </c>
      <c r="I5" s="30">
        <f>COUNTIFS(totales!$C$2:$C$831,"continuo",totales!$D$2:$D$831,"marcador",totales!$D$2:$D$831,"temporal")</f>
        <v>0</v>
      </c>
      <c r="J5" s="54">
        <f>COUNTIFS(totales!$C$2:$C$831,"continuo",totales!$F$2:$F$831,1,totales!$D$2:$D$831,"temporal")</f>
        <v>0</v>
      </c>
      <c r="K5" s="54">
        <f>COUNTIFS(totales!$C$2:$C$831,"continuo",totales!$G$2:$G$831,1,totales!$D$2:$D$831,"temporal")</f>
        <v>0</v>
      </c>
      <c r="L5" s="13">
        <f>COUNTIFS(totales!$C$2:$C$831,"continuo",totales!$E$2:$E$831,1,totales!$D$2:$D$831,"temporal")</f>
        <v>0</v>
      </c>
      <c r="M5" s="13">
        <f>COUNTIFS(totales!$C$2:$C$831,"continuo",totales!$E$2:$E$831,2,totales!$D$2:$D$831,"temporal")</f>
        <v>0</v>
      </c>
      <c r="N5" s="13">
        <f>COUNTIFS(totales!$C$2:$C$831,"continuo",totales!$E$2:$E$831,3,totales!$D$2:$D$831,"temporal")</f>
        <v>0</v>
      </c>
      <c r="O5" s="13">
        <f>COUNTIFS(totales!$C$2:$C$831,"continuo",totales!$E$2:$E$831,4,totales!$D$2:$D$831,"temporal")</f>
        <v>0</v>
      </c>
      <c r="P5" s="13">
        <f>COUNTIFS(totales!$C$2:$C$831,"morfológico",totales!$E$2:$E$831,6,totales!$D$2:$D$831,"temporal")</f>
        <v>1</v>
      </c>
      <c r="Q5" s="54">
        <f>COUNTIFS(totales!$C$2:$C$831,"continuo",totales!$H$2:$H$831,1,totales!$D$2:$D$831,"temporal")</f>
        <v>0</v>
      </c>
      <c r="R5" s="54">
        <f>COUNTIFS(totales!$C$2:$C$831,"continuo",totales!$H$2:$H$831,1,totales!$D$2:$D$831,"temporal")</f>
        <v>0</v>
      </c>
      <c r="S5" s="54">
        <f>COUNTIFS(totales!$C$2:$C$831,"continuo",totales!$H$2:$H$831,1,totales!$D$2:$D$831,"temporal")</f>
        <v>0</v>
      </c>
      <c r="T5" s="54">
        <f>COUNTIFS(totales!$C$2:$C$831,"continuo",totales!$I$2:$I$831,1,totales!$D$2:$D$831,"temporal")</f>
        <v>0</v>
      </c>
    </row>
    <row r="6" spans="1:21">
      <c r="A6" s="45" t="s">
        <v>87</v>
      </c>
      <c r="B6" s="47">
        <f>SUM(B2:B5)</f>
        <v>458</v>
      </c>
      <c r="C6" s="33" t="e">
        <f>SUM(C2:C5,totales!$D$2:$D$831,"temporal")</f>
        <v>#VALUE!</v>
      </c>
      <c r="D6" s="34" t="e">
        <f>SUM(D2:D5,totales!$D$2:$D$831,"temporal")</f>
        <v>#VALUE!</v>
      </c>
      <c r="E6" s="34" t="e">
        <f>SUM(E2:E5,totales!$D$2:$D$831,"temporal")</f>
        <v>#VALUE!</v>
      </c>
      <c r="F6" s="34" t="e">
        <f>SUM(F2:F5,totales!$D$2:$D$831,"temporal")</f>
        <v>#VALUE!</v>
      </c>
      <c r="G6" s="34" t="e">
        <f>SUM(G2:G5,totales!$D$2:$D$831,"temporal")</f>
        <v>#VALUE!</v>
      </c>
      <c r="H6" s="34" t="e">
        <f>SUM(H2:H5,totales!$D$2:$D$831,"temporal")</f>
        <v>#VALUE!</v>
      </c>
      <c r="I6" s="32" t="e">
        <f>SUM(I2:I5,totales!$D$2:$D$831,"temporal")</f>
        <v>#VALUE!</v>
      </c>
      <c r="J6" s="40"/>
      <c r="K6" s="40"/>
      <c r="L6" s="40"/>
      <c r="M6" s="40"/>
      <c r="N6" s="40"/>
      <c r="O6" s="40"/>
      <c r="P6" s="40"/>
      <c r="Q6" s="40"/>
      <c r="R6" s="40"/>
      <c r="S6" s="40"/>
      <c r="T6" s="41"/>
    </row>
    <row r="8" spans="1:21" ht="15" thickBot="1"/>
    <row r="9" spans="1:21" ht="67" thickTop="1">
      <c r="A9" s="64" t="s">
        <v>326</v>
      </c>
      <c r="B9" s="46" t="s">
        <v>86</v>
      </c>
      <c r="C9" s="16" t="s">
        <v>8</v>
      </c>
      <c r="D9" s="17" t="s">
        <v>62</v>
      </c>
      <c r="E9" s="17" t="s">
        <v>20</v>
      </c>
      <c r="F9" s="17" t="s">
        <v>19</v>
      </c>
      <c r="G9" s="18" t="s">
        <v>230</v>
      </c>
      <c r="H9" s="18" t="s">
        <v>54</v>
      </c>
      <c r="I9" s="28" t="s">
        <v>75</v>
      </c>
      <c r="J9" s="53" t="s">
        <v>85</v>
      </c>
      <c r="K9" s="53" t="s">
        <v>581</v>
      </c>
      <c r="L9" s="38" t="s">
        <v>80</v>
      </c>
      <c r="M9" s="39" t="s">
        <v>81</v>
      </c>
      <c r="N9" s="39" t="s">
        <v>82</v>
      </c>
      <c r="O9" s="39" t="s">
        <v>83</v>
      </c>
      <c r="P9" s="39" t="s">
        <v>84</v>
      </c>
      <c r="Q9" s="39" t="s">
        <v>582</v>
      </c>
      <c r="R9" s="39"/>
      <c r="S9" s="39"/>
      <c r="T9" s="39" t="s">
        <v>578</v>
      </c>
    </row>
    <row r="10" spans="1:21">
      <c r="A10" s="43" t="s">
        <v>76</v>
      </c>
      <c r="B10" s="56">
        <f>(B2/B$6)*100</f>
        <v>7.4235807860262017</v>
      </c>
      <c r="C10" s="56">
        <f>(C2/$B2)*100</f>
        <v>100</v>
      </c>
      <c r="D10" s="56">
        <f t="shared" ref="D10:I10" si="0">(D2/$B2)*100</f>
        <v>0</v>
      </c>
      <c r="E10" s="56">
        <f t="shared" si="0"/>
        <v>0</v>
      </c>
      <c r="F10" s="56">
        <f t="shared" si="0"/>
        <v>0</v>
      </c>
      <c r="G10" s="56">
        <f t="shared" si="0"/>
        <v>0</v>
      </c>
      <c r="H10" s="56">
        <f t="shared" si="0"/>
        <v>0</v>
      </c>
      <c r="I10" s="56">
        <f t="shared" si="0"/>
        <v>0</v>
      </c>
      <c r="J10" s="57">
        <f>(J2/$B2)*100</f>
        <v>47.058823529411761</v>
      </c>
      <c r="K10" s="54">
        <f>($K2/$B2)*100</f>
        <v>11.76470588235294</v>
      </c>
      <c r="L10" s="58">
        <f>(L2/$B2)*100</f>
        <v>41.17647058823529</v>
      </c>
      <c r="M10" s="59">
        <f t="shared" ref="M10:P10" si="1">(M2/$B2)*100</f>
        <v>0</v>
      </c>
      <c r="N10" s="59">
        <f t="shared" si="1"/>
        <v>50</v>
      </c>
      <c r="O10" s="59">
        <f t="shared" si="1"/>
        <v>5.8823529411764701</v>
      </c>
      <c r="P10" s="59">
        <f t="shared" si="1"/>
        <v>2.9411764705882351</v>
      </c>
      <c r="Q10" s="54">
        <f>($S2/$B2)*100</f>
        <v>50</v>
      </c>
      <c r="R10" s="54"/>
      <c r="S10" s="54"/>
      <c r="T10" s="54">
        <f>($S2/$B2)*100</f>
        <v>50</v>
      </c>
    </row>
    <row r="11" spans="1:21">
      <c r="A11" s="43" t="s">
        <v>77</v>
      </c>
      <c r="B11" s="56">
        <f>(B3/B$6)*100</f>
        <v>72.489082969432317</v>
      </c>
      <c r="C11" s="56">
        <f t="shared" ref="C11:I11" si="2">(C3/$B3)*100</f>
        <v>100</v>
      </c>
      <c r="D11" s="56">
        <f t="shared" si="2"/>
        <v>0</v>
      </c>
      <c r="E11" s="56">
        <f t="shared" si="2"/>
        <v>0</v>
      </c>
      <c r="F11" s="56">
        <f t="shared" si="2"/>
        <v>0</v>
      </c>
      <c r="G11" s="56">
        <f t="shared" si="2"/>
        <v>0</v>
      </c>
      <c r="H11" s="56">
        <f t="shared" si="2"/>
        <v>0</v>
      </c>
      <c r="I11" s="56">
        <f t="shared" si="2"/>
        <v>0</v>
      </c>
      <c r="J11" s="57">
        <f>(J3/B3)*100</f>
        <v>26.807228915662652</v>
      </c>
      <c r="K11" s="54">
        <f t="shared" ref="K11:K12" si="3">($K3/$B3)*100</f>
        <v>11.144578313253012</v>
      </c>
      <c r="L11" s="60">
        <f t="shared" ref="L11:P12" si="4">(L3/$B3)*100</f>
        <v>25.301204819277107</v>
      </c>
      <c r="M11" s="61">
        <f t="shared" si="4"/>
        <v>13.554216867469879</v>
      </c>
      <c r="N11" s="61">
        <f t="shared" si="4"/>
        <v>38.253012048192772</v>
      </c>
      <c r="O11" s="61">
        <f t="shared" si="4"/>
        <v>9.3373493975903603</v>
      </c>
      <c r="P11" s="61">
        <f t="shared" si="4"/>
        <v>13.554216867469879</v>
      </c>
      <c r="Q11" s="54">
        <f>($S3/$B3)*100</f>
        <v>12.650602409638553</v>
      </c>
      <c r="R11" s="54"/>
      <c r="S11" s="54"/>
      <c r="T11" s="54">
        <f>($S3/$B3)*100</f>
        <v>12.650602409638553</v>
      </c>
    </row>
    <row r="12" spans="1:21">
      <c r="A12" s="43" t="s">
        <v>78</v>
      </c>
      <c r="B12" s="56">
        <f t="shared" ref="B12" si="5">(B4/B$6)*100</f>
        <v>20.087336244541483</v>
      </c>
      <c r="C12" s="56">
        <f t="shared" ref="C12:I12" si="6">(C4/$B4)*100</f>
        <v>100</v>
      </c>
      <c r="D12" s="56">
        <f t="shared" si="6"/>
        <v>0</v>
      </c>
      <c r="E12" s="56">
        <f t="shared" si="6"/>
        <v>0</v>
      </c>
      <c r="F12" s="56">
        <f t="shared" si="6"/>
        <v>0</v>
      </c>
      <c r="G12" s="56">
        <f t="shared" si="6"/>
        <v>0</v>
      </c>
      <c r="H12" s="56">
        <f t="shared" si="6"/>
        <v>0</v>
      </c>
      <c r="I12" s="56">
        <f t="shared" si="6"/>
        <v>0</v>
      </c>
      <c r="J12" s="57">
        <f>(J4/B4)*100</f>
        <v>36.95652173913043</v>
      </c>
      <c r="K12" s="54">
        <f t="shared" si="3"/>
        <v>9.7826086956521738</v>
      </c>
      <c r="L12" s="60">
        <f t="shared" si="4"/>
        <v>19.565217391304348</v>
      </c>
      <c r="M12" s="61">
        <f t="shared" si="4"/>
        <v>16.304347826086957</v>
      </c>
      <c r="N12" s="61">
        <f t="shared" si="4"/>
        <v>46.739130434782609</v>
      </c>
      <c r="O12" s="61">
        <f t="shared" si="4"/>
        <v>11.956521739130435</v>
      </c>
      <c r="P12" s="61">
        <f t="shared" si="4"/>
        <v>5.4347826086956523</v>
      </c>
      <c r="Q12" s="54">
        <f>($S4/$B4)*100</f>
        <v>23.913043478260871</v>
      </c>
      <c r="R12" s="54"/>
      <c r="S12" s="54"/>
      <c r="T12" s="54">
        <f>($S4/$B4)*100</f>
        <v>23.913043478260871</v>
      </c>
    </row>
    <row r="13" spans="1:21">
      <c r="A13" s="44" t="s">
        <v>79</v>
      </c>
      <c r="B13" s="56">
        <f t="shared" ref="B13" si="7">(B5/B$6)*100</f>
        <v>0</v>
      </c>
      <c r="C13" s="56">
        <v>0</v>
      </c>
      <c r="D13" s="56">
        <v>0</v>
      </c>
      <c r="E13" s="56">
        <v>0</v>
      </c>
      <c r="F13" s="56">
        <v>0</v>
      </c>
      <c r="G13" s="56">
        <v>0</v>
      </c>
      <c r="H13" s="56">
        <v>0</v>
      </c>
      <c r="I13" s="56">
        <v>0</v>
      </c>
      <c r="J13" s="57">
        <v>0</v>
      </c>
      <c r="K13" s="54">
        <v>0</v>
      </c>
      <c r="L13" s="62">
        <v>0</v>
      </c>
      <c r="M13" s="63">
        <v>0</v>
      </c>
      <c r="N13" s="63">
        <v>0</v>
      </c>
      <c r="O13" s="63">
        <v>0</v>
      </c>
      <c r="P13" s="63">
        <v>0</v>
      </c>
      <c r="Q13" s="54">
        <v>0</v>
      </c>
      <c r="R13" s="54"/>
      <c r="S13" s="54"/>
      <c r="T13" s="54">
        <v>0</v>
      </c>
    </row>
    <row r="14" spans="1:21">
      <c r="A14" s="45" t="s">
        <v>87</v>
      </c>
      <c r="B14" s="47">
        <f t="shared" ref="B14" si="8">SUM(B10:B13)</f>
        <v>100</v>
      </c>
      <c r="C14" s="33"/>
      <c r="D14" s="34"/>
      <c r="E14" s="34"/>
      <c r="F14" s="34"/>
      <c r="G14" s="34"/>
      <c r="H14" s="34"/>
      <c r="I14" s="32"/>
      <c r="J14" s="55"/>
      <c r="K14" s="40"/>
      <c r="L14" s="40"/>
      <c r="M14" s="40"/>
      <c r="N14" s="40"/>
      <c r="O14" s="40"/>
      <c r="P14" s="41"/>
      <c r="Q14" s="40"/>
      <c r="R14" s="40"/>
      <c r="S14" s="40"/>
      <c r="T14" s="41"/>
    </row>
    <row r="20" spans="1:16" ht="15" thickBot="1">
      <c r="A20" t="s">
        <v>90</v>
      </c>
    </row>
    <row r="21" spans="1:16" ht="66" thickTop="1">
      <c r="A21" s="15"/>
      <c r="B21" s="36" t="s">
        <v>86</v>
      </c>
      <c r="C21" s="16" t="s">
        <v>8</v>
      </c>
      <c r="D21" s="17" t="s">
        <v>62</v>
      </c>
      <c r="E21" s="17" t="s">
        <v>20</v>
      </c>
      <c r="F21" s="17" t="s">
        <v>19</v>
      </c>
      <c r="G21" s="17" t="s">
        <v>230</v>
      </c>
      <c r="H21" s="17" t="s">
        <v>54</v>
      </c>
      <c r="I21" s="28" t="s">
        <v>75</v>
      </c>
      <c r="J21" s="27" t="s">
        <v>85</v>
      </c>
      <c r="K21" s="27"/>
      <c r="L21" s="19" t="s">
        <v>80</v>
      </c>
      <c r="M21" s="19" t="s">
        <v>81</v>
      </c>
      <c r="N21" s="19" t="s">
        <v>82</v>
      </c>
      <c r="O21" s="19" t="s">
        <v>83</v>
      </c>
      <c r="P21" s="19" t="s">
        <v>84</v>
      </c>
    </row>
    <row r="22" spans="1:16">
      <c r="A22" s="21" t="s">
        <v>76</v>
      </c>
      <c r="B22" s="14">
        <f>COUNTIFS(totales!$C$2:$C$831,"morfológico",totales!$K$2:$K$831,1)</f>
        <v>15</v>
      </c>
      <c r="C22" s="12">
        <f>COUNTIFS(totales!$C$2:$C$831,"morfológico",totales!$D$2:$D$831,"temporal",totales!$K$2:$K$831,1)</f>
        <v>12</v>
      </c>
      <c r="D22" s="11">
        <f>COUNTIFS(totales!$C$2:$C$831,"morfológico",totales!$D$2:$D$831,"concesión",totales!$K$2:$K$831,1)</f>
        <v>1</v>
      </c>
      <c r="E22" s="11">
        <f>COUNTIFS(totales!$C$2:$C$831,"morfológico",totales!$D$2:$D$831,"exhortación",totales!$K$2:$K$831,1)</f>
        <v>0</v>
      </c>
      <c r="F22" s="11">
        <f>COUNTIFS(totales!$C$2:$C$831,"morfológico",totales!$D$2:$D$831,"hipótesis",totales!$K$2:$K$831,1)</f>
        <v>2</v>
      </c>
      <c r="G22" s="11">
        <f>COUNTIFS(totales!$C$2:$C$831,"morfológico",totales!$D$2:$D$831,"duda",totales!$K$2:$K$831,1)</f>
        <v>0</v>
      </c>
      <c r="H22" s="11">
        <f>COUNTIFS(totales!$C$2:$C$831,"morfológico",totales!$D$2:$D$831,"sorpresa",totales!$K$2:$K$831,1)</f>
        <v>0</v>
      </c>
      <c r="I22" s="29">
        <f>COUNTIFS(totales!$C$2:$C$831,"morfológico",totales!$D$2:$D$831,"marcador",totales!$K$2:$K$831,1)</f>
        <v>0</v>
      </c>
      <c r="J22" s="13">
        <f>COUNTIFS(totales!$C$2:$C$831,"morfológico",totales!$F$2:$F$831,1,totales!$K$2:$K$831,1)</f>
        <v>7</v>
      </c>
      <c r="K22" s="13"/>
      <c r="L22" s="13">
        <f>COUNTIFS(totales!$C$2:$C$831,"morfológico",totales!$E$2:$E$831,1,totales!$K$2:$K$831,1)</f>
        <v>6</v>
      </c>
      <c r="M22" s="13">
        <f>COUNTIFS(totales!$C$2:$C$831,"morfológico",totales!$E$2:$E$831,2,totales!$K$2:$K$831,1)</f>
        <v>1</v>
      </c>
      <c r="N22" s="13">
        <f>COUNTIFS(totales!$C$2:$C$831,"morfológico",totales!$E$2:$E$831,3,totales!$K$2:$K$831,1)</f>
        <v>6</v>
      </c>
      <c r="O22" s="13">
        <f>COUNTIFS(totales!$C$2:$C$831,"morfológico",totales!$E$2:$E$831,4,totales!$K$2:$K$831,1)</f>
        <v>1</v>
      </c>
      <c r="P22" s="23">
        <f>COUNTIFS(totales!$C$2:$C$831,"morfológico",totales!$E$2:$E$831,6,totales!$K$2:$K$831,1)</f>
        <v>1</v>
      </c>
    </row>
    <row r="23" spans="1:16">
      <c r="A23" s="21" t="s">
        <v>77</v>
      </c>
      <c r="B23" s="14">
        <f>COUNTIFS(totales!$C$2:$C$831,"analítico",totales!$K$2:$K$831,1)</f>
        <v>105</v>
      </c>
      <c r="C23" s="12">
        <f>COUNTIFS(totales!$C$2:$C$831,"analítico",totales!$D$2:$D$831,"temporal",totales!$K$2:$K$831,1)</f>
        <v>98</v>
      </c>
      <c r="D23" s="11">
        <f>COUNTIFS(totales!$C$2:$C$831,"analítico",totales!$D$2:$D$831,"concesión",totales!$K$2:$K$831,1)</f>
        <v>0</v>
      </c>
      <c r="E23" s="11">
        <f>COUNTIFS(totales!$C$2:$C$831,"analítico",totales!$D$2:$D$831,"exhortación",totales!$K$2:$K$831,1)</f>
        <v>4</v>
      </c>
      <c r="F23" s="11">
        <f>COUNTIFS(totales!$C$2:$C$831,"analítico",totales!$D$2:$D$831,"hipótesis",totales!$K$2:$K$831,1)</f>
        <v>0</v>
      </c>
      <c r="G23" s="11">
        <f>COUNTIFS(totales!$C$2:$C$831,"analítico",totales!$D$2:$D$831,"duda",totales!$K$2:$K$831,1)</f>
        <v>0</v>
      </c>
      <c r="H23" s="11">
        <f>COUNTIFS(totales!$C$2:$C$831,"analítico",totales!$D$2:$D$831,"sorpresa",totales!$K$2:$K$831,1)</f>
        <v>0</v>
      </c>
      <c r="I23" s="29">
        <f>COUNTIFS(totales!$C$2:$C$831,"analítico",totales!$D$2:$D$831,"marcador",totales!$K$2:$K$831,1)</f>
        <v>3</v>
      </c>
      <c r="J23" s="13">
        <f>COUNTIFS(totales!$C$2:$C$831,"analítico",totales!$F$2:$F$831,1,totales!$K$2:$K$831,1)</f>
        <v>26</v>
      </c>
      <c r="K23" s="13"/>
      <c r="L23" s="13">
        <f>COUNTIFS(totales!$C$2:$C$831,"analítico",totales!$E$2:$E$831,1,totales!$K$2:$K$831,1)</f>
        <v>22</v>
      </c>
      <c r="M23" s="13">
        <f>COUNTIFS(totales!$C$2:$C$831,"analítico",totales!$E$2:$E$831,2,totales!$K$2:$K$831,1)</f>
        <v>19</v>
      </c>
      <c r="N23" s="13">
        <f>COUNTIFS(totales!$C$2:$C$831,"analítico",totales!$E$2:$E$831,3,totales!$K$2:$K$831,1)</f>
        <v>31</v>
      </c>
      <c r="O23" s="13">
        <f>COUNTIFS(totales!$C$2:$C$831,"analítico",totales!$E$2:$E$831,4,totales!$K$2:$K$831,1)</f>
        <v>19</v>
      </c>
      <c r="P23" s="48">
        <f>COUNTIFS(totales!$C$2:$C$831,"analítico",totales!$E$2:$E$831,6,totales!$K$2:$K$831,1)</f>
        <v>14</v>
      </c>
    </row>
    <row r="24" spans="1:16">
      <c r="A24" s="21" t="s">
        <v>78</v>
      </c>
      <c r="B24" s="14">
        <f>COUNTIFS(totales!$C$2:$C$831,"presente",totales!$K$2:$K$831,1)</f>
        <v>43</v>
      </c>
      <c r="C24" s="12">
        <f>COUNTIFS(totales!$C$2:$C$831,"presente",totales!$D$2:$D$831,"temporal",totales!$K$2:$K$831,1)</f>
        <v>43</v>
      </c>
      <c r="D24" s="11">
        <f>COUNTIFS(totales!$C$2:$C$831,"presente",totales!$D$2:$D$831,"concesión",totales!$K$2:$K$831,1)</f>
        <v>0</v>
      </c>
      <c r="E24" s="11">
        <f>COUNTIFS(totales!$C$2:$C$831,"presente",totales!$D$2:$D$831,"exhortación",totales!$K$2:$K$831,1)</f>
        <v>0</v>
      </c>
      <c r="F24" s="11">
        <f>COUNTIFS(totales!$C$2:$C$831,"presente",totales!$D$2:$D$831,"hipótesis",totales!$K$2:$K$831,1)</f>
        <v>0</v>
      </c>
      <c r="G24" s="11">
        <f>COUNTIFS(totales!$C$2:$C$831,"presente",totales!$D$2:$D$831,"duda",totales!$K$2:$K$831,1)</f>
        <v>0</v>
      </c>
      <c r="H24" s="11">
        <f>COUNTIFS(totales!$C$2:$C$831,"presente",totales!$D$2:$D$831,"sorpresa",totales!$K$2:$K$831,1)</f>
        <v>0</v>
      </c>
      <c r="I24" s="29">
        <f>COUNTIFS(totales!$C$2:$C$831,"presente",totales!$D$2:$D$831,"marcador",totales!$K$2:$K$831,1)</f>
        <v>0</v>
      </c>
      <c r="J24" s="13">
        <f>COUNTIFS(totales!$C$2:$C$831,"presente",totales!$F$2:$F$831,1,totales!$K$2:$K$831,1)</f>
        <v>13</v>
      </c>
      <c r="K24" s="13"/>
      <c r="L24" s="13">
        <f>COUNTIFS(totales!$C$2:$C$831,"presente",totales!$E$2:$E$831,1,totales!$K$2:$K$831,1)</f>
        <v>11</v>
      </c>
      <c r="M24" s="13">
        <f>COUNTIFS(totales!$C$2:$C$831,"presente",totales!$E$2:$E$831,2,totales!$K$2:$K$831,1)</f>
        <v>6</v>
      </c>
      <c r="N24" s="13">
        <f>COUNTIFS(totales!$C$2:$C$831,"presente",totales!$E$2:$E$831,3,totales!$K$2:$K$831,1)</f>
        <v>17</v>
      </c>
      <c r="O24" s="13">
        <f>COUNTIFS(totales!$C$2:$C$831,"presente",totales!$E$2:$E$831,4,totales!$K$2:$K$831,1)</f>
        <v>6</v>
      </c>
      <c r="P24" s="48">
        <f>COUNTIFS(totales!$C$2:$C$831,"presente",totales!$E$2:$E$831,6,totales!$K$2:$K$831,1)</f>
        <v>3</v>
      </c>
    </row>
    <row r="25" spans="1:16">
      <c r="A25" s="22" t="s">
        <v>79</v>
      </c>
      <c r="B25" s="23">
        <f>COUNTIFS(totales!$C$2:$C$831,"continuo",totales!$K$2:$K$831,1)</f>
        <v>0</v>
      </c>
      <c r="C25" s="24">
        <f>COUNTIFS(totales!$C$2:$C$831,"continuo",totales!$D$2:$D$831,"temporal",totales!$K$2:$K$831,1)</f>
        <v>0</v>
      </c>
      <c r="D25" s="25">
        <f>COUNTIFS(totales!$C$2:$C$831,"continuo",totales!$D$2:$D$831,"concesión",totales!$K$2:$K$831,1)</f>
        <v>0</v>
      </c>
      <c r="E25" s="25">
        <f>COUNTIFS(totales!$C$2:$C$831,"continuo",totales!$D$2:$D$831,"exhortación",totales!$K$2:$K$831,1)</f>
        <v>0</v>
      </c>
      <c r="F25" s="25">
        <f>COUNTIFS(totales!$C$2:$C$831,"continuo",totales!$D$2:$D$831,"hipótesis",totales!$K$2:$K$831,1)</f>
        <v>0</v>
      </c>
      <c r="G25" s="25">
        <f>COUNTIFS(totales!$C$2:$C$831,"continuo",totales!$D$2:$D$831,"duda",totales!$K$2:$K$831,1)</f>
        <v>0</v>
      </c>
      <c r="H25" s="25">
        <f>COUNTIFS(totales!$C$2:$C$831,"continuo",totales!$D$2:$D$831,"sorpresa",totales!$K$2:$K$831,1)</f>
        <v>0</v>
      </c>
      <c r="I25" s="30">
        <f>COUNTIFS(totales!$C$2:$C$831,"continuo",totales!$D$2:$D$831,"marcador",totales!$K$2:$K$831,1)</f>
        <v>0</v>
      </c>
      <c r="J25" s="13">
        <f>COUNTIFS(totales!$C$2:$C$831,"continuo",totales!$F$2:$F$831,1,totales!$K$2:$K$831,1)</f>
        <v>0</v>
      </c>
      <c r="K25" s="13"/>
      <c r="L25" s="13">
        <f>COUNTIFS(totales!$C$2:$C$831,"continuo",totales!$E$2:$E$831,1,totales!$K$2:$K$831,1)</f>
        <v>0</v>
      </c>
      <c r="M25" s="13">
        <f>COUNTIFS(totales!$C$2:$C$831,"continuo",totales!$E$2:$E$831,2,totales!$K$2:$K$831,1)</f>
        <v>0</v>
      </c>
      <c r="N25" s="13">
        <f>COUNTIFS(totales!$C$2:$C$831,"continuo",totales!$E$2:$E$831,3,totales!$K$2:$K$831,1)</f>
        <v>0</v>
      </c>
      <c r="O25" s="13">
        <f>COUNTIFS(totales!$C$2:$C$831,"continuo",totales!$E$2:$E$831,4,totales!$K$2:$K$831,1)</f>
        <v>0</v>
      </c>
      <c r="P25" s="49">
        <f>COUNTIFS(totales!$C$2:$C$831,"continuo",totales!$E$2:$E$831,6,totales!$K$2:$K$831,1)</f>
        <v>0</v>
      </c>
    </row>
    <row r="26" spans="1:16">
      <c r="A26" s="31" t="s">
        <v>87</v>
      </c>
      <c r="B26" s="32">
        <f t="shared" ref="B26:I26" si="9">SUM(B22:B25)</f>
        <v>163</v>
      </c>
      <c r="C26" s="33">
        <f t="shared" si="9"/>
        <v>153</v>
      </c>
      <c r="D26" s="34">
        <f t="shared" si="9"/>
        <v>1</v>
      </c>
      <c r="E26" s="34">
        <f t="shared" si="9"/>
        <v>4</v>
      </c>
      <c r="F26" s="34">
        <f t="shared" si="9"/>
        <v>2</v>
      </c>
      <c r="G26" s="34">
        <f t="shared" ref="G26" si="10">SUM(G22:G25)</f>
        <v>0</v>
      </c>
      <c r="H26" s="34">
        <f t="shared" si="9"/>
        <v>0</v>
      </c>
      <c r="I26" s="32">
        <f t="shared" si="9"/>
        <v>3</v>
      </c>
      <c r="J26" s="20"/>
      <c r="K26" s="20"/>
      <c r="L26" s="20"/>
      <c r="M26" s="20"/>
      <c r="N26" s="20"/>
      <c r="O26" s="20"/>
      <c r="P26" s="26"/>
    </row>
    <row r="29" spans="1:16" ht="15" thickBot="1">
      <c r="A29" t="s">
        <v>91</v>
      </c>
    </row>
    <row r="30" spans="1:16" ht="66" thickTop="1">
      <c r="A30" s="15"/>
      <c r="B30" s="36" t="s">
        <v>86</v>
      </c>
      <c r="C30" s="16" t="s">
        <v>8</v>
      </c>
      <c r="D30" s="17" t="s">
        <v>62</v>
      </c>
      <c r="E30" s="17" t="s">
        <v>20</v>
      </c>
      <c r="F30" s="17" t="s">
        <v>19</v>
      </c>
      <c r="G30" s="18" t="s">
        <v>230</v>
      </c>
      <c r="H30" s="18" t="s">
        <v>54</v>
      </c>
      <c r="I30" s="28" t="s">
        <v>75</v>
      </c>
      <c r="J30" s="27" t="s">
        <v>85</v>
      </c>
      <c r="K30" s="27"/>
      <c r="L30" s="19" t="s">
        <v>80</v>
      </c>
      <c r="M30" s="19" t="s">
        <v>81</v>
      </c>
      <c r="N30" s="19" t="s">
        <v>82</v>
      </c>
      <c r="O30" s="19" t="s">
        <v>83</v>
      </c>
      <c r="P30" s="19" t="s">
        <v>84</v>
      </c>
    </row>
    <row r="31" spans="1:16">
      <c r="A31" s="21" t="s">
        <v>76</v>
      </c>
      <c r="B31" s="14">
        <f>COUNTIFS(totales!$C$2:$C$831,"morfológico",totales!$K$2:$K$831,2)</f>
        <v>19</v>
      </c>
      <c r="C31" s="12">
        <f>COUNTIFS(totales!$C$2:$C$831,"morfológico",totales!$D$2:$D$831,"temporal",totales!$K$2:$K$831,2)</f>
        <v>7</v>
      </c>
      <c r="D31" s="11">
        <f>COUNTIFS(totales!$C$2:$C$831,"morfológico",totales!$D$2:$D$831,"concesión",totales!$K$2:$K$831,2)</f>
        <v>2</v>
      </c>
      <c r="E31" s="11">
        <f>COUNTIFS(totales!$C$2:$C$831,"morfológico",totales!$D$2:$D$831,"exhortación",totales!$K$2:$K$831,2)</f>
        <v>0</v>
      </c>
      <c r="F31" s="11">
        <f>COUNTIFS(totales!$C$2:$C$831,"morfológico",totales!$D$2:$D$831,"hipótesis",totales!$K$2:$K$831,2)</f>
        <v>7</v>
      </c>
      <c r="G31" s="11">
        <f>COUNTIFS(totales!$C$2:$C$831,"morfológico",totales!$D$2:$D$831,"duda",totales!$K$2:$K$831,2)</f>
        <v>0</v>
      </c>
      <c r="H31" s="11">
        <f>COUNTIFS(totales!$C$2:$C$831,"morfológico",totales!$D$2:$D$831,"sorpresa",totales!$K$2:$K$831,2)</f>
        <v>1</v>
      </c>
      <c r="I31" s="29">
        <f>COUNTIFS(totales!$C$2:$C$831,"morfológico",totales!$D$2:$D$831,"marcador",totales!$K$2:$K$831,2)</f>
        <v>2</v>
      </c>
      <c r="J31" s="13">
        <f>COUNTIFS(totales!$C$2:$C$831,"morfológico",totales!$F$2:$F$831,1,totales!$K$2:$K$831,2)</f>
        <v>5</v>
      </c>
      <c r="K31" s="13"/>
      <c r="L31" s="13">
        <f>COUNTIFS(totales!$C$2:$C$831,"morfológico",totales!$E$2:$E$831,1,totales!$K$2:$K$831,2)</f>
        <v>6</v>
      </c>
      <c r="M31" s="13">
        <f>COUNTIFS(totales!$C$2:$C$831,"morfológico",totales!$E$2:$E$831,2,totales!$K$2:$K$831,2)</f>
        <v>1</v>
      </c>
      <c r="N31" s="13">
        <f>COUNTIFS(totales!$C$2:$C$831,"morfológico",totales!$E$2:$E$831,3,totales!$K$2:$K$831,2)</f>
        <v>9</v>
      </c>
      <c r="O31" s="13">
        <f>COUNTIFS(totales!$C$2:$C$831,"morfológico",totales!$E$2:$E$831,4,totales!$K$2:$K$831,2)</f>
        <v>0</v>
      </c>
      <c r="P31" s="23">
        <f>COUNTIFS(totales!$C$2:$C$831,"morfológico",totales!$E$2:$E$831,6,totales!$K$2:$K$831,2)</f>
        <v>3</v>
      </c>
    </row>
    <row r="32" spans="1:16">
      <c r="A32" s="21" t="s">
        <v>77</v>
      </c>
      <c r="B32" s="14">
        <f>COUNTIFS(totales!$C$2:$C$831,"analítico",totales!$K$2:$K$831,2)</f>
        <v>129</v>
      </c>
      <c r="C32" s="12">
        <f>COUNTIFS(totales!$C$2:$C$831,"analítico",totales!$D$2:$D$831,"temporal",totales!$K$2:$K$831,2)</f>
        <v>111</v>
      </c>
      <c r="D32" s="11">
        <f>COUNTIFS(totales!$C$2:$C$831,"analítico",totales!$D$2:$D$831,"concesión",totales!$K$2:$K$831,2)</f>
        <v>0</v>
      </c>
      <c r="E32" s="11">
        <f>COUNTIFS(totales!$C$2:$C$831,"analítico",totales!$D$2:$D$831,"exhortación",totales!$K$2:$K$831,2)</f>
        <v>17</v>
      </c>
      <c r="F32" s="11">
        <f>COUNTIFS(totales!$C$2:$C$831,"analítico",totales!$D$2:$D$831,"hipótesis",totales!$K$2:$K$831,2)</f>
        <v>0</v>
      </c>
      <c r="G32" s="11">
        <f>COUNTIFS(totales!$C$2:$C$831,"analítico",totales!$D$2:$D$831,"duda",totales!$K$2:$K$831,2)</f>
        <v>0</v>
      </c>
      <c r="H32" s="11">
        <f>COUNTIFS(totales!$C$2:$C$831,"analítico",totales!$D$2:$D$831,"sorpresa",totales!$K$2:$K$831,2)</f>
        <v>1</v>
      </c>
      <c r="I32" s="29">
        <f>COUNTIFS(totales!$C$2:$C$831,"analítico",totales!$D$2:$D$831,"marcador",totales!$K$2:$K$831,2)</f>
        <v>0</v>
      </c>
      <c r="J32" s="13">
        <f>COUNTIFS(totales!$C$2:$C$831,"analítico",totales!$F$2:$F$831,1,totales!$K$2:$K$831,2)</f>
        <v>33</v>
      </c>
      <c r="K32" s="13"/>
      <c r="L32" s="13">
        <f>COUNTIFS(totales!$C$2:$C$831,"analítico",totales!$E$2:$E$831,1,totales!$K$2:$K$831,2)</f>
        <v>28</v>
      </c>
      <c r="M32" s="13">
        <f>COUNTIFS(totales!$C$2:$C$831,"analítico",totales!$E$2:$E$831,2,totales!$K$2:$K$831,2)</f>
        <v>12</v>
      </c>
      <c r="N32" s="13">
        <f>COUNTIFS(totales!$C$2:$C$831,"analítico",totales!$E$2:$E$831,3,totales!$K$2:$K$831,2)</f>
        <v>52</v>
      </c>
      <c r="O32" s="13">
        <f>COUNTIFS(totales!$C$2:$C$831,"analítico",totales!$E$2:$E$831,4,totales!$K$2:$K$831,2)</f>
        <v>21</v>
      </c>
      <c r="P32" s="48">
        <f>COUNTIFS(totales!$C$2:$C$831,"analítico",totales!$E$2:$E$831,6,totales!$K$2:$K$831,2)</f>
        <v>16</v>
      </c>
    </row>
    <row r="33" spans="1:16">
      <c r="A33" s="21" t="s">
        <v>78</v>
      </c>
      <c r="B33" s="14">
        <f>COUNTIFS(totales!$C$2:$C$831,"presente",totales!$K$2:$K$831,2)</f>
        <v>31</v>
      </c>
      <c r="C33" s="12">
        <f>COUNTIFS(totales!$C$2:$C$831,"presente",totales!$D$2:$D$831,"temporal",totales!$K$2:$K$831,2)</f>
        <v>31</v>
      </c>
      <c r="D33" s="11">
        <f>COUNTIFS(totales!$C$2:$C$831,"presente",totales!$D$2:$D$831,"concesión",totales!$K$2:$K$831,2)</f>
        <v>0</v>
      </c>
      <c r="E33" s="11">
        <f>COUNTIFS(totales!$C$2:$C$831,"presente",totales!$D$2:$D$831,"exhortación",totales!$K$2:$K$831,2)</f>
        <v>0</v>
      </c>
      <c r="F33" s="11">
        <f>COUNTIFS(totales!$C$2:$C$831,"presente",totales!$D$2:$D$831,"hipótesis",totales!$K$2:$K$831,2)</f>
        <v>0</v>
      </c>
      <c r="G33" s="11">
        <f>COUNTIFS(totales!$C$2:$C$831,"presente",totales!$D$2:$D$831,"duda",totales!$K$2:$K$831,2)</f>
        <v>0</v>
      </c>
      <c r="H33" s="11">
        <f>COUNTIFS(totales!$C$2:$C$831,"presente",totales!$D$2:$D$831,"sorpresa",totales!$K$2:$K$831,2)</f>
        <v>0</v>
      </c>
      <c r="I33" s="29">
        <f>COUNTIFS(totales!$C$2:$C$831,"presente",totales!$D$2:$D$831,"marcador",totales!$K$2:$K$831,2)</f>
        <v>0</v>
      </c>
      <c r="J33" s="13">
        <f>COUNTIFS(totales!$C$2:$C$831,"presente",totales!$F$2:$F$831,1,totales!$K$2:$K$831,2)</f>
        <v>13</v>
      </c>
      <c r="K33" s="13"/>
      <c r="L33" s="13">
        <f>COUNTIFS(totales!$C$2:$C$831,"presente",totales!$E$2:$E$831,1,totales!$K$2:$K$831,2)</f>
        <v>6</v>
      </c>
      <c r="M33" s="13">
        <f>COUNTIFS(totales!$C$2:$C$831,"presente",totales!$E$2:$E$831,2,totales!$K$2:$K$831,2)</f>
        <v>5</v>
      </c>
      <c r="N33" s="13">
        <f>COUNTIFS(totales!$C$2:$C$831,"presente",totales!$E$2:$E$831,3,totales!$K$2:$K$831,2)</f>
        <v>15</v>
      </c>
      <c r="O33" s="13">
        <f>COUNTIFS(totales!$C$2:$C$831,"presente",totales!$E$2:$E$831,4,totales!$K$2:$K$831,2)</f>
        <v>3</v>
      </c>
      <c r="P33" s="48">
        <f>COUNTIFS(totales!$C$2:$C$831,"presente",totales!$E$2:$E$831,6,totales!$K$2:$K$831,2)</f>
        <v>2</v>
      </c>
    </row>
    <row r="34" spans="1:16">
      <c r="A34" s="22" t="s">
        <v>79</v>
      </c>
      <c r="B34" s="23">
        <f>COUNTIFS(totales!$C$2:$C$831,"continuo",totales!$K$2:$K$831,2)</f>
        <v>0</v>
      </c>
      <c r="C34" s="24">
        <f>COUNTIFS(totales!$C$2:$C$831,"continuo",totales!$D$2:$D$831,"temporal",totales!$K$2:$K$831,2)</f>
        <v>0</v>
      </c>
      <c r="D34" s="25">
        <f>COUNTIFS(totales!$C$2:$C$831,"continuo",totales!$D$2:$D$831,"concesión",totales!$K$2:$K$831,2)</f>
        <v>0</v>
      </c>
      <c r="E34" s="25">
        <f>COUNTIFS(totales!$C$2:$C$831,"continuo",totales!$D$2:$D$831,"exhortación",totales!$K$2:$K$831,2)</f>
        <v>0</v>
      </c>
      <c r="F34" s="25">
        <f>COUNTIFS(totales!$C$2:$C$831,"continuo",totales!$D$2:$D$831,"hipótesis",totales!$K$2:$K$831,2)</f>
        <v>0</v>
      </c>
      <c r="G34" s="25">
        <f>COUNTIFS(totales!$C$2:$C$831,"continuo",totales!$D$2:$D$831,"duda",totales!$K$2:$K$831,2)</f>
        <v>0</v>
      </c>
      <c r="H34" s="25">
        <f>COUNTIFS(totales!$C$2:$C$831,"continuo",totales!$D$2:$D$831,"sorpresa",totales!$K$2:$K$831,2)</f>
        <v>0</v>
      </c>
      <c r="I34" s="30">
        <f>COUNTIFS(totales!$C$2:$C$831,"continuo",totales!$D$2:$D$831,"marcador",totales!$K$2:$K$831,2)</f>
        <v>0</v>
      </c>
      <c r="J34" s="13">
        <f>COUNTIFS(totales!$C$2:$C$831,"continuo",totales!$F$2:$F$831,1,totales!$K$2:$K$831,2)</f>
        <v>0</v>
      </c>
      <c r="K34" s="13"/>
      <c r="L34" s="13">
        <f>COUNTIFS(totales!$C$2:$C$831,"continuo",totales!$E$2:$E$831,1,totales!$K$2:$K$831,2)</f>
        <v>0</v>
      </c>
      <c r="M34" s="13">
        <f>COUNTIFS(totales!$C$2:$C$831,"continuo",totales!$E$2:$E$831,2,totales!$K$2:$K$831,2)</f>
        <v>0</v>
      </c>
      <c r="N34" s="13">
        <f>COUNTIFS(totales!$C$2:$C$831,"continuo",totales!$E$2:$E$831,3,totales!$K$2:$K$831,2)</f>
        <v>0</v>
      </c>
      <c r="O34" s="13">
        <f>COUNTIFS(totales!$C$2:$C$831,"continuo",totales!$E$2:$E$831,4,totales!$K$2:$K$831,2)</f>
        <v>0</v>
      </c>
      <c r="P34" s="49">
        <f>COUNTIFS(totales!$C$2:$C$831,"continuo",totales!$E$2:$E$831,6,totales!$K$2:$K$831,2)</f>
        <v>0</v>
      </c>
    </row>
    <row r="35" spans="1:16">
      <c r="A35" s="31" t="s">
        <v>87</v>
      </c>
      <c r="B35" s="32">
        <f t="shared" ref="B35:I35" si="11">SUM(B31:B34)</f>
        <v>179</v>
      </c>
      <c r="C35" s="33">
        <f t="shared" si="11"/>
        <v>149</v>
      </c>
      <c r="D35" s="34">
        <f t="shared" si="11"/>
        <v>2</v>
      </c>
      <c r="E35" s="34">
        <f t="shared" si="11"/>
        <v>17</v>
      </c>
      <c r="F35" s="34">
        <f t="shared" si="11"/>
        <v>7</v>
      </c>
      <c r="G35" s="34">
        <f t="shared" ref="G35" si="12">SUM(G31:G34)</f>
        <v>0</v>
      </c>
      <c r="H35" s="34">
        <f t="shared" si="11"/>
        <v>2</v>
      </c>
      <c r="I35" s="32">
        <f t="shared" si="11"/>
        <v>2</v>
      </c>
      <c r="J35" s="20"/>
      <c r="K35" s="20"/>
      <c r="L35" s="20"/>
      <c r="M35" s="20"/>
      <c r="N35" s="20"/>
      <c r="O35" s="20"/>
      <c r="P35" s="26"/>
    </row>
    <row r="38" spans="1:16" ht="15" thickBot="1">
      <c r="A38" t="s">
        <v>92</v>
      </c>
    </row>
    <row r="39" spans="1:16" ht="66" thickTop="1">
      <c r="A39" s="15"/>
      <c r="B39" s="36" t="s">
        <v>86</v>
      </c>
      <c r="C39" s="16" t="s">
        <v>8</v>
      </c>
      <c r="D39" s="17" t="s">
        <v>62</v>
      </c>
      <c r="E39" s="17" t="s">
        <v>20</v>
      </c>
      <c r="F39" s="17" t="s">
        <v>19</v>
      </c>
      <c r="G39" s="18" t="s">
        <v>230</v>
      </c>
      <c r="H39" s="18" t="s">
        <v>54</v>
      </c>
      <c r="I39" s="28" t="s">
        <v>75</v>
      </c>
      <c r="J39" s="27" t="s">
        <v>85</v>
      </c>
      <c r="K39" s="27"/>
      <c r="L39" s="19" t="s">
        <v>80</v>
      </c>
      <c r="M39" s="19" t="s">
        <v>81</v>
      </c>
      <c r="N39" s="19" t="s">
        <v>82</v>
      </c>
      <c r="O39" s="19" t="s">
        <v>83</v>
      </c>
      <c r="P39" s="19" t="s">
        <v>84</v>
      </c>
    </row>
    <row r="40" spans="1:16">
      <c r="A40" s="21" t="s">
        <v>76</v>
      </c>
      <c r="B40" s="14">
        <f>COUNTIFS(totales!$C$2:$C$831,"morfológico",totales!$K$2:$K$831,3)</f>
        <v>22</v>
      </c>
      <c r="C40" s="12">
        <f>COUNTIFS(totales!$C$2:$C$831,"morfológico",totales!$D$2:$D$831,"temporal",totales!$K$2:$K$831,3)</f>
        <v>15</v>
      </c>
      <c r="D40" s="11">
        <f>COUNTIFS(totales!$C$2:$C$831,"morfológico",totales!$D$2:$D$831,"concesión",totales!$K$2:$K$831,3)</f>
        <v>0</v>
      </c>
      <c r="E40" s="11">
        <f>COUNTIFS(totales!$C$2:$C$831,"morfológico",totales!$D$2:$D$831,"exhortación",totales!$K$2:$K$831,3)</f>
        <v>0</v>
      </c>
      <c r="F40" s="11">
        <f>COUNTIFS(totales!$C$2:$C$831,"morfológico",totales!$D$2:$D$831,"hipótesis",totales!$K$2:$K$831,3)</f>
        <v>4</v>
      </c>
      <c r="G40" s="11">
        <f>COUNTIFS(totales!$C$2:$C$831,"morfológico",totales!$D$2:$D$831,"duda",totales!$K$2:$K$831,3)</f>
        <v>2</v>
      </c>
      <c r="H40" s="11">
        <f>COUNTIFS(totales!$C$2:$C$831,"morfológico",totales!$D$2:$D$831,"sorpresa",totales!$K$2:$K$831,3)</f>
        <v>1</v>
      </c>
      <c r="I40" s="29">
        <f>COUNTIFS(totales!$C$2:$C$831,"morfológico",totales!$D$2:$D$831,"marcador",totales!$K$2:$K$831,3)</f>
        <v>0</v>
      </c>
      <c r="J40" s="13">
        <f>COUNTIFS(totales!$C$2:$C$831,"morfológico",totales!$F$2:$F$831,1,totales!$K$2:$K$831,3)</f>
        <v>4</v>
      </c>
      <c r="K40" s="13"/>
      <c r="L40" s="13">
        <f>COUNTIFS(totales!$C$2:$C$831,"morfológico",totales!$E$2:$E$831,1,totales!$K$2:$K$831,3)</f>
        <v>5</v>
      </c>
      <c r="M40" s="13">
        <f>COUNTIFS(totales!$C$2:$C$831,"morfológico",totales!$E$2:$E$831,2,totales!$K$2:$K$831,3)</f>
        <v>0</v>
      </c>
      <c r="N40" s="13">
        <f>COUNTIFS(totales!$C$2:$C$831,"morfológico",totales!$E$2:$E$831,3,totales!$K$2:$K$831,3)</f>
        <v>14</v>
      </c>
      <c r="O40" s="13">
        <f>COUNTIFS(totales!$C$2:$C$831,"morfológico",totales!$E$2:$E$831,4,totales!$K$2:$K$831,3)</f>
        <v>1</v>
      </c>
      <c r="P40" s="23">
        <f>COUNTIFS(totales!$C$2:$C$831,"morfológico",totales!$E$2:$E$831,6,totales!$K$2:$K$831,3)</f>
        <v>2</v>
      </c>
    </row>
    <row r="41" spans="1:16">
      <c r="A41" s="21" t="s">
        <v>77</v>
      </c>
      <c r="B41" s="14">
        <f>COUNTIFS(totales!$C$2:$C$831,"analítico",totales!$K$2:$K$831,3)</f>
        <v>139</v>
      </c>
      <c r="C41" s="12">
        <f>COUNTIFS(totales!$C$2:$C$831,"analítico",totales!$D$2:$D$831,"temporal",totales!$K$2:$K$831,3)</f>
        <v>123</v>
      </c>
      <c r="D41" s="11">
        <f>COUNTIFS(totales!$C$2:$C$831,"analítico",totales!$D$2:$D$831,"concesión",totales!$K$2:$K$831,3)</f>
        <v>0</v>
      </c>
      <c r="E41" s="11">
        <f>COUNTIFS(totales!$C$2:$C$831,"analítico",totales!$D$2:$D$831,"exhortación",totales!$K$2:$K$831,3)</f>
        <v>15</v>
      </c>
      <c r="F41" s="11">
        <f>COUNTIFS(totales!$C$2:$C$831,"analítico",totales!$D$2:$D$831,"hipótesis",totales!$K$2:$K$831,3)</f>
        <v>0</v>
      </c>
      <c r="G41" s="11">
        <f>COUNTIFS(totales!$C$2:$C$831,"analítico",totales!$D$2:$D$831,"duda",totales!$K$2:$K$831,3)</f>
        <v>0</v>
      </c>
      <c r="H41" s="11">
        <f>COUNTIFS(totales!$C$2:$C$831,"analítico",totales!$D$2:$D$831,"sorpresa",totales!$K$2:$K$831,3)</f>
        <v>1</v>
      </c>
      <c r="I41" s="29">
        <f>COUNTIFS(totales!$C$2:$C$831,"analítico",totales!$D$2:$D$831,"marcador",totales!$K$2:$K$831,3)</f>
        <v>0</v>
      </c>
      <c r="J41" s="13">
        <f>COUNTIFS(totales!$C$2:$C$831,"analítico",totales!$F$2:$F$831,1,totales!$K$2:$K$831,3)</f>
        <v>30</v>
      </c>
      <c r="K41" s="13"/>
      <c r="L41" s="13">
        <f>COUNTIFS(totales!$C$2:$C$831,"analítico",totales!$E$2:$E$831,1,totales!$K$2:$K$831,3)</f>
        <v>34</v>
      </c>
      <c r="M41" s="13">
        <f>COUNTIFS(totales!$C$2:$C$831,"analítico",totales!$E$2:$E$831,2,totales!$K$2:$K$831,3)</f>
        <v>15</v>
      </c>
      <c r="N41" s="13">
        <f>COUNTIFS(totales!$C$2:$C$831,"analítico",totales!$E$2:$E$831,3,totales!$K$2:$K$831,3)</f>
        <v>46</v>
      </c>
      <c r="O41" s="13">
        <f>COUNTIFS(totales!$C$2:$C$831,"analítico",totales!$E$2:$E$831,4,totales!$K$2:$K$831,3)</f>
        <v>29</v>
      </c>
      <c r="P41" s="48">
        <f>COUNTIFS(totales!$C$2:$C$831,"analítico",totales!$E$2:$E$831,6,totales!$K$2:$K$831,3)</f>
        <v>15</v>
      </c>
    </row>
    <row r="42" spans="1:16">
      <c r="A42" s="21" t="s">
        <v>78</v>
      </c>
      <c r="B42" s="14">
        <f>COUNTIFS(totales!$C$2:$C$831,"presente",totales!$K$2:$K$831,3)</f>
        <v>18</v>
      </c>
      <c r="C42" s="12">
        <f>COUNTIFS(totales!$C$2:$C$831,"presente",totales!$D$2:$D$831,"temporal",totales!$K$2:$K$831,3)</f>
        <v>18</v>
      </c>
      <c r="D42" s="11">
        <f>COUNTIFS(totales!$C$2:$C$831,"presente",totales!$D$2:$D$831,"concesión",totales!$K$2:$K$831,3)</f>
        <v>0</v>
      </c>
      <c r="E42" s="11">
        <f>COUNTIFS(totales!$C$2:$C$831,"presente",totales!$D$2:$D$831,"exhortación",totales!$K$2:$K$831,3)</f>
        <v>0</v>
      </c>
      <c r="F42" s="11">
        <f>COUNTIFS(totales!$C$2:$C$831,"presente",totales!$D$2:$D$831,"hipótesis",totales!$K$2:$K$831,3)</f>
        <v>0</v>
      </c>
      <c r="G42" s="11">
        <f>COUNTIFS(totales!$C$2:$C$831,"presente",totales!$D$2:$D$831,"duda",totales!$K$2:$K$831,3)</f>
        <v>0</v>
      </c>
      <c r="H42" s="11">
        <f>COUNTIFS(totales!$C$2:$C$831,"presente",totales!$D$2:$D$831,"sorpresa",totales!$K$2:$K$831,3)</f>
        <v>0</v>
      </c>
      <c r="I42" s="29">
        <f>COUNTIFS(totales!$C$2:$C$831,"presente",totales!$D$2:$D$831,"marcador",totales!$K$2:$K$831,3)</f>
        <v>0</v>
      </c>
      <c r="J42" s="13">
        <f>COUNTIFS(totales!$C$2:$C$831,"presente",totales!$F$2:$F$831,1,totales!$K$2:$K$831,3)</f>
        <v>8</v>
      </c>
      <c r="K42" s="13"/>
      <c r="L42" s="13">
        <f>COUNTIFS(totales!$C$2:$C$831,"presente",totales!$E$2:$E$831,1,totales!$K$2:$K$831,3)</f>
        <v>1</v>
      </c>
      <c r="M42" s="13">
        <f>COUNTIFS(totales!$C$2:$C$831,"presente",totales!$E$2:$E$831,2,totales!$K$2:$K$831,3)</f>
        <v>4</v>
      </c>
      <c r="N42" s="13">
        <f>COUNTIFS(totales!$C$2:$C$831,"presente",totales!$E$2:$E$831,3,totales!$K$2:$K$831,3)</f>
        <v>11</v>
      </c>
      <c r="O42" s="13">
        <f>COUNTIFS(totales!$C$2:$C$831,"presente",totales!$E$2:$E$831,4,totales!$K$2:$K$831,3)</f>
        <v>2</v>
      </c>
      <c r="P42" s="48">
        <f>COUNTIFS(totales!$C$2:$C$831,"presente",totales!$E$2:$E$831,6,totales!$K$2:$K$831,3)</f>
        <v>0</v>
      </c>
    </row>
    <row r="43" spans="1:16">
      <c r="A43" s="22" t="s">
        <v>79</v>
      </c>
      <c r="B43" s="23">
        <f>COUNTIFS(totales!$C$2:$C$831,"continuo",totales!$K$2:$K$831,3)</f>
        <v>0</v>
      </c>
      <c r="C43" s="24">
        <f>COUNTIFS(totales!$C$2:$C$831,"continuo",totales!$D$2:$D$831,"temporal",totales!$K$2:$K$831,3)</f>
        <v>0</v>
      </c>
      <c r="D43" s="25">
        <f>COUNTIFS(totales!$C$2:$C$831,"continuo",totales!$D$2:$D$831,"concesión",totales!$K$2:$K$831,3)</f>
        <v>0</v>
      </c>
      <c r="E43" s="25">
        <f>COUNTIFS(totales!$C$2:$C$831,"continuo",totales!$D$2:$D$831,"exhortación",totales!$K$2:$K$831,3)</f>
        <v>0</v>
      </c>
      <c r="F43" s="25">
        <f>COUNTIFS(totales!$C$2:$C$831,"continuo",totales!$D$2:$D$831,"hipótesis",totales!$K$2:$K$831,3)</f>
        <v>0</v>
      </c>
      <c r="G43" s="25">
        <f>COUNTIFS(totales!$C$2:$C$831,"continuo",totales!$D$2:$D$831,"duda",totales!$K$2:$K$831,3)</f>
        <v>0</v>
      </c>
      <c r="H43" s="25">
        <f>COUNTIFS(totales!$C$2:$C$831,"continuo",totales!$D$2:$D$831,"sorpresa",totales!$K$2:$K$831,3)</f>
        <v>0</v>
      </c>
      <c r="I43" s="30">
        <f>COUNTIFS(totales!$C$2:$C$831,"continuo",totales!$D$2:$D$831,"marcador",totales!$K$2:$K$831,3)</f>
        <v>0</v>
      </c>
      <c r="J43" s="13">
        <f>COUNTIFS(totales!$C$2:$C$831,"continuo",totales!$F$2:$F$831,1,totales!$K$2:$K$831,3)</f>
        <v>0</v>
      </c>
      <c r="K43" s="13"/>
      <c r="L43" s="13">
        <f>COUNTIFS(totales!$C$2:$C$831,"continuo",totales!$E$2:$E$831,1,totales!$K$2:$K$831,3)</f>
        <v>0</v>
      </c>
      <c r="M43" s="13">
        <f>COUNTIFS(totales!$C$2:$C$831,"continuo",totales!$E$2:$E$831,2,totales!$K$2:$K$831,3)</f>
        <v>0</v>
      </c>
      <c r="N43" s="13">
        <f>COUNTIFS(totales!$C$2:$C$831,"continuo",totales!$E$2:$E$831,3,totales!$K$2:$K$831,3)</f>
        <v>0</v>
      </c>
      <c r="O43" s="13">
        <f>COUNTIFS(totales!$C$2:$C$831,"continuo",totales!$E$2:$E$831,4,totales!$K$2:$K$831,3)</f>
        <v>0</v>
      </c>
      <c r="P43" s="49">
        <f>COUNTIFS(totales!$C$2:$C$831,"continuo",totales!$E$2:$E$831,6,totales!$K$2:$K$831,3)</f>
        <v>0</v>
      </c>
    </row>
    <row r="44" spans="1:16">
      <c r="A44" s="31" t="s">
        <v>87</v>
      </c>
      <c r="B44" s="32">
        <f t="shared" ref="B44:I44" si="13">SUM(B40:B43)</f>
        <v>179</v>
      </c>
      <c r="C44" s="33">
        <f t="shared" si="13"/>
        <v>156</v>
      </c>
      <c r="D44" s="34">
        <f t="shared" si="13"/>
        <v>0</v>
      </c>
      <c r="E44" s="34">
        <f t="shared" si="13"/>
        <v>15</v>
      </c>
      <c r="F44" s="34">
        <f t="shared" si="13"/>
        <v>4</v>
      </c>
      <c r="G44" s="34">
        <f t="shared" si="13"/>
        <v>2</v>
      </c>
      <c r="H44" s="34">
        <f t="shared" si="13"/>
        <v>2</v>
      </c>
      <c r="I44" s="32">
        <f t="shared" si="13"/>
        <v>0</v>
      </c>
      <c r="J44" s="20"/>
      <c r="K44" s="20"/>
      <c r="L44" s="20"/>
      <c r="M44" s="20"/>
      <c r="N44" s="20"/>
      <c r="O44" s="20"/>
      <c r="P44" s="26"/>
    </row>
    <row r="47" spans="1:16" ht="15" thickBot="1">
      <c r="A47" t="s">
        <v>93</v>
      </c>
    </row>
    <row r="48" spans="1:16" ht="66" thickTop="1">
      <c r="A48" s="15"/>
      <c r="B48" s="36" t="s">
        <v>86</v>
      </c>
      <c r="C48" s="16" t="s">
        <v>8</v>
      </c>
      <c r="D48" s="17" t="s">
        <v>62</v>
      </c>
      <c r="E48" s="17" t="s">
        <v>20</v>
      </c>
      <c r="F48" s="17" t="s">
        <v>19</v>
      </c>
      <c r="G48" s="18" t="s">
        <v>230</v>
      </c>
      <c r="H48" s="18" t="s">
        <v>54</v>
      </c>
      <c r="I48" s="28" t="s">
        <v>75</v>
      </c>
      <c r="J48" s="27" t="s">
        <v>85</v>
      </c>
      <c r="K48" s="27"/>
      <c r="L48" s="19" t="s">
        <v>80</v>
      </c>
      <c r="M48" s="19" t="s">
        <v>81</v>
      </c>
      <c r="N48" s="19" t="s">
        <v>82</v>
      </c>
      <c r="O48" s="19" t="s">
        <v>83</v>
      </c>
      <c r="P48" s="19" t="s">
        <v>84</v>
      </c>
    </row>
    <row r="49" spans="1:16">
      <c r="A49" s="21" t="s">
        <v>76</v>
      </c>
      <c r="B49" s="14" t="e">
        <f>COUNTIFS(totales!$C$2:$C$831,"morfológico",totales!#REF!,1)</f>
        <v>#REF!</v>
      </c>
      <c r="C49" s="12" t="e">
        <f>COUNTIFS(totales!$C$2:$C$831,"morfológico",totales!$D$2:$D$831,"temporal",totales!#REF!,1)</f>
        <v>#REF!</v>
      </c>
      <c r="D49" s="11" t="e">
        <f>COUNTIFS(totales!$C$2:$C$831,"morfológico",totales!$D$2:$D$831,"concesión",totales!#REF!,1)</f>
        <v>#REF!</v>
      </c>
      <c r="E49" s="11" t="e">
        <f>COUNTIFS(totales!$C$2:$C$831,"morfológico",totales!$D$2:$D$831,"exhortación",totales!#REF!,1)</f>
        <v>#REF!</v>
      </c>
      <c r="F49" s="11" t="e">
        <f>COUNTIFS(totales!$C$2:$C$831,"morfológico",totales!$D$2:$D$831,"hipótesis",totales!#REF!,1)</f>
        <v>#REF!</v>
      </c>
      <c r="G49" s="11" t="e">
        <f>COUNTIFS(totales!$C$2:$C$831,"morfológico",totales!$D$2:$D$831,"duda",totales!#REF!,1)</f>
        <v>#REF!</v>
      </c>
      <c r="H49" s="11" t="e">
        <f>COUNTIFS(totales!$C$2:$C$831,"morfológico",totales!$D$2:$D$831,"sorpresa",totales!#REF!,1)</f>
        <v>#REF!</v>
      </c>
      <c r="I49" s="29" t="e">
        <f>COUNTIFS(totales!$C$2:$C$831,"morfológico",totales!$D$2:$D$831,"marcador",totales!#REF!,1)</f>
        <v>#REF!</v>
      </c>
      <c r="J49" s="13" t="e">
        <f>COUNTIFS(totales!$C$2:$C$831,"morfológico",totales!$F$2:$F$831,1,totales!#REF!,1)</f>
        <v>#REF!</v>
      </c>
      <c r="K49" s="13"/>
      <c r="L49" s="13" t="e">
        <f>COUNTIFS(totales!$C$2:$C$831,"morfológico",totales!$E$2:$E$831,1,totales!#REF!,1)</f>
        <v>#REF!</v>
      </c>
      <c r="M49" s="13" t="e">
        <f>COUNTIFS(totales!$C$2:$C$831,"morfológico",totales!$E$2:$E$831,2,totales!#REF!,1)</f>
        <v>#REF!</v>
      </c>
      <c r="N49" s="13" t="e">
        <f>COUNTIFS(totales!$C$2:$C$831,"morfológico",totales!$E$2:$E$831,3,totales!#REF!,1)</f>
        <v>#REF!</v>
      </c>
      <c r="O49" s="13" t="e">
        <f>COUNTIFS(totales!$C$2:$C$831,"morfológico",totales!$E$2:$E$831,4,totales!#REF!,1)</f>
        <v>#REF!</v>
      </c>
      <c r="P49" s="23" t="e">
        <f>COUNTIFS(totales!$C$2:$C$831,"morfológico",totales!$E$2:$E$831,6,totales!#REF!,1)</f>
        <v>#REF!</v>
      </c>
    </row>
    <row r="50" spans="1:16">
      <c r="A50" s="21" t="s">
        <v>77</v>
      </c>
      <c r="B50" s="14" t="e">
        <f>COUNTIFS(totales!$C$2:$C$831,"analítico",totales!#REF!,1)</f>
        <v>#REF!</v>
      </c>
      <c r="C50" s="12" t="e">
        <f>COUNTIFS(totales!$C$2:$C$831,"analítico",totales!$D$2:$D$831,"temporal",totales!#REF!,1)</f>
        <v>#REF!</v>
      </c>
      <c r="D50" s="11" t="e">
        <f>COUNTIFS(totales!$C$2:$C$831,"analítico",totales!$D$2:$D$831,"concesión",totales!#REF!,1)</f>
        <v>#REF!</v>
      </c>
      <c r="E50" s="11" t="e">
        <f>COUNTIFS(totales!$C$2:$C$831,"analítico",totales!$D$2:$D$831,"exhortación",totales!#REF!,1)</f>
        <v>#REF!</v>
      </c>
      <c r="F50" s="11" t="e">
        <f>COUNTIFS(totales!$C$2:$C$831,"analítico",totales!$D$2:$D$831,"hipótesis",totales!#REF!,1)</f>
        <v>#REF!</v>
      </c>
      <c r="G50" s="11" t="e">
        <f>COUNTIFS(totales!$C$2:$C$831,"analítico",totales!$D$2:$D$831,"duda",totales!#REF!,1)</f>
        <v>#REF!</v>
      </c>
      <c r="H50" s="11" t="e">
        <f>COUNTIFS(totales!$C$2:$C$831,"analítico",totales!$D$2:$D$831,"sorpresa",totales!#REF!,1)</f>
        <v>#REF!</v>
      </c>
      <c r="I50" s="29" t="e">
        <f>COUNTIFS(totales!$C$2:$C$831,"analítico",totales!$D$2:$D$831,"marcador",totales!#REF!,1)</f>
        <v>#REF!</v>
      </c>
      <c r="J50" s="13" t="e">
        <f>COUNTIFS(totales!$C$2:$C$831,"analítico",totales!$F$2:$F$831,1,totales!#REF!,1)</f>
        <v>#REF!</v>
      </c>
      <c r="K50" s="13"/>
      <c r="L50" s="13" t="e">
        <f>COUNTIFS(totales!$C$2:$C$831,"analítico",totales!$E$2:$E$831,1,totales!#REF!,1)</f>
        <v>#REF!</v>
      </c>
      <c r="M50" s="13" t="e">
        <f>COUNTIFS(totales!$C$2:$C$831,"analítico",totales!$E$2:$E$831,2,totales!#REF!,1)</f>
        <v>#REF!</v>
      </c>
      <c r="N50" s="13" t="e">
        <f>COUNTIFS(totales!$C$2:$C$831,"analítico",totales!$E$2:$E$831,3,totales!#REF!,1)</f>
        <v>#REF!</v>
      </c>
      <c r="O50" s="13" t="e">
        <f>COUNTIFS(totales!$C$2:$C$831,"analítico",totales!$E$2:$E$831,4,totales!#REF!,1)</f>
        <v>#REF!</v>
      </c>
      <c r="P50" s="48" t="e">
        <f>COUNTIFS(totales!$C$2:$C$831,"analítico",totales!$E$2:$E$831,6,totales!#REF!,1)</f>
        <v>#REF!</v>
      </c>
    </row>
    <row r="51" spans="1:16">
      <c r="A51" s="21" t="s">
        <v>78</v>
      </c>
      <c r="B51" s="14" t="e">
        <f>COUNTIFS(totales!$C$2:$C$831,"presente",totales!#REF!,1)</f>
        <v>#REF!</v>
      </c>
      <c r="C51" s="12" t="e">
        <f>COUNTIFS(totales!$C$2:$C$831,"presente",totales!$D$2:$D$831,"temporal",totales!#REF!,1)</f>
        <v>#REF!</v>
      </c>
      <c r="D51" s="11" t="e">
        <f>COUNTIFS(totales!$C$2:$C$831,"presente",totales!$D$2:$D$831,"concesión",totales!#REF!,1)</f>
        <v>#REF!</v>
      </c>
      <c r="E51" s="11" t="e">
        <f>COUNTIFS(totales!$C$2:$C$831,"presente",totales!$D$2:$D$831,"exhortación",totales!#REF!,1)</f>
        <v>#REF!</v>
      </c>
      <c r="F51" s="11" t="e">
        <f>COUNTIFS(totales!$C$2:$C$831,"presente",totales!$D$2:$D$831,"hipótesis",totales!#REF!,1)</f>
        <v>#REF!</v>
      </c>
      <c r="G51" s="11" t="e">
        <f>COUNTIFS(totales!$C$2:$C$831,"presente",totales!$D$2:$D$831,"duda",totales!#REF!,1)</f>
        <v>#REF!</v>
      </c>
      <c r="H51" s="11" t="e">
        <f>COUNTIFS(totales!$C$2:$C$831,"presente",totales!$D$2:$D$831,"sorpresa",totales!#REF!,1)</f>
        <v>#REF!</v>
      </c>
      <c r="I51" s="29" t="e">
        <f>COUNTIFS(totales!$C$2:$C$831,"presente",totales!$D$2:$D$831,"marcador",totales!#REF!,1)</f>
        <v>#REF!</v>
      </c>
      <c r="J51" s="13" t="e">
        <f>COUNTIFS(totales!$C$2:$C$831,"presente",totales!$F$2:$F$831,1,totales!#REF!,1)</f>
        <v>#REF!</v>
      </c>
      <c r="K51" s="13"/>
      <c r="L51" s="13" t="e">
        <f>COUNTIFS(totales!$C$2:$C$831,"presente",totales!$E$2:$E$831,1,totales!#REF!,1)</f>
        <v>#REF!</v>
      </c>
      <c r="M51" s="13" t="e">
        <f>COUNTIFS(totales!$C$2:$C$831,"presente",totales!$E$2:$E$831,2,totales!#REF!,1)</f>
        <v>#REF!</v>
      </c>
      <c r="N51" s="13" t="e">
        <f>COUNTIFS(totales!$C$2:$C$831,"presente",totales!$E$2:$E$831,3,totales!#REF!,1)</f>
        <v>#REF!</v>
      </c>
      <c r="O51" s="13" t="e">
        <f>COUNTIFS(totales!$C$2:$C$831,"presente",totales!$E$2:$E$831,4,totales!#REF!,1)</f>
        <v>#REF!</v>
      </c>
      <c r="P51" s="48" t="e">
        <f>COUNTIFS(totales!$C$2:$C$831,"presente",totales!$E$2:$E$831,6,totales!#REF!,1)</f>
        <v>#REF!</v>
      </c>
    </row>
    <row r="52" spans="1:16">
      <c r="A52" s="22" t="s">
        <v>79</v>
      </c>
      <c r="B52" s="23" t="e">
        <f>COUNTIFS(totales!$C$2:$C$831,"continuo",totales!#REF!,1)</f>
        <v>#REF!</v>
      </c>
      <c r="C52" s="24" t="e">
        <f>COUNTIFS(totales!$C$2:$C$831,"continuo",totales!$D$2:$D$831,"temporal",totales!#REF!,1)</f>
        <v>#REF!</v>
      </c>
      <c r="D52" s="25" t="e">
        <f>COUNTIFS(totales!$C$2:$C$831,"continuo",totales!$D$2:$D$831,"concesión",totales!#REF!,1)</f>
        <v>#REF!</v>
      </c>
      <c r="E52" s="25" t="e">
        <f>COUNTIFS(totales!$C$2:$C$831,"continuo",totales!$D$2:$D$831,"exhortación",totales!#REF!,1)</f>
        <v>#REF!</v>
      </c>
      <c r="F52" s="25" t="e">
        <f>COUNTIFS(totales!$C$2:$C$831,"continuo",totales!$D$2:$D$831,"hipótesis",totales!#REF!,1)</f>
        <v>#REF!</v>
      </c>
      <c r="G52" s="25" t="e">
        <f>COUNTIFS(totales!$C$2:$C$831,"continuo",totales!$D$2:$D$831,"duda",totales!#REF!,1)</f>
        <v>#REF!</v>
      </c>
      <c r="H52" s="25" t="e">
        <f>COUNTIFS(totales!$C$2:$C$831,"continuo",totales!$D$2:$D$831,"sorpresa",totales!#REF!,1)</f>
        <v>#REF!</v>
      </c>
      <c r="I52" s="30" t="e">
        <f>COUNTIFS(totales!$C$2:$C$831,"continuo",totales!$D$2:$D$831,"marcador",totales!#REF!,1)</f>
        <v>#REF!</v>
      </c>
      <c r="J52" s="13" t="e">
        <f>COUNTIFS(totales!$C$2:$C$831,"continuo",totales!$F$2:$F$831,1,totales!#REF!,1)</f>
        <v>#REF!</v>
      </c>
      <c r="K52" s="13"/>
      <c r="L52" s="13" t="e">
        <f>COUNTIFS(totales!$C$2:$C$831,"continuo",totales!$E$2:$E$831,1,totales!#REF!,1)</f>
        <v>#REF!</v>
      </c>
      <c r="M52" s="13" t="e">
        <f>COUNTIFS(totales!$C$2:$C$831,"continuo",totales!$E$2:$E$831,2,totales!#REF!,1)</f>
        <v>#REF!</v>
      </c>
      <c r="N52" s="13" t="e">
        <f>COUNTIFS(totales!$C$2:$C$831,"continuo",totales!$E$2:$E$831,3,totales!#REF!,1)</f>
        <v>#REF!</v>
      </c>
      <c r="O52" s="13" t="e">
        <f>COUNTIFS(totales!$C$2:$C$831,"continuo",totales!$E$2:$E$831,4,totales!#REF!,1)</f>
        <v>#REF!</v>
      </c>
      <c r="P52" s="49" t="e">
        <f>COUNTIFS(totales!$C$2:$C$831,"continuo",totales!$E$2:$E$831,6,totales!#REF!,1)</f>
        <v>#REF!</v>
      </c>
    </row>
    <row r="53" spans="1:16">
      <c r="A53" s="31" t="s">
        <v>87</v>
      </c>
      <c r="B53" s="32" t="e">
        <f t="shared" ref="B53:I53" si="14">SUM(B49:B52)</f>
        <v>#REF!</v>
      </c>
      <c r="C53" s="33" t="e">
        <f t="shared" si="14"/>
        <v>#REF!</v>
      </c>
      <c r="D53" s="34" t="e">
        <f t="shared" si="14"/>
        <v>#REF!</v>
      </c>
      <c r="E53" s="34" t="e">
        <f t="shared" si="14"/>
        <v>#REF!</v>
      </c>
      <c r="F53" s="34" t="e">
        <f t="shared" si="14"/>
        <v>#REF!</v>
      </c>
      <c r="G53" s="34" t="e">
        <f t="shared" ref="G53" si="15">SUM(G49:G52)</f>
        <v>#REF!</v>
      </c>
      <c r="H53" s="34" t="e">
        <f t="shared" si="14"/>
        <v>#REF!</v>
      </c>
      <c r="I53" s="32" t="e">
        <f t="shared" si="14"/>
        <v>#REF!</v>
      </c>
      <c r="J53" s="20"/>
      <c r="K53" s="20"/>
      <c r="L53" s="20"/>
      <c r="M53" s="20"/>
      <c r="N53" s="20"/>
      <c r="O53" s="20"/>
      <c r="P53" s="26"/>
    </row>
    <row r="55" spans="1:16" ht="15" thickBot="1">
      <c r="A55" s="35" t="s">
        <v>94</v>
      </c>
    </row>
    <row r="56" spans="1:16" ht="66" thickTop="1">
      <c r="A56" s="15"/>
      <c r="B56" s="36" t="s">
        <v>86</v>
      </c>
      <c r="C56" s="16" t="s">
        <v>8</v>
      </c>
      <c r="D56" s="17" t="s">
        <v>62</v>
      </c>
      <c r="E56" s="17" t="s">
        <v>20</v>
      </c>
      <c r="F56" s="17" t="s">
        <v>19</v>
      </c>
      <c r="G56" s="18"/>
      <c r="H56" s="18" t="s">
        <v>54</v>
      </c>
      <c r="I56" s="28" t="s">
        <v>75</v>
      </c>
      <c r="J56" s="27" t="s">
        <v>85</v>
      </c>
      <c r="K56" s="27"/>
      <c r="L56" s="19" t="s">
        <v>80</v>
      </c>
      <c r="M56" s="19" t="s">
        <v>81</v>
      </c>
      <c r="N56" s="19" t="s">
        <v>82</v>
      </c>
      <c r="O56" s="19" t="s">
        <v>83</v>
      </c>
      <c r="P56" s="19" t="s">
        <v>84</v>
      </c>
    </row>
    <row r="57" spans="1:16">
      <c r="A57" s="21" t="s">
        <v>76</v>
      </c>
      <c r="B57" s="14" t="e">
        <f>COUNTIFS(totales!$C$2:$C$831,"morfológico",totales!#REF!,2)</f>
        <v>#REF!</v>
      </c>
      <c r="C57" s="12" t="e">
        <f>COUNTIFS(totales!$C$2:$C$831,"morfológico",totales!$D$2:$D$831,"temporal",totales!#REF!,2)</f>
        <v>#REF!</v>
      </c>
      <c r="D57" s="11" t="e">
        <f>COUNTIFS(totales!$C$2:$C$831,"morfológico",totales!$D$2:$D$831,"concesión",totales!#REF!,2)</f>
        <v>#REF!</v>
      </c>
      <c r="E57" s="11" t="e">
        <f>COUNTIFS(totales!$C$2:$C$831,"morfológico",totales!$D$2:$D$831,"exhortación",totales!#REF!,2)</f>
        <v>#REF!</v>
      </c>
      <c r="F57" s="11" t="e">
        <f>COUNTIFS(totales!$C$2:$C$831,"morfológico",totales!$D$2:$D$831,"hipótesis",totales!#REF!,2)</f>
        <v>#REF!</v>
      </c>
      <c r="G57" s="11" t="e">
        <f>COUNTIFS(totales!$C$2:$C$831,"morfológico",totales!$D$2:$D$831,"duda",totales!#REF!,2)</f>
        <v>#REF!</v>
      </c>
      <c r="H57" s="11" t="e">
        <f>COUNTIFS(totales!$C$2:$C$831,"morfológico",totales!$D$2:$D$831,"sorpresa",totales!#REF!,2)</f>
        <v>#REF!</v>
      </c>
      <c r="I57" s="29" t="e">
        <f>COUNTIFS(totales!$C$2:$C$831,"morfológico",totales!$D$2:$D$831,"marcador",totales!#REF!,2)</f>
        <v>#REF!</v>
      </c>
      <c r="J57" s="13" t="e">
        <f>COUNTIFS(totales!$C$2:$C$831,"morfológico",totales!$F$2:$F$831,1,totales!#REF!,2)</f>
        <v>#REF!</v>
      </c>
      <c r="K57" s="13"/>
      <c r="L57" s="13" t="e">
        <f>COUNTIFS(totales!$C$2:$C$831,"morfológico",totales!$E$2:$E$831,1,totales!#REF!,2)</f>
        <v>#REF!</v>
      </c>
      <c r="M57" s="13" t="e">
        <f>COUNTIFS(totales!$C$2:$C$831,"morfológico",totales!$E$2:$E$831,2,totales!#REF!,2)</f>
        <v>#REF!</v>
      </c>
      <c r="N57" s="13" t="e">
        <f>COUNTIFS(totales!$C$2:$C$831,"morfológico",totales!$E$2:$E$831,3,totales!#REF!,2)</f>
        <v>#REF!</v>
      </c>
      <c r="O57" s="13" t="e">
        <f>COUNTIFS(totales!$C$2:$C$831,"morfológico",totales!$E$2:$E$831,4,totales!#REF!,2)</f>
        <v>#REF!</v>
      </c>
      <c r="P57" s="23" t="e">
        <f>COUNTIFS(totales!$C$2:$C$831,"morfológico",totales!$E$2:$E$831,6,totales!#REF!,2)</f>
        <v>#REF!</v>
      </c>
    </row>
    <row r="58" spans="1:16">
      <c r="A58" s="21" t="s">
        <v>77</v>
      </c>
      <c r="B58" s="14" t="e">
        <f>COUNTIFS(totales!$C$2:$C$831,"analítico",totales!#REF!,2)</f>
        <v>#REF!</v>
      </c>
      <c r="C58" s="12" t="e">
        <f>COUNTIFS(totales!$C$2:$C$831,"analítico",totales!$D$2:$D$831,"temporal",totales!#REF!,2)</f>
        <v>#REF!</v>
      </c>
      <c r="D58" s="11" t="e">
        <f>COUNTIFS(totales!$C$2:$C$831,"analítico",totales!$D$2:$D$831,"concesión",totales!#REF!,2)</f>
        <v>#REF!</v>
      </c>
      <c r="E58" s="11" t="e">
        <f>COUNTIFS(totales!$C$2:$C$831,"analítico",totales!$D$2:$D$831,"exhortación",totales!#REF!,2)</f>
        <v>#REF!</v>
      </c>
      <c r="F58" s="11" t="e">
        <f>COUNTIFS(totales!$C$2:$C$831,"analítico",totales!$D$2:$D$831,"hipótesis",totales!#REF!,2)</f>
        <v>#REF!</v>
      </c>
      <c r="G58" s="11" t="e">
        <f>COUNTIFS(totales!$C$2:$C$831,"analítico",totales!$D$2:$D$831,"duda",totales!#REF!,2)</f>
        <v>#REF!</v>
      </c>
      <c r="H58" s="11" t="e">
        <f>COUNTIFS(totales!$C$2:$C$831,"analítico",totales!$D$2:$D$831,"sorpresa",totales!#REF!,2)</f>
        <v>#REF!</v>
      </c>
      <c r="I58" s="29" t="e">
        <f>COUNTIFS(totales!$C$2:$C$831,"analítico",totales!$D$2:$D$831,"marcador",totales!#REF!,2)</f>
        <v>#REF!</v>
      </c>
      <c r="J58" s="13" t="e">
        <f>COUNTIFS(totales!$C$2:$C$831,"analítico",totales!$F$2:$F$831,1,totales!#REF!,2)</f>
        <v>#REF!</v>
      </c>
      <c r="K58" s="13"/>
      <c r="L58" s="13" t="e">
        <f>COUNTIFS(totales!$C$2:$C$831,"analítico",totales!$E$2:$E$831,1,totales!#REF!,2)</f>
        <v>#REF!</v>
      </c>
      <c r="M58" s="13" t="e">
        <f>COUNTIFS(totales!$C$2:$C$831,"analítico",totales!$E$2:$E$831,2,totales!#REF!,2)</f>
        <v>#REF!</v>
      </c>
      <c r="N58" s="13" t="e">
        <f>COUNTIFS(totales!$C$2:$C$831,"analítico",totales!$E$2:$E$831,3,totales!#REF!,2)</f>
        <v>#REF!</v>
      </c>
      <c r="O58" s="13" t="e">
        <f>COUNTIFS(totales!$C$2:$C$831,"analítico",totales!$E$2:$E$831,4,totales!#REF!,2)</f>
        <v>#REF!</v>
      </c>
      <c r="P58" s="48" t="e">
        <f>COUNTIFS(totales!$C$2:$C$831,"analítico",totales!$E$2:$E$831,6,totales!#REF!,2)</f>
        <v>#REF!</v>
      </c>
    </row>
    <row r="59" spans="1:16">
      <c r="A59" s="21" t="s">
        <v>78</v>
      </c>
      <c r="B59" s="14" t="e">
        <f>COUNTIFS(totales!$C$2:$C$831,"presente",totales!#REF!,2)</f>
        <v>#REF!</v>
      </c>
      <c r="C59" s="12" t="e">
        <f>COUNTIFS(totales!$C$2:$C$831,"presente",totales!$D$2:$D$831,"temporal",totales!#REF!,2)</f>
        <v>#REF!</v>
      </c>
      <c r="D59" s="11" t="e">
        <f>COUNTIFS(totales!$C$2:$C$831,"presente",totales!$D$2:$D$831,"concesión",totales!#REF!,2)</f>
        <v>#REF!</v>
      </c>
      <c r="E59" s="11" t="e">
        <f>COUNTIFS(totales!$C$2:$C$831,"presente",totales!$D$2:$D$831,"exhortación",totales!#REF!,2)</f>
        <v>#REF!</v>
      </c>
      <c r="F59" s="11" t="e">
        <f>COUNTIFS(totales!$C$2:$C$831,"presente",totales!$D$2:$D$831,"hipótesis",totales!#REF!,2)</f>
        <v>#REF!</v>
      </c>
      <c r="G59" s="11" t="e">
        <f>COUNTIFS(totales!$C$2:$C$831,"presente",totales!$D$2:$D$831,"duda",totales!#REF!,2)</f>
        <v>#REF!</v>
      </c>
      <c r="H59" s="11" t="e">
        <f>COUNTIFS(totales!$C$2:$C$831,"presente",totales!$D$2:$D$831,"sorpresa",totales!#REF!,2)</f>
        <v>#REF!</v>
      </c>
      <c r="I59" s="29" t="e">
        <f>COUNTIFS(totales!$C$2:$C$831,"presente",totales!$D$2:$D$831,"marcador",totales!#REF!,2)</f>
        <v>#REF!</v>
      </c>
      <c r="J59" s="13" t="e">
        <f>COUNTIFS(totales!$C$2:$C$831,"presente",totales!$F$2:$F$831,1,totales!#REF!,2)</f>
        <v>#REF!</v>
      </c>
      <c r="K59" s="13"/>
      <c r="L59" s="13" t="e">
        <f>COUNTIFS(totales!$C$2:$C$831,"presente",totales!$E$2:$E$831,1,totales!#REF!,2)</f>
        <v>#REF!</v>
      </c>
      <c r="M59" s="13" t="e">
        <f>COUNTIFS(totales!$C$2:$C$831,"presente",totales!$E$2:$E$831,2,totales!#REF!,2)</f>
        <v>#REF!</v>
      </c>
      <c r="N59" s="13" t="e">
        <f>COUNTIFS(totales!$C$2:$C$831,"presente",totales!$E$2:$E$831,3,totales!#REF!,2)</f>
        <v>#REF!</v>
      </c>
      <c r="O59" s="13" t="e">
        <f>COUNTIFS(totales!$C$2:$C$831,"presente",totales!$E$2:$E$831,4,totales!#REF!,2)</f>
        <v>#REF!</v>
      </c>
      <c r="P59" s="48" t="e">
        <f>COUNTIFS(totales!$C$2:$C$831,"presente",totales!$E$2:$E$831,6,totales!#REF!,2)</f>
        <v>#REF!</v>
      </c>
    </row>
    <row r="60" spans="1:16">
      <c r="A60" s="22" t="s">
        <v>79</v>
      </c>
      <c r="B60" s="23" t="e">
        <f>COUNTIFS(totales!$C$2:$C$831,"continuo",totales!#REF!,2)</f>
        <v>#REF!</v>
      </c>
      <c r="C60" s="24" t="e">
        <f>COUNTIFS(totales!$C$2:$C$831,"continuo",totales!$D$2:$D$831,"temporal",totales!#REF!,2)</f>
        <v>#REF!</v>
      </c>
      <c r="D60" s="25" t="e">
        <f>COUNTIFS(totales!$C$2:$C$831,"continuo",totales!$D$2:$D$831,"concesión",totales!#REF!,2)</f>
        <v>#REF!</v>
      </c>
      <c r="E60" s="25" t="e">
        <f>COUNTIFS(totales!$C$2:$C$831,"continuo",totales!$D$2:$D$831,"exhortación",totales!#REF!,2)</f>
        <v>#REF!</v>
      </c>
      <c r="F60" s="25" t="e">
        <f>COUNTIFS(totales!$C$2:$C$831,"continuo",totales!$D$2:$D$831,"hipótesis",totales!#REF!,2)</f>
        <v>#REF!</v>
      </c>
      <c r="G60" s="25" t="e">
        <f>COUNTIFS(totales!$C$2:$C$831,"continuo",totales!$D$2:$D$831,"duda",totales!#REF!,2)</f>
        <v>#REF!</v>
      </c>
      <c r="H60" s="25" t="e">
        <f>COUNTIFS(totales!$C$2:$C$831,"continuo",totales!$D$2:$D$831,"sorpresa",totales!#REF!,2)</f>
        <v>#REF!</v>
      </c>
      <c r="I60" s="30" t="e">
        <f>COUNTIFS(totales!$C$2:$C$831,"continuo",totales!$D$2:$D$831,"marcador",totales!#REF!,2)</f>
        <v>#REF!</v>
      </c>
      <c r="J60" s="13" t="e">
        <f>COUNTIFS(totales!$C$2:$C$831,"continuo",totales!$F$2:$F$831,1,totales!#REF!,2)</f>
        <v>#REF!</v>
      </c>
      <c r="K60" s="13"/>
      <c r="L60" s="13" t="e">
        <f>COUNTIFS(totales!$C$2:$C$831,"continuo",totales!$E$2:$E$831,1,totales!#REF!,2)</f>
        <v>#REF!</v>
      </c>
      <c r="M60" s="13" t="e">
        <f>COUNTIFS(totales!$C$2:$C$831,"continuo",totales!$E$2:$E$831,2,totales!#REF!,2)</f>
        <v>#REF!</v>
      </c>
      <c r="N60" s="13" t="e">
        <f>COUNTIFS(totales!$C$2:$C$831,"continuo",totales!$E$2:$E$831,3,totales!#REF!,2)</f>
        <v>#REF!</v>
      </c>
      <c r="O60" s="13" t="e">
        <f>COUNTIFS(totales!$C$2:$C$831,"continuo",totales!$E$2:$E$831,4,totales!#REF!,2)</f>
        <v>#REF!</v>
      </c>
      <c r="P60" s="49" t="e">
        <f>COUNTIFS(totales!$C$2:$C$831,"continuo",totales!$E$2:$E$831,6,totales!#REF!,2)</f>
        <v>#REF!</v>
      </c>
    </row>
    <row r="61" spans="1:16">
      <c r="A61" s="31" t="s">
        <v>87</v>
      </c>
      <c r="B61" s="32" t="e">
        <f t="shared" ref="B61:I61" si="16">SUM(B57:B60)</f>
        <v>#REF!</v>
      </c>
      <c r="C61" s="33" t="e">
        <f t="shared" si="16"/>
        <v>#REF!</v>
      </c>
      <c r="D61" s="34" t="e">
        <f t="shared" si="16"/>
        <v>#REF!</v>
      </c>
      <c r="E61" s="34" t="e">
        <f t="shared" si="16"/>
        <v>#REF!</v>
      </c>
      <c r="F61" s="34" t="e">
        <f t="shared" si="16"/>
        <v>#REF!</v>
      </c>
      <c r="G61" s="34" t="e">
        <f t="shared" ref="G61" si="17">SUM(G57:G60)</f>
        <v>#REF!</v>
      </c>
      <c r="H61" s="34" t="e">
        <f t="shared" si="16"/>
        <v>#REF!</v>
      </c>
      <c r="I61" s="32" t="e">
        <f t="shared" si="16"/>
        <v>#REF!</v>
      </c>
      <c r="J61" s="20"/>
      <c r="K61" s="20"/>
      <c r="L61" s="20"/>
      <c r="M61" s="20"/>
      <c r="N61" s="20"/>
      <c r="O61" s="20"/>
      <c r="P61" s="26"/>
    </row>
    <row r="63" spans="1:16" ht="15" thickBot="1">
      <c r="A63" s="35" t="s">
        <v>95</v>
      </c>
    </row>
    <row r="64" spans="1:16" ht="66" thickTop="1">
      <c r="A64" s="15"/>
      <c r="B64" s="36" t="s">
        <v>86</v>
      </c>
      <c r="C64" s="16" t="s">
        <v>8</v>
      </c>
      <c r="D64" s="17" t="s">
        <v>62</v>
      </c>
      <c r="E64" s="17" t="s">
        <v>20</v>
      </c>
      <c r="F64" s="17" t="s">
        <v>19</v>
      </c>
      <c r="G64" s="18" t="s">
        <v>230</v>
      </c>
      <c r="H64" s="18" t="s">
        <v>54</v>
      </c>
      <c r="I64" s="28" t="s">
        <v>75</v>
      </c>
      <c r="J64" s="27" t="s">
        <v>85</v>
      </c>
      <c r="K64" s="27"/>
      <c r="L64" s="19" t="s">
        <v>80</v>
      </c>
      <c r="M64" s="19" t="s">
        <v>81</v>
      </c>
      <c r="N64" s="19" t="s">
        <v>82</v>
      </c>
      <c r="O64" s="19" t="s">
        <v>83</v>
      </c>
      <c r="P64" s="19" t="s">
        <v>84</v>
      </c>
    </row>
    <row r="65" spans="1:16">
      <c r="A65" s="21" t="s">
        <v>76</v>
      </c>
      <c r="B65" s="14" t="e">
        <f>COUNTIFS(totales!$C$2:$C$831,"morfológico",totales!#REF!,3)</f>
        <v>#REF!</v>
      </c>
      <c r="C65" s="12" t="e">
        <f>COUNTIFS(totales!$C$2:$C$831,"morfológico",totales!$D$2:$D$831,"temporal",totales!#REF!,3)</f>
        <v>#REF!</v>
      </c>
      <c r="D65" s="11" t="e">
        <f>COUNTIFS(totales!$C$2:$C$831,"morfológico",totales!$D$2:$D$831,"concesión",totales!#REF!,3)</f>
        <v>#REF!</v>
      </c>
      <c r="E65" s="11" t="e">
        <f>COUNTIFS(totales!$C$2:$C$831,"morfológico",totales!$D$2:$D$831,"exhortación",totales!#REF!,3)</f>
        <v>#REF!</v>
      </c>
      <c r="F65" s="11" t="e">
        <f>COUNTIFS(totales!$C$2:$C$831,"morfológico",totales!$D$2:$D$831,"hipótesis",totales!#REF!,3)</f>
        <v>#REF!</v>
      </c>
      <c r="G65" s="11" t="e">
        <f>COUNTIFS(totales!$C$2:$C$831,"morfológico",totales!$D$2:$D$831,"duda",totales!#REF!,3)</f>
        <v>#REF!</v>
      </c>
      <c r="H65" s="11" t="e">
        <f>COUNTIFS(totales!$C$2:$C$831,"morfológico",totales!$D$2:$D$831,"sorpresa",totales!#REF!,3)</f>
        <v>#REF!</v>
      </c>
      <c r="I65" s="29" t="e">
        <f>COUNTIFS(totales!$C$2:$C$831,"morfológico",totales!$D$2:$D$831,"marcador",totales!#REF!,3)</f>
        <v>#REF!</v>
      </c>
      <c r="J65" s="13" t="e">
        <f>COUNTIFS(totales!$C$2:$C$831,"morfológico",totales!$F$2:$F$831,1,totales!#REF!,3)</f>
        <v>#REF!</v>
      </c>
      <c r="K65" s="13"/>
      <c r="L65" s="13" t="e">
        <f>COUNTIFS(totales!$C$2:$C$831,"morfológico",totales!$E$2:$E$831,1,totales!#REF!,3)</f>
        <v>#REF!</v>
      </c>
      <c r="M65" s="13" t="e">
        <f>COUNTIFS(totales!$C$2:$C$831,"morfológico",totales!$E$2:$E$831,2,totales!#REF!,3)</f>
        <v>#REF!</v>
      </c>
      <c r="N65" s="13" t="e">
        <f>COUNTIFS(totales!$C$2:$C$831,"morfológico",totales!$E$2:$E$831,3,totales!#REF!,3)</f>
        <v>#REF!</v>
      </c>
      <c r="O65" s="13" t="e">
        <f>COUNTIFS(totales!$C$2:$C$831,"morfológico",totales!$E$2:$E$831,4,totales!#REF!,3)</f>
        <v>#REF!</v>
      </c>
      <c r="P65" s="23" t="e">
        <f>COUNTIFS(totales!$C$2:$C$831,"morfológico",totales!$E$2:$E$831,6,totales!#REF!,3)</f>
        <v>#REF!</v>
      </c>
    </row>
    <row r="66" spans="1:16">
      <c r="A66" s="21" t="s">
        <v>77</v>
      </c>
      <c r="B66" s="14" t="e">
        <f>COUNTIFS(totales!$C$2:$C$831,"analítico",totales!#REF!,3)</f>
        <v>#REF!</v>
      </c>
      <c r="C66" s="12" t="e">
        <f>COUNTIFS(totales!$C$2:$C$831,"analítico",totales!$D$2:$D$831,"temporal",totales!#REF!,3)</f>
        <v>#REF!</v>
      </c>
      <c r="D66" s="11" t="e">
        <f>COUNTIFS(totales!$C$2:$C$831,"analítico",totales!$D$2:$D$831,"concesión",totales!#REF!,3)</f>
        <v>#REF!</v>
      </c>
      <c r="E66" s="11" t="e">
        <f>COUNTIFS(totales!$C$2:$C$831,"analítico",totales!$D$2:$D$831,"exhortación",totales!#REF!,3)</f>
        <v>#REF!</v>
      </c>
      <c r="F66" s="11" t="e">
        <f>COUNTIFS(totales!$C$2:$C$831,"analítico",totales!$D$2:$D$831,"hipótesis",totales!#REF!,3)</f>
        <v>#REF!</v>
      </c>
      <c r="G66" s="11" t="e">
        <f>COUNTIFS(totales!$C$2:$C$831,"analítico",totales!$D$2:$D$831,"duda",totales!#REF!,3)</f>
        <v>#REF!</v>
      </c>
      <c r="H66" s="11" t="e">
        <f>COUNTIFS(totales!$C$2:$C$831,"analítico",totales!$D$2:$D$831,"sorpresa",totales!#REF!,3)</f>
        <v>#REF!</v>
      </c>
      <c r="I66" s="29" t="e">
        <f>COUNTIFS(totales!$C$2:$C$831,"analítico",totales!$D$2:$D$831,"marcador",totales!#REF!,3)</f>
        <v>#REF!</v>
      </c>
      <c r="J66" s="13" t="e">
        <f>COUNTIFS(totales!$C$2:$C$831,"analítico",totales!$F$2:$F$831,1,totales!#REF!,3)</f>
        <v>#REF!</v>
      </c>
      <c r="K66" s="13"/>
      <c r="L66" s="13" t="e">
        <f>COUNTIFS(totales!$C$2:$C$831,"analítico",totales!$E$2:$E$831,1,totales!#REF!,3)</f>
        <v>#REF!</v>
      </c>
      <c r="M66" s="13" t="e">
        <f>COUNTIFS(totales!$C$2:$C$831,"analítico",totales!$E$2:$E$831,2,totales!#REF!,3)</f>
        <v>#REF!</v>
      </c>
      <c r="N66" s="13" t="e">
        <f>COUNTIFS(totales!$C$2:$C$831,"analítico",totales!$E$2:$E$831,3,totales!#REF!,3)</f>
        <v>#REF!</v>
      </c>
      <c r="O66" s="13" t="e">
        <f>COUNTIFS(totales!$C$2:$C$831,"analítico",totales!$E$2:$E$831,4,totales!#REF!,3)</f>
        <v>#REF!</v>
      </c>
      <c r="P66" s="48" t="e">
        <f>COUNTIFS(totales!$C$2:$C$831,"analítico",totales!$E$2:$E$831,6,totales!#REF!,3)</f>
        <v>#REF!</v>
      </c>
    </row>
    <row r="67" spans="1:16">
      <c r="A67" s="21" t="s">
        <v>78</v>
      </c>
      <c r="B67" s="14" t="e">
        <f>COUNTIFS(totales!$C$2:$C$831,"presente",totales!#REF!,3)</f>
        <v>#REF!</v>
      </c>
      <c r="C67" s="12" t="e">
        <f>COUNTIFS(totales!$C$2:$C$831,"presente",totales!$D$2:$D$831,"temporal",totales!#REF!,3)</f>
        <v>#REF!</v>
      </c>
      <c r="D67" s="11" t="e">
        <f>COUNTIFS(totales!$C$2:$C$831,"presente",totales!$D$2:$D$831,"concesión",totales!#REF!,3)</f>
        <v>#REF!</v>
      </c>
      <c r="E67" s="11" t="e">
        <f>COUNTIFS(totales!$C$2:$C$831,"presente",totales!$D$2:$D$831,"exhortación",totales!#REF!,3)</f>
        <v>#REF!</v>
      </c>
      <c r="F67" s="11" t="e">
        <f>COUNTIFS(totales!$C$2:$C$831,"presente",totales!$D$2:$D$831,"hipótesis",totales!#REF!,3)</f>
        <v>#REF!</v>
      </c>
      <c r="G67" s="11" t="e">
        <f>COUNTIFS(totales!$C$2:$C$831,"presente",totales!$D$2:$D$831,"duda",totales!#REF!,3)</f>
        <v>#REF!</v>
      </c>
      <c r="H67" s="11" t="e">
        <f>COUNTIFS(totales!$C$2:$C$831,"presente",totales!$D$2:$D$831,"sorpresa",totales!#REF!,3)</f>
        <v>#REF!</v>
      </c>
      <c r="I67" s="29" t="e">
        <f>COUNTIFS(totales!$C$2:$C$831,"presente",totales!$D$2:$D$831,"marcador",totales!#REF!,3)</f>
        <v>#REF!</v>
      </c>
      <c r="J67" s="13" t="e">
        <f>COUNTIFS(totales!$C$2:$C$831,"presente",totales!$F$2:$F$831,1,totales!#REF!,3)</f>
        <v>#REF!</v>
      </c>
      <c r="K67" s="13"/>
      <c r="L67" s="13" t="e">
        <f>COUNTIFS(totales!$C$2:$C$831,"presente",totales!$E$2:$E$831,1,totales!#REF!,3)</f>
        <v>#REF!</v>
      </c>
      <c r="M67" s="13" t="e">
        <f>COUNTIFS(totales!$C$2:$C$831,"presente",totales!$E$2:$E$831,2,totales!#REF!,3)</f>
        <v>#REF!</v>
      </c>
      <c r="N67" s="13" t="e">
        <f>COUNTIFS(totales!$C$2:$C$831,"presente",totales!$E$2:$E$831,3,totales!#REF!,3)</f>
        <v>#REF!</v>
      </c>
      <c r="O67" s="13" t="e">
        <f>COUNTIFS(totales!$C$2:$C$831,"presente",totales!$E$2:$E$831,4,totales!#REF!,3)</f>
        <v>#REF!</v>
      </c>
      <c r="P67" s="48" t="e">
        <f>COUNTIFS(totales!$C$2:$C$831,"presente",totales!$E$2:$E$831,6,totales!#REF!,3)</f>
        <v>#REF!</v>
      </c>
    </row>
    <row r="68" spans="1:16">
      <c r="A68" s="22" t="s">
        <v>79</v>
      </c>
      <c r="B68" s="23" t="e">
        <f>COUNTIFS(totales!$C$2:$C$831,"continuo",totales!#REF!,3)</f>
        <v>#REF!</v>
      </c>
      <c r="C68" s="24" t="e">
        <f>COUNTIFS(totales!$C$2:$C$831,"continuo",totales!$D$2:$D$831,"temporal",totales!#REF!,3)</f>
        <v>#REF!</v>
      </c>
      <c r="D68" s="25" t="e">
        <f>COUNTIFS(totales!$C$2:$C$831,"continuo",totales!$D$2:$D$831,"concesión",totales!#REF!,3)</f>
        <v>#REF!</v>
      </c>
      <c r="E68" s="25" t="e">
        <f>COUNTIFS(totales!$C$2:$C$831,"continuo",totales!$D$2:$D$831,"exhortación",totales!#REF!,3)</f>
        <v>#REF!</v>
      </c>
      <c r="F68" s="25" t="e">
        <f>COUNTIFS(totales!$C$2:$C$831,"continuo",totales!$D$2:$D$831,"hipótesis",totales!#REF!,3)</f>
        <v>#REF!</v>
      </c>
      <c r="G68" s="25" t="e">
        <f>COUNTIFS(totales!$C$2:$C$831,"continuo",totales!$D$2:$D$831,"duda",totales!#REF!,3)</f>
        <v>#REF!</v>
      </c>
      <c r="H68" s="25" t="e">
        <f>COUNTIFS(totales!$C$2:$C$831,"continuo",totales!$D$2:$D$831,"sorpresa",totales!#REF!,3)</f>
        <v>#REF!</v>
      </c>
      <c r="I68" s="30" t="e">
        <f>COUNTIFS(totales!$C$2:$C$831,"continuo",totales!$D$2:$D$831,"marcador",totales!#REF!,3)</f>
        <v>#REF!</v>
      </c>
      <c r="J68" s="13" t="e">
        <f>COUNTIFS(totales!$C$2:$C$831,"continuo",totales!$F$2:$F$831,1,totales!#REF!,3)</f>
        <v>#REF!</v>
      </c>
      <c r="K68" s="13"/>
      <c r="L68" s="13" t="e">
        <f>COUNTIFS(totales!$C$2:$C$831,"continuo",totales!$E$2:$E$831,1,totales!#REF!,3)</f>
        <v>#REF!</v>
      </c>
      <c r="M68" s="13" t="e">
        <f>COUNTIFS(totales!$C$2:$C$831,"continuo",totales!$E$2:$E$831,2,totales!#REF!,3)</f>
        <v>#REF!</v>
      </c>
      <c r="N68" s="13" t="e">
        <f>COUNTIFS(totales!$C$2:$C$831,"continuo",totales!$E$2:$E$831,3,totales!#REF!,3)</f>
        <v>#REF!</v>
      </c>
      <c r="O68" s="13" t="e">
        <f>COUNTIFS(totales!$C$2:$C$831,"continuo",totales!$E$2:$E$831,4,totales!#REF!,3)</f>
        <v>#REF!</v>
      </c>
      <c r="P68" s="49" t="e">
        <f>COUNTIFS(totales!$C$2:$C$831,"continuo",totales!$E$2:$E$831,6,totales!#REF!,3)</f>
        <v>#REF!</v>
      </c>
    </row>
    <row r="69" spans="1:16">
      <c r="A69" s="31" t="s">
        <v>87</v>
      </c>
      <c r="B69" s="32" t="e">
        <f t="shared" ref="B69:I69" si="18">SUM(B65:B68)</f>
        <v>#REF!</v>
      </c>
      <c r="C69" s="33" t="e">
        <f t="shared" si="18"/>
        <v>#REF!</v>
      </c>
      <c r="D69" s="34" t="e">
        <f t="shared" si="18"/>
        <v>#REF!</v>
      </c>
      <c r="E69" s="34" t="e">
        <f t="shared" si="18"/>
        <v>#REF!</v>
      </c>
      <c r="F69" s="34" t="e">
        <f t="shared" si="18"/>
        <v>#REF!</v>
      </c>
      <c r="G69" s="34" t="e">
        <f t="shared" ref="G69" si="19">SUM(G65:G68)</f>
        <v>#REF!</v>
      </c>
      <c r="H69" s="34" t="e">
        <f t="shared" si="18"/>
        <v>#REF!</v>
      </c>
      <c r="I69" s="32" t="e">
        <f t="shared" si="18"/>
        <v>#REF!</v>
      </c>
      <c r="J69" s="20"/>
      <c r="K69" s="20"/>
      <c r="L69" s="20"/>
      <c r="M69" s="20"/>
      <c r="N69" s="20"/>
      <c r="O69" s="20"/>
      <c r="P69" s="26"/>
    </row>
    <row r="71" spans="1:16" ht="15" thickBot="1">
      <c r="A71" s="35" t="s">
        <v>97</v>
      </c>
    </row>
    <row r="72" spans="1:16" ht="66" thickTop="1">
      <c r="A72" s="15"/>
      <c r="B72" s="36" t="s">
        <v>86</v>
      </c>
      <c r="C72" s="16" t="s">
        <v>8</v>
      </c>
      <c r="D72" s="17" t="s">
        <v>62</v>
      </c>
      <c r="E72" s="17" t="s">
        <v>20</v>
      </c>
      <c r="F72" s="17" t="s">
        <v>19</v>
      </c>
      <c r="G72" s="18" t="s">
        <v>230</v>
      </c>
      <c r="H72" s="18" t="s">
        <v>54</v>
      </c>
      <c r="I72" s="28" t="s">
        <v>75</v>
      </c>
      <c r="J72" s="27" t="s">
        <v>85</v>
      </c>
      <c r="K72" s="27"/>
      <c r="L72" s="19" t="s">
        <v>80</v>
      </c>
      <c r="M72" s="19" t="s">
        <v>81</v>
      </c>
      <c r="N72" s="19" t="s">
        <v>82</v>
      </c>
      <c r="O72" s="19" t="s">
        <v>83</v>
      </c>
      <c r="P72" s="19" t="s">
        <v>84</v>
      </c>
    </row>
    <row r="73" spans="1:16">
      <c r="A73" s="21" t="s">
        <v>76</v>
      </c>
      <c r="B73" s="14">
        <f>COUNTIFS(totales!$C$2:$C$831,"morfológico",totales!$L$2:$L$831,"hombre")</f>
        <v>35</v>
      </c>
      <c r="C73" s="12">
        <f>COUNTIFS(totales!$C$2:$C$831,"morfológico",totales!$D$2:$D$831,"temporal",totales!$L$2:$L$831,"hombre")</f>
        <v>19</v>
      </c>
      <c r="D73" s="11">
        <f>COUNTIFS(totales!$C$2:$C$831,"morfológico",totales!$D$2:$D$831,"concesión",totales!$L$2:$L$831,"hombre")</f>
        <v>3</v>
      </c>
      <c r="E73" s="11">
        <f>COUNTIFS(totales!$C$2:$C$831,"morfológico",totales!$D$2:$D$831,"exhortación",totales!$L$2:$L$831,"hombre")</f>
        <v>0</v>
      </c>
      <c r="F73" s="11">
        <f>COUNTIFS(totales!$C$2:$C$831,"morfológico",totales!$D$2:$D$831,"hipótesis",totales!$L$2:$L$831,"hombre")</f>
        <v>7</v>
      </c>
      <c r="G73" s="11">
        <f>COUNTIFS(totales!$C$2:$C$831,"morfológico",totales!$D$2:$D$831,"duda",totales!$L$2:$L$831,"hombre")</f>
        <v>2</v>
      </c>
      <c r="H73" s="11">
        <f>COUNTIFS(totales!$C$2:$C$831,"morfológico",totales!$D$2:$D$831,"sorpresa",totales!$L$2:$L$831,"hombre")</f>
        <v>2</v>
      </c>
      <c r="I73" s="29">
        <f>COUNTIFS(totales!$C$2:$C$831,"morfológico",totales!$D$2:$D$831,"marcador",totales!$L$2:$L$831,"hombre")</f>
        <v>2</v>
      </c>
      <c r="J73" s="13">
        <f>COUNTIFS(totales!$C$2:$C$831,"morfológico",totales!$F$2:$F$831,1,totales!$L$2:$L$831,"hombre")</f>
        <v>7</v>
      </c>
      <c r="K73" s="13"/>
      <c r="L73" s="13">
        <f>COUNTIFS(totales!$C$2:$C$831,"morfológico",totales!$E$2:$E$831,1,totales!$L$2:$L$831,"hombre")</f>
        <v>10</v>
      </c>
      <c r="M73" s="13">
        <f>COUNTIFS(totales!$C$2:$C$831,"morfológico",totales!$E$2:$E$831,2,totales!$L$2:$L$831,"hombre")</f>
        <v>1</v>
      </c>
      <c r="N73" s="13">
        <f>COUNTIFS(totales!$C$2:$C$831,"morfológico",totales!$E$2:$E$831,3,totales!$L$2:$L$831,"hombre")</f>
        <v>18</v>
      </c>
      <c r="O73" s="13">
        <f>COUNTIFS(totales!$C$2:$C$831,"morfológico",totales!$E$2:$E$831,4,totales!$L$2:$L$831,"hombre")</f>
        <v>2</v>
      </c>
      <c r="P73" s="23">
        <f>COUNTIFS(totales!$C$2:$C$831,"morfológico",totales!$E$2:$E$831,6,totales!$L$2:$L$831,"hombre")</f>
        <v>4</v>
      </c>
    </row>
    <row r="74" spans="1:16">
      <c r="A74" s="21" t="s">
        <v>77</v>
      </c>
      <c r="B74" s="14">
        <f>COUNTIFS(totales!$C$2:$C$831,"analítico",totales!$L$2:$L$831,"hombre")</f>
        <v>171</v>
      </c>
      <c r="C74" s="12">
        <f>COUNTIFS(totales!$C$2:$C$831,"analítico",totales!$D$2:$D$831,"temporal",totales!$L$2:$L$831,"hombre")</f>
        <v>152</v>
      </c>
      <c r="D74" s="11">
        <f>COUNTIFS(totales!$C$2:$C$831,"analítico",totales!$D$2:$D$831,"concesión",totales!$L$2:$L$831,"hombre")</f>
        <v>0</v>
      </c>
      <c r="E74" s="11">
        <f>COUNTIFS(totales!$C$2:$C$831,"analítico",totales!$D$2:$D$831,"exhortación",totales!$L$2:$L$831,"hombre")</f>
        <v>18</v>
      </c>
      <c r="F74" s="11">
        <f>COUNTIFS(totales!$C$2:$C$831,"analítico",totales!$D$2:$D$831,"hipótesis",totales!$L$2:$L$831,"hombre")</f>
        <v>0</v>
      </c>
      <c r="G74" s="11">
        <f>COUNTIFS(totales!$C$2:$C$831,"analítico",totales!$D$2:$D$831,"duda",totales!$L$2:$L$831,"hombre")</f>
        <v>0</v>
      </c>
      <c r="H74" s="11">
        <f>COUNTIFS(totales!$C$2:$C$831,"analítico",totales!$D$2:$D$831,"sorpresa",totales!$L$2:$L$831,"hombre")</f>
        <v>1</v>
      </c>
      <c r="I74" s="29">
        <f>COUNTIFS(totales!$C$2:$C$831,"analítico",totales!$D$2:$D$831,"marcador",totales!$L$2:$L$831,"hombre")</f>
        <v>0</v>
      </c>
      <c r="J74" s="13">
        <f>COUNTIFS(totales!$C$2:$C$831,"analítico",totales!$F$2:$F$831,1,totales!$L$2:$L$831,"hombre")</f>
        <v>38</v>
      </c>
      <c r="K74" s="13"/>
      <c r="L74" s="13">
        <f>COUNTIFS(totales!$C$2:$C$831,"analítico",totales!$E$2:$E$831,1,totales!$L$2:$L$831,"hombre")</f>
        <v>34</v>
      </c>
      <c r="M74" s="13">
        <f>COUNTIFS(totales!$C$2:$C$831,"analítico",totales!$E$2:$E$831,2,totales!$L$2:$L$831,"hombre")</f>
        <v>23</v>
      </c>
      <c r="N74" s="13">
        <f>COUNTIFS(totales!$C$2:$C$831,"analítico",totales!$E$2:$E$831,3,totales!$L$2:$L$831,"hombre")</f>
        <v>65</v>
      </c>
      <c r="O74" s="13">
        <f>COUNTIFS(totales!$C$2:$C$831,"analítico",totales!$E$2:$E$831,4,totales!$L$2:$L$831,"hombre")</f>
        <v>28</v>
      </c>
      <c r="P74" s="48">
        <f>COUNTIFS(totales!$C$2:$C$831,"analítico",totales!$E$2:$E$831,6,totales!$L$2:$L$831,"hombre")</f>
        <v>21</v>
      </c>
    </row>
    <row r="75" spans="1:16">
      <c r="A75" s="21" t="s">
        <v>78</v>
      </c>
      <c r="B75" s="14">
        <f>COUNTIFS(totales!$C$2:$C$831,"presente",totales!$L$2:$L$831,"hombre")</f>
        <v>48</v>
      </c>
      <c r="C75" s="12">
        <f>COUNTIFS(totales!$C$2:$C$831,"presente",totales!$D$2:$D$831,"temporal",totales!$L$2:$L$831,"hombre")</f>
        <v>48</v>
      </c>
      <c r="D75" s="11">
        <f>COUNTIFS(totales!$C$2:$C$831,"presente",totales!$D$2:$D$831,"concesión",totales!$L$2:$L$831,"hombre")</f>
        <v>0</v>
      </c>
      <c r="E75" s="11">
        <f>COUNTIFS(totales!$C$2:$C$831,"presente",totales!$D$2:$D$831,"exhortación",totales!$L$2:$L$831,"hombre")</f>
        <v>0</v>
      </c>
      <c r="F75" s="11">
        <f>COUNTIFS(totales!$C$2:$C$831,"presente",totales!$D$2:$D$831,"hipótesis",totales!$L$2:$L$831,"hombre")</f>
        <v>0</v>
      </c>
      <c r="G75" s="11">
        <f>COUNTIFS(totales!$C$2:$C$831,"presente",totales!$D$2:$D$831,"duda",totales!$L$2:$L$831,"hombre")</f>
        <v>0</v>
      </c>
      <c r="H75" s="11">
        <f>COUNTIFS(totales!$C$2:$C$831,"presente",totales!$D$2:$D$831,"sorpresa",totales!$L$2:$L$831,"hombre")</f>
        <v>0</v>
      </c>
      <c r="I75" s="29">
        <f>COUNTIFS(totales!$C$2:$C$831,"presente",totales!$D$2:$D$831,"marcador",totales!$L$2:$L$831,"hombre")</f>
        <v>0</v>
      </c>
      <c r="J75" s="13">
        <f>COUNTIFS(totales!$C$2:$C$831,"presente",totales!$F$2:$F$831,1,totales!$L$2:$L$831,"hombre")</f>
        <v>20</v>
      </c>
      <c r="K75" s="13"/>
      <c r="L75" s="13">
        <f>COUNTIFS(totales!$C$2:$C$831,"presente",totales!$E$2:$E$831,1,totales!$L$2:$L$831,"hombre")</f>
        <v>9</v>
      </c>
      <c r="M75" s="13">
        <f>COUNTIFS(totales!$C$2:$C$831,"presente",totales!$E$2:$E$831,2,totales!$L$2:$L$831,"hombre")</f>
        <v>7</v>
      </c>
      <c r="N75" s="13">
        <f>COUNTIFS(totales!$C$2:$C$831,"presente",totales!$E$2:$E$831,3,totales!$L$2:$L$831,"hombre")</f>
        <v>25</v>
      </c>
      <c r="O75" s="13">
        <f>COUNTIFS(totales!$C$2:$C$831,"presente",totales!$E$2:$E$831,4,totales!$L$2:$L$831,"hombre")</f>
        <v>4</v>
      </c>
      <c r="P75" s="48">
        <f>COUNTIFS(totales!$C$2:$C$831,"presente",totales!$E$2:$E$831,6,totales!$L$2:$L$831,"hombre")</f>
        <v>3</v>
      </c>
    </row>
    <row r="76" spans="1:16">
      <c r="A76" s="22" t="s">
        <v>79</v>
      </c>
      <c r="B76" s="23">
        <f>COUNTIFS(totales!$C$2:$C$831,"continuo",totales!$L$2:$L$831,"hombre")</f>
        <v>0</v>
      </c>
      <c r="C76" s="24">
        <f>COUNTIFS(totales!$C$2:$C$831,"continuo",totales!$D$2:$D$831,"temporal",totales!$L$2:$L$831,"hombre")</f>
        <v>0</v>
      </c>
      <c r="D76" s="25">
        <f>COUNTIFS(totales!$C$2:$C$831,"continuo",totales!$D$2:$D$831,"concesión",totales!$L$2:$L$831,"hombre")</f>
        <v>0</v>
      </c>
      <c r="E76" s="25">
        <f>COUNTIFS(totales!$C$2:$C$831,"continuo",totales!$D$2:$D$831,"exhortación",totales!$L$2:$L$831,"hombre")</f>
        <v>0</v>
      </c>
      <c r="F76" s="25">
        <f>COUNTIFS(totales!$C$2:$C$831,"continuo",totales!$D$2:$D$831,"hipótesis",totales!$L$2:$L$831,"hombre")</f>
        <v>0</v>
      </c>
      <c r="G76" s="25">
        <f>COUNTIFS(totales!$C$2:$C$831,"continuo",totales!$D$2:$D$831,"duda",totales!$L$2:$L$831,"hombre")</f>
        <v>0</v>
      </c>
      <c r="H76" s="25">
        <f>COUNTIFS(totales!$C$2:$C$831,"continuo",totales!$D$2:$D$831,"sorpresa",totales!$L$2:$L$831,"hombre")</f>
        <v>0</v>
      </c>
      <c r="I76" s="30">
        <f>COUNTIFS(totales!$C$2:$C$831,"continuo",totales!$D$2:$D$831,"marcador",totales!$L$2:$L$831,"hombre")</f>
        <v>0</v>
      </c>
      <c r="J76" s="13">
        <f>COUNTIFS(totales!$C$2:$C$831,"continuo",totales!$F$2:$F$831,1,totales!$L$2:$L$831,"hombre")</f>
        <v>0</v>
      </c>
      <c r="K76" s="13"/>
      <c r="L76" s="13">
        <f>COUNTIFS(totales!$C$2:$C$831,"continuo",totales!$E$2:$E$831,1,totales!$L$2:$L$831,"hombre")</f>
        <v>0</v>
      </c>
      <c r="M76" s="13">
        <f>COUNTIFS(totales!$C$2:$C$831,"continuo",totales!$E$2:$E$831,2,totales!$L$2:$L$831,"hombre")</f>
        <v>0</v>
      </c>
      <c r="N76" s="13">
        <f>COUNTIFS(totales!$C$2:$C$831,"continuo",totales!$E$2:$E$831,3,totales!$L$2:$L$831,"hombre")</f>
        <v>0</v>
      </c>
      <c r="O76" s="13">
        <f>COUNTIFS(totales!$C$2:$C$831,"continuo",totales!$E$2:$E$831,4,totales!$L$2:$L$831,"hombre")</f>
        <v>0</v>
      </c>
      <c r="P76" s="49">
        <f>COUNTIFS(totales!$C$2:$C$831,"continuo",totales!$E$2:$E$831,6,totales!$L$2:$L$831,"hombre")</f>
        <v>0</v>
      </c>
    </row>
    <row r="77" spans="1:16">
      <c r="A77" s="31" t="s">
        <v>87</v>
      </c>
      <c r="B77" s="32">
        <f t="shared" ref="B77:I77" si="20">SUM(B73:B76)</f>
        <v>254</v>
      </c>
      <c r="C77" s="33">
        <f t="shared" si="20"/>
        <v>219</v>
      </c>
      <c r="D77" s="34">
        <f t="shared" si="20"/>
        <v>3</v>
      </c>
      <c r="E77" s="34">
        <f t="shared" si="20"/>
        <v>18</v>
      </c>
      <c r="F77" s="34">
        <f t="shared" si="20"/>
        <v>7</v>
      </c>
      <c r="G77" s="34">
        <f t="shared" ref="G77" si="21">SUM(G73:G76)</f>
        <v>2</v>
      </c>
      <c r="H77" s="34">
        <f t="shared" si="20"/>
        <v>3</v>
      </c>
      <c r="I77" s="32">
        <f t="shared" si="20"/>
        <v>2</v>
      </c>
      <c r="J77" s="20"/>
      <c r="K77" s="20"/>
      <c r="L77" s="20"/>
      <c r="M77" s="20"/>
      <c r="N77" s="20"/>
      <c r="O77" s="20"/>
      <c r="P77" s="26"/>
    </row>
    <row r="79" spans="1:16" ht="15" thickBot="1">
      <c r="A79" s="35" t="s">
        <v>96</v>
      </c>
    </row>
    <row r="80" spans="1:16" ht="66" thickTop="1">
      <c r="A80" s="15"/>
      <c r="B80" s="36" t="s">
        <v>86</v>
      </c>
      <c r="C80" s="16" t="s">
        <v>8</v>
      </c>
      <c r="D80" s="17" t="s">
        <v>62</v>
      </c>
      <c r="E80" s="17" t="s">
        <v>20</v>
      </c>
      <c r="F80" s="17" t="s">
        <v>19</v>
      </c>
      <c r="G80" s="18" t="s">
        <v>230</v>
      </c>
      <c r="H80" s="18" t="s">
        <v>54</v>
      </c>
      <c r="I80" s="28" t="s">
        <v>75</v>
      </c>
      <c r="J80" s="27" t="s">
        <v>85</v>
      </c>
      <c r="K80" s="27"/>
      <c r="L80" s="19" t="s">
        <v>80</v>
      </c>
      <c r="M80" s="19" t="s">
        <v>81</v>
      </c>
      <c r="N80" s="19" t="s">
        <v>82</v>
      </c>
      <c r="O80" s="19" t="s">
        <v>83</v>
      </c>
      <c r="P80" s="19" t="s">
        <v>84</v>
      </c>
    </row>
    <row r="81" spans="1:16">
      <c r="A81" s="21" t="s">
        <v>76</v>
      </c>
      <c r="B81" s="14">
        <f>COUNTIFS(totales!$C$2:$C$831,"morfológico",totales!$L$2:$L$831,"mujer")</f>
        <v>21</v>
      </c>
      <c r="C81" s="12">
        <f>COUNTIFS(totales!$C$2:$C$831,"morfológico",totales!$D$2:$D$831,"temporal",totales!$L$2:$L$831,"mujer")</f>
        <v>15</v>
      </c>
      <c r="D81" s="11">
        <f>COUNTIFS(totales!$C$2:$C$831,"morfológico",totales!$D$2:$D$831,"concesión",totales!$L$2:$L$831,"mujer")</f>
        <v>0</v>
      </c>
      <c r="E81" s="11">
        <f>COUNTIFS(totales!$C$2:$C$831,"morfológico",totales!$D$2:$D$831,"exhortación",totales!$L$2:$L$831,"mujer")</f>
        <v>0</v>
      </c>
      <c r="F81" s="11">
        <f>COUNTIFS(totales!$C$2:$C$831,"morfológico",totales!$D$2:$D$831,"hipótesis",totales!$L$2:$L$831,"mujer")</f>
        <v>6</v>
      </c>
      <c r="G81" s="11">
        <f>COUNTIFS(totales!$C$2:$C$831,"morfológico",totales!$D$2:$D$831,"duda",totales!$L$2:$L$831,"mujer")</f>
        <v>0</v>
      </c>
      <c r="H81" s="11">
        <f>COUNTIFS(totales!$C$2:$C$831,"morfológico",totales!$D$2:$D$831,"sorpresa",totales!$L$2:$L$831,"mujer")</f>
        <v>0</v>
      </c>
      <c r="I81" s="29">
        <f>COUNTIFS(totales!$C$2:$C$831,"morfológico",totales!$D$2:$D$831,"marcador",totales!$L$2:$L$831,"mujer")</f>
        <v>0</v>
      </c>
      <c r="J81" s="13">
        <f>COUNTIFS(totales!$C$2:$C$831,"morfológico",totales!$F$2:$F$831,1,totales!$L$2:$L$831,"mujer")</f>
        <v>9</v>
      </c>
      <c r="K81" s="13"/>
      <c r="L81" s="13">
        <f>COUNTIFS(totales!$C$2:$C$831,"morfológico",totales!$E$2:$E$831,1,totales!$L$2:$L$831,"mujer")</f>
        <v>7</v>
      </c>
      <c r="M81" s="13">
        <f>COUNTIFS(totales!$C$2:$C$831,"morfológico",totales!$E$2:$E$831,2,totales!$L$2:$L$831,"mujer")</f>
        <v>1</v>
      </c>
      <c r="N81" s="13">
        <f>COUNTIFS(totales!$C$2:$C$831,"morfológico",totales!$E$2:$E$831,3,totales!$L$2:$L$831,"mujer")</f>
        <v>11</v>
      </c>
      <c r="O81" s="13">
        <f>COUNTIFS(totales!$C$2:$C$831,"morfológico",totales!$E$2:$E$831,4,totales!$L$2:$L$831,"mujer")</f>
        <v>0</v>
      </c>
      <c r="P81" s="23">
        <f>COUNTIFS(totales!$C$2:$C$831,"morfológico",totales!$E$2:$E$831,6,totales!$L$2:$L$831,"mujer")</f>
        <v>2</v>
      </c>
    </row>
    <row r="82" spans="1:16">
      <c r="A82" s="21" t="s">
        <v>77</v>
      </c>
      <c r="B82" s="14">
        <f>COUNTIFS(totales!$C$2:$C$831,"analítico",totales!$L$2:$L$831,"mujer")</f>
        <v>202</v>
      </c>
      <c r="C82" s="12">
        <f>COUNTIFS(totales!$C$2:$C$831,"analítico",totales!$D$2:$D$831,"temporal",totales!$L$2:$L$831,"mujer")</f>
        <v>180</v>
      </c>
      <c r="D82" s="11">
        <f>COUNTIFS(totales!$C$2:$C$831,"analítico",totales!$D$2:$D$831,"concesión",totales!$L$2:$L$831,"mujer")</f>
        <v>0</v>
      </c>
      <c r="E82" s="11">
        <f>COUNTIFS(totales!$C$2:$C$831,"analítico",totales!$D$2:$D$831,"exhortación",totales!$L$2:$L$831,"mujer")</f>
        <v>18</v>
      </c>
      <c r="F82" s="11">
        <f>COUNTIFS(totales!$C$2:$C$831,"analítico",totales!$D$2:$D$831,"hipótesis",totales!$L$2:$L$831,"mujer")</f>
        <v>0</v>
      </c>
      <c r="G82" s="11">
        <f>COUNTIFS(totales!$C$2:$C$831,"analítico",totales!$D$2:$D$831,"duda",totales!$L$2:$L$831,"mujer")</f>
        <v>0</v>
      </c>
      <c r="H82" s="11">
        <f>COUNTIFS(totales!$C$2:$C$831,"analítico",totales!$D$2:$D$831,"sorpresa",totales!$L$2:$L$831,"mujer")</f>
        <v>1</v>
      </c>
      <c r="I82" s="29">
        <f>COUNTIFS(totales!$C$2:$C$831,"analítico",totales!$D$2:$D$831,"marcador",totales!$L$2:$L$831,"mujer")</f>
        <v>3</v>
      </c>
      <c r="J82" s="13">
        <f>COUNTIFS(totales!$C$2:$C$831,"analítico",totales!$F$2:$F$831,1,totales!$L$2:$L$831,"mujer")</f>
        <v>51</v>
      </c>
      <c r="K82" s="13"/>
      <c r="L82" s="13">
        <f>COUNTIFS(totales!$C$2:$C$831,"analítico",totales!$E$2:$E$831,1,totales!$L$2:$L$831,"mujer")</f>
        <v>50</v>
      </c>
      <c r="M82" s="13">
        <f>COUNTIFS(totales!$C$2:$C$831,"analítico",totales!$E$2:$E$831,2,totales!$L$2:$L$831,"mujer")</f>
        <v>23</v>
      </c>
      <c r="N82" s="13">
        <f>COUNTIFS(totales!$C$2:$C$831,"analítico",totales!$E$2:$E$831,3,totales!$L$2:$L$831,"mujer")</f>
        <v>64</v>
      </c>
      <c r="O82" s="13">
        <f>COUNTIFS(totales!$C$2:$C$831,"analítico",totales!$E$2:$E$831,4,totales!$L$2:$L$831,"mujer")</f>
        <v>41</v>
      </c>
      <c r="P82" s="48">
        <f>COUNTIFS(totales!$C$2:$C$831,"analítico",totales!$E$2:$E$831,6,totales!$L$2:$L$831,"mujer")</f>
        <v>24</v>
      </c>
    </row>
    <row r="83" spans="1:16">
      <c r="A83" s="21" t="s">
        <v>78</v>
      </c>
      <c r="B83" s="14">
        <f>COUNTIFS(totales!$C$2:$C$831,"presente",totales!$L$2:$L$831,"mujer")</f>
        <v>44</v>
      </c>
      <c r="C83" s="12">
        <f>COUNTIFS(totales!$C$2:$C$831,"presente",totales!$D$2:$D$831,"temporal",totales!$L$2:$L$831,"mujer")</f>
        <v>44</v>
      </c>
      <c r="D83" s="11">
        <f>COUNTIFS(totales!$C$2:$C$831,"presente",totales!$D$2:$D$831,"concesión",totales!$L$2:$L$831,"mujer")</f>
        <v>0</v>
      </c>
      <c r="E83" s="11">
        <f>COUNTIFS(totales!$C$2:$C$831,"presente",totales!$D$2:$D$831,"exhortación",totales!$L$2:$L$831,"mujer")</f>
        <v>0</v>
      </c>
      <c r="F83" s="11">
        <f>COUNTIFS(totales!$C$2:$C$831,"presente",totales!$D$2:$D$831,"hipótesis",totales!$L$2:$L$831,"mujer")</f>
        <v>0</v>
      </c>
      <c r="G83" s="11">
        <f>COUNTIFS(totales!$C$2:$C$831,"presente",totales!$D$2:$D$831,"duda",totales!$L$2:$L$831,"mujer")</f>
        <v>0</v>
      </c>
      <c r="H83" s="11">
        <f>COUNTIFS(totales!$C$2:$C$831,"presente",totales!$D$2:$D$831,"sorpresa",totales!$L$2:$L$831,"mujer")</f>
        <v>0</v>
      </c>
      <c r="I83" s="29">
        <f>COUNTIFS(totales!$C$2:$C$831,"presente",totales!$D$2:$D$831,"marcador",totales!$L$2:$L$831,"mujer")</f>
        <v>0</v>
      </c>
      <c r="J83" s="13">
        <f>COUNTIFS(totales!$C$2:$C$831,"presente",totales!$F$2:$F$831,1,totales!$L$2:$L$831,"mujer")</f>
        <v>14</v>
      </c>
      <c r="K83" s="13"/>
      <c r="L83" s="13">
        <f>COUNTIFS(totales!$C$2:$C$831,"presente",totales!$E$2:$E$831,1,totales!$L$2:$L$831,"mujer")</f>
        <v>9</v>
      </c>
      <c r="M83" s="13">
        <f>COUNTIFS(totales!$C$2:$C$831,"presente",totales!$E$2:$E$831,2,totales!$L$2:$L$831,"mujer")</f>
        <v>8</v>
      </c>
      <c r="N83" s="13">
        <f>COUNTIFS(totales!$C$2:$C$831,"presente",totales!$E$2:$E$831,3,totales!$L$2:$L$831,"mujer")</f>
        <v>18</v>
      </c>
      <c r="O83" s="13">
        <f>COUNTIFS(totales!$C$2:$C$831,"presente",totales!$E$2:$E$831,4,totales!$L$2:$L$831,"mujer")</f>
        <v>7</v>
      </c>
      <c r="P83" s="48">
        <f>COUNTIFS(totales!$C$2:$C$831,"presente",totales!$E$2:$E$831,6,totales!$L$2:$L$831,"mujer")</f>
        <v>2</v>
      </c>
    </row>
    <row r="84" spans="1:16">
      <c r="A84" s="22" t="s">
        <v>79</v>
      </c>
      <c r="B84" s="23">
        <f>COUNTIFS(totales!$C$2:$C$831,"continuo",totales!$L$2:$L$831,"mujer")</f>
        <v>0</v>
      </c>
      <c r="C84" s="24">
        <f>COUNTIFS(totales!$C$2:$C$831,"continuo",totales!$D$2:$D$831,"temporal",totales!$L$2:$L$831,"mujer")</f>
        <v>0</v>
      </c>
      <c r="D84" s="25">
        <f>COUNTIFS(totales!$C$2:$C$831,"continuo",totales!$D$2:$D$831,"concesión",totales!$L$2:$L$831,"mujer")</f>
        <v>0</v>
      </c>
      <c r="E84" s="25">
        <f>COUNTIFS(totales!$C$2:$C$831,"continuo",totales!$D$2:$D$831,"exhortación",totales!$L$2:$L$831,"mujer")</f>
        <v>0</v>
      </c>
      <c r="F84" s="25">
        <f>COUNTIFS(totales!$C$2:$C$831,"continuo",totales!$D$2:$D$831,"hipótesis",totales!$L$2:$L$831,"mujer")</f>
        <v>0</v>
      </c>
      <c r="G84" s="25">
        <f>COUNTIFS(totales!$C$2:$C$831,"continuo",totales!$D$2:$D$831,"duda",totales!$L$2:$L$831,"mujer")</f>
        <v>0</v>
      </c>
      <c r="H84" s="25">
        <f>COUNTIFS(totales!$C$2:$C$831,"continuo",totales!$D$2:$D$831,"sorpresa",totales!$L$2:$L$831,"mujer")</f>
        <v>0</v>
      </c>
      <c r="I84" s="30">
        <f>COUNTIFS(totales!$C$2:$C$831,"continuo",totales!$D$2:$D$831,"marcador",totales!$L$2:$L$831,"mujer")</f>
        <v>0</v>
      </c>
      <c r="J84" s="13">
        <f>COUNTIFS(totales!$C$2:$C$831,"continuo",totales!$F$2:$F$831,1,totales!$L$2:$L$831,"mujer")</f>
        <v>0</v>
      </c>
      <c r="K84" s="13"/>
      <c r="L84" s="13">
        <f>COUNTIFS(totales!$C$2:$C$831,"continuo",totales!$E$2:$E$831,1,totales!$L$2:$L$831,"mujer")</f>
        <v>0</v>
      </c>
      <c r="M84" s="13">
        <f>COUNTIFS(totales!$C$2:$C$831,"continuo",totales!$E$2:$E$831,2,totales!$L$2:$L$831,"mujer")</f>
        <v>0</v>
      </c>
      <c r="N84" s="13">
        <f>COUNTIFS(totales!$C$2:$C$831,"continuo",totales!$E$2:$E$831,3,totales!$L$2:$L$831,"mujer")</f>
        <v>0</v>
      </c>
      <c r="O84" s="13">
        <f>COUNTIFS(totales!$C$2:$C$831,"continuo",totales!$E$2:$E$831,4,totales!$L$2:$L$831,"mujer")</f>
        <v>0</v>
      </c>
      <c r="P84" s="49">
        <f>COUNTIFS(totales!$C$2:$C$831,"continuo",totales!$E$2:$E$831,6,totales!$L$2:$L$831,"mujer")</f>
        <v>0</v>
      </c>
    </row>
    <row r="85" spans="1:16">
      <c r="A85" s="31" t="s">
        <v>87</v>
      </c>
      <c r="B85" s="32">
        <f t="shared" ref="B85:I85" si="22">SUM(B81:B84)</f>
        <v>267</v>
      </c>
      <c r="C85" s="33">
        <f t="shared" si="22"/>
        <v>239</v>
      </c>
      <c r="D85" s="34">
        <f t="shared" si="22"/>
        <v>0</v>
      </c>
      <c r="E85" s="34">
        <f t="shared" si="22"/>
        <v>18</v>
      </c>
      <c r="F85" s="34">
        <f t="shared" si="22"/>
        <v>6</v>
      </c>
      <c r="G85" s="34">
        <f t="shared" ref="G85" si="23">SUM(G81:G84)</f>
        <v>0</v>
      </c>
      <c r="H85" s="34">
        <f t="shared" si="22"/>
        <v>1</v>
      </c>
      <c r="I85" s="32">
        <f t="shared" si="22"/>
        <v>3</v>
      </c>
      <c r="J85" s="20"/>
      <c r="K85" s="20"/>
      <c r="L85" s="20"/>
      <c r="M85" s="20"/>
      <c r="N85" s="20"/>
      <c r="O85" s="20"/>
      <c r="P85" s="2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8"/>
  <sheetViews>
    <sheetView workbookViewId="0">
      <selection activeCell="I17" sqref="I17"/>
    </sheetView>
  </sheetViews>
  <sheetFormatPr baseColWidth="10" defaultRowHeight="14" x14ac:dyDescent="0"/>
  <sheetData>
    <row r="1" spans="1:1">
      <c r="A1" t="str">
        <f>IF(totales!D467="temporal",IF(totales!C467="morfológico","(m",IF(totales!C467="analítico","(a",IF(totales!C467="presente","(p",IF(totales!C467="presente_cont","(c",)))),0)&amp;totales!K467&amp;IF(totales!L467="hombre","h","m")</f>
        <v>(p3m</v>
      </c>
    </row>
    <row r="2" spans="1:1">
      <c r="A2" t="str">
        <f>IF(totales!D468="temporal",IF(totales!C468="morfológico","(m",IF(totales!C468="analítico","(a",IF(totales!C468="presente","(p",IF(totales!C468="presente_cont","(c",)))),0)&amp;totales!K468&amp;IF(totales!L468="hombre","h","m")</f>
        <v>(p3m</v>
      </c>
    </row>
    <row r="3" spans="1:1">
      <c r="A3" t="str">
        <f>IF(totales!D488="temporal",IF(totales!C488="morfológico","(m",IF(totales!C488="analítico","(a",IF(totales!C488="presente","(p",IF(totales!C488="presente_cont","(c",)))),0)&amp;totales!K488&amp;IF(totales!L488="hombre","h","m")</f>
        <v>(p3m</v>
      </c>
    </row>
    <row r="4" spans="1:1">
      <c r="A4" t="str">
        <f>IF(totales!D504="temporal",IF(totales!C504="morfológico","(m",IF(totales!C504="analítico","(a",IF(totales!C504="presente","(p",IF(totales!C504="presente_cont","(c",)))),0)&amp;totales!K504&amp;IF(totales!L504="hombre","h","m")</f>
        <v>(p3m</v>
      </c>
    </row>
    <row r="5" spans="1:1">
      <c r="A5" t="str">
        <f>IF(totales!D510="temporal",IF(totales!C510="morfológico","(m",IF(totales!C510="analítico","(a",IF(totales!C510="presente","(p",IF(totales!C510="presente_cont","(c",)))),0)&amp;totales!K510&amp;IF(totales!L510="hombre","h","m")</f>
        <v>(p3m</v>
      </c>
    </row>
    <row r="6" spans="1:1">
      <c r="A6" t="str">
        <f>IF(totales!D511="temporal",IF(totales!C511="morfológico","(m",IF(totales!C511="analítico","(a",IF(totales!C511="presente","(p",IF(totales!C511="presente_cont","(c",)))),0)&amp;totales!K511&amp;IF(totales!L511="hombre","h","m")</f>
        <v>(p3m</v>
      </c>
    </row>
    <row r="7" spans="1:1">
      <c r="A7" t="str">
        <f>IF(totales!D361="temporal",IF(totales!C361="morfológico","(m",IF(totales!C361="analítico","(a",IF(totales!C361="presente","(p",IF(totales!C361="presente_cont","(c",)))),0)&amp;totales!K361&amp;IF(totales!L361="hombre","h","m")</f>
        <v>(p3h</v>
      </c>
    </row>
    <row r="8" spans="1:1">
      <c r="A8" t="str">
        <f>IF(totales!D382="temporal",IF(totales!C382="morfológico","(m",IF(totales!C382="analítico","(a",IF(totales!C382="presente","(p",IF(totales!C382="presente_cont","(c",)))),0)&amp;totales!K382&amp;IF(totales!L382="hombre","h","m")</f>
        <v>(p3h</v>
      </c>
    </row>
    <row r="9" spans="1:1">
      <c r="A9" t="str">
        <f>IF(totales!D383="temporal",IF(totales!C383="morfológico","(m",IF(totales!C383="analítico","(a",IF(totales!C383="presente","(p",IF(totales!C383="presente_cont","(c",)))),0)&amp;totales!K383&amp;IF(totales!L383="hombre","h","m")</f>
        <v>(p3h</v>
      </c>
    </row>
    <row r="10" spans="1:1">
      <c r="A10" t="str">
        <f>IF(totales!D390="temporal",IF(totales!C390="morfológico","(m",IF(totales!C390="analítico","(a",IF(totales!C390="presente","(p",IF(totales!C390="presente_cont","(c",)))),0)&amp;totales!K390&amp;IF(totales!L390="hombre","h","m")</f>
        <v>(p3h</v>
      </c>
    </row>
    <row r="11" spans="1:1">
      <c r="A11" t="str">
        <f>IF(totales!D396="temporal",IF(totales!C396="morfológico","(m",IF(totales!C396="analítico","(a",IF(totales!C396="presente","(p",IF(totales!C396="presente_cont","(c",)))),0)&amp;totales!K396&amp;IF(totales!L396="hombre","h","m")</f>
        <v>(p3h</v>
      </c>
    </row>
    <row r="12" spans="1:1">
      <c r="A12" t="str">
        <f>IF(totales!D403="temporal",IF(totales!C403="morfológico","(m",IF(totales!C403="analítico","(a",IF(totales!C403="presente","(p",IF(totales!C403="presente_cont","(c",)))),0)&amp;totales!K403&amp;IF(totales!L403="hombre","h","m")</f>
        <v>(p3h</v>
      </c>
    </row>
    <row r="13" spans="1:1">
      <c r="A13" t="str">
        <f>IF(totales!D404="temporal",IF(totales!C404="morfológico","(m",IF(totales!C404="analítico","(a",IF(totales!C404="presente","(p",IF(totales!C404="presente_cont","(c",)))),0)&amp;totales!K404&amp;IF(totales!L404="hombre","h","m")</f>
        <v>(p3h</v>
      </c>
    </row>
    <row r="14" spans="1:1">
      <c r="A14" t="str">
        <f>IF(totales!D405="temporal",IF(totales!C405="morfológico","(m",IF(totales!C405="analítico","(a",IF(totales!C405="presente","(p",IF(totales!C405="presente_cont","(c",)))),0)&amp;totales!K405&amp;IF(totales!L405="hombre","h","m")</f>
        <v>(p3h</v>
      </c>
    </row>
    <row r="15" spans="1:1">
      <c r="A15" t="str">
        <f>IF(totales!D410="temporal",IF(totales!C410="morfológico","(m",IF(totales!C410="analítico","(a",IF(totales!C410="presente","(p",IF(totales!C410="presente_cont","(c",)))),0)&amp;totales!K410&amp;IF(totales!L410="hombre","h","m")</f>
        <v>(p3h</v>
      </c>
    </row>
    <row r="16" spans="1:1">
      <c r="A16" t="str">
        <f>IF(totales!D411="temporal",IF(totales!C411="morfológico","(m",IF(totales!C411="analítico","(a",IF(totales!C411="presente","(p",IF(totales!C411="presente_cont","(c",)))),0)&amp;totales!K411&amp;IF(totales!L411="hombre","h","m")</f>
        <v>(p3h</v>
      </c>
    </row>
    <row r="17" spans="1:1">
      <c r="A17" t="str">
        <f>IF(totales!D429="temporal",IF(totales!C429="morfológico","(m",IF(totales!C429="analítico","(a",IF(totales!C429="presente","(p",IF(totales!C429="presente_cont","(c",)))),0)&amp;totales!K429&amp;IF(totales!L429="hombre","h","m")</f>
        <v>(p3h</v>
      </c>
    </row>
    <row r="18" spans="1:1">
      <c r="A18" t="str">
        <f>IF(totales!D455="temporal",IF(totales!C455="morfológico","(m",IF(totales!C455="analítico","(a",IF(totales!C455="presente","(p",IF(totales!C455="presente_cont","(c",)))),0)&amp;totales!K455&amp;IF(totales!L455="hombre","h","m")</f>
        <v>(p3h</v>
      </c>
    </row>
    <row r="19" spans="1:1">
      <c r="A19" t="str">
        <f>IF(totales!D258="temporal",IF(totales!C258="morfológico","(m",IF(totales!C258="analítico","(a",IF(totales!C258="presente","(p",IF(totales!C258="presente_cont","(c",)))),0)&amp;totales!K258&amp;IF(totales!L258="hombre","h","m")</f>
        <v>(p2m</v>
      </c>
    </row>
    <row r="20" spans="1:1">
      <c r="A20" t="str">
        <f>IF(totales!D259="temporal",IF(totales!C259="morfológico","(m",IF(totales!C259="analítico","(a",IF(totales!C259="presente","(p",IF(totales!C259="presente_cont","(c",)))),0)&amp;totales!K259&amp;IF(totales!L259="hombre","h","m")</f>
        <v>(p2m</v>
      </c>
    </row>
    <row r="21" spans="1:1">
      <c r="A21" t="str">
        <f>IF(totales!D260="temporal",IF(totales!C260="morfológico","(m",IF(totales!C260="analítico","(a",IF(totales!C260="presente","(p",IF(totales!C260="presente_cont","(c",)))),0)&amp;totales!K260&amp;IF(totales!L260="hombre","h","m")</f>
        <v>(p2m</v>
      </c>
    </row>
    <row r="22" spans="1:1">
      <c r="A22" t="str">
        <f>IF(totales!D261="temporal",IF(totales!C261="morfológico","(m",IF(totales!C261="analítico","(a",IF(totales!C261="presente","(p",IF(totales!C261="presente_cont","(c",)))),0)&amp;totales!K261&amp;IF(totales!L261="hombre","h","m")</f>
        <v>(p2m</v>
      </c>
    </row>
    <row r="23" spans="1:1">
      <c r="A23" t="str">
        <f>IF(totales!D281="temporal",IF(totales!C281="morfológico","(m",IF(totales!C281="analítico","(a",IF(totales!C281="presente","(p",IF(totales!C281="presente_cont","(c",)))),0)&amp;totales!K281&amp;IF(totales!L281="hombre","h","m")</f>
        <v>(p2m</v>
      </c>
    </row>
    <row r="24" spans="1:1">
      <c r="A24" t="str">
        <f>IF(totales!D283="temporal",IF(totales!C283="morfológico","(m",IF(totales!C283="analítico","(a",IF(totales!C283="presente","(p",IF(totales!C283="presente_cont","(c",)))),0)&amp;totales!K283&amp;IF(totales!L283="hombre","h","m")</f>
        <v>(p2m</v>
      </c>
    </row>
    <row r="25" spans="1:1">
      <c r="A25" t="str">
        <f>IF(totales!D298="temporal",IF(totales!C298="morfológico","(m",IF(totales!C298="analítico","(a",IF(totales!C298="presente","(p",IF(totales!C298="presente_cont","(c",)))),0)&amp;totales!K298&amp;IF(totales!L298="hombre","h","m")</f>
        <v>(p2m</v>
      </c>
    </row>
    <row r="26" spans="1:1">
      <c r="A26" t="str">
        <f>IF(totales!D299="temporal",IF(totales!C299="morfológico","(m",IF(totales!C299="analítico","(a",IF(totales!C299="presente","(p",IF(totales!C299="presente_cont","(c",)))),0)&amp;totales!K299&amp;IF(totales!L299="hombre","h","m")</f>
        <v>(p2m</v>
      </c>
    </row>
    <row r="27" spans="1:1">
      <c r="A27" t="str">
        <f>IF(totales!D303="temporal",IF(totales!C303="morfológico","(m",IF(totales!C303="analítico","(a",IF(totales!C303="presente","(p",IF(totales!C303="presente_cont","(c",)))),0)&amp;totales!K303&amp;IF(totales!L303="hombre","h","m")</f>
        <v>(p2m</v>
      </c>
    </row>
    <row r="28" spans="1:1">
      <c r="A28" t="str">
        <f>IF(totales!D304="temporal",IF(totales!C304="morfológico","(m",IF(totales!C304="analítico","(a",IF(totales!C304="presente","(p",IF(totales!C304="presente_cont","(c",)))),0)&amp;totales!K304&amp;IF(totales!L304="hombre","h","m")</f>
        <v>(p2m</v>
      </c>
    </row>
    <row r="29" spans="1:1">
      <c r="A29" t="str">
        <f>IF(totales!D305="temporal",IF(totales!C305="morfológico","(m",IF(totales!C305="analítico","(a",IF(totales!C305="presente","(p",IF(totales!C305="presente_cont","(c",)))),0)&amp;totales!K305&amp;IF(totales!L305="hombre","h","m")</f>
        <v>(p2m</v>
      </c>
    </row>
    <row r="30" spans="1:1">
      <c r="A30" t="str">
        <f>IF(totales!D322="temporal",IF(totales!C322="morfológico","(m",IF(totales!C322="analítico","(a",IF(totales!C322="presente","(p",IF(totales!C322="presente_cont","(c",)))),0)&amp;totales!K322&amp;IF(totales!L322="hombre","h","m")</f>
        <v>(p2m</v>
      </c>
    </row>
    <row r="31" spans="1:1">
      <c r="A31" t="str">
        <f>IF(totales!D335="temporal",IF(totales!C335="morfológico","(m",IF(totales!C335="analítico","(a",IF(totales!C335="presente","(p",IF(totales!C335="presente_cont","(c",)))),0)&amp;totales!K335&amp;IF(totales!L335="hombre","h","m")</f>
        <v>(p2m</v>
      </c>
    </row>
    <row r="32" spans="1:1">
      <c r="A32" t="str">
        <f>IF(totales!D336="temporal",IF(totales!C336="morfológico","(m",IF(totales!C336="analítico","(a",IF(totales!C336="presente","(p",IF(totales!C336="presente_cont","(c",)))),0)&amp;totales!K336&amp;IF(totales!L336="hombre","h","m")</f>
        <v>(p2m</v>
      </c>
    </row>
    <row r="33" spans="1:1">
      <c r="A33" t="str">
        <f>IF(totales!D520="temporal",IF(totales!C520="morfológico","(m",IF(totales!C520="analítico","(a",IF(totales!C520="presente","(p",IF(totales!C520="presente_cont","(c",)))),0)&amp;totales!K520&amp;IF(totales!L520="hombre","h","m")</f>
        <v>(p2m</v>
      </c>
    </row>
    <row r="34" spans="1:1">
      <c r="A34" t="str">
        <f>IF(totales!D174="temporal",IF(totales!C174="morfológico","(m",IF(totales!C174="analítico","(a",IF(totales!C174="presente","(p",IF(totales!C174="presente_cont","(c",)))),0)&amp;totales!K174&amp;IF(totales!L174="hombre","h","m")</f>
        <v>(p2h</v>
      </c>
    </row>
    <row r="35" spans="1:1">
      <c r="A35" t="str">
        <f>IF(totales!D177="temporal",IF(totales!C177="morfológico","(m",IF(totales!C177="analítico","(a",IF(totales!C177="presente","(p",IF(totales!C177="presente_cont","(c",)))),0)&amp;totales!K177&amp;IF(totales!L177="hombre","h","m")</f>
        <v>(p2h</v>
      </c>
    </row>
    <row r="36" spans="1:1">
      <c r="A36" t="str">
        <f>IF(totales!D178="temporal",IF(totales!C178="morfológico","(m",IF(totales!C178="analítico","(a",IF(totales!C178="presente","(p",IF(totales!C178="presente_cont","(c",)))),0)&amp;totales!K178&amp;IF(totales!L178="hombre","h","m")</f>
        <v>(p2h</v>
      </c>
    </row>
    <row r="37" spans="1:1">
      <c r="A37" t="str">
        <f>IF(totales!D200="temporal",IF(totales!C200="morfológico","(m",IF(totales!C200="analítico","(a",IF(totales!C200="presente","(p",IF(totales!C200="presente_cont","(c",)))),0)&amp;totales!K200&amp;IF(totales!L200="hombre","h","m")</f>
        <v>(p2h</v>
      </c>
    </row>
    <row r="38" spans="1:1">
      <c r="A38" t="str">
        <f>IF(totales!D208="temporal",IF(totales!C208="morfológico","(m",IF(totales!C208="analítico","(a",IF(totales!C208="presente","(p",IF(totales!C208="presente_cont","(c",)))),0)&amp;totales!K208&amp;IF(totales!L208="hombre","h","m")</f>
        <v>(p2h</v>
      </c>
    </row>
    <row r="39" spans="1:1">
      <c r="A39" t="str">
        <f>IF(totales!D212="temporal",IF(totales!C212="morfológico","(m",IF(totales!C212="analítico","(a",IF(totales!C212="presente","(p",IF(totales!C212="presente_cont","(c",)))),0)&amp;totales!K212&amp;IF(totales!L212="hombre","h","m")</f>
        <v>(p2h</v>
      </c>
    </row>
    <row r="40" spans="1:1">
      <c r="A40" t="str">
        <f>IF(totales!D214="temporal",IF(totales!C214="morfológico","(m",IF(totales!C214="analítico","(a",IF(totales!C214="presente","(p",IF(totales!C214="presente_cont","(c",)))),0)&amp;totales!K214&amp;IF(totales!L214="hombre","h","m")</f>
        <v>(p2h</v>
      </c>
    </row>
    <row r="41" spans="1:1">
      <c r="A41" t="str">
        <f>IF(totales!D219="temporal",IF(totales!C219="morfológico","(m",IF(totales!C219="analítico","(a",IF(totales!C219="presente","(p",IF(totales!C219="presente_cont","(c",)))),0)&amp;totales!K219&amp;IF(totales!L219="hombre","h","m")</f>
        <v>(p2h</v>
      </c>
    </row>
    <row r="42" spans="1:1">
      <c r="A42" t="str">
        <f>IF(totales!D220="temporal",IF(totales!C220="morfológico","(m",IF(totales!C220="analítico","(a",IF(totales!C220="presente","(p",IF(totales!C220="presente_cont","(c",)))),0)&amp;totales!K220&amp;IF(totales!L220="hombre","h","m")</f>
        <v>(p2h</v>
      </c>
    </row>
    <row r="43" spans="1:1">
      <c r="A43" t="str">
        <f>IF(totales!D222="temporal",IF(totales!C222="morfológico","(m",IF(totales!C222="analítico","(a",IF(totales!C222="presente","(p",IF(totales!C222="presente_cont","(c",)))),0)&amp;totales!K222&amp;IF(totales!L222="hombre","h","m")</f>
        <v>(p2h</v>
      </c>
    </row>
    <row r="44" spans="1:1">
      <c r="A44" t="str">
        <f>IF(totales!D230="temporal",IF(totales!C230="morfológico","(m",IF(totales!C230="analítico","(a",IF(totales!C230="presente","(p",IF(totales!C230="presente_cont","(c",)))),0)&amp;totales!K230&amp;IF(totales!L230="hombre","h","m")</f>
        <v>(p2h</v>
      </c>
    </row>
    <row r="45" spans="1:1">
      <c r="A45" t="str">
        <f>IF(totales!D232="temporal",IF(totales!C232="morfológico","(m",IF(totales!C232="analítico","(a",IF(totales!C232="presente","(p",IF(totales!C232="presente_cont","(c",)))),0)&amp;totales!K232&amp;IF(totales!L232="hombre","h","m")</f>
        <v>(p2h</v>
      </c>
    </row>
    <row r="46" spans="1:1">
      <c r="A46" t="str">
        <f>IF(totales!D233="temporal",IF(totales!C233="morfológico","(m",IF(totales!C233="analítico","(a",IF(totales!C233="presente","(p",IF(totales!C233="presente_cont","(c",)))),0)&amp;totales!K233&amp;IF(totales!L233="hombre","h","m")</f>
        <v>(p2h</v>
      </c>
    </row>
    <row r="47" spans="1:1">
      <c r="A47" t="str">
        <f>IF(totales!D235="temporal",IF(totales!C235="morfológico","(m",IF(totales!C235="analítico","(a",IF(totales!C235="presente","(p",IF(totales!C235="presente_cont","(c",)))),0)&amp;totales!K235&amp;IF(totales!L235="hombre","h","m")</f>
        <v>(p2h</v>
      </c>
    </row>
    <row r="48" spans="1:1">
      <c r="A48" t="str">
        <f>IF(totales!D237="temporal",IF(totales!C237="morfológico","(m",IF(totales!C237="analítico","(a",IF(totales!C237="presente","(p",IF(totales!C237="presente_cont","(c",)))),0)&amp;totales!K237&amp;IF(totales!L237="hombre","h","m")</f>
        <v>(p2h</v>
      </c>
    </row>
    <row r="49" spans="1:1">
      <c r="A49" t="str">
        <f>IF(totales!D238="temporal",IF(totales!C238="morfológico","(m",IF(totales!C238="analítico","(a",IF(totales!C238="presente","(p",IF(totales!C238="presente_cont","(c",)))),0)&amp;totales!K238&amp;IF(totales!L238="hombre","h","m")</f>
        <v>(p2h</v>
      </c>
    </row>
    <row r="50" spans="1:1">
      <c r="A50" t="str">
        <f>IF(totales!D58="temporal",IF(totales!C58="morfológico","(m",IF(totales!C58="analítico","(a",IF(totales!C58="presente","(p",IF(totales!C58="presente_cont","(c",)))),0)&amp;totales!K58&amp;IF(totales!L58="hombre","h","m")</f>
        <v>(p1m</v>
      </c>
    </row>
    <row r="51" spans="1:1">
      <c r="A51" t="str">
        <f>IF(totales!D60="temporal",IF(totales!C60="morfológico","(m",IF(totales!C60="analítico","(a",IF(totales!C60="presente","(p",IF(totales!C60="presente_cont","(c",)))),0)&amp;totales!K60&amp;IF(totales!L60="hombre","h","m")</f>
        <v>(p1m</v>
      </c>
    </row>
    <row r="52" spans="1:1">
      <c r="A52" t="str">
        <f>IF(totales!D61="temporal",IF(totales!C61="morfológico","(m",IF(totales!C61="analítico","(a",IF(totales!C61="presente","(p",IF(totales!C61="presente_cont","(c",)))),0)&amp;totales!K61&amp;IF(totales!L61="hombre","h","m")</f>
        <v>(p1m</v>
      </c>
    </row>
    <row r="53" spans="1:1">
      <c r="A53" t="str">
        <f>IF(totales!D90="temporal",IF(totales!C90="morfológico","(m",IF(totales!C90="analítico","(a",IF(totales!C90="presente","(p",IF(totales!C90="presente_cont","(c",)))),0)&amp;totales!K90&amp;IF(totales!L90="hombre","h","m")</f>
        <v>(p1m</v>
      </c>
    </row>
    <row r="54" spans="1:1">
      <c r="A54" t="str">
        <f>IF(totales!D97="temporal",IF(totales!C97="morfológico","(m",IF(totales!C97="analítico","(a",IF(totales!C97="presente","(p",IF(totales!C97="presente_cont","(c",)))),0)&amp;totales!K97&amp;IF(totales!L97="hombre","h","m")</f>
        <v>(p1m</v>
      </c>
    </row>
    <row r="55" spans="1:1">
      <c r="A55" t="str">
        <f>IF(totales!D105="temporal",IF(totales!C105="morfológico","(m",IF(totales!C105="analítico","(a",IF(totales!C105="presente","(p",IF(totales!C105="presente_cont","(c",)))),0)&amp;totales!K105&amp;IF(totales!L105="hombre","h","m")</f>
        <v>(p1m</v>
      </c>
    </row>
    <row r="56" spans="1:1">
      <c r="A56" t="str">
        <f>IF(totales!D106="temporal",IF(totales!C106="morfológico","(m",IF(totales!C106="analítico","(a",IF(totales!C106="presente","(p",IF(totales!C106="presente_cont","(c",)))),0)&amp;totales!K106&amp;IF(totales!L106="hombre","h","m")</f>
        <v>(p1m</v>
      </c>
    </row>
    <row r="57" spans="1:1">
      <c r="A57" t="str">
        <f>IF(totales!D118="temporal",IF(totales!C118="morfológico","(m",IF(totales!C118="analítico","(a",IF(totales!C118="presente","(p",IF(totales!C118="presente_cont","(c",)))),0)&amp;totales!K118&amp;IF(totales!L118="hombre","h","m")</f>
        <v>(p1m</v>
      </c>
    </row>
    <row r="58" spans="1:1">
      <c r="A58" t="str">
        <f>IF(totales!D122="temporal",IF(totales!C122="morfológico","(m",IF(totales!C122="analítico","(a",IF(totales!C122="presente","(p",IF(totales!C122="presente_cont","(c",)))),0)&amp;totales!K122&amp;IF(totales!L122="hombre","h","m")</f>
        <v>(p1m</v>
      </c>
    </row>
    <row r="59" spans="1:1">
      <c r="A59" t="str">
        <f>IF(totales!D124="temporal",IF(totales!C124="morfológico","(m",IF(totales!C124="analítico","(a",IF(totales!C124="presente","(p",IF(totales!C124="presente_cont","(c",)))),0)&amp;totales!K124&amp;IF(totales!L124="hombre","h","m")</f>
        <v>(p1m</v>
      </c>
    </row>
    <row r="60" spans="1:1">
      <c r="A60" t="str">
        <f>IF(totales!D125="temporal",IF(totales!C125="morfológico","(m",IF(totales!C125="analítico","(a",IF(totales!C125="presente","(p",IF(totales!C125="presente_cont","(c",)))),0)&amp;totales!K125&amp;IF(totales!L125="hombre","h","m")</f>
        <v>(p1m</v>
      </c>
    </row>
    <row r="61" spans="1:1">
      <c r="A61" t="str">
        <f>IF(totales!D126="temporal",IF(totales!C126="morfológico","(m",IF(totales!C126="analítico","(a",IF(totales!C126="presente","(p",IF(totales!C126="presente_cont","(c",)))),0)&amp;totales!K126&amp;IF(totales!L126="hombre","h","m")</f>
        <v>(p1m</v>
      </c>
    </row>
    <row r="62" spans="1:1">
      <c r="A62" t="str">
        <f>IF(totales!D127="temporal",IF(totales!C127="morfológico","(m",IF(totales!C127="analítico","(a",IF(totales!C127="presente","(p",IF(totales!C127="presente_cont","(c",)))),0)&amp;totales!K127&amp;IF(totales!L127="hombre","h","m")</f>
        <v>(p1m</v>
      </c>
    </row>
    <row r="63" spans="1:1">
      <c r="A63" t="str">
        <f>IF(totales!D136="temporal",IF(totales!C136="morfológico","(m",IF(totales!C136="analítico","(a",IF(totales!C136="presente","(p",IF(totales!C136="presente_cont","(c",)))),0)&amp;totales!K136&amp;IF(totales!L136="hombre","h","m")</f>
        <v>(p1m</v>
      </c>
    </row>
    <row r="64" spans="1:1">
      <c r="A64" t="str">
        <f>IF(totales!D137="temporal",IF(totales!C137="morfológico","(m",IF(totales!C137="analítico","(a",IF(totales!C137="presente","(p",IF(totales!C137="presente_cont","(c",)))),0)&amp;totales!K137&amp;IF(totales!L137="hombre","h","m")</f>
        <v>(p1m</v>
      </c>
    </row>
    <row r="65" spans="1:1">
      <c r="A65" t="str">
        <f>IF(totales!D142="temporal",IF(totales!C142="morfológico","(m",IF(totales!C142="analítico","(a",IF(totales!C142="presente","(p",IF(totales!C142="presente_cont","(c",)))),0)&amp;totales!K142&amp;IF(totales!L142="hombre","h","m")</f>
        <v>(p1m</v>
      </c>
    </row>
    <row r="66" spans="1:1">
      <c r="A66" t="str">
        <f>IF(totales!D143="temporal",IF(totales!C143="morfológico","(m",IF(totales!C143="analítico","(a",IF(totales!C143="presente","(p",IF(totales!C143="presente_cont","(c",)))),0)&amp;totales!K143&amp;IF(totales!L143="hombre","h","m")</f>
        <v>(p1m</v>
      </c>
    </row>
    <row r="67" spans="1:1">
      <c r="A67" t="str">
        <f>IF(totales!D146="temporal",IF(totales!C146="morfológico","(m",IF(totales!C146="analítico","(a",IF(totales!C146="presente","(p",IF(totales!C146="presente_cont","(c",)))),0)&amp;totales!K146&amp;IF(totales!L146="hombre","h","m")</f>
        <v>(p1m</v>
      </c>
    </row>
    <row r="68" spans="1:1">
      <c r="A68" t="str">
        <f>IF(totales!D148="temporal",IF(totales!C148="morfológico","(m",IF(totales!C148="analítico","(a",IF(totales!C148="presente","(p",IF(totales!C148="presente_cont","(c",)))),0)&amp;totales!K148&amp;IF(totales!L148="hombre","h","m")</f>
        <v>(p1m</v>
      </c>
    </row>
    <row r="69" spans="1:1">
      <c r="A69" t="str">
        <f>IF(totales!D158="temporal",IF(totales!C158="morfológico","(m",IF(totales!C158="analítico","(a",IF(totales!C158="presente","(p",IF(totales!C158="presente_cont","(c",)))),0)&amp;totales!K158&amp;IF(totales!L158="hombre","h","m")</f>
        <v>(p1m</v>
      </c>
    </row>
    <row r="70" spans="1:1">
      <c r="A70" t="str">
        <f>IF(totales!D159="temporal",IF(totales!C159="morfológico","(m",IF(totales!C159="analítico","(a",IF(totales!C159="presente","(p",IF(totales!C159="presente_cont","(c",)))),0)&amp;totales!K159&amp;IF(totales!L159="hombre","h","m")</f>
        <v>(p1m</v>
      </c>
    </row>
    <row r="71" spans="1:1">
      <c r="A71" t="str">
        <f>IF(totales!D162="temporal",IF(totales!C162="morfológico","(m",IF(totales!C162="analítico","(a",IF(totales!C162="presente","(p",IF(totales!C162="presente_cont","(c",)))),0)&amp;totales!K162&amp;IF(totales!L162="hombre","h","m")</f>
        <v>(p1m</v>
      </c>
    </row>
    <row r="72" spans="1:1">
      <c r="A72" t="str">
        <f>IF(totales!D163="temporal",IF(totales!C163="morfológico","(m",IF(totales!C163="analítico","(a",IF(totales!C163="presente","(p",IF(totales!C163="presente_cont","(c",)))),0)&amp;totales!K163&amp;IF(totales!L163="hombre","h","m")</f>
        <v>(p1m</v>
      </c>
    </row>
    <row r="73" spans="1:1">
      <c r="A73" t="str">
        <f>IF(totales!D9="temporal",IF(totales!C9="morfológico","(m",IF(totales!C9="analítico","(a",IF(totales!C9="presente","(p",IF(totales!C9="presente_cont","(c",)))),0)&amp;totales!K9&amp;IF(totales!L9="hombre","h","m")</f>
        <v>(p1h</v>
      </c>
    </row>
    <row r="74" spans="1:1">
      <c r="A74" t="str">
        <f>IF(totales!D19="temporal",IF(totales!C19="morfológico","(m",IF(totales!C19="analítico","(a",IF(totales!C19="presente","(p",IF(totales!C19="presente_cont","(c",)))),0)&amp;totales!K19&amp;IF(totales!L19="hombre","h","m")</f>
        <v>(p1h</v>
      </c>
    </row>
    <row r="75" spans="1:1">
      <c r="A75" t="str">
        <f>IF(totales!D20="temporal",IF(totales!C20="morfológico","(m",IF(totales!C20="analítico","(a",IF(totales!C20="presente","(p",IF(totales!C20="presente_cont","(c",)))),0)&amp;totales!K20&amp;IF(totales!L20="hombre","h","m")</f>
        <v>(p1h</v>
      </c>
    </row>
    <row r="76" spans="1:1">
      <c r="A76" t="str">
        <f>IF(totales!D21="temporal",IF(totales!C21="morfológico","(m",IF(totales!C21="analítico","(a",IF(totales!C21="presente","(p",IF(totales!C21="presente_cont","(c",)))),0)&amp;totales!K21&amp;IF(totales!L21="hombre","h","m")</f>
        <v>(p1h</v>
      </c>
    </row>
    <row r="77" spans="1:1">
      <c r="A77" t="str">
        <f>IF(totales!D22="temporal",IF(totales!C22="morfológico","(m",IF(totales!C22="analítico","(a",IF(totales!C22="presente","(p",IF(totales!C22="presente_cont","(c",)))),0)&amp;totales!K22&amp;IF(totales!L22="hombre","h","m")</f>
        <v>(p1h</v>
      </c>
    </row>
    <row r="78" spans="1:1">
      <c r="A78" t="str">
        <f>IF(totales!D26="temporal",IF(totales!C26="morfológico","(m",IF(totales!C26="analítico","(a",IF(totales!C26="presente","(p",IF(totales!C26="presente_cont","(c",)))),0)&amp;totales!K26&amp;IF(totales!L26="hombre","h","m")</f>
        <v>(p1h</v>
      </c>
    </row>
    <row r="79" spans="1:1">
      <c r="A79" t="str">
        <f>IF(totales!D27="temporal",IF(totales!C27="morfológico","(m",IF(totales!C27="analítico","(a",IF(totales!C27="presente","(p",IF(totales!C27="presente_cont","(c",)))),0)&amp;totales!K27&amp;IF(totales!L27="hombre","h","m")</f>
        <v>(p1h</v>
      </c>
    </row>
    <row r="80" spans="1:1">
      <c r="A80" t="str">
        <f>IF(totales!D28="temporal",IF(totales!C28="morfológico","(m",IF(totales!C28="analítico","(a",IF(totales!C28="presente","(p",IF(totales!C28="presente_cont","(c",)))),0)&amp;totales!K28&amp;IF(totales!L28="hombre","h","m")</f>
        <v>(p1h</v>
      </c>
    </row>
    <row r="81" spans="1:1">
      <c r="A81" t="str">
        <f>IF(totales!D31="temporal",IF(totales!C31="morfológico","(m",IF(totales!C31="analítico","(a",IF(totales!C31="presente","(p",IF(totales!C31="presente_cont","(c",)))),0)&amp;totales!K31&amp;IF(totales!L31="hombre","h","m")</f>
        <v>(p1h</v>
      </c>
    </row>
    <row r="82" spans="1:1">
      <c r="A82" t="str">
        <f>IF(totales!D32="temporal",IF(totales!C32="morfológico","(m",IF(totales!C32="analítico","(a",IF(totales!C32="presente","(p",IF(totales!C32="presente_cont","(c",)))),0)&amp;totales!K32&amp;IF(totales!L32="hombre","h","m")</f>
        <v>(p1h</v>
      </c>
    </row>
    <row r="83" spans="1:1">
      <c r="A83" t="str">
        <f>IF(totales!D33="temporal",IF(totales!C33="morfológico","(m",IF(totales!C33="analítico","(a",IF(totales!C33="presente","(p",IF(totales!C33="presente_cont","(c",)))),0)&amp;totales!K33&amp;IF(totales!L33="hombre","h","m")</f>
        <v>(p1h</v>
      </c>
    </row>
    <row r="84" spans="1:1">
      <c r="A84" t="str">
        <f>IF(totales!D35="temporal",IF(totales!C35="morfológico","(m",IF(totales!C35="analítico","(a",IF(totales!C35="presente","(p",IF(totales!C35="presente_cont","(c",)))),0)&amp;totales!K35&amp;IF(totales!L35="hombre","h","m")</f>
        <v>(p1h</v>
      </c>
    </row>
    <row r="85" spans="1:1">
      <c r="A85" t="str">
        <f>IF(totales!D37="temporal",IF(totales!C37="morfológico","(m",IF(totales!C37="analítico","(a",IF(totales!C37="presente","(p",IF(totales!C37="presente_cont","(c",)))),0)&amp;totales!K37&amp;IF(totales!L37="hombre","h","m")</f>
        <v>(p1h</v>
      </c>
    </row>
    <row r="86" spans="1:1">
      <c r="A86" t="str">
        <f>IF(totales!D38="temporal",IF(totales!C38="morfológico","(m",IF(totales!C38="analítico","(a",IF(totales!C38="presente","(p",IF(totales!C38="presente_cont","(c",)))),0)&amp;totales!K38&amp;IF(totales!L38="hombre","h","m")</f>
        <v>(p1h</v>
      </c>
    </row>
    <row r="87" spans="1:1">
      <c r="A87" t="str">
        <f>IF(totales!D39="temporal",IF(totales!C39="morfológico","(m",IF(totales!C39="analítico","(a",IF(totales!C39="presente","(p",IF(totales!C39="presente_cont","(c",)))),0)&amp;totales!K39&amp;IF(totales!L39="hombre","h","m")</f>
        <v>(p1h</v>
      </c>
    </row>
    <row r="88" spans="1:1">
      <c r="A88" t="str">
        <f>IF(totales!D40="temporal",IF(totales!C40="morfológico","(m",IF(totales!C40="analítico","(a",IF(totales!C40="presente","(p",IF(totales!C40="presente_cont","(c",)))),0)&amp;totales!K40&amp;IF(totales!L40="hombre","h","m")</f>
        <v>(p1h</v>
      </c>
    </row>
    <row r="89" spans="1:1">
      <c r="A89" t="str">
        <f>IF(totales!D41="temporal",IF(totales!C41="morfológico","(m",IF(totales!C41="analítico","(a",IF(totales!C41="presente","(p",IF(totales!C41="presente_cont","(c",)))),0)&amp;totales!K41&amp;IF(totales!L41="hombre","h","m")</f>
        <v>(p1h</v>
      </c>
    </row>
    <row r="90" spans="1:1">
      <c r="A90" t="str">
        <f>IF(totales!D42="temporal",IF(totales!C42="morfológico","(m",IF(totales!C42="analítico","(a",IF(totales!C42="presente","(p",IF(totales!C42="presente_cont","(c",)))),0)&amp;totales!K42&amp;IF(totales!L42="hombre","h","m")</f>
        <v>(p1h</v>
      </c>
    </row>
    <row r="91" spans="1:1">
      <c r="A91" t="str">
        <f>IF(totales!D44="temporal",IF(totales!C44="morfológico","(m",IF(totales!C44="analítico","(a",IF(totales!C44="presente","(p",IF(totales!C44="presente_cont","(c",)))),0)&amp;totales!K44&amp;IF(totales!L44="hombre","h","m")</f>
        <v>(p1h</v>
      </c>
    </row>
    <row r="92" spans="1:1">
      <c r="A92" t="str">
        <f>IF(totales!D45="temporal",IF(totales!C45="morfológico","(m",IF(totales!C45="analítico","(a",IF(totales!C45="presente","(p",IF(totales!C45="presente_cont","(c",)))),0)&amp;totales!K45&amp;IF(totales!L45="hombre","h","m")</f>
        <v>(p1h</v>
      </c>
    </row>
    <row r="93" spans="1:1">
      <c r="A93" t="str">
        <f>IF(totales!D459="temporal",IF(totales!C459="morfológico","(m",IF(totales!C459="analítico","(a",IF(totales!C459="presente","(p",IF(totales!C459="presente_cont","(c",)))),0)&amp;totales!K459&amp;IF(totales!L459="hombre","h","m")</f>
        <v>(m3m</v>
      </c>
    </row>
    <row r="94" spans="1:1">
      <c r="A94" t="str">
        <f>IF(totales!D460="temporal",IF(totales!C460="morfológico","(m",IF(totales!C460="analítico","(a",IF(totales!C460="presente","(p",IF(totales!C460="presente_cont","(c",)))),0)&amp;totales!K460&amp;IF(totales!L460="hombre","h","m")</f>
        <v>(m3m</v>
      </c>
    </row>
    <row r="95" spans="1:1">
      <c r="A95" t="str">
        <f>IF(totales!D474="temporal",IF(totales!C474="morfológico","(m",IF(totales!C474="analítico","(a",IF(totales!C474="presente","(p",IF(totales!C474="presente_cont","(c",)))),0)&amp;totales!K474&amp;IF(totales!L474="hombre","h","m")</f>
        <v>(m3m</v>
      </c>
    </row>
    <row r="96" spans="1:1">
      <c r="A96" t="str">
        <f>IF(totales!D515="temporal",IF(totales!C515="morfológico","(m",IF(totales!C515="analítico","(a",IF(totales!C515="presente","(p",IF(totales!C515="presente_cont","(c",)))),0)&amp;totales!K515&amp;IF(totales!L515="hombre","h","m")</f>
        <v>(m3m</v>
      </c>
    </row>
    <row r="97" spans="1:1">
      <c r="A97" t="str">
        <f>IF(totales!D384="temporal",IF(totales!C384="morfológico","(m",IF(totales!C384="analítico","(a",IF(totales!C384="presente","(p",IF(totales!C384="presente_cont","(c",)))),0)&amp;totales!K384&amp;IF(totales!L384="hombre","h","m")</f>
        <v>(m3h</v>
      </c>
    </row>
    <row r="98" spans="1:1">
      <c r="A98" t="str">
        <f>IF(totales!D395="temporal",IF(totales!C395="morfológico","(m",IF(totales!C395="analítico","(a",IF(totales!C395="presente","(p",IF(totales!C395="presente_cont","(c",)))),0)&amp;totales!K395&amp;IF(totales!L395="hombre","h","m")</f>
        <v>(m3h</v>
      </c>
    </row>
    <row r="99" spans="1:1">
      <c r="A99" t="str">
        <f>IF(totales!D397="temporal",IF(totales!C397="morfológico","(m",IF(totales!C397="analítico","(a",IF(totales!C397="presente","(p",IF(totales!C397="presente_cont","(c",)))),0)&amp;totales!K397&amp;IF(totales!L397="hombre","h","m")</f>
        <v>(m3h</v>
      </c>
    </row>
    <row r="100" spans="1:1">
      <c r="A100" t="str">
        <f>IF(totales!D400="temporal",IF(totales!C400="morfológico","(m",IF(totales!C400="analítico","(a",IF(totales!C400="presente","(p",IF(totales!C400="presente_cont","(c",)))),0)&amp;totales!K400&amp;IF(totales!L400="hombre","h","m")</f>
        <v>(m3h</v>
      </c>
    </row>
    <row r="101" spans="1:1">
      <c r="A101" t="str">
        <f>IF(totales!D419="temporal",IF(totales!C419="morfológico","(m",IF(totales!C419="analítico","(a",IF(totales!C419="presente","(p",IF(totales!C419="presente_cont","(c",)))),0)&amp;totales!K419&amp;IF(totales!L419="hombre","h","m")</f>
        <v>(m3h</v>
      </c>
    </row>
    <row r="102" spans="1:1">
      <c r="A102" t="str">
        <f>IF(totales!D420="temporal",IF(totales!C420="morfológico","(m",IF(totales!C420="analítico","(a",IF(totales!C420="presente","(p",IF(totales!C420="presente_cont","(c",)))),0)&amp;totales!K420&amp;IF(totales!L420="hombre","h","m")</f>
        <v>(m3h</v>
      </c>
    </row>
    <row r="103" spans="1:1">
      <c r="A103" t="str">
        <f>IF(totales!D421="temporal",IF(totales!C421="morfológico","(m",IF(totales!C421="analítico","(a",IF(totales!C421="presente","(p",IF(totales!C421="presente_cont","(c",)))),0)&amp;totales!K421&amp;IF(totales!L421="hombre","h","m")</f>
        <v>(m3h</v>
      </c>
    </row>
    <row r="104" spans="1:1">
      <c r="A104" t="str">
        <f>IF(totales!D430="temporal",IF(totales!C430="morfológico","(m",IF(totales!C430="analítico","(a",IF(totales!C430="presente","(p",IF(totales!C430="presente_cont","(c",)))),0)&amp;totales!K430&amp;IF(totales!L430="hombre","h","m")</f>
        <v>(m3h</v>
      </c>
    </row>
    <row r="105" spans="1:1">
      <c r="A105" t="str">
        <f>IF(totales!D440="temporal",IF(totales!C440="morfológico","(m",IF(totales!C440="analítico","(a",IF(totales!C440="presente","(p",IF(totales!C440="presente_cont","(c",)))),0)&amp;totales!K440&amp;IF(totales!L440="hombre","h","m")</f>
        <v>(m3h</v>
      </c>
    </row>
    <row r="106" spans="1:1">
      <c r="A106" t="str">
        <f>IF(totales!D442="temporal",IF(totales!C442="morfológico","(m",IF(totales!C442="analítico","(a",IF(totales!C442="presente","(p",IF(totales!C442="presente_cont","(c",)))),0)&amp;totales!K442&amp;IF(totales!L442="hombre","h","m")</f>
        <v>(m3h</v>
      </c>
    </row>
    <row r="107" spans="1:1">
      <c r="A107" t="str">
        <f>IF(totales!D451="temporal",IF(totales!C451="morfológico","(m",IF(totales!C451="analítico","(a",IF(totales!C451="presente","(p",IF(totales!C451="presente_cont","(c",)))),0)&amp;totales!K451&amp;IF(totales!L451="hombre","h","m")</f>
        <v>(m3h</v>
      </c>
    </row>
    <row r="108" spans="1:1">
      <c r="A108" t="str">
        <f>IF(totales!D294="temporal",IF(totales!C294="morfológico","(m",IF(totales!C294="analítico","(a",IF(totales!C294="presente","(p",IF(totales!C294="presente_cont","(c",)))),0)&amp;totales!K294&amp;IF(totales!L294="hombre","h","m")</f>
        <v>(m2m</v>
      </c>
    </row>
    <row r="109" spans="1:1">
      <c r="A109" t="str">
        <f>IF(totales!D317="temporal",IF(totales!C317="morfológico","(m",IF(totales!C317="analítico","(a",IF(totales!C317="presente","(p",IF(totales!C317="presente_cont","(c",)))),0)&amp;totales!K317&amp;IF(totales!L317="hombre","h","m")</f>
        <v>(m2m</v>
      </c>
    </row>
    <row r="110" spans="1:1">
      <c r="A110" t="str">
        <f>IF(totales!D318="temporal",IF(totales!C318="morfológico","(m",IF(totales!C318="analítico","(a",IF(totales!C318="presente","(p",IF(totales!C318="presente_cont","(c",)))),0)&amp;totales!K318&amp;IF(totales!L318="hombre","h","m")</f>
        <v>(m2m</v>
      </c>
    </row>
    <row r="111" spans="1:1">
      <c r="A111" t="str">
        <f>IF(totales!D319="temporal",IF(totales!C319="morfológico","(m",IF(totales!C319="analítico","(a",IF(totales!C319="presente","(p",IF(totales!C319="presente_cont","(c",)))),0)&amp;totales!K319&amp;IF(totales!L319="hombre","h","m")</f>
        <v>(m2m</v>
      </c>
    </row>
    <row r="112" spans="1:1">
      <c r="A112" t="str">
        <f>IF(totales!D189="temporal",IF(totales!C189="morfológico","(m",IF(totales!C189="analítico","(a",IF(totales!C189="presente","(p",IF(totales!C189="presente_cont","(c",)))),0)&amp;totales!K189&amp;IF(totales!L189="hombre","h","m")</f>
        <v>(m2h</v>
      </c>
    </row>
    <row r="113" spans="1:1">
      <c r="A113" t="str">
        <f>IF(totales!D213="temporal",IF(totales!C213="morfológico","(m",IF(totales!C213="analítico","(a",IF(totales!C213="presente","(p",IF(totales!C213="presente_cont","(c",)))),0)&amp;totales!K213&amp;IF(totales!L213="hombre","h","m")</f>
        <v>(m2h</v>
      </c>
    </row>
    <row r="114" spans="1:1">
      <c r="A114" t="str">
        <f>IF(totales!D216="temporal",IF(totales!C216="morfológico","(m",IF(totales!C216="analítico","(a",IF(totales!C216="presente","(p",IF(totales!C216="presente_cont","(c",)))),0)&amp;totales!K216&amp;IF(totales!L216="hombre","h","m")</f>
        <v>(m2h</v>
      </c>
    </row>
    <row r="115" spans="1:1">
      <c r="A115" t="str">
        <f>IF(totales!D65="temporal",IF(totales!C65="morfológico","(m",IF(totales!C65="analítico","(a",IF(totales!C65="presente","(p",IF(totales!C65="presente_cont","(c",)))),0)&amp;totales!K65&amp;IF(totales!L65="hombre","h","m")</f>
        <v>(m1m</v>
      </c>
    </row>
    <row r="116" spans="1:1">
      <c r="A116" t="str">
        <f>IF(totales!D67="temporal",IF(totales!C67="morfológico","(m",IF(totales!C67="analítico","(a",IF(totales!C67="presente","(p",IF(totales!C67="presente_cont","(c",)))),0)&amp;totales!K67&amp;IF(totales!L67="hombre","h","m")</f>
        <v>(m1m</v>
      </c>
    </row>
    <row r="117" spans="1:1">
      <c r="A117" t="str">
        <f>IF(totales!D69="temporal",IF(totales!C69="morfológico","(m",IF(totales!C69="analítico","(a",IF(totales!C69="presente","(p",IF(totales!C69="presente_cont","(c",)))),0)&amp;totales!K69&amp;IF(totales!L69="hombre","h","m")</f>
        <v>(m1m</v>
      </c>
    </row>
    <row r="118" spans="1:1">
      <c r="A118" t="str">
        <f>IF(totales!D70="temporal",IF(totales!C70="morfológico","(m",IF(totales!C70="analítico","(a",IF(totales!C70="presente","(p",IF(totales!C70="presente_cont","(c",)))),0)&amp;totales!K70&amp;IF(totales!L70="hombre","h","m")</f>
        <v>(m1m</v>
      </c>
    </row>
    <row r="119" spans="1:1">
      <c r="A119" t="str">
        <f>IF(totales!D71="temporal",IF(totales!C71="morfológico","(m",IF(totales!C71="analítico","(a",IF(totales!C71="presente","(p",IF(totales!C71="presente_cont","(c",)))),0)&amp;totales!K71&amp;IF(totales!L71="hombre","h","m")</f>
        <v>(m1m</v>
      </c>
    </row>
    <row r="120" spans="1:1">
      <c r="A120" t="str">
        <f>IF(totales!D135="temporal",IF(totales!C135="morfológico","(m",IF(totales!C135="analítico","(a",IF(totales!C135="presente","(p",IF(totales!C135="presente_cont","(c",)))),0)&amp;totales!K135&amp;IF(totales!L135="hombre","h","m")</f>
        <v>(m1m</v>
      </c>
    </row>
    <row r="121" spans="1:1">
      <c r="A121" t="str">
        <f>IF(totales!D149="temporal",IF(totales!C149="morfológico","(m",IF(totales!C149="analítico","(a",IF(totales!C149="presente","(p",IF(totales!C149="presente_cont","(c",)))),0)&amp;totales!K149&amp;IF(totales!L149="hombre","h","m")</f>
        <v>(m1m</v>
      </c>
    </row>
    <row r="122" spans="1:1">
      <c r="A122" t="str">
        <f>IF(totales!D3="temporal",IF(totales!C3="morfológico","(m",IF(totales!C3="analítico","(a",IF(totales!C3="presente","(p",IF(totales!C3="presente_cont","(c",)))),0)&amp;totales!K3&amp;IF(totales!L3="hombre","h","m")</f>
        <v>(m1h</v>
      </c>
    </row>
    <row r="123" spans="1:1">
      <c r="A123" t="str">
        <f>IF(totales!D10="temporal",IF(totales!C10="morfológico","(m",IF(totales!C10="analítico","(a",IF(totales!C10="presente","(p",IF(totales!C10="presente_cont","(c",)))),0)&amp;totales!K10&amp;IF(totales!L10="hombre","h","m")</f>
        <v>(m1h</v>
      </c>
    </row>
    <row r="124" spans="1:1">
      <c r="A124" t="str">
        <f>IF(totales!D16="temporal",IF(totales!C16="morfológico","(m",IF(totales!C16="analítico","(a",IF(totales!C16="presente","(p",IF(totales!C16="presente_cont","(c",)))),0)&amp;totales!K16&amp;IF(totales!L16="hombre","h","m")</f>
        <v>(m1h</v>
      </c>
    </row>
    <row r="125" spans="1:1">
      <c r="A125" t="str">
        <f>IF(totales!D46="temporal",IF(totales!C46="morfológico","(m",IF(totales!C46="analítico","(a",IF(totales!C46="presente","(p",IF(totales!C46="presente_cont","(c",)))),0)&amp;totales!K46&amp;IF(totales!L46="hombre","h","m")</f>
        <v>(m1h</v>
      </c>
    </row>
    <row r="126" spans="1:1">
      <c r="A126" t="str">
        <f>IF(totales!D47="temporal",IF(totales!C47="morfológico","(m",IF(totales!C47="analítico","(a",IF(totales!C47="presente","(p",IF(totales!C47="presente_cont","(c",)))),0)&amp;totales!K47&amp;IF(totales!L47="hombre","h","m")</f>
        <v>(m1h</v>
      </c>
    </row>
    <row r="127" spans="1:1">
      <c r="A127" t="str">
        <f>IF(totales!D461="temporal",IF(totales!C461="morfológico","(m",IF(totales!C461="analítico","(a",IF(totales!C461="presente","(p",IF(totales!C461="presente_cont","(c",)))),0)&amp;totales!K461&amp;IF(totales!L461="hombre","h","m")</f>
        <v>(a3m</v>
      </c>
    </row>
    <row r="128" spans="1:1">
      <c r="A128" t="str">
        <f>IF(totales!D462="temporal",IF(totales!C462="morfológico","(m",IF(totales!C462="analítico","(a",IF(totales!C462="presente","(p",IF(totales!C462="presente_cont","(c",)))),0)&amp;totales!K462&amp;IF(totales!L462="hombre","h","m")</f>
        <v>(a3m</v>
      </c>
    </row>
    <row r="129" spans="1:1">
      <c r="A129" t="str">
        <f>IF(totales!D463="temporal",IF(totales!C463="morfológico","(m",IF(totales!C463="analítico","(a",IF(totales!C463="presente","(p",IF(totales!C463="presente_cont","(c",)))),0)&amp;totales!K463&amp;IF(totales!L463="hombre","h","m")</f>
        <v>(a3m</v>
      </c>
    </row>
    <row r="130" spans="1:1">
      <c r="A130" t="str">
        <f>IF(totales!D464="temporal",IF(totales!C464="morfológico","(m",IF(totales!C464="analítico","(a",IF(totales!C464="presente","(p",IF(totales!C464="presente_cont","(c",)))),0)&amp;totales!K464&amp;IF(totales!L464="hombre","h","m")</f>
        <v>(a3m</v>
      </c>
    </row>
    <row r="131" spans="1:1">
      <c r="A131" t="str">
        <f>IF(totales!D465="temporal",IF(totales!C465="morfológico","(m",IF(totales!C465="analítico","(a",IF(totales!C465="presente","(p",IF(totales!C465="presente_cont","(c",)))),0)&amp;totales!K465&amp;IF(totales!L465="hombre","h","m")</f>
        <v>(a3m</v>
      </c>
    </row>
    <row r="132" spans="1:1">
      <c r="A132" t="str">
        <f>IF(totales!D466="temporal",IF(totales!C466="morfológico","(m",IF(totales!C466="analítico","(a",IF(totales!C466="presente","(p",IF(totales!C466="presente_cont","(c",)))),0)&amp;totales!K466&amp;IF(totales!L466="hombre","h","m")</f>
        <v>(a3m</v>
      </c>
    </row>
    <row r="133" spans="1:1">
      <c r="A133" t="str">
        <f>IF(totales!D469="temporal",IF(totales!C469="morfológico","(m",IF(totales!C469="analítico","(a",IF(totales!C469="presente","(p",IF(totales!C469="presente_cont","(c",)))),0)&amp;totales!K469&amp;IF(totales!L469="hombre","h","m")</f>
        <v>(a3m</v>
      </c>
    </row>
    <row r="134" spans="1:1">
      <c r="A134" t="str">
        <f>IF(totales!D470="temporal",IF(totales!C470="morfológico","(m",IF(totales!C470="analítico","(a",IF(totales!C470="presente","(p",IF(totales!C470="presente_cont","(c",)))),0)&amp;totales!K470&amp;IF(totales!L470="hombre","h","m")</f>
        <v>(a3m</v>
      </c>
    </row>
    <row r="135" spans="1:1">
      <c r="A135" t="str">
        <f>IF(totales!D471="temporal",IF(totales!C471="morfológico","(m",IF(totales!C471="analítico","(a",IF(totales!C471="presente","(p",IF(totales!C471="presente_cont","(c",)))),0)&amp;totales!K471&amp;IF(totales!L471="hombre","h","m")</f>
        <v>(a3m</v>
      </c>
    </row>
    <row r="136" spans="1:1">
      <c r="A136" t="str">
        <f>IF(totales!D472="temporal",IF(totales!C472="morfológico","(m",IF(totales!C472="analítico","(a",IF(totales!C472="presente","(p",IF(totales!C472="presente_cont","(c",)))),0)&amp;totales!K472&amp;IF(totales!L472="hombre","h","m")</f>
        <v>(a3m</v>
      </c>
    </row>
    <row r="137" spans="1:1">
      <c r="A137" t="str">
        <f>IF(totales!D473="temporal",IF(totales!C473="morfológico","(m",IF(totales!C473="analítico","(a",IF(totales!C473="presente","(p",IF(totales!C473="presente_cont","(c",)))),0)&amp;totales!K473&amp;IF(totales!L473="hombre","h","m")</f>
        <v>(a3m</v>
      </c>
    </row>
    <row r="138" spans="1:1">
      <c r="A138" t="str">
        <f>IF(totales!D475="temporal",IF(totales!C475="morfológico","(m",IF(totales!C475="analítico","(a",IF(totales!C475="presente","(p",IF(totales!C475="presente_cont","(c",)))),0)&amp;totales!K475&amp;IF(totales!L475="hombre","h","m")</f>
        <v>(a3m</v>
      </c>
    </row>
    <row r="139" spans="1:1">
      <c r="A139" t="str">
        <f>IF(totales!D476="temporal",IF(totales!C476="morfológico","(m",IF(totales!C476="analítico","(a",IF(totales!C476="presente","(p",IF(totales!C476="presente_cont","(c",)))),0)&amp;totales!K476&amp;IF(totales!L476="hombre","h","m")</f>
        <v>(a3m</v>
      </c>
    </row>
    <row r="140" spans="1:1">
      <c r="A140" t="str">
        <f>IF(totales!D477="temporal",IF(totales!C477="morfológico","(m",IF(totales!C477="analítico","(a",IF(totales!C477="presente","(p",IF(totales!C477="presente_cont","(c",)))),0)&amp;totales!K477&amp;IF(totales!L477="hombre","h","m")</f>
        <v>(a3m</v>
      </c>
    </row>
    <row r="141" spans="1:1">
      <c r="A141" t="str">
        <f>IF(totales!D478="temporal",IF(totales!C478="morfológico","(m",IF(totales!C478="analítico","(a",IF(totales!C478="presente","(p",IF(totales!C478="presente_cont","(c",)))),0)&amp;totales!K478&amp;IF(totales!L478="hombre","h","m")</f>
        <v>(a3m</v>
      </c>
    </row>
    <row r="142" spans="1:1">
      <c r="A142" t="str">
        <f>IF(totales!D480="temporal",IF(totales!C480="morfológico","(m",IF(totales!C480="analítico","(a",IF(totales!C480="presente","(p",IF(totales!C480="presente_cont","(c",)))),0)&amp;totales!K480&amp;IF(totales!L480="hombre","h","m")</f>
        <v>(a3m</v>
      </c>
    </row>
    <row r="143" spans="1:1">
      <c r="A143" t="str">
        <f>IF(totales!D481="temporal",IF(totales!C481="morfológico","(m",IF(totales!C481="analítico","(a",IF(totales!C481="presente","(p",IF(totales!C481="presente_cont","(c",)))),0)&amp;totales!K481&amp;IF(totales!L481="hombre","h","m")</f>
        <v>(a3m</v>
      </c>
    </row>
    <row r="144" spans="1:1">
      <c r="A144" t="str">
        <f>IF(totales!D482="temporal",IF(totales!C482="morfológico","(m",IF(totales!C482="analítico","(a",IF(totales!C482="presente","(p",IF(totales!C482="presente_cont","(c",)))),0)&amp;totales!K482&amp;IF(totales!L482="hombre","h","m")</f>
        <v>(a3m</v>
      </c>
    </row>
    <row r="145" spans="1:1">
      <c r="A145" t="str">
        <f>IF(totales!D483="temporal",IF(totales!C483="morfológico","(m",IF(totales!C483="analítico","(a",IF(totales!C483="presente","(p",IF(totales!C483="presente_cont","(c",)))),0)&amp;totales!K483&amp;IF(totales!L483="hombre","h","m")</f>
        <v>(a3m</v>
      </c>
    </row>
    <row r="146" spans="1:1">
      <c r="A146" t="str">
        <f>IF(totales!D484="temporal",IF(totales!C484="morfológico","(m",IF(totales!C484="analítico","(a",IF(totales!C484="presente","(p",IF(totales!C484="presente_cont","(c",)))),0)&amp;totales!K484&amp;IF(totales!L484="hombre","h","m")</f>
        <v>(a3m</v>
      </c>
    </row>
    <row r="147" spans="1:1">
      <c r="A147" t="str">
        <f>IF(totales!D485="temporal",IF(totales!C485="morfológico","(m",IF(totales!C485="analítico","(a",IF(totales!C485="presente","(p",IF(totales!C485="presente_cont","(c",)))),0)&amp;totales!K485&amp;IF(totales!L485="hombre","h","m")</f>
        <v>(a3m</v>
      </c>
    </row>
    <row r="148" spans="1:1">
      <c r="A148" t="str">
        <f>IF(totales!D486="temporal",IF(totales!C486="morfológico","(m",IF(totales!C486="analítico","(a",IF(totales!C486="presente","(p",IF(totales!C486="presente_cont","(c",)))),0)&amp;totales!K486&amp;IF(totales!L486="hombre","h","m")</f>
        <v>(a3m</v>
      </c>
    </row>
    <row r="149" spans="1:1">
      <c r="A149" t="str">
        <f>IF(totales!D487="temporal",IF(totales!C487="morfológico","(m",IF(totales!C487="analítico","(a",IF(totales!C487="presente","(p",IF(totales!C487="presente_cont","(c",)))),0)&amp;totales!K487&amp;IF(totales!L487="hombre","h","m")</f>
        <v>(a3m</v>
      </c>
    </row>
    <row r="150" spans="1:1">
      <c r="A150" t="str">
        <f>IF(totales!D489="temporal",IF(totales!C489="morfológico","(m",IF(totales!C489="analítico","(a",IF(totales!C489="presente","(p",IF(totales!C489="presente_cont","(c",)))),0)&amp;totales!K489&amp;IF(totales!L489="hombre","h","m")</f>
        <v>(a3m</v>
      </c>
    </row>
    <row r="151" spans="1:1">
      <c r="A151" t="str">
        <f>IF(totales!D490="temporal",IF(totales!C490="morfológico","(m",IF(totales!C490="analítico","(a",IF(totales!C490="presente","(p",IF(totales!C490="presente_cont","(c",)))),0)&amp;totales!K490&amp;IF(totales!L490="hombre","h","m")</f>
        <v>(a3m</v>
      </c>
    </row>
    <row r="152" spans="1:1">
      <c r="A152" t="str">
        <f>IF(totales!D491="temporal",IF(totales!C491="morfológico","(m",IF(totales!C491="analítico","(a",IF(totales!C491="presente","(p",IF(totales!C491="presente_cont","(c",)))),0)&amp;totales!K491&amp;IF(totales!L491="hombre","h","m")</f>
        <v>(a3m</v>
      </c>
    </row>
    <row r="153" spans="1:1">
      <c r="A153" t="str">
        <f>IF(totales!D492="temporal",IF(totales!C492="morfológico","(m",IF(totales!C492="analítico","(a",IF(totales!C492="presente","(p",IF(totales!C492="presente_cont","(c",)))),0)&amp;totales!K492&amp;IF(totales!L492="hombre","h","m")</f>
        <v>(a3m</v>
      </c>
    </row>
    <row r="154" spans="1:1">
      <c r="A154" t="str">
        <f>IF(totales!D493="temporal",IF(totales!C493="morfológico","(m",IF(totales!C493="analítico","(a",IF(totales!C493="presente","(p",IF(totales!C493="presente_cont","(c",)))),0)&amp;totales!K493&amp;IF(totales!L493="hombre","h","m")</f>
        <v>(a3m</v>
      </c>
    </row>
    <row r="155" spans="1:1">
      <c r="A155" t="str">
        <f>IF(totales!D494="temporal",IF(totales!C494="morfológico","(m",IF(totales!C494="analítico","(a",IF(totales!C494="presente","(p",IF(totales!C494="presente_cont","(c",)))),0)&amp;totales!K494&amp;IF(totales!L494="hombre","h","m")</f>
        <v>(a3m</v>
      </c>
    </row>
    <row r="156" spans="1:1">
      <c r="A156" t="str">
        <f>IF(totales!D495="temporal",IF(totales!C495="morfológico","(m",IF(totales!C495="analítico","(a",IF(totales!C495="presente","(p",IF(totales!C495="presente_cont","(c",)))),0)&amp;totales!K495&amp;IF(totales!L495="hombre","h","m")</f>
        <v>(a3m</v>
      </c>
    </row>
    <row r="157" spans="1:1">
      <c r="A157" t="str">
        <f>IF(totales!D496="temporal",IF(totales!C496="morfológico","(m",IF(totales!C496="analítico","(a",IF(totales!C496="presente","(p",IF(totales!C496="presente_cont","(c",)))),0)&amp;totales!K496&amp;IF(totales!L496="hombre","h","m")</f>
        <v>(a3m</v>
      </c>
    </row>
    <row r="158" spans="1:1">
      <c r="A158" t="str">
        <f>IF(totales!D498="temporal",IF(totales!C498="morfológico","(m",IF(totales!C498="analítico","(a",IF(totales!C498="presente","(p",IF(totales!C498="presente_cont","(c",)))),0)&amp;totales!K498&amp;IF(totales!L498="hombre","h","m")</f>
        <v>(a3m</v>
      </c>
    </row>
    <row r="159" spans="1:1">
      <c r="A159" t="str">
        <f>IF(totales!D499="temporal",IF(totales!C499="morfológico","(m",IF(totales!C499="analítico","(a",IF(totales!C499="presente","(p",IF(totales!C499="presente_cont","(c",)))),0)&amp;totales!K499&amp;IF(totales!L499="hombre","h","m")</f>
        <v>(a3m</v>
      </c>
    </row>
    <row r="160" spans="1:1">
      <c r="A160" t="str">
        <f>IF(totales!D500="temporal",IF(totales!C500="morfológico","(m",IF(totales!C500="analítico","(a",IF(totales!C500="presente","(p",IF(totales!C500="presente_cont","(c",)))),0)&amp;totales!K500&amp;IF(totales!L500="hombre","h","m")</f>
        <v>(a3m</v>
      </c>
    </row>
    <row r="161" spans="1:1">
      <c r="A161" t="str">
        <f>IF(totales!D501="temporal",IF(totales!C501="morfológico","(m",IF(totales!C501="analítico","(a",IF(totales!C501="presente","(p",IF(totales!C501="presente_cont","(c",)))),0)&amp;totales!K501&amp;IF(totales!L501="hombre","h","m")</f>
        <v>(a3m</v>
      </c>
    </row>
    <row r="162" spans="1:1">
      <c r="A162" t="str">
        <f>IF(totales!D502="temporal",IF(totales!C502="morfológico","(m",IF(totales!C502="analítico","(a",IF(totales!C502="presente","(p",IF(totales!C502="presente_cont","(c",)))),0)&amp;totales!K502&amp;IF(totales!L502="hombre","h","m")</f>
        <v>(a3m</v>
      </c>
    </row>
    <row r="163" spans="1:1">
      <c r="A163" t="str">
        <f>IF(totales!D503="temporal",IF(totales!C503="morfológico","(m",IF(totales!C503="analítico","(a",IF(totales!C503="presente","(p",IF(totales!C503="presente_cont","(c",)))),0)&amp;totales!K503&amp;IF(totales!L503="hombre","h","m")</f>
        <v>(a3m</v>
      </c>
    </row>
    <row r="164" spans="1:1">
      <c r="A164" t="str">
        <f>IF(totales!D505="temporal",IF(totales!C505="morfológico","(m",IF(totales!C505="analítico","(a",IF(totales!C505="presente","(p",IF(totales!C505="presente_cont","(c",)))),0)&amp;totales!K505&amp;IF(totales!L505="hombre","h","m")</f>
        <v>(a3m</v>
      </c>
    </row>
    <row r="165" spans="1:1">
      <c r="A165" t="str">
        <f>IF(totales!D506="temporal",IF(totales!C506="morfológico","(m",IF(totales!C506="analítico","(a",IF(totales!C506="presente","(p",IF(totales!C506="presente_cont","(c",)))),0)&amp;totales!K506&amp;IF(totales!L506="hombre","h","m")</f>
        <v>(a3m</v>
      </c>
    </row>
    <row r="166" spans="1:1">
      <c r="A166" t="str">
        <f>IF(totales!D507="temporal",IF(totales!C507="morfológico","(m",IF(totales!C507="analítico","(a",IF(totales!C507="presente","(p",IF(totales!C507="presente_cont","(c",)))),0)&amp;totales!K507&amp;IF(totales!L507="hombre","h","m")</f>
        <v>(a3m</v>
      </c>
    </row>
    <row r="167" spans="1:1">
      <c r="A167" t="str">
        <f>IF(totales!D508="temporal",IF(totales!C508="morfológico","(m",IF(totales!C508="analítico","(a",IF(totales!C508="presente","(p",IF(totales!C508="presente_cont","(c",)))),0)&amp;totales!K508&amp;IF(totales!L508="hombre","h","m")</f>
        <v>(a3m</v>
      </c>
    </row>
    <row r="168" spans="1:1">
      <c r="A168" t="str">
        <f>IF(totales!D512="temporal",IF(totales!C512="morfológico","(m",IF(totales!C512="analítico","(a",IF(totales!C512="presente","(p",IF(totales!C512="presente_cont","(c",)))),0)&amp;totales!K512&amp;IF(totales!L512="hombre","h","m")</f>
        <v>(a3m</v>
      </c>
    </row>
    <row r="169" spans="1:1">
      <c r="A169" t="str">
        <f>IF(totales!D513="temporal",IF(totales!C513="morfológico","(m",IF(totales!C513="analítico","(a",IF(totales!C513="presente","(p",IF(totales!C513="presente_cont","(c",)))),0)&amp;totales!K513&amp;IF(totales!L513="hombre","h","m")</f>
        <v>(a3m</v>
      </c>
    </row>
    <row r="170" spans="1:1">
      <c r="A170" t="str">
        <f>IF(totales!D514="temporal",IF(totales!C514="morfológico","(m",IF(totales!C514="analítico","(a",IF(totales!C514="presente","(p",IF(totales!C514="presente_cont","(c",)))),0)&amp;totales!K514&amp;IF(totales!L514="hombre","h","m")</f>
        <v>(a3m</v>
      </c>
    </row>
    <row r="171" spans="1:1">
      <c r="A171" t="str">
        <f>IF(totales!D337="temporal",IF(totales!C337="morfológico","(m",IF(totales!C337="analítico","(a",IF(totales!C337="presente","(p",IF(totales!C337="presente_cont","(c",)))),0)&amp;totales!K337&amp;IF(totales!L337="hombre","h","m")</f>
        <v>(a3h</v>
      </c>
    </row>
    <row r="172" spans="1:1">
      <c r="A172" t="str">
        <f>IF(totales!D338="temporal",IF(totales!C338="morfológico","(m",IF(totales!C338="analítico","(a",IF(totales!C338="presente","(p",IF(totales!C338="presente_cont","(c",)))),0)&amp;totales!K338&amp;IF(totales!L338="hombre","h","m")</f>
        <v>(a3h</v>
      </c>
    </row>
    <row r="173" spans="1:1">
      <c r="A173" t="str">
        <f>IF(totales!D341="temporal",IF(totales!C341="morfológico","(m",IF(totales!C341="analítico","(a",IF(totales!C341="presente","(p",IF(totales!C341="presente_cont","(c",)))),0)&amp;totales!K341&amp;IF(totales!L341="hombre","h","m")</f>
        <v>(a3h</v>
      </c>
    </row>
    <row r="174" spans="1:1">
      <c r="A174" t="str">
        <f>IF(totales!D342="temporal",IF(totales!C342="morfológico","(m",IF(totales!C342="analítico","(a",IF(totales!C342="presente","(p",IF(totales!C342="presente_cont","(c",)))),0)&amp;totales!K342&amp;IF(totales!L342="hombre","h","m")</f>
        <v>(a3h</v>
      </c>
    </row>
    <row r="175" spans="1:1">
      <c r="A175" t="str">
        <f>IF(totales!D343="temporal",IF(totales!C343="morfológico","(m",IF(totales!C343="analítico","(a",IF(totales!C343="presente","(p",IF(totales!C343="presente_cont","(c",)))),0)&amp;totales!K343&amp;IF(totales!L343="hombre","h","m")</f>
        <v>(a3h</v>
      </c>
    </row>
    <row r="176" spans="1:1">
      <c r="A176" t="str">
        <f>IF(totales!D344="temporal",IF(totales!C344="morfológico","(m",IF(totales!C344="analítico","(a",IF(totales!C344="presente","(p",IF(totales!C344="presente_cont","(c",)))),0)&amp;totales!K344&amp;IF(totales!L344="hombre","h","m")</f>
        <v>(a3h</v>
      </c>
    </row>
    <row r="177" spans="1:1">
      <c r="A177" t="str">
        <f>IF(totales!D349="temporal",IF(totales!C349="morfológico","(m",IF(totales!C349="analítico","(a",IF(totales!C349="presente","(p",IF(totales!C349="presente_cont","(c",)))),0)&amp;totales!K349&amp;IF(totales!L349="hombre","h","m")</f>
        <v>(a3h</v>
      </c>
    </row>
    <row r="178" spans="1:1">
      <c r="A178" t="str">
        <f>IF(totales!D350="temporal",IF(totales!C350="morfológico","(m",IF(totales!C350="analítico","(a",IF(totales!C350="presente","(p",IF(totales!C350="presente_cont","(c",)))),0)&amp;totales!K350&amp;IF(totales!L350="hombre","h","m")</f>
        <v>(a3h</v>
      </c>
    </row>
    <row r="179" spans="1:1">
      <c r="A179" t="str">
        <f>IF(totales!D351="temporal",IF(totales!C351="morfológico","(m",IF(totales!C351="analítico","(a",IF(totales!C351="presente","(p",IF(totales!C351="presente_cont","(c",)))),0)&amp;totales!K351&amp;IF(totales!L351="hombre","h","m")</f>
        <v>(a3h</v>
      </c>
    </row>
    <row r="180" spans="1:1">
      <c r="A180" t="str">
        <f>IF(totales!D353="temporal",IF(totales!C353="morfológico","(m",IF(totales!C353="analítico","(a",IF(totales!C353="presente","(p",IF(totales!C353="presente_cont","(c",)))),0)&amp;totales!K353&amp;IF(totales!L353="hombre","h","m")</f>
        <v>(a3h</v>
      </c>
    </row>
    <row r="181" spans="1:1">
      <c r="A181" t="str">
        <f>IF(totales!D355="temporal",IF(totales!C355="morfológico","(m",IF(totales!C355="analítico","(a",IF(totales!C355="presente","(p",IF(totales!C355="presente_cont","(c",)))),0)&amp;totales!K355&amp;IF(totales!L355="hombre","h","m")</f>
        <v>(a3h</v>
      </c>
    </row>
    <row r="182" spans="1:1">
      <c r="A182" t="str">
        <f>IF(totales!D356="temporal",IF(totales!C356="morfológico","(m",IF(totales!C356="analítico","(a",IF(totales!C356="presente","(p",IF(totales!C356="presente_cont","(c",)))),0)&amp;totales!K356&amp;IF(totales!L356="hombre","h","m")</f>
        <v>(a3h</v>
      </c>
    </row>
    <row r="183" spans="1:1">
      <c r="A183" t="str">
        <f>IF(totales!D357="temporal",IF(totales!C357="morfológico","(m",IF(totales!C357="analítico","(a",IF(totales!C357="presente","(p",IF(totales!C357="presente_cont","(c",)))),0)&amp;totales!K357&amp;IF(totales!L357="hombre","h","m")</f>
        <v>(a3h</v>
      </c>
    </row>
    <row r="184" spans="1:1">
      <c r="A184" t="str">
        <f>IF(totales!D362="temporal",IF(totales!C362="morfológico","(m",IF(totales!C362="analítico","(a",IF(totales!C362="presente","(p",IF(totales!C362="presente_cont","(c",)))),0)&amp;totales!K362&amp;IF(totales!L362="hombre","h","m")</f>
        <v>(a3h</v>
      </c>
    </row>
    <row r="185" spans="1:1">
      <c r="A185" t="str">
        <f>IF(totales!D364="temporal",IF(totales!C364="morfológico","(m",IF(totales!C364="analítico","(a",IF(totales!C364="presente","(p",IF(totales!C364="presente_cont","(c",)))),0)&amp;totales!K364&amp;IF(totales!L364="hombre","h","m")</f>
        <v>(a3h</v>
      </c>
    </row>
    <row r="186" spans="1:1">
      <c r="A186" t="str">
        <f>IF(totales!D365="temporal",IF(totales!C365="morfológico","(m",IF(totales!C365="analítico","(a",IF(totales!C365="presente","(p",IF(totales!C365="presente_cont","(c",)))),0)&amp;totales!K365&amp;IF(totales!L365="hombre","h","m")</f>
        <v>(a3h</v>
      </c>
    </row>
    <row r="187" spans="1:1">
      <c r="A187" t="str">
        <f>IF(totales!D366="temporal",IF(totales!C366="morfológico","(m",IF(totales!C366="analítico","(a",IF(totales!C366="presente","(p",IF(totales!C366="presente_cont","(c",)))),0)&amp;totales!K366&amp;IF(totales!L366="hombre","h","m")</f>
        <v>(a3h</v>
      </c>
    </row>
    <row r="188" spans="1:1">
      <c r="A188" t="str">
        <f>IF(totales!D367="temporal",IF(totales!C367="morfológico","(m",IF(totales!C367="analítico","(a",IF(totales!C367="presente","(p",IF(totales!C367="presente_cont","(c",)))),0)&amp;totales!K367&amp;IF(totales!L367="hombre","h","m")</f>
        <v>(a3h</v>
      </c>
    </row>
    <row r="189" spans="1:1">
      <c r="A189" t="str">
        <f>IF(totales!D368="temporal",IF(totales!C368="morfológico","(m",IF(totales!C368="analítico","(a",IF(totales!C368="presente","(p",IF(totales!C368="presente_cont","(c",)))),0)&amp;totales!K368&amp;IF(totales!L368="hombre","h","m")</f>
        <v>(a3h</v>
      </c>
    </row>
    <row r="190" spans="1:1">
      <c r="A190" t="str">
        <f>IF(totales!D369="temporal",IF(totales!C369="morfológico","(m",IF(totales!C369="analítico","(a",IF(totales!C369="presente","(p",IF(totales!C369="presente_cont","(c",)))),0)&amp;totales!K369&amp;IF(totales!L369="hombre","h","m")</f>
        <v>(a3h</v>
      </c>
    </row>
    <row r="191" spans="1:1">
      <c r="A191" t="str">
        <f>IF(totales!D370="temporal",IF(totales!C370="morfológico","(m",IF(totales!C370="analítico","(a",IF(totales!C370="presente","(p",IF(totales!C370="presente_cont","(c",)))),0)&amp;totales!K370&amp;IF(totales!L370="hombre","h","m")</f>
        <v>(a3h</v>
      </c>
    </row>
    <row r="192" spans="1:1">
      <c r="A192" t="str">
        <f>IF(totales!D371="temporal",IF(totales!C371="morfológico","(m",IF(totales!C371="analítico","(a",IF(totales!C371="presente","(p",IF(totales!C371="presente_cont","(c",)))),0)&amp;totales!K371&amp;IF(totales!L371="hombre","h","m")</f>
        <v>(a3h</v>
      </c>
    </row>
    <row r="193" spans="1:1">
      <c r="A193" t="str">
        <f>IF(totales!D372="temporal",IF(totales!C372="morfológico","(m",IF(totales!C372="analítico","(a",IF(totales!C372="presente","(p",IF(totales!C372="presente_cont","(c",)))),0)&amp;totales!K372&amp;IF(totales!L372="hombre","h","m")</f>
        <v>(a3h</v>
      </c>
    </row>
    <row r="194" spans="1:1">
      <c r="A194" t="str">
        <f>IF(totales!D373="temporal",IF(totales!C373="morfológico","(m",IF(totales!C373="analítico","(a",IF(totales!C373="presente","(p",IF(totales!C373="presente_cont","(c",)))),0)&amp;totales!K373&amp;IF(totales!L373="hombre","h","m")</f>
        <v>(a3h</v>
      </c>
    </row>
    <row r="195" spans="1:1">
      <c r="A195" t="str">
        <f>IF(totales!D374="temporal",IF(totales!C374="morfológico","(m",IF(totales!C374="analítico","(a",IF(totales!C374="presente","(p",IF(totales!C374="presente_cont","(c",)))),0)&amp;totales!K374&amp;IF(totales!L374="hombre","h","m")</f>
        <v>(a3h</v>
      </c>
    </row>
    <row r="196" spans="1:1">
      <c r="A196" t="str">
        <f>IF(totales!D375="temporal",IF(totales!C375="morfológico","(m",IF(totales!C375="analítico","(a",IF(totales!C375="presente","(p",IF(totales!C375="presente_cont","(c",)))),0)&amp;totales!K375&amp;IF(totales!L375="hombre","h","m")</f>
        <v>(a3h</v>
      </c>
    </row>
    <row r="197" spans="1:1">
      <c r="A197" t="str">
        <f>IF(totales!D376="temporal",IF(totales!C376="morfológico","(m",IF(totales!C376="analítico","(a",IF(totales!C376="presente","(p",IF(totales!C376="presente_cont","(c",)))),0)&amp;totales!K376&amp;IF(totales!L376="hombre","h","m")</f>
        <v>(a3h</v>
      </c>
    </row>
    <row r="198" spans="1:1">
      <c r="A198" t="str">
        <f>IF(totales!D377="temporal",IF(totales!C377="morfológico","(m",IF(totales!C377="analítico","(a",IF(totales!C377="presente","(p",IF(totales!C377="presente_cont","(c",)))),0)&amp;totales!K377&amp;IF(totales!L377="hombre","h","m")</f>
        <v>(a3h</v>
      </c>
    </row>
    <row r="199" spans="1:1">
      <c r="A199" t="str">
        <f>IF(totales!D378="temporal",IF(totales!C378="morfológico","(m",IF(totales!C378="analítico","(a",IF(totales!C378="presente","(p",IF(totales!C378="presente_cont","(c",)))),0)&amp;totales!K378&amp;IF(totales!L378="hombre","h","m")</f>
        <v>(a3h</v>
      </c>
    </row>
    <row r="200" spans="1:1">
      <c r="A200" t="str">
        <f>IF(totales!D380="temporal",IF(totales!C380="morfológico","(m",IF(totales!C380="analítico","(a",IF(totales!C380="presente","(p",IF(totales!C380="presente_cont","(c",)))),0)&amp;totales!K380&amp;IF(totales!L380="hombre","h","m")</f>
        <v>(a3h</v>
      </c>
    </row>
    <row r="201" spans="1:1">
      <c r="A201" t="str">
        <f>IF(totales!D381="temporal",IF(totales!C381="morfológico","(m",IF(totales!C381="analítico","(a",IF(totales!C381="presente","(p",IF(totales!C381="presente_cont","(c",)))),0)&amp;totales!K381&amp;IF(totales!L381="hombre","h","m")</f>
        <v>(a3h</v>
      </c>
    </row>
    <row r="202" spans="1:1">
      <c r="A202" t="str">
        <f>IF(totales!D385="temporal",IF(totales!C385="morfológico","(m",IF(totales!C385="analítico","(a",IF(totales!C385="presente","(p",IF(totales!C385="presente_cont","(c",)))),0)&amp;totales!K385&amp;IF(totales!L385="hombre","h","m")</f>
        <v>(a3h</v>
      </c>
    </row>
    <row r="203" spans="1:1">
      <c r="A203" t="str">
        <f>IF(totales!D386="temporal",IF(totales!C386="morfológico","(m",IF(totales!C386="analítico","(a",IF(totales!C386="presente","(p",IF(totales!C386="presente_cont","(c",)))),0)&amp;totales!K386&amp;IF(totales!L386="hombre","h","m")</f>
        <v>(a3h</v>
      </c>
    </row>
    <row r="204" spans="1:1">
      <c r="A204" t="str">
        <f>IF(totales!D387="temporal",IF(totales!C387="morfológico","(m",IF(totales!C387="analítico","(a",IF(totales!C387="presente","(p",IF(totales!C387="presente_cont","(c",)))),0)&amp;totales!K387&amp;IF(totales!L387="hombre","h","m")</f>
        <v>(a3h</v>
      </c>
    </row>
    <row r="205" spans="1:1">
      <c r="A205" t="str">
        <f>IF(totales!D388="temporal",IF(totales!C388="morfológico","(m",IF(totales!C388="analítico","(a",IF(totales!C388="presente","(p",IF(totales!C388="presente_cont","(c",)))),0)&amp;totales!K388&amp;IF(totales!L388="hombre","h","m")</f>
        <v>(a3h</v>
      </c>
    </row>
    <row r="206" spans="1:1">
      <c r="A206" t="str">
        <f>IF(totales!D389="temporal",IF(totales!C389="morfológico","(m",IF(totales!C389="analítico","(a",IF(totales!C389="presente","(p",IF(totales!C389="presente_cont","(c",)))),0)&amp;totales!K389&amp;IF(totales!L389="hombre","h","m")</f>
        <v>(a3h</v>
      </c>
    </row>
    <row r="207" spans="1:1">
      <c r="A207" t="str">
        <f>IF(totales!D391="temporal",IF(totales!C391="morfológico","(m",IF(totales!C391="analítico","(a",IF(totales!C391="presente","(p",IF(totales!C391="presente_cont","(c",)))),0)&amp;totales!K391&amp;IF(totales!L391="hombre","h","m")</f>
        <v>(a3h</v>
      </c>
    </row>
    <row r="208" spans="1:1">
      <c r="A208" t="str">
        <f>IF(totales!D392="temporal",IF(totales!C392="morfológico","(m",IF(totales!C392="analítico","(a",IF(totales!C392="presente","(p",IF(totales!C392="presente_cont","(c",)))),0)&amp;totales!K392&amp;IF(totales!L392="hombre","h","m")</f>
        <v>(a3h</v>
      </c>
    </row>
    <row r="209" spans="1:1">
      <c r="A209" t="str">
        <f>IF(totales!D393="temporal",IF(totales!C393="morfológico","(m",IF(totales!C393="analítico","(a",IF(totales!C393="presente","(p",IF(totales!C393="presente_cont","(c",)))),0)&amp;totales!K393&amp;IF(totales!L393="hombre","h","m")</f>
        <v>(a3h</v>
      </c>
    </row>
    <row r="210" spans="1:1">
      <c r="A210" t="str">
        <f>IF(totales!D398="temporal",IF(totales!C398="morfológico","(m",IF(totales!C398="analítico","(a",IF(totales!C398="presente","(p",IF(totales!C398="presente_cont","(c",)))),0)&amp;totales!K398&amp;IF(totales!L398="hombre","h","m")</f>
        <v>(a3h</v>
      </c>
    </row>
    <row r="211" spans="1:1">
      <c r="A211" t="str">
        <f>IF(totales!D399="temporal",IF(totales!C399="morfológico","(m",IF(totales!C399="analítico","(a",IF(totales!C399="presente","(p",IF(totales!C399="presente_cont","(c",)))),0)&amp;totales!K399&amp;IF(totales!L399="hombre","h","m")</f>
        <v>(a3h</v>
      </c>
    </row>
    <row r="212" spans="1:1">
      <c r="A212" t="str">
        <f>IF(totales!D401="temporal",IF(totales!C401="morfológico","(m",IF(totales!C401="analítico","(a",IF(totales!C401="presente","(p",IF(totales!C401="presente_cont","(c",)))),0)&amp;totales!K401&amp;IF(totales!L401="hombre","h","m")</f>
        <v>(a3h</v>
      </c>
    </row>
    <row r="213" spans="1:1">
      <c r="A213" t="str">
        <f>IF(totales!D402="temporal",IF(totales!C402="morfológico","(m",IF(totales!C402="analítico","(a",IF(totales!C402="presente","(p",IF(totales!C402="presente_cont","(c",)))),0)&amp;totales!K402&amp;IF(totales!L402="hombre","h","m")</f>
        <v>(a3h</v>
      </c>
    </row>
    <row r="214" spans="1:1">
      <c r="A214" t="str">
        <f>IF(totales!D406="temporal",IF(totales!C406="morfológico","(m",IF(totales!C406="analítico","(a",IF(totales!C406="presente","(p",IF(totales!C406="presente_cont","(c",)))),0)&amp;totales!K406&amp;IF(totales!L406="hombre","h","m")</f>
        <v>(a3h</v>
      </c>
    </row>
    <row r="215" spans="1:1">
      <c r="A215" t="str">
        <f>IF(totales!D407="temporal",IF(totales!C407="morfológico","(m",IF(totales!C407="analítico","(a",IF(totales!C407="presente","(p",IF(totales!C407="presente_cont","(c",)))),0)&amp;totales!K407&amp;IF(totales!L407="hombre","h","m")</f>
        <v>(a3h</v>
      </c>
    </row>
    <row r="216" spans="1:1">
      <c r="A216" t="str">
        <f>IF(totales!D408="temporal",IF(totales!C408="morfológico","(m",IF(totales!C408="analítico","(a",IF(totales!C408="presente","(p",IF(totales!C408="presente_cont","(c",)))),0)&amp;totales!K408&amp;IF(totales!L408="hombre","h","m")</f>
        <v>(a3h</v>
      </c>
    </row>
    <row r="217" spans="1:1">
      <c r="A217" t="str">
        <f>IF(totales!D409="temporal",IF(totales!C409="morfológico","(m",IF(totales!C409="analítico","(a",IF(totales!C409="presente","(p",IF(totales!C409="presente_cont","(c",)))),0)&amp;totales!K409&amp;IF(totales!L409="hombre","h","m")</f>
        <v>(a3h</v>
      </c>
    </row>
    <row r="218" spans="1:1">
      <c r="A218" t="str">
        <f>IF(totales!D412="temporal",IF(totales!C412="morfológico","(m",IF(totales!C412="analítico","(a",IF(totales!C412="presente","(p",IF(totales!C412="presente_cont","(c",)))),0)&amp;totales!K412&amp;IF(totales!L412="hombre","h","m")</f>
        <v>(a3h</v>
      </c>
    </row>
    <row r="219" spans="1:1">
      <c r="A219" t="str">
        <f>IF(totales!D413="temporal",IF(totales!C413="morfológico","(m",IF(totales!C413="analítico","(a",IF(totales!C413="presente","(p",IF(totales!C413="presente_cont","(c",)))),0)&amp;totales!K413&amp;IF(totales!L413="hombre","h","m")</f>
        <v>(a3h</v>
      </c>
    </row>
    <row r="220" spans="1:1">
      <c r="A220" t="str">
        <f>IF(totales!D414="temporal",IF(totales!C414="morfológico","(m",IF(totales!C414="analítico","(a",IF(totales!C414="presente","(p",IF(totales!C414="presente_cont","(c",)))),0)&amp;totales!K414&amp;IF(totales!L414="hombre","h","m")</f>
        <v>(a3h</v>
      </c>
    </row>
    <row r="221" spans="1:1">
      <c r="A221" t="str">
        <f>IF(totales!D415="temporal",IF(totales!C415="morfológico","(m",IF(totales!C415="analítico","(a",IF(totales!C415="presente","(p",IF(totales!C415="presente_cont","(c",)))),0)&amp;totales!K415&amp;IF(totales!L415="hombre","h","m")</f>
        <v>(a3h</v>
      </c>
    </row>
    <row r="222" spans="1:1">
      <c r="A222" t="str">
        <f>IF(totales!D418="temporal",IF(totales!C418="morfológico","(m",IF(totales!C418="analítico","(a",IF(totales!C418="presente","(p",IF(totales!C418="presente_cont","(c",)))),0)&amp;totales!K418&amp;IF(totales!L418="hombre","h","m")</f>
        <v>(a3h</v>
      </c>
    </row>
    <row r="223" spans="1:1">
      <c r="A223" t="str">
        <f>IF(totales!D422="temporal",IF(totales!C422="morfológico","(m",IF(totales!C422="analítico","(a",IF(totales!C422="presente","(p",IF(totales!C422="presente_cont","(c",)))),0)&amp;totales!K422&amp;IF(totales!L422="hombre","h","m")</f>
        <v>(a3h</v>
      </c>
    </row>
    <row r="224" spans="1:1">
      <c r="A224" t="str">
        <f>IF(totales!D423="temporal",IF(totales!C423="morfológico","(m",IF(totales!C423="analítico","(a",IF(totales!C423="presente","(p",IF(totales!C423="presente_cont","(c",)))),0)&amp;totales!K423&amp;IF(totales!L423="hombre","h","m")</f>
        <v>(a3h</v>
      </c>
    </row>
    <row r="225" spans="1:1">
      <c r="A225" t="str">
        <f>IF(totales!D424="temporal",IF(totales!C424="morfológico","(m",IF(totales!C424="analítico","(a",IF(totales!C424="presente","(p",IF(totales!C424="presente_cont","(c",)))),0)&amp;totales!K424&amp;IF(totales!L424="hombre","h","m")</f>
        <v>(a3h</v>
      </c>
    </row>
    <row r="226" spans="1:1">
      <c r="A226" t="str">
        <f>IF(totales!D425="temporal",IF(totales!C425="morfológico","(m",IF(totales!C425="analítico","(a",IF(totales!C425="presente","(p",IF(totales!C425="presente_cont","(c",)))),0)&amp;totales!K425&amp;IF(totales!L425="hombre","h","m")</f>
        <v>(a3h</v>
      </c>
    </row>
    <row r="227" spans="1:1">
      <c r="A227" t="str">
        <f>IF(totales!D426="temporal",IF(totales!C426="morfológico","(m",IF(totales!C426="analítico","(a",IF(totales!C426="presente","(p",IF(totales!C426="presente_cont","(c",)))),0)&amp;totales!K426&amp;IF(totales!L426="hombre","h","m")</f>
        <v>(a3h</v>
      </c>
    </row>
    <row r="228" spans="1:1">
      <c r="A228" t="str">
        <f>IF(totales!D427="temporal",IF(totales!C427="morfológico","(m",IF(totales!C427="analítico","(a",IF(totales!C427="presente","(p",IF(totales!C427="presente_cont","(c",)))),0)&amp;totales!K427&amp;IF(totales!L427="hombre","h","m")</f>
        <v>(a3h</v>
      </c>
    </row>
    <row r="229" spans="1:1">
      <c r="A229" t="str">
        <f>IF(totales!D428="temporal",IF(totales!C428="morfológico","(m",IF(totales!C428="analítico","(a",IF(totales!C428="presente","(p",IF(totales!C428="presente_cont","(c",)))),0)&amp;totales!K428&amp;IF(totales!L428="hombre","h","m")</f>
        <v>(a3h</v>
      </c>
    </row>
    <row r="230" spans="1:1">
      <c r="A230" t="str">
        <f>IF(totales!D431="temporal",IF(totales!C431="morfológico","(m",IF(totales!C431="analítico","(a",IF(totales!C431="presente","(p",IF(totales!C431="presente_cont","(c",)))),0)&amp;totales!K431&amp;IF(totales!L431="hombre","h","m")</f>
        <v>(a3h</v>
      </c>
    </row>
    <row r="231" spans="1:1">
      <c r="A231" t="str">
        <f>IF(totales!D432="temporal",IF(totales!C432="morfológico","(m",IF(totales!C432="analítico","(a",IF(totales!C432="presente","(p",IF(totales!C432="presente_cont","(c",)))),0)&amp;totales!K432&amp;IF(totales!L432="hombre","h","m")</f>
        <v>(a3h</v>
      </c>
    </row>
    <row r="232" spans="1:1">
      <c r="A232" t="str">
        <f>IF(totales!D433="temporal",IF(totales!C433="morfológico","(m",IF(totales!C433="analítico","(a",IF(totales!C433="presente","(p",IF(totales!C433="presente_cont","(c",)))),0)&amp;totales!K433&amp;IF(totales!L433="hombre","h","m")</f>
        <v>(a3h</v>
      </c>
    </row>
    <row r="233" spans="1:1">
      <c r="A233" t="str">
        <f>IF(totales!D435="temporal",IF(totales!C435="morfológico","(m",IF(totales!C435="analítico","(a",IF(totales!C435="presente","(p",IF(totales!C435="presente_cont","(c",)))),0)&amp;totales!K435&amp;IF(totales!L435="hombre","h","m")</f>
        <v>(a3h</v>
      </c>
    </row>
    <row r="234" spans="1:1">
      <c r="A234" t="str">
        <f>IF(totales!D436="temporal",IF(totales!C436="morfológico","(m",IF(totales!C436="analítico","(a",IF(totales!C436="presente","(p",IF(totales!C436="presente_cont","(c",)))),0)&amp;totales!K436&amp;IF(totales!L436="hombre","h","m")</f>
        <v>(a3h</v>
      </c>
    </row>
    <row r="235" spans="1:1">
      <c r="A235" t="str">
        <f>IF(totales!D437="temporal",IF(totales!C437="morfológico","(m",IF(totales!C437="analítico","(a",IF(totales!C437="presente","(p",IF(totales!C437="presente_cont","(c",)))),0)&amp;totales!K437&amp;IF(totales!L437="hombre","h","m")</f>
        <v>(a3h</v>
      </c>
    </row>
    <row r="236" spans="1:1">
      <c r="A236" t="str">
        <f>IF(totales!D438="temporal",IF(totales!C438="morfológico","(m",IF(totales!C438="analítico","(a",IF(totales!C438="presente","(p",IF(totales!C438="presente_cont","(c",)))),0)&amp;totales!K438&amp;IF(totales!L438="hombre","h","m")</f>
        <v>(a3h</v>
      </c>
    </row>
    <row r="237" spans="1:1">
      <c r="A237" t="str">
        <f>IF(totales!D439="temporal",IF(totales!C439="morfológico","(m",IF(totales!C439="analítico","(a",IF(totales!C439="presente","(p",IF(totales!C439="presente_cont","(c",)))),0)&amp;totales!K439&amp;IF(totales!L439="hombre","h","m")</f>
        <v>(a3h</v>
      </c>
    </row>
    <row r="238" spans="1:1">
      <c r="A238" t="str">
        <f>IF(totales!D441="temporal",IF(totales!C441="morfológico","(m",IF(totales!C441="analítico","(a",IF(totales!C441="presente","(p",IF(totales!C441="presente_cont","(c",)))),0)&amp;totales!K441&amp;IF(totales!L441="hombre","h","m")</f>
        <v>(a3h</v>
      </c>
    </row>
    <row r="239" spans="1:1">
      <c r="A239" t="str">
        <f>IF(totales!D443="temporal",IF(totales!C443="morfológico","(m",IF(totales!C443="analítico","(a",IF(totales!C443="presente","(p",IF(totales!C443="presente_cont","(c",)))),0)&amp;totales!K443&amp;IF(totales!L443="hombre","h","m")</f>
        <v>(a3h</v>
      </c>
    </row>
    <row r="240" spans="1:1">
      <c r="A240" t="str">
        <f>IF(totales!D444="temporal",IF(totales!C444="morfológico","(m",IF(totales!C444="analítico","(a",IF(totales!C444="presente","(p",IF(totales!C444="presente_cont","(c",)))),0)&amp;totales!K444&amp;IF(totales!L444="hombre","h","m")</f>
        <v>(a3h</v>
      </c>
    </row>
    <row r="241" spans="1:1">
      <c r="A241" t="str">
        <f>IF(totales!D446="temporal",IF(totales!C446="morfológico","(m",IF(totales!C446="analítico","(a",IF(totales!C446="presente","(p",IF(totales!C446="presente_cont","(c",)))),0)&amp;totales!K446&amp;IF(totales!L446="hombre","h","m")</f>
        <v>(a3h</v>
      </c>
    </row>
    <row r="242" spans="1:1">
      <c r="A242" t="str">
        <f>IF(totales!D447="temporal",IF(totales!C447="morfológico","(m",IF(totales!C447="analítico","(a",IF(totales!C447="presente","(p",IF(totales!C447="presente_cont","(c",)))),0)&amp;totales!K447&amp;IF(totales!L447="hombre","h","m")</f>
        <v>(a3h</v>
      </c>
    </row>
    <row r="243" spans="1:1">
      <c r="A243" t="str">
        <f>IF(totales!D448="temporal",IF(totales!C448="morfológico","(m",IF(totales!C448="analítico","(a",IF(totales!C448="presente","(p",IF(totales!C448="presente_cont","(c",)))),0)&amp;totales!K448&amp;IF(totales!L448="hombre","h","m")</f>
        <v>(a3h</v>
      </c>
    </row>
    <row r="244" spans="1:1">
      <c r="A244" t="str">
        <f>IF(totales!D449="temporal",IF(totales!C449="morfológico","(m",IF(totales!C449="analítico","(a",IF(totales!C449="presente","(p",IF(totales!C449="presente_cont","(c",)))),0)&amp;totales!K449&amp;IF(totales!L449="hombre","h","m")</f>
        <v>(a3h</v>
      </c>
    </row>
    <row r="245" spans="1:1">
      <c r="A245" t="str">
        <f>IF(totales!D450="temporal",IF(totales!C450="morfológico","(m",IF(totales!C450="analítico","(a",IF(totales!C450="presente","(p",IF(totales!C450="presente_cont","(c",)))),0)&amp;totales!K450&amp;IF(totales!L450="hombre","h","m")</f>
        <v>(a3h</v>
      </c>
    </row>
    <row r="246" spans="1:1">
      <c r="A246" t="str">
        <f>IF(totales!D452="temporal",IF(totales!C452="morfológico","(m",IF(totales!C452="analítico","(a",IF(totales!C452="presente","(p",IF(totales!C452="presente_cont","(c",)))),0)&amp;totales!K452&amp;IF(totales!L452="hombre","h","m")</f>
        <v>(a3h</v>
      </c>
    </row>
    <row r="247" spans="1:1">
      <c r="A247" t="str">
        <f>IF(totales!D453="temporal",IF(totales!C453="morfológico","(m",IF(totales!C453="analítico","(a",IF(totales!C453="presente","(p",IF(totales!C453="presente_cont","(c",)))),0)&amp;totales!K453&amp;IF(totales!L453="hombre","h","m")</f>
        <v>(a3h</v>
      </c>
    </row>
    <row r="248" spans="1:1">
      <c r="A248" t="str">
        <f>IF(totales!D454="temporal",IF(totales!C454="morfológico","(m",IF(totales!C454="analítico","(a",IF(totales!C454="presente","(p",IF(totales!C454="presente_cont","(c",)))),0)&amp;totales!K454&amp;IF(totales!L454="hombre","h","m")</f>
        <v>(a3h</v>
      </c>
    </row>
    <row r="249" spans="1:1">
      <c r="A249" t="str">
        <f>IF(totales!D456="temporal",IF(totales!C456="morfológico","(m",IF(totales!C456="analítico","(a",IF(totales!C456="presente","(p",IF(totales!C456="presente_cont","(c",)))),0)&amp;totales!K456&amp;IF(totales!L456="hombre","h","m")</f>
        <v>(a3h</v>
      </c>
    </row>
    <row r="250" spans="1:1">
      <c r="A250" t="str">
        <f>IF(totales!D249="temporal",IF(totales!C249="morfológico","(m",IF(totales!C249="analítico","(a",IF(totales!C249="presente","(p",IF(totales!C249="presente_cont","(c",)))),0)&amp;totales!K249&amp;IF(totales!L249="hombre","h","m")</f>
        <v>(a2m</v>
      </c>
    </row>
    <row r="251" spans="1:1">
      <c r="A251" t="str">
        <f>IF(totales!D250="temporal",IF(totales!C250="morfológico","(m",IF(totales!C250="analítico","(a",IF(totales!C250="presente","(p",IF(totales!C250="presente_cont","(c",)))),0)&amp;totales!K250&amp;IF(totales!L250="hombre","h","m")</f>
        <v>(a2m</v>
      </c>
    </row>
    <row r="252" spans="1:1">
      <c r="A252" t="str">
        <f>IF(totales!D251="temporal",IF(totales!C251="morfológico","(m",IF(totales!C251="analítico","(a",IF(totales!C251="presente","(p",IF(totales!C251="presente_cont","(c",)))),0)&amp;totales!K251&amp;IF(totales!L251="hombre","h","m")</f>
        <v>(a2m</v>
      </c>
    </row>
    <row r="253" spans="1:1">
      <c r="A253" t="str">
        <f>IF(totales!D252="temporal",IF(totales!C252="morfológico","(m",IF(totales!C252="analítico","(a",IF(totales!C252="presente","(p",IF(totales!C252="presente_cont","(c",)))),0)&amp;totales!K252&amp;IF(totales!L252="hombre","h","m")</f>
        <v>(a2m</v>
      </c>
    </row>
    <row r="254" spans="1:1">
      <c r="A254" t="str">
        <f>IF(totales!D253="temporal",IF(totales!C253="morfológico","(m",IF(totales!C253="analítico","(a",IF(totales!C253="presente","(p",IF(totales!C253="presente_cont","(c",)))),0)&amp;totales!K253&amp;IF(totales!L253="hombre","h","m")</f>
        <v>(a2m</v>
      </c>
    </row>
    <row r="255" spans="1:1">
      <c r="A255" t="str">
        <f>IF(totales!D254="temporal",IF(totales!C254="morfológico","(m",IF(totales!C254="analítico","(a",IF(totales!C254="presente","(p",IF(totales!C254="presente_cont","(c",)))),0)&amp;totales!K254&amp;IF(totales!L254="hombre","h","m")</f>
        <v>(a2m</v>
      </c>
    </row>
    <row r="256" spans="1:1">
      <c r="A256" t="str">
        <f>IF(totales!D255="temporal",IF(totales!C255="morfológico","(m",IF(totales!C255="analítico","(a",IF(totales!C255="presente","(p",IF(totales!C255="presente_cont","(c",)))),0)&amp;totales!K255&amp;IF(totales!L255="hombre","h","m")</f>
        <v>(a2m</v>
      </c>
    </row>
    <row r="257" spans="1:1">
      <c r="A257" t="str">
        <f>IF(totales!D256="temporal",IF(totales!C256="morfológico","(m",IF(totales!C256="analítico","(a",IF(totales!C256="presente","(p",IF(totales!C256="presente_cont","(c",)))),0)&amp;totales!K256&amp;IF(totales!L256="hombre","h","m")</f>
        <v>(a2m</v>
      </c>
    </row>
    <row r="258" spans="1:1">
      <c r="A258" t="str">
        <f>IF(totales!D257="temporal",IF(totales!C257="morfológico","(m",IF(totales!C257="analítico","(a",IF(totales!C257="presente","(p",IF(totales!C257="presente_cont","(c",)))),0)&amp;totales!K257&amp;IF(totales!L257="hombre","h","m")</f>
        <v>(a2m</v>
      </c>
    </row>
    <row r="259" spans="1:1">
      <c r="A259" t="str">
        <f>IF(totales!D262="temporal",IF(totales!C262="morfológico","(m",IF(totales!C262="analítico","(a",IF(totales!C262="presente","(p",IF(totales!C262="presente_cont","(c",)))),0)&amp;totales!K262&amp;IF(totales!L262="hombre","h","m")</f>
        <v>(a2m</v>
      </c>
    </row>
    <row r="260" spans="1:1">
      <c r="A260" t="str">
        <f>IF(totales!D263="temporal",IF(totales!C263="morfológico","(m",IF(totales!C263="analítico","(a",IF(totales!C263="presente","(p",IF(totales!C263="presente_cont","(c",)))),0)&amp;totales!K263&amp;IF(totales!L263="hombre","h","m")</f>
        <v>(a2m</v>
      </c>
    </row>
    <row r="261" spans="1:1">
      <c r="A261" t="str">
        <f>IF(totales!D264="temporal",IF(totales!C264="morfológico","(m",IF(totales!C264="analítico","(a",IF(totales!C264="presente","(p",IF(totales!C264="presente_cont","(c",)))),0)&amp;totales!K264&amp;IF(totales!L264="hombre","h","m")</f>
        <v>(a2m</v>
      </c>
    </row>
    <row r="262" spans="1:1">
      <c r="A262" t="str">
        <f>IF(totales!D266="temporal",IF(totales!C266="morfológico","(m",IF(totales!C266="analítico","(a",IF(totales!C266="presente","(p",IF(totales!C266="presente_cont","(c",)))),0)&amp;totales!K266&amp;IF(totales!L266="hombre","h","m")</f>
        <v>(a2m</v>
      </c>
    </row>
    <row r="263" spans="1:1">
      <c r="A263" t="str">
        <f>IF(totales!D267="temporal",IF(totales!C267="morfológico","(m",IF(totales!C267="analítico","(a",IF(totales!C267="presente","(p",IF(totales!C267="presente_cont","(c",)))),0)&amp;totales!K267&amp;IF(totales!L267="hombre","h","m")</f>
        <v>(a2m</v>
      </c>
    </row>
    <row r="264" spans="1:1">
      <c r="A264" t="str">
        <f>IF(totales!D268="temporal",IF(totales!C268="morfológico","(m",IF(totales!C268="analítico","(a",IF(totales!C268="presente","(p",IF(totales!C268="presente_cont","(c",)))),0)&amp;totales!K268&amp;IF(totales!L268="hombre","h","m")</f>
        <v>(a2m</v>
      </c>
    </row>
    <row r="265" spans="1:1">
      <c r="A265" t="str">
        <f>IF(totales!D269="temporal",IF(totales!C269="morfológico","(m",IF(totales!C269="analítico","(a",IF(totales!C269="presente","(p",IF(totales!C269="presente_cont","(c",)))),0)&amp;totales!K269&amp;IF(totales!L269="hombre","h","m")</f>
        <v>(a2m</v>
      </c>
    </row>
    <row r="266" spans="1:1">
      <c r="A266" t="str">
        <f>IF(totales!D272="temporal",IF(totales!C272="morfológico","(m",IF(totales!C272="analítico","(a",IF(totales!C272="presente","(p",IF(totales!C272="presente_cont","(c",)))),0)&amp;totales!K272&amp;IF(totales!L272="hombre","h","m")</f>
        <v>(a2m</v>
      </c>
    </row>
    <row r="267" spans="1:1">
      <c r="A267" t="str">
        <f>IF(totales!D273="temporal",IF(totales!C273="morfológico","(m",IF(totales!C273="analítico","(a",IF(totales!C273="presente","(p",IF(totales!C273="presente_cont","(c",)))),0)&amp;totales!K273&amp;IF(totales!L273="hombre","h","m")</f>
        <v>(a2m</v>
      </c>
    </row>
    <row r="268" spans="1:1">
      <c r="A268" t="str">
        <f>IF(totales!D274="temporal",IF(totales!C274="morfológico","(m",IF(totales!C274="analítico","(a",IF(totales!C274="presente","(p",IF(totales!C274="presente_cont","(c",)))),0)&amp;totales!K274&amp;IF(totales!L274="hombre","h","m")</f>
        <v>(a2m</v>
      </c>
    </row>
    <row r="269" spans="1:1">
      <c r="A269" t="str">
        <f>IF(totales!D275="temporal",IF(totales!C275="morfológico","(m",IF(totales!C275="analítico","(a",IF(totales!C275="presente","(p",IF(totales!C275="presente_cont","(c",)))),0)&amp;totales!K275&amp;IF(totales!L275="hombre","h","m")</f>
        <v>(a2m</v>
      </c>
    </row>
    <row r="270" spans="1:1">
      <c r="A270" t="str">
        <f>IF(totales!D277="temporal",IF(totales!C277="morfológico","(m",IF(totales!C277="analítico","(a",IF(totales!C277="presente","(p",IF(totales!C277="presente_cont","(c",)))),0)&amp;totales!K277&amp;IF(totales!L277="hombre","h","m")</f>
        <v>(a2m</v>
      </c>
    </row>
    <row r="271" spans="1:1">
      <c r="A271" t="str">
        <f>IF(totales!D279="temporal",IF(totales!C279="morfológico","(m",IF(totales!C279="analítico","(a",IF(totales!C279="presente","(p",IF(totales!C279="presente_cont","(c",)))),0)&amp;totales!K279&amp;IF(totales!L279="hombre","h","m")</f>
        <v>(a2m</v>
      </c>
    </row>
    <row r="272" spans="1:1">
      <c r="A272" t="str">
        <f>IF(totales!D280="temporal",IF(totales!C280="morfológico","(m",IF(totales!C280="analítico","(a",IF(totales!C280="presente","(p",IF(totales!C280="presente_cont","(c",)))),0)&amp;totales!K280&amp;IF(totales!L280="hombre","h","m")</f>
        <v>(a2m</v>
      </c>
    </row>
    <row r="273" spans="1:1">
      <c r="A273" t="str">
        <f>IF(totales!D282="temporal",IF(totales!C282="morfológico","(m",IF(totales!C282="analítico","(a",IF(totales!C282="presente","(p",IF(totales!C282="presente_cont","(c",)))),0)&amp;totales!K282&amp;IF(totales!L282="hombre","h","m")</f>
        <v>(a2m</v>
      </c>
    </row>
    <row r="274" spans="1:1">
      <c r="A274" t="str">
        <f>IF(totales!D284="temporal",IF(totales!C284="morfológico","(m",IF(totales!C284="analítico","(a",IF(totales!C284="presente","(p",IF(totales!C284="presente_cont","(c",)))),0)&amp;totales!K284&amp;IF(totales!L284="hombre","h","m")</f>
        <v>(a2m</v>
      </c>
    </row>
    <row r="275" spans="1:1">
      <c r="A275" t="str">
        <f>IF(totales!D287="temporal",IF(totales!C287="morfológico","(m",IF(totales!C287="analítico","(a",IF(totales!C287="presente","(p",IF(totales!C287="presente_cont","(c",)))),0)&amp;totales!K287&amp;IF(totales!L287="hombre","h","m")</f>
        <v>(a2m</v>
      </c>
    </row>
    <row r="276" spans="1:1">
      <c r="A276" t="str">
        <f>IF(totales!D289="temporal",IF(totales!C289="morfológico","(m",IF(totales!C289="analítico","(a",IF(totales!C289="presente","(p",IF(totales!C289="presente_cont","(c",)))),0)&amp;totales!K289&amp;IF(totales!L289="hombre","h","m")</f>
        <v>(a2m</v>
      </c>
    </row>
    <row r="277" spans="1:1">
      <c r="A277" t="str">
        <f>IF(totales!D291="temporal",IF(totales!C291="morfológico","(m",IF(totales!C291="analítico","(a",IF(totales!C291="presente","(p",IF(totales!C291="presente_cont","(c",)))),0)&amp;totales!K291&amp;IF(totales!L291="hombre","h","m")</f>
        <v>(a2m</v>
      </c>
    </row>
    <row r="278" spans="1:1">
      <c r="A278" t="str">
        <f>IF(totales!D292="temporal",IF(totales!C292="morfológico","(m",IF(totales!C292="analítico","(a",IF(totales!C292="presente","(p",IF(totales!C292="presente_cont","(c",)))),0)&amp;totales!K292&amp;IF(totales!L292="hombre","h","m")</f>
        <v>(a2m</v>
      </c>
    </row>
    <row r="279" spans="1:1">
      <c r="A279" t="str">
        <f>IF(totales!D293="temporal",IF(totales!C293="morfológico","(m",IF(totales!C293="analítico","(a",IF(totales!C293="presente","(p",IF(totales!C293="presente_cont","(c",)))),0)&amp;totales!K293&amp;IF(totales!L293="hombre","h","m")</f>
        <v>(a2m</v>
      </c>
    </row>
    <row r="280" spans="1:1">
      <c r="A280" t="str">
        <f>IF(totales!D295="temporal",IF(totales!C295="morfológico","(m",IF(totales!C295="analítico","(a",IF(totales!C295="presente","(p",IF(totales!C295="presente_cont","(c",)))),0)&amp;totales!K295&amp;IF(totales!L295="hombre","h","m")</f>
        <v>(a2m</v>
      </c>
    </row>
    <row r="281" spans="1:1">
      <c r="A281" t="str">
        <f>IF(totales!D296="temporal",IF(totales!C296="morfológico","(m",IF(totales!C296="analítico","(a",IF(totales!C296="presente","(p",IF(totales!C296="presente_cont","(c",)))),0)&amp;totales!K296&amp;IF(totales!L296="hombre","h","m")</f>
        <v>(a2m</v>
      </c>
    </row>
    <row r="282" spans="1:1">
      <c r="A282" t="str">
        <f>IF(totales!D297="temporal",IF(totales!C297="morfológico","(m",IF(totales!C297="analítico","(a",IF(totales!C297="presente","(p",IF(totales!C297="presente_cont","(c",)))),0)&amp;totales!K297&amp;IF(totales!L297="hombre","h","m")</f>
        <v>(a2m</v>
      </c>
    </row>
    <row r="283" spans="1:1">
      <c r="A283" t="str">
        <f>IF(totales!D300="temporal",IF(totales!C300="morfológico","(m",IF(totales!C300="analítico","(a",IF(totales!C300="presente","(p",IF(totales!C300="presente_cont","(c",)))),0)&amp;totales!K300&amp;IF(totales!L300="hombre","h","m")</f>
        <v>(a2m</v>
      </c>
    </row>
    <row r="284" spans="1:1">
      <c r="A284" t="str">
        <f>IF(totales!D301="temporal",IF(totales!C301="morfológico","(m",IF(totales!C301="analítico","(a",IF(totales!C301="presente","(p",IF(totales!C301="presente_cont","(c",)))),0)&amp;totales!K301&amp;IF(totales!L301="hombre","h","m")</f>
        <v>(a2m</v>
      </c>
    </row>
    <row r="285" spans="1:1">
      <c r="A285" t="str">
        <f>IF(totales!D302="temporal",IF(totales!C302="morfológico","(m",IF(totales!C302="analítico","(a",IF(totales!C302="presente","(p",IF(totales!C302="presente_cont","(c",)))),0)&amp;totales!K302&amp;IF(totales!L302="hombre","h","m")</f>
        <v>(a2m</v>
      </c>
    </row>
    <row r="286" spans="1:1">
      <c r="A286" t="str">
        <f>IF(totales!D306="temporal",IF(totales!C306="morfológico","(m",IF(totales!C306="analítico","(a",IF(totales!C306="presente","(p",IF(totales!C306="presente_cont","(c",)))),0)&amp;totales!K306&amp;IF(totales!L306="hombre","h","m")</f>
        <v>(a2m</v>
      </c>
    </row>
    <row r="287" spans="1:1">
      <c r="A287" t="str">
        <f>IF(totales!D307="temporal",IF(totales!C307="morfológico","(m",IF(totales!C307="analítico","(a",IF(totales!C307="presente","(p",IF(totales!C307="presente_cont","(c",)))),0)&amp;totales!K307&amp;IF(totales!L307="hombre","h","m")</f>
        <v>(a2m</v>
      </c>
    </row>
    <row r="288" spans="1:1">
      <c r="A288" t="str">
        <f>IF(totales!D309="temporal",IF(totales!C309="morfológico","(m",IF(totales!C309="analítico","(a",IF(totales!C309="presente","(p",IF(totales!C309="presente_cont","(c",)))),0)&amp;totales!K309&amp;IF(totales!L309="hombre","h","m")</f>
        <v>(a2m</v>
      </c>
    </row>
    <row r="289" spans="1:1">
      <c r="A289" t="str">
        <f>IF(totales!D310="temporal",IF(totales!C310="morfológico","(m",IF(totales!C310="analítico","(a",IF(totales!C310="presente","(p",IF(totales!C310="presente_cont","(c",)))),0)&amp;totales!K310&amp;IF(totales!L310="hombre","h","m")</f>
        <v>(a2m</v>
      </c>
    </row>
    <row r="290" spans="1:1">
      <c r="A290" t="str">
        <f>IF(totales!D311="temporal",IF(totales!C311="morfológico","(m",IF(totales!C311="analítico","(a",IF(totales!C311="presente","(p",IF(totales!C311="presente_cont","(c",)))),0)&amp;totales!K311&amp;IF(totales!L311="hombre","h","m")</f>
        <v>(a2m</v>
      </c>
    </row>
    <row r="291" spans="1:1">
      <c r="A291" t="str">
        <f>IF(totales!D312="temporal",IF(totales!C312="morfológico","(m",IF(totales!C312="analítico","(a",IF(totales!C312="presente","(p",IF(totales!C312="presente_cont","(c",)))),0)&amp;totales!K312&amp;IF(totales!L312="hombre","h","m")</f>
        <v>(a2m</v>
      </c>
    </row>
    <row r="292" spans="1:1">
      <c r="A292" t="str">
        <f>IF(totales!D313="temporal",IF(totales!C313="morfológico","(m",IF(totales!C313="analítico","(a",IF(totales!C313="presente","(p",IF(totales!C313="presente_cont","(c",)))),0)&amp;totales!K313&amp;IF(totales!L313="hombre","h","m")</f>
        <v>(a2m</v>
      </c>
    </row>
    <row r="293" spans="1:1">
      <c r="A293" t="str">
        <f>IF(totales!D314="temporal",IF(totales!C314="morfológico","(m",IF(totales!C314="analítico","(a",IF(totales!C314="presente","(p",IF(totales!C314="presente_cont","(c",)))),0)&amp;totales!K314&amp;IF(totales!L314="hombre","h","m")</f>
        <v>(a2m</v>
      </c>
    </row>
    <row r="294" spans="1:1">
      <c r="A294" t="str">
        <f>IF(totales!D320="temporal",IF(totales!C320="morfológico","(m",IF(totales!C320="analítico","(a",IF(totales!C320="presente","(p",IF(totales!C320="presente_cont","(c",)))),0)&amp;totales!K320&amp;IF(totales!L320="hombre","h","m")</f>
        <v>(a2m</v>
      </c>
    </row>
    <row r="295" spans="1:1">
      <c r="A295" t="str">
        <f>IF(totales!D321="temporal",IF(totales!C321="morfológico","(m",IF(totales!C321="analítico","(a",IF(totales!C321="presente","(p",IF(totales!C321="presente_cont","(c",)))),0)&amp;totales!K321&amp;IF(totales!L321="hombre","h","m")</f>
        <v>(a2m</v>
      </c>
    </row>
    <row r="296" spans="1:1">
      <c r="A296" t="str">
        <f>IF(totales!D325="temporal",IF(totales!C325="morfológico","(m",IF(totales!C325="analítico","(a",IF(totales!C325="presente","(p",IF(totales!C325="presente_cont","(c",)))),0)&amp;totales!K325&amp;IF(totales!L325="hombre","h","m")</f>
        <v>(a2m</v>
      </c>
    </row>
    <row r="297" spans="1:1">
      <c r="A297" t="str">
        <f>IF(totales!D326="temporal",IF(totales!C326="morfológico","(m",IF(totales!C326="analítico","(a",IF(totales!C326="presente","(p",IF(totales!C326="presente_cont","(c",)))),0)&amp;totales!K326&amp;IF(totales!L326="hombre","h","m")</f>
        <v>(a2m</v>
      </c>
    </row>
    <row r="298" spans="1:1">
      <c r="A298" t="str">
        <f>IF(totales!D327="temporal",IF(totales!C327="morfológico","(m",IF(totales!C327="analítico","(a",IF(totales!C327="presente","(p",IF(totales!C327="presente_cont","(c",)))),0)&amp;totales!K327&amp;IF(totales!L327="hombre","h","m")</f>
        <v>(a2m</v>
      </c>
    </row>
    <row r="299" spans="1:1">
      <c r="A299" t="str">
        <f>IF(totales!D328="temporal",IF(totales!C328="morfológico","(m",IF(totales!C328="analítico","(a",IF(totales!C328="presente","(p",IF(totales!C328="presente_cont","(c",)))),0)&amp;totales!K328&amp;IF(totales!L328="hombre","h","m")</f>
        <v>(a2m</v>
      </c>
    </row>
    <row r="300" spans="1:1">
      <c r="A300" t="str">
        <f>IF(totales!D329="temporal",IF(totales!C329="morfológico","(m",IF(totales!C329="analítico","(a",IF(totales!C329="presente","(p",IF(totales!C329="presente_cont","(c",)))),0)&amp;totales!K329&amp;IF(totales!L329="hombre","h","m")</f>
        <v>(a2m</v>
      </c>
    </row>
    <row r="301" spans="1:1">
      <c r="A301" t="str">
        <f>IF(totales!D330="temporal",IF(totales!C330="morfológico","(m",IF(totales!C330="analítico","(a",IF(totales!C330="presente","(p",IF(totales!C330="presente_cont","(c",)))),0)&amp;totales!K330&amp;IF(totales!L330="hombre","h","m")</f>
        <v>(a2m</v>
      </c>
    </row>
    <row r="302" spans="1:1">
      <c r="A302" t="str">
        <f>IF(totales!D331="temporal",IF(totales!C331="morfológico","(m",IF(totales!C331="analítico","(a",IF(totales!C331="presente","(p",IF(totales!C331="presente_cont","(c",)))),0)&amp;totales!K331&amp;IF(totales!L331="hombre","h","m")</f>
        <v>(a2m</v>
      </c>
    </row>
    <row r="303" spans="1:1">
      <c r="A303" t="str">
        <f>IF(totales!D332="temporal",IF(totales!C332="morfológico","(m",IF(totales!C332="analítico","(a",IF(totales!C332="presente","(p",IF(totales!C332="presente_cont","(c",)))),0)&amp;totales!K332&amp;IF(totales!L332="hombre","h","m")</f>
        <v>(a2m</v>
      </c>
    </row>
    <row r="304" spans="1:1">
      <c r="A304" t="str">
        <f>IF(totales!D333="temporal",IF(totales!C333="morfológico","(m",IF(totales!C333="analítico","(a",IF(totales!C333="presente","(p",IF(totales!C333="presente_cont","(c",)))),0)&amp;totales!K333&amp;IF(totales!L333="hombre","h","m")</f>
        <v>(a2m</v>
      </c>
    </row>
    <row r="305" spans="1:1">
      <c r="A305" t="str">
        <f>IF(totales!D334="temporal",IF(totales!C334="morfológico","(m",IF(totales!C334="analítico","(a",IF(totales!C334="presente","(p",IF(totales!C334="presente_cont","(c",)))),0)&amp;totales!K334&amp;IF(totales!L334="hombre","h","m")</f>
        <v>(a2m</v>
      </c>
    </row>
    <row r="306" spans="1:1">
      <c r="A306" t="str">
        <f>IF(totales!D519="temporal",IF(totales!C519="morfológico","(m",IF(totales!C519="analítico","(a",IF(totales!C519="presente","(p",IF(totales!C519="presente_cont","(c",)))),0)&amp;totales!K519&amp;IF(totales!L519="hombre","h","m")</f>
        <v>(a2m</v>
      </c>
    </row>
    <row r="307" spans="1:1">
      <c r="A307" t="str">
        <f>IF(totales!D522="temporal",IF(totales!C522="morfológico","(m",IF(totales!C522="analítico","(a",IF(totales!C522="presente","(p",IF(totales!C522="presente_cont","(c",)))),0)&amp;totales!K522&amp;IF(totales!L522="hombre","h","m")</f>
        <v>(a2m</v>
      </c>
    </row>
    <row r="308" spans="1:1">
      <c r="A308" t="str">
        <f>IF(totales!D165="temporal",IF(totales!C165="morfológico","(m",IF(totales!C165="analítico","(a",IF(totales!C165="presente","(p",IF(totales!C165="presente_cont","(c",)))),0)&amp;totales!K165&amp;IF(totales!L165="hombre","h","m")</f>
        <v>(a2h</v>
      </c>
    </row>
    <row r="309" spans="1:1">
      <c r="A309" t="str">
        <f>IF(totales!D166="temporal",IF(totales!C166="morfológico","(m",IF(totales!C166="analítico","(a",IF(totales!C166="presente","(p",IF(totales!C166="presente_cont","(c",)))),0)&amp;totales!K166&amp;IF(totales!L166="hombre","h","m")</f>
        <v>(a2h</v>
      </c>
    </row>
    <row r="310" spans="1:1">
      <c r="A310" t="str">
        <f>IF(totales!D167="temporal",IF(totales!C167="morfológico","(m",IF(totales!C167="analítico","(a",IF(totales!C167="presente","(p",IF(totales!C167="presente_cont","(c",)))),0)&amp;totales!K167&amp;IF(totales!L167="hombre","h","m")</f>
        <v>(a2h</v>
      </c>
    </row>
    <row r="311" spans="1:1">
      <c r="A311" t="str">
        <f>IF(totales!D168="temporal",IF(totales!C168="morfológico","(m",IF(totales!C168="analítico","(a",IF(totales!C168="presente","(p",IF(totales!C168="presente_cont","(c",)))),0)&amp;totales!K168&amp;IF(totales!L168="hombre","h","m")</f>
        <v>(a2h</v>
      </c>
    </row>
    <row r="312" spans="1:1">
      <c r="A312" t="str">
        <f>IF(totales!D169="temporal",IF(totales!C169="morfológico","(m",IF(totales!C169="analítico","(a",IF(totales!C169="presente","(p",IF(totales!C169="presente_cont","(c",)))),0)&amp;totales!K169&amp;IF(totales!L169="hombre","h","m")</f>
        <v>(a2h</v>
      </c>
    </row>
    <row r="313" spans="1:1">
      <c r="A313" t="str">
        <f>IF(totales!D170="temporal",IF(totales!C170="morfológico","(m",IF(totales!C170="analítico","(a",IF(totales!C170="presente","(p",IF(totales!C170="presente_cont","(c",)))),0)&amp;totales!K170&amp;IF(totales!L170="hombre","h","m")</f>
        <v>(a2h</v>
      </c>
    </row>
    <row r="314" spans="1:1">
      <c r="A314" t="str">
        <f>IF(totales!D171="temporal",IF(totales!C171="morfológico","(m",IF(totales!C171="analítico","(a",IF(totales!C171="presente","(p",IF(totales!C171="presente_cont","(c",)))),0)&amp;totales!K171&amp;IF(totales!L171="hombre","h","m")</f>
        <v>(a2h</v>
      </c>
    </row>
    <row r="315" spans="1:1">
      <c r="A315" t="str">
        <f>IF(totales!D173="temporal",IF(totales!C173="morfológico","(m",IF(totales!C173="analítico","(a",IF(totales!C173="presente","(p",IF(totales!C173="presente_cont","(c",)))),0)&amp;totales!K173&amp;IF(totales!L173="hombre","h","m")</f>
        <v>(a2h</v>
      </c>
    </row>
    <row r="316" spans="1:1">
      <c r="A316" t="str">
        <f>IF(totales!D175="temporal",IF(totales!C175="morfológico","(m",IF(totales!C175="analítico","(a",IF(totales!C175="presente","(p",IF(totales!C175="presente_cont","(c",)))),0)&amp;totales!K175&amp;IF(totales!L175="hombre","h","m")</f>
        <v>(a2h</v>
      </c>
    </row>
    <row r="317" spans="1:1">
      <c r="A317" t="str">
        <f>IF(totales!D176="temporal",IF(totales!C176="morfológico","(m",IF(totales!C176="analítico","(a",IF(totales!C176="presente","(p",IF(totales!C176="presente_cont","(c",)))),0)&amp;totales!K176&amp;IF(totales!L176="hombre","h","m")</f>
        <v>(a2h</v>
      </c>
    </row>
    <row r="318" spans="1:1">
      <c r="A318" t="str">
        <f>IF(totales!D179="temporal",IF(totales!C179="morfológico","(m",IF(totales!C179="analítico","(a",IF(totales!C179="presente","(p",IF(totales!C179="presente_cont","(c",)))),0)&amp;totales!K179&amp;IF(totales!L179="hombre","h","m")</f>
        <v>(a2h</v>
      </c>
    </row>
    <row r="319" spans="1:1">
      <c r="A319" t="str">
        <f>IF(totales!D181="temporal",IF(totales!C181="morfológico","(m",IF(totales!C181="analítico","(a",IF(totales!C181="presente","(p",IF(totales!C181="presente_cont","(c",)))),0)&amp;totales!K181&amp;IF(totales!L181="hombre","h","m")</f>
        <v>(a2h</v>
      </c>
    </row>
    <row r="320" spans="1:1">
      <c r="A320" t="str">
        <f>IF(totales!D183="temporal",IF(totales!C183="morfológico","(m",IF(totales!C183="analítico","(a",IF(totales!C183="presente","(p",IF(totales!C183="presente_cont","(c",)))),0)&amp;totales!K183&amp;IF(totales!L183="hombre","h","m")</f>
        <v>(a2h</v>
      </c>
    </row>
    <row r="321" spans="1:1">
      <c r="A321" t="str">
        <f>IF(totales!D185="temporal",IF(totales!C185="morfológico","(m",IF(totales!C185="analítico","(a",IF(totales!C185="presente","(p",IF(totales!C185="presente_cont","(c",)))),0)&amp;totales!K185&amp;IF(totales!L185="hombre","h","m")</f>
        <v>(a2h</v>
      </c>
    </row>
    <row r="322" spans="1:1">
      <c r="A322" t="str">
        <f>IF(totales!D186="temporal",IF(totales!C186="morfológico","(m",IF(totales!C186="analítico","(a",IF(totales!C186="presente","(p",IF(totales!C186="presente_cont","(c",)))),0)&amp;totales!K186&amp;IF(totales!L186="hombre","h","m")</f>
        <v>(a2h</v>
      </c>
    </row>
    <row r="323" spans="1:1">
      <c r="A323" t="str">
        <f>IF(totales!D187="temporal",IF(totales!C187="morfológico","(m",IF(totales!C187="analítico","(a",IF(totales!C187="presente","(p",IF(totales!C187="presente_cont","(c",)))),0)&amp;totales!K187&amp;IF(totales!L187="hombre","h","m")</f>
        <v>(a2h</v>
      </c>
    </row>
    <row r="324" spans="1:1">
      <c r="A324" t="str">
        <f>IF(totales!D188="temporal",IF(totales!C188="morfológico","(m",IF(totales!C188="analítico","(a",IF(totales!C188="presente","(p",IF(totales!C188="presente_cont","(c",)))),0)&amp;totales!K188&amp;IF(totales!L188="hombre","h","m")</f>
        <v>(a2h</v>
      </c>
    </row>
    <row r="325" spans="1:1">
      <c r="A325" t="str">
        <f>IF(totales!D190="temporal",IF(totales!C190="morfológico","(m",IF(totales!C190="analítico","(a",IF(totales!C190="presente","(p",IF(totales!C190="presente_cont","(c",)))),0)&amp;totales!K190&amp;IF(totales!L190="hombre","h","m")</f>
        <v>(a2h</v>
      </c>
    </row>
    <row r="326" spans="1:1">
      <c r="A326" t="str">
        <f>IF(totales!D191="temporal",IF(totales!C191="morfológico","(m",IF(totales!C191="analítico","(a",IF(totales!C191="presente","(p",IF(totales!C191="presente_cont","(c",)))),0)&amp;totales!K191&amp;IF(totales!L191="hombre","h","m")</f>
        <v>(a2h</v>
      </c>
    </row>
    <row r="327" spans="1:1">
      <c r="A327" t="str">
        <f>IF(totales!D192="temporal",IF(totales!C192="morfológico","(m",IF(totales!C192="analítico","(a",IF(totales!C192="presente","(p",IF(totales!C192="presente_cont","(c",)))),0)&amp;totales!K192&amp;IF(totales!L192="hombre","h","m")</f>
        <v>(a2h</v>
      </c>
    </row>
    <row r="328" spans="1:1">
      <c r="A328" t="str">
        <f>IF(totales!D193="temporal",IF(totales!C193="morfológico","(m",IF(totales!C193="analítico","(a",IF(totales!C193="presente","(p",IF(totales!C193="presente_cont","(c",)))),0)&amp;totales!K193&amp;IF(totales!L193="hombre","h","m")</f>
        <v>(a2h</v>
      </c>
    </row>
    <row r="329" spans="1:1">
      <c r="A329" t="str">
        <f>IF(totales!D194="temporal",IF(totales!C194="morfológico","(m",IF(totales!C194="analítico","(a",IF(totales!C194="presente","(p",IF(totales!C194="presente_cont","(c",)))),0)&amp;totales!K194&amp;IF(totales!L194="hombre","h","m")</f>
        <v>(a2h</v>
      </c>
    </row>
    <row r="330" spans="1:1">
      <c r="A330" t="str">
        <f>IF(totales!D195="temporal",IF(totales!C195="morfológico","(m",IF(totales!C195="analítico","(a",IF(totales!C195="presente","(p",IF(totales!C195="presente_cont","(c",)))),0)&amp;totales!K195&amp;IF(totales!L195="hombre","h","m")</f>
        <v>(a2h</v>
      </c>
    </row>
    <row r="331" spans="1:1">
      <c r="A331" t="str">
        <f>IF(totales!D196="temporal",IF(totales!C196="morfológico","(m",IF(totales!C196="analítico","(a",IF(totales!C196="presente","(p",IF(totales!C196="presente_cont","(c",)))),0)&amp;totales!K196&amp;IF(totales!L196="hombre","h","m")</f>
        <v>(a2h</v>
      </c>
    </row>
    <row r="332" spans="1:1">
      <c r="A332" t="str">
        <f>IF(totales!D197="temporal",IF(totales!C197="morfológico","(m",IF(totales!C197="analítico","(a",IF(totales!C197="presente","(p",IF(totales!C197="presente_cont","(c",)))),0)&amp;totales!K197&amp;IF(totales!L197="hombre","h","m")</f>
        <v>(a2h</v>
      </c>
    </row>
    <row r="333" spans="1:1">
      <c r="A333" t="str">
        <f>IF(totales!D198="temporal",IF(totales!C198="morfológico","(m",IF(totales!C198="analítico","(a",IF(totales!C198="presente","(p",IF(totales!C198="presente_cont","(c",)))),0)&amp;totales!K198&amp;IF(totales!L198="hombre","h","m")</f>
        <v>(a2h</v>
      </c>
    </row>
    <row r="334" spans="1:1">
      <c r="A334" t="str">
        <f>IF(totales!D199="temporal",IF(totales!C199="morfológico","(m",IF(totales!C199="analítico","(a",IF(totales!C199="presente","(p",IF(totales!C199="presente_cont","(c",)))),0)&amp;totales!K199&amp;IF(totales!L199="hombre","h","m")</f>
        <v>(a2h</v>
      </c>
    </row>
    <row r="335" spans="1:1">
      <c r="A335" t="str">
        <f>IF(totales!D201="temporal",IF(totales!C201="morfológico","(m",IF(totales!C201="analítico","(a",IF(totales!C201="presente","(p",IF(totales!C201="presente_cont","(c",)))),0)&amp;totales!K201&amp;IF(totales!L201="hombre","h","m")</f>
        <v>(a2h</v>
      </c>
    </row>
    <row r="336" spans="1:1">
      <c r="A336" t="str">
        <f>IF(totales!D202="temporal",IF(totales!C202="morfológico","(m",IF(totales!C202="analítico","(a",IF(totales!C202="presente","(p",IF(totales!C202="presente_cont","(c",)))),0)&amp;totales!K202&amp;IF(totales!L202="hombre","h","m")</f>
        <v>(a2h</v>
      </c>
    </row>
    <row r="337" spans="1:1">
      <c r="A337" t="str">
        <f>IF(totales!D203="temporal",IF(totales!C203="morfológico","(m",IF(totales!C203="analítico","(a",IF(totales!C203="presente","(p",IF(totales!C203="presente_cont","(c",)))),0)&amp;totales!K203&amp;IF(totales!L203="hombre","h","m")</f>
        <v>(a2h</v>
      </c>
    </row>
    <row r="338" spans="1:1">
      <c r="A338" t="str">
        <f>IF(totales!D204="temporal",IF(totales!C204="morfológico","(m",IF(totales!C204="analítico","(a",IF(totales!C204="presente","(p",IF(totales!C204="presente_cont","(c",)))),0)&amp;totales!K204&amp;IF(totales!L204="hombre","h","m")</f>
        <v>(a2h</v>
      </c>
    </row>
    <row r="339" spans="1:1">
      <c r="A339" t="str">
        <f>IF(totales!D205="temporal",IF(totales!C205="morfológico","(m",IF(totales!C205="analítico","(a",IF(totales!C205="presente","(p",IF(totales!C205="presente_cont","(c",)))),0)&amp;totales!K205&amp;IF(totales!L205="hombre","h","m")</f>
        <v>(a2h</v>
      </c>
    </row>
    <row r="340" spans="1:1">
      <c r="A340" t="str">
        <f>IF(totales!D206="temporal",IF(totales!C206="morfológico","(m",IF(totales!C206="analítico","(a",IF(totales!C206="presente","(p",IF(totales!C206="presente_cont","(c",)))),0)&amp;totales!K206&amp;IF(totales!L206="hombre","h","m")</f>
        <v>(a2h</v>
      </c>
    </row>
    <row r="341" spans="1:1">
      <c r="A341" t="str">
        <f>IF(totales!D207="temporal",IF(totales!C207="morfológico","(m",IF(totales!C207="analítico","(a",IF(totales!C207="presente","(p",IF(totales!C207="presente_cont","(c",)))),0)&amp;totales!K207&amp;IF(totales!L207="hombre","h","m")</f>
        <v>(a2h</v>
      </c>
    </row>
    <row r="342" spans="1:1">
      <c r="A342" t="str">
        <f>IF(totales!D209="temporal",IF(totales!C209="morfológico","(m",IF(totales!C209="analítico","(a",IF(totales!C209="presente","(p",IF(totales!C209="presente_cont","(c",)))),0)&amp;totales!K209&amp;IF(totales!L209="hombre","h","m")</f>
        <v>(a2h</v>
      </c>
    </row>
    <row r="343" spans="1:1">
      <c r="A343" t="str">
        <f>IF(totales!D210="temporal",IF(totales!C210="morfológico","(m",IF(totales!C210="analítico","(a",IF(totales!C210="presente","(p",IF(totales!C210="presente_cont","(c",)))),0)&amp;totales!K210&amp;IF(totales!L210="hombre","h","m")</f>
        <v>(a2h</v>
      </c>
    </row>
    <row r="344" spans="1:1">
      <c r="A344" t="str">
        <f>IF(totales!D211="temporal",IF(totales!C211="morfológico","(m",IF(totales!C211="analítico","(a",IF(totales!C211="presente","(p",IF(totales!C211="presente_cont","(c",)))),0)&amp;totales!K211&amp;IF(totales!L211="hombre","h","m")</f>
        <v>(a2h</v>
      </c>
    </row>
    <row r="345" spans="1:1">
      <c r="A345" t="str">
        <f>IF(totales!D218="temporal",IF(totales!C218="morfológico","(m",IF(totales!C218="analítico","(a",IF(totales!C218="presente","(p",IF(totales!C218="presente_cont","(c",)))),0)&amp;totales!K218&amp;IF(totales!L218="hombre","h","m")</f>
        <v>(a2h</v>
      </c>
    </row>
    <row r="346" spans="1:1">
      <c r="A346" t="str">
        <f>IF(totales!D221="temporal",IF(totales!C221="morfológico","(m",IF(totales!C221="analítico","(a",IF(totales!C221="presente","(p",IF(totales!C221="presente_cont","(c",)))),0)&amp;totales!K221&amp;IF(totales!L221="hombre","h","m")</f>
        <v>(a2h</v>
      </c>
    </row>
    <row r="347" spans="1:1">
      <c r="A347" t="str">
        <f>IF(totales!D225="temporal",IF(totales!C225="morfológico","(m",IF(totales!C225="analítico","(a",IF(totales!C225="presente","(p",IF(totales!C225="presente_cont","(c",)))),0)&amp;totales!K225&amp;IF(totales!L225="hombre","h","m")</f>
        <v>(a2h</v>
      </c>
    </row>
    <row r="348" spans="1:1">
      <c r="A348" t="str">
        <f>IF(totales!D226="temporal",IF(totales!C226="morfológico","(m",IF(totales!C226="analítico","(a",IF(totales!C226="presente","(p",IF(totales!C226="presente_cont","(c",)))),0)&amp;totales!K226&amp;IF(totales!L226="hombre","h","m")</f>
        <v>(a2h</v>
      </c>
    </row>
    <row r="349" spans="1:1">
      <c r="A349" t="str">
        <f>IF(totales!D227="temporal",IF(totales!C227="morfológico","(m",IF(totales!C227="analítico","(a",IF(totales!C227="presente","(p",IF(totales!C227="presente_cont","(c",)))),0)&amp;totales!K227&amp;IF(totales!L227="hombre","h","m")</f>
        <v>(a2h</v>
      </c>
    </row>
    <row r="350" spans="1:1">
      <c r="A350" t="str">
        <f>IF(totales!D228="temporal",IF(totales!C228="morfológico","(m",IF(totales!C228="analítico","(a",IF(totales!C228="presente","(p",IF(totales!C228="presente_cont","(c",)))),0)&amp;totales!K228&amp;IF(totales!L228="hombre","h","m")</f>
        <v>(a2h</v>
      </c>
    </row>
    <row r="351" spans="1:1">
      <c r="A351" t="str">
        <f>IF(totales!D229="temporal",IF(totales!C229="morfológico","(m",IF(totales!C229="analítico","(a",IF(totales!C229="presente","(p",IF(totales!C229="presente_cont","(c",)))),0)&amp;totales!K229&amp;IF(totales!L229="hombre","h","m")</f>
        <v>(a2h</v>
      </c>
    </row>
    <row r="352" spans="1:1">
      <c r="A352" t="str">
        <f>IF(totales!D231="temporal",IF(totales!C231="morfológico","(m",IF(totales!C231="analítico","(a",IF(totales!C231="presente","(p",IF(totales!C231="presente_cont","(c",)))),0)&amp;totales!K231&amp;IF(totales!L231="hombre","h","m")</f>
        <v>(a2h</v>
      </c>
    </row>
    <row r="353" spans="1:1">
      <c r="A353" t="str">
        <f>IF(totales!D234="temporal",IF(totales!C234="morfológico","(m",IF(totales!C234="analítico","(a",IF(totales!C234="presente","(p",IF(totales!C234="presente_cont","(c",)))),0)&amp;totales!K234&amp;IF(totales!L234="hombre","h","m")</f>
        <v>(a2h</v>
      </c>
    </row>
    <row r="354" spans="1:1">
      <c r="A354" t="str">
        <f>IF(totales!D236="temporal",IF(totales!C236="morfológico","(m",IF(totales!C236="analítico","(a",IF(totales!C236="presente","(p",IF(totales!C236="presente_cont","(c",)))),0)&amp;totales!K236&amp;IF(totales!L236="hombre","h","m")</f>
        <v>(a2h</v>
      </c>
    </row>
    <row r="355" spans="1:1">
      <c r="A355" t="str">
        <f>IF(totales!D239="temporal",IF(totales!C239="morfológico","(m",IF(totales!C239="analítico","(a",IF(totales!C239="presente","(p",IF(totales!C239="presente_cont","(c",)))),0)&amp;totales!K239&amp;IF(totales!L239="hombre","h","m")</f>
        <v>(a2h</v>
      </c>
    </row>
    <row r="356" spans="1:1">
      <c r="A356" t="str">
        <f>IF(totales!D241="temporal",IF(totales!C241="morfológico","(m",IF(totales!C241="analítico","(a",IF(totales!C241="presente","(p",IF(totales!C241="presente_cont","(c",)))),0)&amp;totales!K241&amp;IF(totales!L241="hombre","h","m")</f>
        <v>(a2h</v>
      </c>
    </row>
    <row r="357" spans="1:1">
      <c r="A357" t="str">
        <f>IF(totales!D243="temporal",IF(totales!C243="morfológico","(m",IF(totales!C243="analítico","(a",IF(totales!C243="presente","(p",IF(totales!C243="presente_cont","(c",)))),0)&amp;totales!K243&amp;IF(totales!L243="hombre","h","m")</f>
        <v>(a2h</v>
      </c>
    </row>
    <row r="358" spans="1:1">
      <c r="A358" t="str">
        <f>IF(totales!D244="temporal",IF(totales!C244="morfológico","(m",IF(totales!C244="analítico","(a",IF(totales!C244="presente","(p",IF(totales!C244="presente_cont","(c",)))),0)&amp;totales!K244&amp;IF(totales!L244="hombre","h","m")</f>
        <v>(a2h</v>
      </c>
    </row>
    <row r="359" spans="1:1">
      <c r="A359" t="str">
        <f>IF(totales!D245="temporal",IF(totales!C245="morfológico","(m",IF(totales!C245="analítico","(a",IF(totales!C245="presente","(p",IF(totales!C245="presente_cont","(c",)))),0)&amp;totales!K245&amp;IF(totales!L245="hombre","h","m")</f>
        <v>(a2h</v>
      </c>
    </row>
    <row r="360" spans="1:1">
      <c r="A360" t="str">
        <f>IF(totales!D246="temporal",IF(totales!C246="morfológico","(m",IF(totales!C246="analítico","(a",IF(totales!C246="presente","(p",IF(totales!C246="presente_cont","(c",)))),0)&amp;totales!K246&amp;IF(totales!L246="hombre","h","m")</f>
        <v>(a2h</v>
      </c>
    </row>
    <row r="361" spans="1:1">
      <c r="A361" t="str">
        <f>IF(totales!D52="temporal",IF(totales!C52="morfológico","(m",IF(totales!C52="analítico","(a",IF(totales!C52="presente","(p",IF(totales!C52="presente_cont","(c",)))),0)&amp;totales!K52&amp;IF(totales!L52="hombre","h","m")</f>
        <v>(a1m</v>
      </c>
    </row>
    <row r="362" spans="1:1">
      <c r="A362" t="str">
        <f>IF(totales!D53="temporal",IF(totales!C53="morfológico","(m",IF(totales!C53="analítico","(a",IF(totales!C53="presente","(p",IF(totales!C53="presente_cont","(c",)))),0)&amp;totales!K53&amp;IF(totales!L53="hombre","h","m")</f>
        <v>(a1m</v>
      </c>
    </row>
    <row r="363" spans="1:1">
      <c r="A363" t="str">
        <f>IF(totales!D54="temporal",IF(totales!C54="morfológico","(m",IF(totales!C54="analítico","(a",IF(totales!C54="presente","(p",IF(totales!C54="presente_cont","(c",)))),0)&amp;totales!K54&amp;IF(totales!L54="hombre","h","m")</f>
        <v>(a1m</v>
      </c>
    </row>
    <row r="364" spans="1:1">
      <c r="A364" t="str">
        <f>IF(totales!D55="temporal",IF(totales!C55="morfológico","(m",IF(totales!C55="analítico","(a",IF(totales!C55="presente","(p",IF(totales!C55="presente_cont","(c",)))),0)&amp;totales!K55&amp;IF(totales!L55="hombre","h","m")</f>
        <v>(a1m</v>
      </c>
    </row>
    <row r="365" spans="1:1">
      <c r="A365" t="str">
        <f>IF(totales!D56="temporal",IF(totales!C56="morfológico","(m",IF(totales!C56="analítico","(a",IF(totales!C56="presente","(p",IF(totales!C56="presente_cont","(c",)))),0)&amp;totales!K56&amp;IF(totales!L56="hombre","h","m")</f>
        <v>(a1m</v>
      </c>
    </row>
    <row r="366" spans="1:1">
      <c r="A366" t="str">
        <f>IF(totales!D57="temporal",IF(totales!C57="morfológico","(m",IF(totales!C57="analítico","(a",IF(totales!C57="presente","(p",IF(totales!C57="presente_cont","(c",)))),0)&amp;totales!K57&amp;IF(totales!L57="hombre","h","m")</f>
        <v>(a1m</v>
      </c>
    </row>
    <row r="367" spans="1:1">
      <c r="A367" t="str">
        <f>IF(totales!D59="temporal",IF(totales!C59="morfológico","(m",IF(totales!C59="analítico","(a",IF(totales!C59="presente","(p",IF(totales!C59="presente_cont","(c",)))),0)&amp;totales!K59&amp;IF(totales!L59="hombre","h","m")</f>
        <v>(a1m</v>
      </c>
    </row>
    <row r="368" spans="1:1">
      <c r="A368" t="str">
        <f>IF(totales!D62="temporal",IF(totales!C62="morfológico","(m",IF(totales!C62="analítico","(a",IF(totales!C62="presente","(p",IF(totales!C62="presente_cont","(c",)))),0)&amp;totales!K62&amp;IF(totales!L62="hombre","h","m")</f>
        <v>(a1m</v>
      </c>
    </row>
    <row r="369" spans="1:1">
      <c r="A369" t="str">
        <f>IF(totales!D63="temporal",IF(totales!C63="morfológico","(m",IF(totales!C63="analítico","(a",IF(totales!C63="presente","(p",IF(totales!C63="presente_cont","(c",)))),0)&amp;totales!K63&amp;IF(totales!L63="hombre","h","m")</f>
        <v>(a1m</v>
      </c>
    </row>
    <row r="370" spans="1:1">
      <c r="A370" t="str">
        <f>IF(totales!D64="temporal",IF(totales!C64="morfológico","(m",IF(totales!C64="analítico","(a",IF(totales!C64="presente","(p",IF(totales!C64="presente_cont","(c",)))),0)&amp;totales!K64&amp;IF(totales!L64="hombre","h","m")</f>
        <v>(a1m</v>
      </c>
    </row>
    <row r="371" spans="1:1">
      <c r="A371" t="str">
        <f>IF(totales!D66="temporal",IF(totales!C66="morfológico","(m",IF(totales!C66="analítico","(a",IF(totales!C66="presente","(p",IF(totales!C66="presente_cont","(c",)))),0)&amp;totales!K66&amp;IF(totales!L66="hombre","h","m")</f>
        <v>(a1m</v>
      </c>
    </row>
    <row r="372" spans="1:1">
      <c r="A372" t="str">
        <f>IF(totales!D68="temporal",IF(totales!C68="morfológico","(m",IF(totales!C68="analítico","(a",IF(totales!C68="presente","(p",IF(totales!C68="presente_cont","(c",)))),0)&amp;totales!K68&amp;IF(totales!L68="hombre","h","m")</f>
        <v>(a1m</v>
      </c>
    </row>
    <row r="373" spans="1:1">
      <c r="A373" t="str">
        <f>IF(totales!D72="temporal",IF(totales!C72="morfológico","(m",IF(totales!C72="analítico","(a",IF(totales!C72="presente","(p",IF(totales!C72="presente_cont","(c",)))),0)&amp;totales!K72&amp;IF(totales!L72="hombre","h","m")</f>
        <v>(a1m</v>
      </c>
    </row>
    <row r="374" spans="1:1">
      <c r="A374" t="str">
        <f>IF(totales!D73="temporal",IF(totales!C73="morfológico","(m",IF(totales!C73="analítico","(a",IF(totales!C73="presente","(p",IF(totales!C73="presente_cont","(c",)))),0)&amp;totales!K73&amp;IF(totales!L73="hombre","h","m")</f>
        <v>(a1m</v>
      </c>
    </row>
    <row r="375" spans="1:1">
      <c r="A375" t="str">
        <f>IF(totales!D74="temporal",IF(totales!C74="morfológico","(m",IF(totales!C74="analítico","(a",IF(totales!C74="presente","(p",IF(totales!C74="presente_cont","(c",)))),0)&amp;totales!K74&amp;IF(totales!L74="hombre","h","m")</f>
        <v>(a1m</v>
      </c>
    </row>
    <row r="376" spans="1:1">
      <c r="A376" t="str">
        <f>IF(totales!D75="temporal",IF(totales!C75="morfológico","(m",IF(totales!C75="analítico","(a",IF(totales!C75="presente","(p",IF(totales!C75="presente_cont","(c",)))),0)&amp;totales!K75&amp;IF(totales!L75="hombre","h","m")</f>
        <v>(a1m</v>
      </c>
    </row>
    <row r="377" spans="1:1">
      <c r="A377" t="str">
        <f>IF(totales!D76="temporal",IF(totales!C76="morfológico","(m",IF(totales!C76="analítico","(a",IF(totales!C76="presente","(p",IF(totales!C76="presente_cont","(c",)))),0)&amp;totales!K76&amp;IF(totales!L76="hombre","h","m")</f>
        <v>(a1m</v>
      </c>
    </row>
    <row r="378" spans="1:1">
      <c r="A378" t="str">
        <f>IF(totales!D78="temporal",IF(totales!C78="morfológico","(m",IF(totales!C78="analítico","(a",IF(totales!C78="presente","(p",IF(totales!C78="presente_cont","(c",)))),0)&amp;totales!K78&amp;IF(totales!L78="hombre","h","m")</f>
        <v>(a1m</v>
      </c>
    </row>
    <row r="379" spans="1:1">
      <c r="A379" t="str">
        <f>IF(totales!D79="temporal",IF(totales!C79="morfológico","(m",IF(totales!C79="analítico","(a",IF(totales!C79="presente","(p",IF(totales!C79="presente_cont","(c",)))),0)&amp;totales!K79&amp;IF(totales!L79="hombre","h","m")</f>
        <v>(a1m</v>
      </c>
    </row>
    <row r="380" spans="1:1">
      <c r="A380" t="str">
        <f>IF(totales!D80="temporal",IF(totales!C80="morfológico","(m",IF(totales!C80="analítico","(a",IF(totales!C80="presente","(p",IF(totales!C80="presente_cont","(c",)))),0)&amp;totales!K80&amp;IF(totales!L80="hombre","h","m")</f>
        <v>(a1m</v>
      </c>
    </row>
    <row r="381" spans="1:1">
      <c r="A381" t="str">
        <f>IF(totales!D81="temporal",IF(totales!C81="morfológico","(m",IF(totales!C81="analítico","(a",IF(totales!C81="presente","(p",IF(totales!C81="presente_cont","(c",)))),0)&amp;totales!K81&amp;IF(totales!L81="hombre","h","m")</f>
        <v>(a1m</v>
      </c>
    </row>
    <row r="382" spans="1:1">
      <c r="A382" t="str">
        <f>IF(totales!D82="temporal",IF(totales!C82="morfológico","(m",IF(totales!C82="analítico","(a",IF(totales!C82="presente","(p",IF(totales!C82="presente_cont","(c",)))),0)&amp;totales!K82&amp;IF(totales!L82="hombre","h","m")</f>
        <v>(a1m</v>
      </c>
    </row>
    <row r="383" spans="1:1">
      <c r="A383" t="str">
        <f>IF(totales!D83="temporal",IF(totales!C83="morfológico","(m",IF(totales!C83="analítico","(a",IF(totales!C83="presente","(p",IF(totales!C83="presente_cont","(c",)))),0)&amp;totales!K83&amp;IF(totales!L83="hombre","h","m")</f>
        <v>(a1m</v>
      </c>
    </row>
    <row r="384" spans="1:1">
      <c r="A384" t="str">
        <f>IF(totales!D84="temporal",IF(totales!C84="morfológico","(m",IF(totales!C84="analítico","(a",IF(totales!C84="presente","(p",IF(totales!C84="presente_cont","(c",)))),0)&amp;totales!K84&amp;IF(totales!L84="hombre","h","m")</f>
        <v>(a1m</v>
      </c>
    </row>
    <row r="385" spans="1:1">
      <c r="A385" t="str">
        <f>IF(totales!D85="temporal",IF(totales!C85="morfológico","(m",IF(totales!C85="analítico","(a",IF(totales!C85="presente","(p",IF(totales!C85="presente_cont","(c",)))),0)&amp;totales!K85&amp;IF(totales!L85="hombre","h","m")</f>
        <v>(a1m</v>
      </c>
    </row>
    <row r="386" spans="1:1">
      <c r="A386" t="str">
        <f>IF(totales!D86="temporal",IF(totales!C86="morfológico","(m",IF(totales!C86="analítico","(a",IF(totales!C86="presente","(p",IF(totales!C86="presente_cont","(c",)))),0)&amp;totales!K86&amp;IF(totales!L86="hombre","h","m")</f>
        <v>(a1m</v>
      </c>
    </row>
    <row r="387" spans="1:1">
      <c r="A387" t="str">
        <f>IF(totales!D87="temporal",IF(totales!C87="morfológico","(m",IF(totales!C87="analítico","(a",IF(totales!C87="presente","(p",IF(totales!C87="presente_cont","(c",)))),0)&amp;totales!K87&amp;IF(totales!L87="hombre","h","m")</f>
        <v>(a1m</v>
      </c>
    </row>
    <row r="388" spans="1:1">
      <c r="A388" t="str">
        <f>IF(totales!D88="temporal",IF(totales!C88="morfológico","(m",IF(totales!C88="analítico","(a",IF(totales!C88="presente","(p",IF(totales!C88="presente_cont","(c",)))),0)&amp;totales!K88&amp;IF(totales!L88="hombre","h","m")</f>
        <v>(a1m</v>
      </c>
    </row>
    <row r="389" spans="1:1">
      <c r="A389" t="str">
        <f>IF(totales!D89="temporal",IF(totales!C89="morfológico","(m",IF(totales!C89="analítico","(a",IF(totales!C89="presente","(p",IF(totales!C89="presente_cont","(c",)))),0)&amp;totales!K89&amp;IF(totales!L89="hombre","h","m")</f>
        <v>(a1m</v>
      </c>
    </row>
    <row r="390" spans="1:1">
      <c r="A390" t="str">
        <f>IF(totales!D91="temporal",IF(totales!C91="morfológico","(m",IF(totales!C91="analítico","(a",IF(totales!C91="presente","(p",IF(totales!C91="presente_cont","(c",)))),0)&amp;totales!K91&amp;IF(totales!L91="hombre","h","m")</f>
        <v>(a1m</v>
      </c>
    </row>
    <row r="391" spans="1:1">
      <c r="A391" t="str">
        <f>IF(totales!D92="temporal",IF(totales!C92="morfológico","(m",IF(totales!C92="analítico","(a",IF(totales!C92="presente","(p",IF(totales!C92="presente_cont","(c",)))),0)&amp;totales!K92&amp;IF(totales!L92="hombre","h","m")</f>
        <v>(a1m</v>
      </c>
    </row>
    <row r="392" spans="1:1">
      <c r="A392" t="str">
        <f>IF(totales!D93="temporal",IF(totales!C93="morfológico","(m",IF(totales!C93="analítico","(a",IF(totales!C93="presente","(p",IF(totales!C93="presente_cont","(c",)))),0)&amp;totales!K93&amp;IF(totales!L93="hombre","h","m")</f>
        <v>(a1m</v>
      </c>
    </row>
    <row r="393" spans="1:1">
      <c r="A393" t="str">
        <f>IF(totales!D94="temporal",IF(totales!C94="morfológico","(m",IF(totales!C94="analítico","(a",IF(totales!C94="presente","(p",IF(totales!C94="presente_cont","(c",)))),0)&amp;totales!K94&amp;IF(totales!L94="hombre","h","m")</f>
        <v>(a1m</v>
      </c>
    </row>
    <row r="394" spans="1:1">
      <c r="A394" t="str">
        <f>IF(totales!D95="temporal",IF(totales!C95="morfológico","(m",IF(totales!C95="analítico","(a",IF(totales!C95="presente","(p",IF(totales!C95="presente_cont","(c",)))),0)&amp;totales!K95&amp;IF(totales!L95="hombre","h","m")</f>
        <v>(a1m</v>
      </c>
    </row>
    <row r="395" spans="1:1">
      <c r="A395" t="str">
        <f>IF(totales!D96="temporal",IF(totales!C96="morfológico","(m",IF(totales!C96="analítico","(a",IF(totales!C96="presente","(p",IF(totales!C96="presente_cont","(c",)))),0)&amp;totales!K96&amp;IF(totales!L96="hombre","h","m")</f>
        <v>(a1m</v>
      </c>
    </row>
    <row r="396" spans="1:1">
      <c r="A396" t="str">
        <f>IF(totales!D98="temporal",IF(totales!C98="morfológico","(m",IF(totales!C98="analítico","(a",IF(totales!C98="presente","(p",IF(totales!C98="presente_cont","(c",)))),0)&amp;totales!K98&amp;IF(totales!L98="hombre","h","m")</f>
        <v>(a1m</v>
      </c>
    </row>
    <row r="397" spans="1:1">
      <c r="A397" t="str">
        <f>IF(totales!D99="temporal",IF(totales!C99="morfológico","(m",IF(totales!C99="analítico","(a",IF(totales!C99="presente","(p",IF(totales!C99="presente_cont","(c",)))),0)&amp;totales!K99&amp;IF(totales!L99="hombre","h","m")</f>
        <v>(a1m</v>
      </c>
    </row>
    <row r="398" spans="1:1">
      <c r="A398" t="str">
        <f>IF(totales!D100="temporal",IF(totales!C100="morfológico","(m",IF(totales!C100="analítico","(a",IF(totales!C100="presente","(p",IF(totales!C100="presente_cont","(c",)))),0)&amp;totales!K100&amp;IF(totales!L100="hombre","h","m")</f>
        <v>(a1m</v>
      </c>
    </row>
    <row r="399" spans="1:1">
      <c r="A399" t="str">
        <f>IF(totales!D101="temporal",IF(totales!C101="morfológico","(m",IF(totales!C101="analítico","(a",IF(totales!C101="presente","(p",IF(totales!C101="presente_cont","(c",)))),0)&amp;totales!K101&amp;IF(totales!L101="hombre","h","m")</f>
        <v>(a1m</v>
      </c>
    </row>
    <row r="400" spans="1:1">
      <c r="A400" t="str">
        <f>IF(totales!D102="temporal",IF(totales!C102="morfológico","(m",IF(totales!C102="analítico","(a",IF(totales!C102="presente","(p",IF(totales!C102="presente_cont","(c",)))),0)&amp;totales!K102&amp;IF(totales!L102="hombre","h","m")</f>
        <v>(a1m</v>
      </c>
    </row>
    <row r="401" spans="1:1">
      <c r="A401" t="str">
        <f>IF(totales!D103="temporal",IF(totales!C103="morfológico","(m",IF(totales!C103="analítico","(a",IF(totales!C103="presente","(p",IF(totales!C103="presente_cont","(c",)))),0)&amp;totales!K103&amp;IF(totales!L103="hombre","h","m")</f>
        <v>(a1m</v>
      </c>
    </row>
    <row r="402" spans="1:1">
      <c r="A402" t="str">
        <f>IF(totales!D104="temporal",IF(totales!C104="morfológico","(m",IF(totales!C104="analítico","(a",IF(totales!C104="presente","(p",IF(totales!C104="presente_cont","(c",)))),0)&amp;totales!K104&amp;IF(totales!L104="hombre","h","m")</f>
        <v>(a1m</v>
      </c>
    </row>
    <row r="403" spans="1:1">
      <c r="A403" t="str">
        <f>IF(totales!D109="temporal",IF(totales!C109="morfológico","(m",IF(totales!C109="analítico","(a",IF(totales!C109="presente","(p",IF(totales!C109="presente_cont","(c",)))),0)&amp;totales!K109&amp;IF(totales!L109="hombre","h","m")</f>
        <v>(a1m</v>
      </c>
    </row>
    <row r="404" spans="1:1">
      <c r="A404" t="str">
        <f>IF(totales!D110="temporal",IF(totales!C110="morfológico","(m",IF(totales!C110="analítico","(a",IF(totales!C110="presente","(p",IF(totales!C110="presente_cont","(c",)))),0)&amp;totales!K110&amp;IF(totales!L110="hombre","h","m")</f>
        <v>(a1m</v>
      </c>
    </row>
    <row r="405" spans="1:1">
      <c r="A405" t="str">
        <f>IF(totales!D112="temporal",IF(totales!C112="morfológico","(m",IF(totales!C112="analítico","(a",IF(totales!C112="presente","(p",IF(totales!C112="presente_cont","(c",)))),0)&amp;totales!K112&amp;IF(totales!L112="hombre","h","m")</f>
        <v>(a1m</v>
      </c>
    </row>
    <row r="406" spans="1:1">
      <c r="A406" t="str">
        <f>IF(totales!D113="temporal",IF(totales!C113="morfológico","(m",IF(totales!C113="analítico","(a",IF(totales!C113="presente","(p",IF(totales!C113="presente_cont","(c",)))),0)&amp;totales!K113&amp;IF(totales!L113="hombre","h","m")</f>
        <v>(a1m</v>
      </c>
    </row>
    <row r="407" spans="1:1">
      <c r="A407" t="str">
        <f>IF(totales!D114="temporal",IF(totales!C114="morfológico","(m",IF(totales!C114="analítico","(a",IF(totales!C114="presente","(p",IF(totales!C114="presente_cont","(c",)))),0)&amp;totales!K114&amp;IF(totales!L114="hombre","h","m")</f>
        <v>(a1m</v>
      </c>
    </row>
    <row r="408" spans="1:1">
      <c r="A408" t="str">
        <f>IF(totales!D115="temporal",IF(totales!C115="morfológico","(m",IF(totales!C115="analítico","(a",IF(totales!C115="presente","(p",IF(totales!C115="presente_cont","(c",)))),0)&amp;totales!K115&amp;IF(totales!L115="hombre","h","m")</f>
        <v>(a1m</v>
      </c>
    </row>
    <row r="409" spans="1:1">
      <c r="A409" t="str">
        <f>IF(totales!D116="temporal",IF(totales!C116="morfológico","(m",IF(totales!C116="analítico","(a",IF(totales!C116="presente","(p",IF(totales!C116="presente_cont","(c",)))),0)&amp;totales!K116&amp;IF(totales!L116="hombre","h","m")</f>
        <v>(a1m</v>
      </c>
    </row>
    <row r="410" spans="1:1">
      <c r="A410" t="str">
        <f>IF(totales!D119="temporal",IF(totales!C119="morfológico","(m",IF(totales!C119="analítico","(a",IF(totales!C119="presente","(p",IF(totales!C119="presente_cont","(c",)))),0)&amp;totales!K119&amp;IF(totales!L119="hombre","h","m")</f>
        <v>(a1m</v>
      </c>
    </row>
    <row r="411" spans="1:1">
      <c r="A411" t="str">
        <f>IF(totales!D120="temporal",IF(totales!C120="morfológico","(m",IF(totales!C120="analítico","(a",IF(totales!C120="presente","(p",IF(totales!C120="presente_cont","(c",)))),0)&amp;totales!K120&amp;IF(totales!L120="hombre","h","m")</f>
        <v>(a1m</v>
      </c>
    </row>
    <row r="412" spans="1:1">
      <c r="A412" t="str">
        <f>IF(totales!D121="temporal",IF(totales!C121="morfológico","(m",IF(totales!C121="analítico","(a",IF(totales!C121="presente","(p",IF(totales!C121="presente_cont","(c",)))),0)&amp;totales!K121&amp;IF(totales!L121="hombre","h","m")</f>
        <v>(a1m</v>
      </c>
    </row>
    <row r="413" spans="1:1">
      <c r="A413" t="str">
        <f>IF(totales!D123="temporal",IF(totales!C123="morfológico","(m",IF(totales!C123="analítico","(a",IF(totales!C123="presente","(p",IF(totales!C123="presente_cont","(c",)))),0)&amp;totales!K123&amp;IF(totales!L123="hombre","h","m")</f>
        <v>(a1m</v>
      </c>
    </row>
    <row r="414" spans="1:1">
      <c r="A414" t="str">
        <f>IF(totales!D128="temporal",IF(totales!C128="morfológico","(m",IF(totales!C128="analítico","(a",IF(totales!C128="presente","(p",IF(totales!C128="presente_cont","(c",)))),0)&amp;totales!K128&amp;IF(totales!L128="hombre","h","m")</f>
        <v>(a1m</v>
      </c>
    </row>
    <row r="415" spans="1:1">
      <c r="A415" t="str">
        <f>IF(totales!D129="temporal",IF(totales!C129="morfológico","(m",IF(totales!C129="analítico","(a",IF(totales!C129="presente","(p",IF(totales!C129="presente_cont","(c",)))),0)&amp;totales!K129&amp;IF(totales!L129="hombre","h","m")</f>
        <v>(a1m</v>
      </c>
    </row>
    <row r="416" spans="1:1">
      <c r="A416" t="str">
        <f>IF(totales!D130="temporal",IF(totales!C130="morfológico","(m",IF(totales!C130="analítico","(a",IF(totales!C130="presente","(p",IF(totales!C130="presente_cont","(c",)))),0)&amp;totales!K130&amp;IF(totales!L130="hombre","h","m")</f>
        <v>(a1m</v>
      </c>
    </row>
    <row r="417" spans="1:1">
      <c r="A417" t="str">
        <f>IF(totales!D131="temporal",IF(totales!C131="morfológico","(m",IF(totales!C131="analítico","(a",IF(totales!C131="presente","(p",IF(totales!C131="presente_cont","(c",)))),0)&amp;totales!K131&amp;IF(totales!L131="hombre","h","m")</f>
        <v>(a1m</v>
      </c>
    </row>
    <row r="418" spans="1:1">
      <c r="A418" t="str">
        <f>IF(totales!D132="temporal",IF(totales!C132="morfológico","(m",IF(totales!C132="analítico","(a",IF(totales!C132="presente","(p",IF(totales!C132="presente_cont","(c",)))),0)&amp;totales!K132&amp;IF(totales!L132="hombre","h","m")</f>
        <v>(a1m</v>
      </c>
    </row>
    <row r="419" spans="1:1">
      <c r="A419" t="str">
        <f>IF(totales!D133="temporal",IF(totales!C133="morfológico","(m",IF(totales!C133="analítico","(a",IF(totales!C133="presente","(p",IF(totales!C133="presente_cont","(c",)))),0)&amp;totales!K133&amp;IF(totales!L133="hombre","h","m")</f>
        <v>(a1m</v>
      </c>
    </row>
    <row r="420" spans="1:1">
      <c r="A420" t="str">
        <f>IF(totales!D134="temporal",IF(totales!C134="morfológico","(m",IF(totales!C134="analítico","(a",IF(totales!C134="presente","(p",IF(totales!C134="presente_cont","(c",)))),0)&amp;totales!K134&amp;IF(totales!L134="hombre","h","m")</f>
        <v>(a1m</v>
      </c>
    </row>
    <row r="421" spans="1:1">
      <c r="A421" t="str">
        <f>IF(totales!D138="temporal",IF(totales!C138="morfológico","(m",IF(totales!C138="analítico","(a",IF(totales!C138="presente","(p",IF(totales!C138="presente_cont","(c",)))),0)&amp;totales!K138&amp;IF(totales!L138="hombre","h","m")</f>
        <v>(a1m</v>
      </c>
    </row>
    <row r="422" spans="1:1">
      <c r="A422" t="str">
        <f>IF(totales!D139="temporal",IF(totales!C139="morfológico","(m",IF(totales!C139="analítico","(a",IF(totales!C139="presente","(p",IF(totales!C139="presente_cont","(c",)))),0)&amp;totales!K139&amp;IF(totales!L139="hombre","h","m")</f>
        <v>(a1m</v>
      </c>
    </row>
    <row r="423" spans="1:1">
      <c r="A423" t="str">
        <f>IF(totales!D140="temporal",IF(totales!C140="morfológico","(m",IF(totales!C140="analítico","(a",IF(totales!C140="presente","(p",IF(totales!C140="presente_cont","(c",)))),0)&amp;totales!K140&amp;IF(totales!L140="hombre","h","m")</f>
        <v>(a1m</v>
      </c>
    </row>
    <row r="424" spans="1:1">
      <c r="A424" t="str">
        <f>IF(totales!D141="temporal",IF(totales!C141="morfológico","(m",IF(totales!C141="analítico","(a",IF(totales!C141="presente","(p",IF(totales!C141="presente_cont","(c",)))),0)&amp;totales!K141&amp;IF(totales!L141="hombre","h","m")</f>
        <v>(a1m</v>
      </c>
    </row>
    <row r="425" spans="1:1">
      <c r="A425" t="str">
        <f>IF(totales!D144="temporal",IF(totales!C144="morfológico","(m",IF(totales!C144="analítico","(a",IF(totales!C144="presente","(p",IF(totales!C144="presente_cont","(c",)))),0)&amp;totales!K144&amp;IF(totales!L144="hombre","h","m")</f>
        <v>(a1m</v>
      </c>
    </row>
    <row r="426" spans="1:1">
      <c r="A426" t="str">
        <f>IF(totales!D145="temporal",IF(totales!C145="morfológico","(m",IF(totales!C145="analítico","(a",IF(totales!C145="presente","(p",IF(totales!C145="presente_cont","(c",)))),0)&amp;totales!K145&amp;IF(totales!L145="hombre","h","m")</f>
        <v>(a1m</v>
      </c>
    </row>
    <row r="427" spans="1:1">
      <c r="A427" t="str">
        <f>IF(totales!D147="temporal",IF(totales!C147="morfológico","(m",IF(totales!C147="analítico","(a",IF(totales!C147="presente","(p",IF(totales!C147="presente_cont","(c",)))),0)&amp;totales!K147&amp;IF(totales!L147="hombre","h","m")</f>
        <v>(a1m</v>
      </c>
    </row>
    <row r="428" spans="1:1">
      <c r="A428" t="str">
        <f>IF(totales!D150="temporal",IF(totales!C150="morfológico","(m",IF(totales!C150="analítico","(a",IF(totales!C150="presente","(p",IF(totales!C150="presente_cont","(c",)))),0)&amp;totales!K150&amp;IF(totales!L150="hombre","h","m")</f>
        <v>(a1m</v>
      </c>
    </row>
    <row r="429" spans="1:1">
      <c r="A429" t="str">
        <f>IF(totales!D151="temporal",IF(totales!C151="morfológico","(m",IF(totales!C151="analítico","(a",IF(totales!C151="presente","(p",IF(totales!C151="presente_cont","(c",)))),0)&amp;totales!K151&amp;IF(totales!L151="hombre","h","m")</f>
        <v>(a1m</v>
      </c>
    </row>
    <row r="430" spans="1:1">
      <c r="A430" t="str">
        <f>IF(totales!D152="temporal",IF(totales!C152="morfológico","(m",IF(totales!C152="analítico","(a",IF(totales!C152="presente","(p",IF(totales!C152="presente_cont","(c",)))),0)&amp;totales!K152&amp;IF(totales!L152="hombre","h","m")</f>
        <v>(a1m</v>
      </c>
    </row>
    <row r="431" spans="1:1">
      <c r="A431" t="str">
        <f>IF(totales!D153="temporal",IF(totales!C153="morfológico","(m",IF(totales!C153="analítico","(a",IF(totales!C153="presente","(p",IF(totales!C153="presente_cont","(c",)))),0)&amp;totales!K153&amp;IF(totales!L153="hombre","h","m")</f>
        <v>(a1m</v>
      </c>
    </row>
    <row r="432" spans="1:1">
      <c r="A432" t="str">
        <f>IF(totales!D154="temporal",IF(totales!C154="morfológico","(m",IF(totales!C154="analítico","(a",IF(totales!C154="presente","(p",IF(totales!C154="presente_cont","(c",)))),0)&amp;totales!K154&amp;IF(totales!L154="hombre","h","m")</f>
        <v>(a1m</v>
      </c>
    </row>
    <row r="433" spans="1:1">
      <c r="A433" t="str">
        <f>IF(totales!D155="temporal",IF(totales!C155="morfológico","(m",IF(totales!C155="analítico","(a",IF(totales!C155="presente","(p",IF(totales!C155="presente_cont","(c",)))),0)&amp;totales!K155&amp;IF(totales!L155="hombre","h","m")</f>
        <v>(a1m</v>
      </c>
    </row>
    <row r="434" spans="1:1">
      <c r="A434" t="str">
        <f>IF(totales!D156="temporal",IF(totales!C156="morfológico","(m",IF(totales!C156="analítico","(a",IF(totales!C156="presente","(p",IF(totales!C156="presente_cont","(c",)))),0)&amp;totales!K156&amp;IF(totales!L156="hombre","h","m")</f>
        <v>(a1m</v>
      </c>
    </row>
    <row r="435" spans="1:1">
      <c r="A435" t="str">
        <f>IF(totales!D157="temporal",IF(totales!C157="morfológico","(m",IF(totales!C157="analítico","(a",IF(totales!C157="presente","(p",IF(totales!C157="presente_cont","(c",)))),0)&amp;totales!K157&amp;IF(totales!L157="hombre","h","m")</f>
        <v>(a1m</v>
      </c>
    </row>
    <row r="436" spans="1:1">
      <c r="A436" t="str">
        <f>IF(totales!D160="temporal",IF(totales!C160="morfológico","(m",IF(totales!C160="analítico","(a",IF(totales!C160="presente","(p",IF(totales!C160="presente_cont","(c",)))),0)&amp;totales!K160&amp;IF(totales!L160="hombre","h","m")</f>
        <v>(a1m</v>
      </c>
    </row>
    <row r="437" spans="1:1">
      <c r="A437" t="str">
        <f>IF(totales!D161="temporal",IF(totales!C161="morfológico","(m",IF(totales!C161="analítico","(a",IF(totales!C161="presente","(p",IF(totales!C161="presente_cont","(c",)))),0)&amp;totales!K161&amp;IF(totales!L161="hombre","h","m")</f>
        <v>(a1m</v>
      </c>
    </row>
    <row r="438" spans="1:1">
      <c r="A438" t="str">
        <f>IF(totales!D164="temporal",IF(totales!C164="morfológico","(m",IF(totales!C164="analítico","(a",IF(totales!C164="presente","(p",IF(totales!C164="presente_cont","(c",)))),0)&amp;totales!K164&amp;IF(totales!L164="hombre","h","m")</f>
        <v>(a1m</v>
      </c>
    </row>
    <row r="439" spans="1:1">
      <c r="A439" t="str">
        <f>IF(totales!D4="temporal",IF(totales!C4="morfológico","(m",IF(totales!C4="analítico","(a",IF(totales!C4="presente","(p",IF(totales!C4="presente_cont","(c",)))),0)&amp;totales!K4&amp;IF(totales!L4="hombre","h","m")</f>
        <v>(a1h</v>
      </c>
    </row>
    <row r="440" spans="1:1">
      <c r="A440" t="str">
        <f>IF(totales!D5="temporal",IF(totales!C5="morfológico","(m",IF(totales!C5="analítico","(a",IF(totales!C5="presente","(p",IF(totales!C5="presente_cont","(c",)))),0)&amp;totales!K5&amp;IF(totales!L5="hombre","h","m")</f>
        <v>(a1h</v>
      </c>
    </row>
    <row r="441" spans="1:1">
      <c r="A441" t="str">
        <f>IF(totales!D6="temporal",IF(totales!C6="morfológico","(m",IF(totales!C6="analítico","(a",IF(totales!C6="presente","(p",IF(totales!C6="presente_cont","(c",)))),0)&amp;totales!K6&amp;IF(totales!L6="hombre","h","m")</f>
        <v>(a1h</v>
      </c>
    </row>
    <row r="442" spans="1:1">
      <c r="A442" t="str">
        <f>IF(totales!D7="temporal",IF(totales!C7="morfológico","(m",IF(totales!C7="analítico","(a",IF(totales!C7="presente","(p",IF(totales!C7="presente_cont","(c",)))),0)&amp;totales!K7&amp;IF(totales!L7="hombre","h","m")</f>
        <v>(a1h</v>
      </c>
    </row>
    <row r="443" spans="1:1">
      <c r="A443" t="str">
        <f>IF(totales!D8="temporal",IF(totales!C8="morfológico","(m",IF(totales!C8="analítico","(a",IF(totales!C8="presente","(p",IF(totales!C8="presente_cont","(c",)))),0)&amp;totales!K8&amp;IF(totales!L8="hombre","h","m")</f>
        <v>(a1h</v>
      </c>
    </row>
    <row r="444" spans="1:1">
      <c r="A444" t="str">
        <f>IF(totales!D12="temporal",IF(totales!C12="morfológico","(m",IF(totales!C12="analítico","(a",IF(totales!C12="presente","(p",IF(totales!C12="presente_cont","(c",)))),0)&amp;totales!K12&amp;IF(totales!L12="hombre","h","m")</f>
        <v>(a1h</v>
      </c>
    </row>
    <row r="445" spans="1:1">
      <c r="A445" t="str">
        <f>IF(totales!D14="temporal",IF(totales!C14="morfológico","(m",IF(totales!C14="analítico","(a",IF(totales!C14="presente","(p",IF(totales!C14="presente_cont","(c",)))),0)&amp;totales!K14&amp;IF(totales!L14="hombre","h","m")</f>
        <v>(a1h</v>
      </c>
    </row>
    <row r="446" spans="1:1">
      <c r="A446" t="str">
        <f>IF(totales!D15="temporal",IF(totales!C15="morfológico","(m",IF(totales!C15="analítico","(a",IF(totales!C15="presente","(p",IF(totales!C15="presente_cont","(c",)))),0)&amp;totales!K15&amp;IF(totales!L15="hombre","h","m")</f>
        <v>(a1h</v>
      </c>
    </row>
    <row r="447" spans="1:1">
      <c r="A447" t="str">
        <f>IF(totales!D17="temporal",IF(totales!C17="morfológico","(m",IF(totales!C17="analítico","(a",IF(totales!C17="presente","(p",IF(totales!C17="presente_cont","(c",)))),0)&amp;totales!K17&amp;IF(totales!L17="hombre","h","m")</f>
        <v>(a1h</v>
      </c>
    </row>
    <row r="448" spans="1:1">
      <c r="A448" t="str">
        <f>IF(totales!D18="temporal",IF(totales!C18="morfológico","(m",IF(totales!C18="analítico","(a",IF(totales!C18="presente","(p",IF(totales!C18="presente_cont","(c",)))),0)&amp;totales!K18&amp;IF(totales!L18="hombre","h","m")</f>
        <v>(a1h</v>
      </c>
    </row>
    <row r="449" spans="1:1">
      <c r="A449" t="str">
        <f>IF(totales!D23="temporal",IF(totales!C23="morfológico","(m",IF(totales!C23="analítico","(a",IF(totales!C23="presente","(p",IF(totales!C23="presente_cont","(c",)))),0)&amp;totales!K23&amp;IF(totales!L23="hombre","h","m")</f>
        <v>(a1h</v>
      </c>
    </row>
    <row r="450" spans="1:1">
      <c r="A450" t="str">
        <f>IF(totales!D24="temporal",IF(totales!C24="morfológico","(m",IF(totales!C24="analítico","(a",IF(totales!C24="presente","(p",IF(totales!C24="presente_cont","(c",)))),0)&amp;totales!K24&amp;IF(totales!L24="hombre","h","m")</f>
        <v>(a1h</v>
      </c>
    </row>
    <row r="451" spans="1:1">
      <c r="A451" t="str">
        <f>IF(totales!D25="temporal",IF(totales!C25="morfológico","(m",IF(totales!C25="analítico","(a",IF(totales!C25="presente","(p",IF(totales!C25="presente_cont","(c",)))),0)&amp;totales!K25&amp;IF(totales!L25="hombre","h","m")</f>
        <v>(a1h</v>
      </c>
    </row>
    <row r="452" spans="1:1">
      <c r="A452" t="str">
        <f>IF(totales!D29="temporal",IF(totales!C29="morfológico","(m",IF(totales!C29="analítico","(a",IF(totales!C29="presente","(p",IF(totales!C29="presente_cont","(c",)))),0)&amp;totales!K29&amp;IF(totales!L29="hombre","h","m")</f>
        <v>(a1h</v>
      </c>
    </row>
    <row r="453" spans="1:1">
      <c r="A453" t="str">
        <f>IF(totales!D30="temporal",IF(totales!C30="morfológico","(m",IF(totales!C30="analítico","(a",IF(totales!C30="presente","(p",IF(totales!C30="presente_cont","(c",)))),0)&amp;totales!K30&amp;IF(totales!L30="hombre","h","m")</f>
        <v>(a1h</v>
      </c>
    </row>
    <row r="454" spans="1:1">
      <c r="A454" t="str">
        <f>IF(totales!D34="temporal",IF(totales!C34="morfológico","(m",IF(totales!C34="analítico","(a",IF(totales!C34="presente","(p",IF(totales!C34="presente_cont","(c",)))),0)&amp;totales!K34&amp;IF(totales!L34="hombre","h","m")</f>
        <v>(a1h</v>
      </c>
    </row>
    <row r="455" spans="1:1">
      <c r="A455" t="str">
        <f>IF(totales!D36="temporal",IF(totales!C36="morfológico","(m",IF(totales!C36="analítico","(a",IF(totales!C36="presente","(p",IF(totales!C36="presente_cont","(c",)))),0)&amp;totales!K36&amp;IF(totales!L36="hombre","h","m")</f>
        <v>(a1h</v>
      </c>
    </row>
    <row r="456" spans="1:1">
      <c r="A456" t="str">
        <f>IF(totales!D43="temporal",IF(totales!C43="morfológico","(m",IF(totales!C43="analítico","(a",IF(totales!C43="presente","(p",IF(totales!C43="presente_cont","(c",)))),0)&amp;totales!K43&amp;IF(totales!L43="hombre","h","m")</f>
        <v>(a1h</v>
      </c>
    </row>
    <row r="457" spans="1:1">
      <c r="A457" t="str">
        <f>IF(totales!D50="temporal",IF(totales!C50="morfológico","(m",IF(totales!C50="analítico","(a",IF(totales!C50="presente","(p",IF(totales!C50="presente_cont","(c",)))),0)&amp;totales!K50&amp;IF(totales!L50="hombre","h","m")</f>
        <v>(a1h</v>
      </c>
    </row>
    <row r="458" spans="1:1">
      <c r="A458" t="str">
        <f>IF(totales!D51="temporal",IF(totales!C51="morfológico","(m",IF(totales!C51="analítico","(a",IF(totales!C51="presente","(p",IF(totales!C51="presente_cont","(c",)))),0)&amp;totales!K51&amp;IF(totales!L51="hombre","h","m")</f>
        <v>(a1h</v>
      </c>
    </row>
  </sheetData>
  <sortState ref="A1:A574">
    <sortCondition descending="1" ref="A294"/>
  </sortState>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8"/>
  <sheetViews>
    <sheetView workbookViewId="0"/>
  </sheetViews>
  <sheetFormatPr baseColWidth="10" defaultRowHeight="14" x14ac:dyDescent="0"/>
  <cols>
    <col min="1" max="1" width="11.83203125" bestFit="1" customWidth="1"/>
  </cols>
  <sheetData>
    <row r="1" spans="1:1">
      <c r="A1" t="str">
        <f>IF(totales!D249="temporal",IF(totales!C249="morfológico","(m",IF(totales!C249="analítico","(a",IF(totales!C249="presente","(p",IF(totales!C249="presente_cont","(c",))))&amp;totales!E249&amp;totales!H249&amp;totales!I249&amp;totales!J249,0)</f>
        <v>(a1200</v>
      </c>
    </row>
    <row r="2" spans="1:1">
      <c r="A2" t="str">
        <f>IF(totales!D52="temporal",IF(totales!C52="morfológico","(m",IF(totales!C52="analítico","(a",IF(totales!C52="presente","(p",IF(totales!C52="presente_cont","(c",))))&amp;totales!E52&amp;totales!H52&amp;totales!I52&amp;totales!J52,0)</f>
        <v>(a1000</v>
      </c>
    </row>
    <row r="3" spans="1:1">
      <c r="A3" t="str">
        <f>IF(totales!D53="temporal",IF(totales!C53="morfológico","(m",IF(totales!C53="analítico","(a",IF(totales!C53="presente","(p",IF(totales!C53="presente_cont","(c",))))&amp;totales!E53&amp;totales!H53&amp;totales!I53&amp;totales!J53,0)</f>
        <v>(a1000</v>
      </c>
    </row>
    <row r="4" spans="1:1">
      <c r="A4" t="str">
        <f>IF(totales!D76="temporal",IF(totales!C76="morfológico","(m",IF(totales!C76="analítico","(a",IF(totales!C76="presente","(p",IF(totales!C76="presente_cont","(c",))))&amp;totales!E76&amp;totales!H76&amp;totales!I76&amp;totales!J76,0)</f>
        <v>(a1000</v>
      </c>
    </row>
    <row r="5" spans="1:1">
      <c r="A5" t="str">
        <f>IF(totales!D85="temporal",IF(totales!C85="morfológico","(m",IF(totales!C85="analítico","(a",IF(totales!C85="presente","(p",IF(totales!C85="presente_cont","(c",))))&amp;totales!E85&amp;totales!H85&amp;totales!I85&amp;totales!J85,0)</f>
        <v>(a1000</v>
      </c>
    </row>
    <row r="6" spans="1:1">
      <c r="A6" t="str">
        <f>IF(totales!D86="temporal",IF(totales!C86="morfológico","(m",IF(totales!C86="analítico","(a",IF(totales!C86="presente","(p",IF(totales!C86="presente_cont","(c",))))&amp;totales!E86&amp;totales!H86&amp;totales!I86&amp;totales!J86,0)</f>
        <v>(a1000</v>
      </c>
    </row>
    <row r="7" spans="1:1">
      <c r="A7" t="str">
        <f>IF(totales!D88="temporal",IF(totales!C88="morfológico","(m",IF(totales!C88="analítico","(a",IF(totales!C88="presente","(p",IF(totales!C88="presente_cont","(c",))))&amp;totales!E88&amp;totales!H88&amp;totales!I88&amp;totales!J88,0)</f>
        <v>(a1000</v>
      </c>
    </row>
    <row r="8" spans="1:1">
      <c r="A8" t="str">
        <f>IF(totales!D93="temporal",IF(totales!C93="morfológico","(m",IF(totales!C93="analítico","(a",IF(totales!C93="presente","(p",IF(totales!C93="presente_cont","(c",))))&amp;totales!E93&amp;totales!H93&amp;totales!I93&amp;totales!J93,0)</f>
        <v>(a1000</v>
      </c>
    </row>
    <row r="9" spans="1:1">
      <c r="A9" t="str">
        <f>IF(totales!D101="temporal",IF(totales!C101="morfológico","(m",IF(totales!C101="analítico","(a",IF(totales!C101="presente","(p",IF(totales!C101="presente_cont","(c",))))&amp;totales!E101&amp;totales!H101&amp;totales!I101&amp;totales!J101,0)</f>
        <v>(a1000</v>
      </c>
    </row>
    <row r="10" spans="1:1">
      <c r="A10" t="str">
        <f>IF(totales!D104="temporal",IF(totales!C104="morfológico","(m",IF(totales!C104="analítico","(a",IF(totales!C104="presente","(p",IF(totales!C104="presente_cont","(c",))))&amp;totales!E104&amp;totales!H104&amp;totales!I104&amp;totales!J104,0)</f>
        <v>(a1000</v>
      </c>
    </row>
    <row r="11" spans="1:1">
      <c r="A11" t="str">
        <f>IF(totales!D120="temporal",IF(totales!C120="morfológico","(m",IF(totales!C120="analítico","(a",IF(totales!C120="presente","(p",IF(totales!C120="presente_cont","(c",))))&amp;totales!E120&amp;totales!H120&amp;totales!I120&amp;totales!J120,0)</f>
        <v>(a1000</v>
      </c>
    </row>
    <row r="12" spans="1:1">
      <c r="A12" t="str">
        <f>IF(totales!D121="temporal",IF(totales!C121="morfológico","(m",IF(totales!C121="analítico","(a",IF(totales!C121="presente","(p",IF(totales!C121="presente_cont","(c",))))&amp;totales!E121&amp;totales!H121&amp;totales!I121&amp;totales!J121,0)</f>
        <v>(a1000</v>
      </c>
    </row>
    <row r="13" spans="1:1">
      <c r="A13" t="str">
        <f>IF(totales!D151="temporal",IF(totales!C151="morfológico","(m",IF(totales!C151="analítico","(a",IF(totales!C151="presente","(p",IF(totales!C151="presente_cont","(c",))))&amp;totales!E151&amp;totales!H151&amp;totales!I151&amp;totales!J151,0)</f>
        <v>(a1000</v>
      </c>
    </row>
    <row r="14" spans="1:1">
      <c r="A14" t="str">
        <f>IF(totales!D152="temporal",IF(totales!C152="morfológico","(m",IF(totales!C152="analítico","(a",IF(totales!C152="presente","(p",IF(totales!C152="presente_cont","(c",))))&amp;totales!E152&amp;totales!H152&amp;totales!I152&amp;totales!J152,0)</f>
        <v>(a1000</v>
      </c>
    </row>
    <row r="15" spans="1:1">
      <c r="A15" t="str">
        <f>IF(totales!D164="temporal",IF(totales!C164="morfológico","(m",IF(totales!C164="analítico","(a",IF(totales!C164="presente","(p",IF(totales!C164="presente_cont","(c",))))&amp;totales!E164&amp;totales!H164&amp;totales!I164&amp;totales!J164,0)</f>
        <v>(a1000</v>
      </c>
    </row>
    <row r="16" spans="1:1">
      <c r="A16" t="str">
        <f>IF(totales!D165="temporal",IF(totales!C165="morfológico","(m",IF(totales!C165="analítico","(a",IF(totales!C165="presente","(p",IF(totales!C165="presente_cont","(c",))))&amp;totales!E165&amp;totales!H165&amp;totales!I165&amp;totales!J165,0)</f>
        <v>(a1000</v>
      </c>
    </row>
    <row r="17" spans="1:1">
      <c r="A17" t="str">
        <f>IF(totales!D171="temporal",IF(totales!C171="morfológico","(m",IF(totales!C171="analítico","(a",IF(totales!C171="presente","(p",IF(totales!C171="presente_cont","(c",))))&amp;totales!E171&amp;totales!H171&amp;totales!I171&amp;totales!J171,0)</f>
        <v>(a1000</v>
      </c>
    </row>
    <row r="18" spans="1:1">
      <c r="A18" t="str">
        <f>IF(totales!D175="temporal",IF(totales!C175="morfológico","(m",IF(totales!C175="analítico","(a",IF(totales!C175="presente","(p",IF(totales!C175="presente_cont","(c",))))&amp;totales!E175&amp;totales!H175&amp;totales!I175&amp;totales!J175,0)</f>
        <v>(a1000</v>
      </c>
    </row>
    <row r="19" spans="1:1">
      <c r="A19" t="str">
        <f>IF(totales!D187="temporal",IF(totales!C187="morfológico","(m",IF(totales!C187="analítico","(a",IF(totales!C187="presente","(p",IF(totales!C187="presente_cont","(c",))))&amp;totales!E187&amp;totales!H187&amp;totales!I187&amp;totales!J187,0)</f>
        <v>(a1000</v>
      </c>
    </row>
    <row r="20" spans="1:1">
      <c r="A20" t="str">
        <f>IF(totales!D188="temporal",IF(totales!C188="morfológico","(m",IF(totales!C188="analítico","(a",IF(totales!C188="presente","(p",IF(totales!C188="presente_cont","(c",))))&amp;totales!E188&amp;totales!H188&amp;totales!I188&amp;totales!J188,0)</f>
        <v>(a1000</v>
      </c>
    </row>
    <row r="21" spans="1:1">
      <c r="A21" t="str">
        <f>IF(totales!D241="temporal",IF(totales!C241="morfológico","(m",IF(totales!C241="analítico","(a",IF(totales!C241="presente","(p",IF(totales!C241="presente_cont","(c",))))&amp;totales!E241&amp;totales!H241&amp;totales!I241&amp;totales!J241,0)</f>
        <v>(a1000</v>
      </c>
    </row>
    <row r="22" spans="1:1">
      <c r="A22" t="str">
        <f>IF(totales!D250="temporal",IF(totales!C250="morfológico","(m",IF(totales!C250="analítico","(a",IF(totales!C250="presente","(p",IF(totales!C250="presente_cont","(c",))))&amp;totales!E250&amp;totales!H250&amp;totales!I250&amp;totales!J250,0)</f>
        <v>(a1000</v>
      </c>
    </row>
    <row r="23" spans="1:1">
      <c r="A23" t="str">
        <f>IF(totales!D252="temporal",IF(totales!C252="morfológico","(m",IF(totales!C252="analítico","(a",IF(totales!C252="presente","(p",IF(totales!C252="presente_cont","(c",))))&amp;totales!E252&amp;totales!H252&amp;totales!I252&amp;totales!J252,0)</f>
        <v>(a1000</v>
      </c>
    </row>
    <row r="24" spans="1:1">
      <c r="A24" t="str">
        <f>IF(totales!D279="temporal",IF(totales!C279="morfológico","(m",IF(totales!C279="analítico","(a",IF(totales!C279="presente","(p",IF(totales!C279="presente_cont","(c",))))&amp;totales!E279&amp;totales!H279&amp;totales!I279&amp;totales!J279,0)</f>
        <v>(a1000</v>
      </c>
    </row>
    <row r="25" spans="1:1">
      <c r="A25" t="str">
        <f>IF(totales!D302="temporal",IF(totales!C302="morfológico","(m",IF(totales!C302="analítico","(a",IF(totales!C302="presente","(p",IF(totales!C302="presente_cont","(c",))))&amp;totales!E302&amp;totales!H302&amp;totales!I302&amp;totales!J302,0)</f>
        <v>(a1000</v>
      </c>
    </row>
    <row r="26" spans="1:1">
      <c r="A26" t="str">
        <f>IF(totales!D327="temporal",IF(totales!C327="morfológico","(m",IF(totales!C327="analítico","(a",IF(totales!C327="presente","(p",IF(totales!C327="presente_cont","(c",))))&amp;totales!E327&amp;totales!H327&amp;totales!I327&amp;totales!J327,0)</f>
        <v>(a1000</v>
      </c>
    </row>
    <row r="27" spans="1:1">
      <c r="A27" t="str">
        <f>IF(totales!D328="temporal",IF(totales!C328="morfológico","(m",IF(totales!C328="analítico","(a",IF(totales!C328="presente","(p",IF(totales!C328="presente_cont","(c",))))&amp;totales!E328&amp;totales!H328&amp;totales!I328&amp;totales!J328,0)</f>
        <v>(a1000</v>
      </c>
    </row>
    <row r="28" spans="1:1">
      <c r="A28" t="str">
        <f>IF(totales!D332="temporal",IF(totales!C332="morfológico","(m",IF(totales!C332="analítico","(a",IF(totales!C332="presente","(p",IF(totales!C332="presente_cont","(c",))))&amp;totales!E332&amp;totales!H332&amp;totales!I332&amp;totales!J332,0)</f>
        <v>(a1000</v>
      </c>
    </row>
    <row r="29" spans="1:1">
      <c r="A29" t="str">
        <f>IF(totales!D341="temporal",IF(totales!C341="morfológico","(m",IF(totales!C341="analítico","(a",IF(totales!C341="presente","(p",IF(totales!C341="presente_cont","(c",))))&amp;totales!E341&amp;totales!H341&amp;totales!I341&amp;totales!J341,0)</f>
        <v>(a1000</v>
      </c>
    </row>
    <row r="30" spans="1:1">
      <c r="A30" t="str">
        <f>IF(totales!D342="temporal",IF(totales!C342="morfológico","(m",IF(totales!C342="analítico","(a",IF(totales!C342="presente","(p",IF(totales!C342="presente_cont","(c",))))&amp;totales!E342&amp;totales!H342&amp;totales!I342&amp;totales!J342,0)</f>
        <v>(a1000</v>
      </c>
    </row>
    <row r="31" spans="1:1">
      <c r="A31" t="str">
        <f>IF(totales!D343="temporal",IF(totales!C343="morfológico","(m",IF(totales!C343="analítico","(a",IF(totales!C343="presente","(p",IF(totales!C343="presente_cont","(c",))))&amp;totales!E343&amp;totales!H343&amp;totales!I343&amp;totales!J343,0)</f>
        <v>(a1000</v>
      </c>
    </row>
    <row r="32" spans="1:1">
      <c r="A32" t="str">
        <f>IF(totales!D344="temporal",IF(totales!C344="morfológico","(m",IF(totales!C344="analítico","(a",IF(totales!C344="presente","(p",IF(totales!C344="presente_cont","(c",))))&amp;totales!E344&amp;totales!H344&amp;totales!I344&amp;totales!J344,0)</f>
        <v>(a1000</v>
      </c>
    </row>
    <row r="33" spans="1:1">
      <c r="A33" t="str">
        <f>IF(totales!D349="temporal",IF(totales!C349="morfológico","(m",IF(totales!C349="analítico","(a",IF(totales!C349="presente","(p",IF(totales!C349="presente_cont","(c",))))&amp;totales!E349&amp;totales!H349&amp;totales!I349&amp;totales!J349,0)</f>
        <v>(a1000</v>
      </c>
    </row>
    <row r="34" spans="1:1">
      <c r="A34" t="str">
        <f>IF(totales!D351="temporal",IF(totales!C351="morfológico","(m",IF(totales!C351="analítico","(a",IF(totales!C351="presente","(p",IF(totales!C351="presente_cont","(c",))))&amp;totales!E351&amp;totales!H351&amp;totales!I351&amp;totales!J351,0)</f>
        <v>(a1000</v>
      </c>
    </row>
    <row r="35" spans="1:1">
      <c r="A35" t="str">
        <f>IF(totales!D353="temporal",IF(totales!C353="morfológico","(m",IF(totales!C353="analítico","(a",IF(totales!C353="presente","(p",IF(totales!C353="presente_cont","(c",))))&amp;totales!E353&amp;totales!H353&amp;totales!I353&amp;totales!J353,0)</f>
        <v>(a1000</v>
      </c>
    </row>
    <row r="36" spans="1:1">
      <c r="A36" t="str">
        <f>IF(totales!D355="temporal",IF(totales!C355="morfológico","(m",IF(totales!C355="analítico","(a",IF(totales!C355="presente","(p",IF(totales!C355="presente_cont","(c",))))&amp;totales!E355&amp;totales!H355&amp;totales!I355&amp;totales!J355,0)</f>
        <v>(a1000</v>
      </c>
    </row>
    <row r="37" spans="1:1">
      <c r="A37" t="str">
        <f>IF(totales!D370="temporal",IF(totales!C370="morfológico","(m",IF(totales!C370="analítico","(a",IF(totales!C370="presente","(p",IF(totales!C370="presente_cont","(c",))))&amp;totales!E370&amp;totales!H370&amp;totales!I370&amp;totales!J370,0)</f>
        <v>(a1000</v>
      </c>
    </row>
    <row r="38" spans="1:1">
      <c r="A38" t="str">
        <f>IF(totales!D371="temporal",IF(totales!C371="morfológico","(m",IF(totales!C371="analítico","(a",IF(totales!C371="presente","(p",IF(totales!C371="presente_cont","(c",))))&amp;totales!E371&amp;totales!H371&amp;totales!I371&amp;totales!J371,0)</f>
        <v>(a1000</v>
      </c>
    </row>
    <row r="39" spans="1:1">
      <c r="A39" t="str">
        <f>IF(totales!D373="temporal",IF(totales!C373="morfológico","(m",IF(totales!C373="analítico","(a",IF(totales!C373="presente","(p",IF(totales!C373="presente_cont","(c",))))&amp;totales!E373&amp;totales!H373&amp;totales!I373&amp;totales!J373,0)</f>
        <v>(a1000</v>
      </c>
    </row>
    <row r="40" spans="1:1">
      <c r="A40" t="str">
        <f>IF(totales!D391="temporal",IF(totales!C391="morfológico","(m",IF(totales!C391="analítico","(a",IF(totales!C391="presente","(p",IF(totales!C391="presente_cont","(c",))))&amp;totales!E391&amp;totales!H391&amp;totales!I391&amp;totales!J391,0)</f>
        <v>(a1000</v>
      </c>
    </row>
    <row r="41" spans="1:1">
      <c r="A41" t="str">
        <f>IF(totales!D398="temporal",IF(totales!C398="morfológico","(m",IF(totales!C398="analítico","(a",IF(totales!C398="presente","(p",IF(totales!C398="presente_cont","(c",))))&amp;totales!E398&amp;totales!H398&amp;totales!I398&amp;totales!J398,0)</f>
        <v>(a1000</v>
      </c>
    </row>
    <row r="42" spans="1:1">
      <c r="A42" t="str">
        <f>IF(totales!D402="temporal",IF(totales!C402="morfológico","(m",IF(totales!C402="analítico","(a",IF(totales!C402="presente","(p",IF(totales!C402="presente_cont","(c",))))&amp;totales!E402&amp;totales!H402&amp;totales!I402&amp;totales!J402,0)</f>
        <v>(a1000</v>
      </c>
    </row>
    <row r="43" spans="1:1">
      <c r="A43" t="str">
        <f>IF(totales!D443="temporal",IF(totales!C443="morfológico","(m",IF(totales!C443="analítico","(a",IF(totales!C443="presente","(p",IF(totales!C443="presente_cont","(c",))))&amp;totales!E443&amp;totales!H443&amp;totales!I443&amp;totales!J443,0)</f>
        <v>(a1000</v>
      </c>
    </row>
    <row r="44" spans="1:1">
      <c r="A44" t="str">
        <f>IF(totales!D446="temporal",IF(totales!C446="morfológico","(m",IF(totales!C446="analítico","(a",IF(totales!C446="presente","(p",IF(totales!C446="presente_cont","(c",))))&amp;totales!E446&amp;totales!H446&amp;totales!I446&amp;totales!J446,0)</f>
        <v>(a1000</v>
      </c>
    </row>
    <row r="45" spans="1:1">
      <c r="A45" t="str">
        <f>IF(totales!D449="temporal",IF(totales!C449="morfológico","(m",IF(totales!C449="analítico","(a",IF(totales!C449="presente","(p",IF(totales!C449="presente_cont","(c",))))&amp;totales!E449&amp;totales!H449&amp;totales!I449&amp;totales!J449,0)</f>
        <v>(a1000</v>
      </c>
    </row>
    <row r="46" spans="1:1">
      <c r="A46" t="str">
        <f>IF(totales!D475="temporal",IF(totales!C475="morfológico","(m",IF(totales!C475="analítico","(a",IF(totales!C475="presente","(p",IF(totales!C475="presente_cont","(c",))))&amp;totales!E475&amp;totales!H475&amp;totales!I475&amp;totales!J475,0)</f>
        <v>(a1000</v>
      </c>
    </row>
    <row r="47" spans="1:1">
      <c r="A47" t="str">
        <f>IF(totales!D519="temporal",IF(totales!C519="morfológico","(m",IF(totales!C519="analítico","(a",IF(totales!C519="presente","(p",IF(totales!C519="presente_cont","(c",))))&amp;totales!E519&amp;totales!H519&amp;totales!I519&amp;totales!J519,0)</f>
        <v>(a1000</v>
      </c>
    </row>
    <row r="48" spans="1:1">
      <c r="A48" t="str">
        <f>IF(totales!D43="temporal",IF(totales!C43="morfológico","(m",IF(totales!C43="analítico","(a",IF(totales!C43="presente","(p",IF(totales!C43="presente_cont","(c",))))&amp;totales!E43&amp;totales!H43&amp;totales!I43&amp;totales!J43,0)</f>
        <v>(a1001</v>
      </c>
    </row>
    <row r="49" spans="1:1">
      <c r="A49" t="str">
        <f>IF(totales!D89="temporal",IF(totales!C89="morfológico","(m",IF(totales!C89="analítico","(a",IF(totales!C89="presente","(p",IF(totales!C89="presente_cont","(c",))))&amp;totales!E89&amp;totales!H89&amp;totales!I89&amp;totales!J89,0)</f>
        <v>(a1001</v>
      </c>
    </row>
    <row r="50" spans="1:1">
      <c r="A50" t="str">
        <f>IF(totales!D119="temporal",IF(totales!C119="morfológico","(m",IF(totales!C119="analítico","(a",IF(totales!C119="presente","(p",IF(totales!C119="presente_cont","(c",))))&amp;totales!E119&amp;totales!H119&amp;totales!I119&amp;totales!J119,0)</f>
        <v>(a1001</v>
      </c>
    </row>
    <row r="51" spans="1:1">
      <c r="A51" t="str">
        <f>IF(totales!D173="temporal",IF(totales!C173="morfológico","(m",IF(totales!C173="analítico","(a",IF(totales!C173="presente","(p",IF(totales!C173="presente_cont","(c",))))&amp;totales!E173&amp;totales!H173&amp;totales!I173&amp;totales!J173,0)</f>
        <v>(a1001</v>
      </c>
    </row>
    <row r="52" spans="1:1">
      <c r="A52" t="str">
        <f>IF(totales!D183="temporal",IF(totales!C183="morfológico","(m",IF(totales!C183="analítico","(a",IF(totales!C183="presente","(p",IF(totales!C183="presente_cont","(c",))))&amp;totales!E183&amp;totales!H183&amp;totales!I183&amp;totales!J183,0)</f>
        <v>(a1001</v>
      </c>
    </row>
    <row r="53" spans="1:1">
      <c r="A53" t="str">
        <f>IF(totales!D186="temporal",IF(totales!C186="morfológico","(m",IF(totales!C186="analítico","(a",IF(totales!C186="presente","(p",IF(totales!C186="presente_cont","(c",))))&amp;totales!E186&amp;totales!H186&amp;totales!I186&amp;totales!J186,0)</f>
        <v>(a1001</v>
      </c>
    </row>
    <row r="54" spans="1:1">
      <c r="A54" t="str">
        <f>IF(totales!D320="temporal",IF(totales!C320="morfológico","(m",IF(totales!C320="analítico","(a",IF(totales!C320="presente","(p",IF(totales!C320="presente_cont","(c",))))&amp;totales!E320&amp;totales!H320&amp;totales!I320&amp;totales!J320,0)</f>
        <v>(a1001</v>
      </c>
    </row>
    <row r="55" spans="1:1">
      <c r="A55" t="str">
        <f>IF(totales!D321="temporal",IF(totales!C321="morfológico","(m",IF(totales!C321="analítico","(a",IF(totales!C321="presente","(p",IF(totales!C321="presente_cont","(c",))))&amp;totales!E321&amp;totales!H321&amp;totales!I321&amp;totales!J321,0)</f>
        <v>(a1001</v>
      </c>
    </row>
    <row r="56" spans="1:1">
      <c r="A56" t="str">
        <f>IF(totales!D326="temporal",IF(totales!C326="morfológico","(m",IF(totales!C326="analítico","(a",IF(totales!C326="presente","(p",IF(totales!C326="presente_cont","(c",))))&amp;totales!E326&amp;totales!H326&amp;totales!I326&amp;totales!J326,0)</f>
        <v>(a1001</v>
      </c>
    </row>
    <row r="57" spans="1:1">
      <c r="A57" t="str">
        <f>IF(totales!D448="temporal",IF(totales!C448="morfológico","(m",IF(totales!C448="analítico","(a",IF(totales!C448="presente","(p",IF(totales!C448="presente_cont","(c",))))&amp;totales!E448&amp;totales!H448&amp;totales!I448&amp;totales!J448,0)</f>
        <v>(a1001</v>
      </c>
    </row>
    <row r="58" spans="1:1">
      <c r="A58" t="str">
        <f>IF(totales!D489="temporal",IF(totales!C489="morfológico","(m",IF(totales!C489="analítico","(a",IF(totales!C489="presente","(p",IF(totales!C489="presente_cont","(c",))))&amp;totales!E489&amp;totales!H489&amp;totales!I489&amp;totales!J489,0)</f>
        <v>(a1001</v>
      </c>
    </row>
    <row r="59" spans="1:1">
      <c r="A59" t="str">
        <f>IF(totales!D128="temporal",IF(totales!C128="morfológico","(m",IF(totales!C128="analítico","(a",IF(totales!C128="presente","(p",IF(totales!C128="presente_cont","(c",))))&amp;totales!E128&amp;totales!H128&amp;totales!I128&amp;totales!J128,0)</f>
        <v>(a1010</v>
      </c>
    </row>
    <row r="60" spans="1:1">
      <c r="A60" t="str">
        <f>IF(totales!D284="temporal",IF(totales!C284="morfológico","(m",IF(totales!C284="analítico","(a",IF(totales!C284="presente","(p",IF(totales!C284="presente_cont","(c",))))&amp;totales!E284&amp;totales!H284&amp;totales!I284&amp;totales!J284,0)</f>
        <v>(a1010</v>
      </c>
    </row>
    <row r="61" spans="1:1">
      <c r="A61" t="str">
        <f>IF(totales!D329="temporal",IF(totales!C329="morfológico","(m",IF(totales!C329="analítico","(a",IF(totales!C329="presente","(p",IF(totales!C329="presente_cont","(c",))))&amp;totales!E329&amp;totales!H329&amp;totales!I329&amp;totales!J329,0)</f>
        <v>(a1010</v>
      </c>
    </row>
    <row r="62" spans="1:1">
      <c r="A62" t="str">
        <f>IF(totales!D415="temporal",IF(totales!C415="morfológico","(m",IF(totales!C415="analítico","(a",IF(totales!C415="presente","(p",IF(totales!C415="presente_cont","(c",))))&amp;totales!E415&amp;totales!H415&amp;totales!I415&amp;totales!J415,0)</f>
        <v>(a1010</v>
      </c>
    </row>
    <row r="63" spans="1:1">
      <c r="A63" t="str">
        <f>IF(totales!D470="temporal",IF(totales!C470="morfológico","(m",IF(totales!C470="analítico","(a",IF(totales!C470="presente","(p",IF(totales!C470="presente_cont","(c",))))&amp;totales!E470&amp;totales!H470&amp;totales!I470&amp;totales!J470,0)</f>
        <v>(a1010</v>
      </c>
    </row>
    <row r="64" spans="1:1">
      <c r="A64" t="str">
        <f>IF(totales!D471="temporal",IF(totales!C471="morfológico","(m",IF(totales!C471="analítico","(a",IF(totales!C471="presente","(p",IF(totales!C471="presente_cont","(c",))))&amp;totales!E471&amp;totales!H471&amp;totales!I471&amp;totales!J471,0)</f>
        <v>(a1010</v>
      </c>
    </row>
    <row r="65" spans="1:1">
      <c r="A65" t="str">
        <f>IF(totales!D512="temporal",IF(totales!C512="morfológico","(m",IF(totales!C512="analítico","(a",IF(totales!C512="presente","(p",IF(totales!C512="presente_cont","(c",))))&amp;totales!E512&amp;totales!H512&amp;totales!I512&amp;totales!J512,0)</f>
        <v>(a1010</v>
      </c>
    </row>
    <row r="66" spans="1:1">
      <c r="A66" t="str">
        <f>IF(totales!D30="temporal",IF(totales!C30="morfológico","(m",IF(totales!C30="analítico","(a",IF(totales!C30="presente","(p",IF(totales!C30="presente_cont","(c",))))&amp;totales!E30&amp;totales!H30&amp;totales!I30&amp;totales!J30,0)</f>
        <v>(a1100</v>
      </c>
    </row>
    <row r="67" spans="1:1">
      <c r="A67" t="str">
        <f>IF(totales!D508="temporal",IF(totales!C508="morfológico","(m",IF(totales!C508="analítico","(a",IF(totales!C508="presente","(p",IF(totales!C508="presente_cont","(c",))))&amp;totales!E508&amp;totales!H508&amp;totales!I508&amp;totales!J508,0)</f>
        <v>(a1100</v>
      </c>
    </row>
    <row r="68" spans="1:1">
      <c r="A68" t="str">
        <f>IF(totales!D211="temporal",IF(totales!C211="morfológico","(m",IF(totales!C211="analítico","(a",IF(totales!C211="presente","(p",IF(totales!C211="presente_cont","(c",))))&amp;totales!E211&amp;totales!H211&amp;totales!I211&amp;totales!J211,0)</f>
        <v>(a1110</v>
      </c>
    </row>
    <row r="69" spans="1:1">
      <c r="A69" t="str">
        <f>IF(totales!D66="temporal",IF(totales!C66="morfológico","(m",IF(totales!C66="analítico","(a",IF(totales!C66="presente","(p",IF(totales!C66="presente_cont","(c",))))&amp;totales!E66&amp;totales!H66&amp;totales!I66&amp;totales!J66,0)</f>
        <v>(a1200</v>
      </c>
    </row>
    <row r="70" spans="1:1">
      <c r="A70" t="str">
        <f>IF(totales!D87="temporal",IF(totales!C87="morfológico","(m",IF(totales!C87="analítico","(a",IF(totales!C87="presente","(p",IF(totales!C87="presente_cont","(c",))))&amp;totales!E87&amp;totales!H87&amp;totales!I87&amp;totales!J87,0)</f>
        <v>(a1200</v>
      </c>
    </row>
    <row r="71" spans="1:1">
      <c r="A71" t="str">
        <f>IF(totales!D138="temporal",IF(totales!C138="morfológico","(m",IF(totales!C138="analítico","(a",IF(totales!C138="presente","(p",IF(totales!C138="presente_cont","(c",))))&amp;totales!E138&amp;totales!H138&amp;totales!I138&amp;totales!J138,0)</f>
        <v>(a1200</v>
      </c>
    </row>
    <row r="72" spans="1:1">
      <c r="A72" t="str">
        <f>IF(totales!D221="temporal",IF(totales!C221="morfológico","(m",IF(totales!C221="analítico","(a",IF(totales!C221="presente","(p",IF(totales!C221="presente_cont","(c",))))&amp;totales!E221&amp;totales!H221&amp;totales!I221&amp;totales!J221,0)</f>
        <v>(a1200</v>
      </c>
    </row>
    <row r="73" spans="1:1">
      <c r="A73" t="str">
        <f>IF(totales!D330="temporal",IF(totales!C330="morfológico","(m",IF(totales!C330="analítico","(a",IF(totales!C330="presente","(p",IF(totales!C330="presente_cont","(c",))))&amp;totales!E330&amp;totales!H330&amp;totales!I330&amp;totales!J330,0)</f>
        <v>(a1200</v>
      </c>
    </row>
    <row r="74" spans="1:1">
      <c r="A74" t="str">
        <f>IF(totales!D350="temporal",IF(totales!C350="morfológico","(m",IF(totales!C350="analítico","(a",IF(totales!C350="presente","(p",IF(totales!C350="presente_cont","(c",))))&amp;totales!E350&amp;totales!H350&amp;totales!I350&amp;totales!J350,0)</f>
        <v>(a1200</v>
      </c>
    </row>
    <row r="75" spans="1:1">
      <c r="A75" t="str">
        <f>IF(totales!D438="temporal",IF(totales!C438="morfológico","(m",IF(totales!C438="analítico","(a",IF(totales!C438="presente","(p",IF(totales!C438="presente_cont","(c",))))&amp;totales!E438&amp;totales!H438&amp;totales!I438&amp;totales!J438,0)</f>
        <v>(a1200</v>
      </c>
    </row>
    <row r="76" spans="1:1">
      <c r="A76" t="str">
        <f>IF(totales!D461="temporal",IF(totales!C461="morfológico","(m",IF(totales!C461="analítico","(a",IF(totales!C461="presente","(p",IF(totales!C461="presente_cont","(c",))))&amp;totales!E461&amp;totales!H461&amp;totales!I461&amp;totales!J461,0)</f>
        <v>(a1200</v>
      </c>
    </row>
    <row r="77" spans="1:1">
      <c r="A77" t="str">
        <f>IF(totales!D462="temporal",IF(totales!C462="morfológico","(m",IF(totales!C462="analítico","(a",IF(totales!C462="presente","(p",IF(totales!C462="presente_cont","(c",))))&amp;totales!E462&amp;totales!H462&amp;totales!I462&amp;totales!J462,0)</f>
        <v>(a1200</v>
      </c>
    </row>
    <row r="78" spans="1:1">
      <c r="A78" t="str">
        <f>IF(totales!D463="temporal",IF(totales!C463="morfológico","(m",IF(totales!C463="analítico","(a",IF(totales!C463="presente","(p",IF(totales!C463="presente_cont","(c",))))&amp;totales!E463&amp;totales!H463&amp;totales!I463&amp;totales!J463,0)</f>
        <v>(a1200</v>
      </c>
    </row>
    <row r="79" spans="1:1">
      <c r="A79" t="str">
        <f>IF(totales!D464="temporal",IF(totales!C464="morfológico","(m",IF(totales!C464="analítico","(a",IF(totales!C464="presente","(p",IF(totales!C464="presente_cont","(c",))))&amp;totales!E464&amp;totales!H464&amp;totales!I464&amp;totales!J464,0)</f>
        <v>(a1200</v>
      </c>
    </row>
    <row r="80" spans="1:1">
      <c r="A80" t="str">
        <f>IF(totales!D465="temporal",IF(totales!C465="morfológico","(m",IF(totales!C465="analítico","(a",IF(totales!C465="presente","(p",IF(totales!C465="presente_cont","(c",))))&amp;totales!E465&amp;totales!H465&amp;totales!I465&amp;totales!J465,0)</f>
        <v>(a1200</v>
      </c>
    </row>
    <row r="81" spans="1:1">
      <c r="A81" t="str">
        <f>IF(totales!D507="temporal",IF(totales!C507="morfológico","(m",IF(totales!C507="analítico","(a",IF(totales!C507="presente","(p",IF(totales!C507="presente_cont","(c",))))&amp;totales!E507&amp;totales!H507&amp;totales!I507&amp;totales!J507,0)</f>
        <v>(a1200</v>
      </c>
    </row>
    <row r="82" spans="1:1">
      <c r="A82" t="str">
        <f>IF(totales!D297="temporal",IF(totales!C297="morfológico","(m",IF(totales!C297="analítico","(a",IF(totales!C297="presente","(p",IF(totales!C297="presente_cont","(c",))))&amp;totales!E297&amp;totales!H297&amp;totales!I297&amp;totales!J297,0)</f>
        <v>(a1210</v>
      </c>
    </row>
    <row r="83" spans="1:1">
      <c r="A83" t="str">
        <f>IF(totales!D331="temporal",IF(totales!C331="morfológico","(m",IF(totales!C331="analítico","(a",IF(totales!C331="presente","(p",IF(totales!C331="presente_cont","(c",))))&amp;totales!E331&amp;totales!H331&amp;totales!I331&amp;totales!J331,0)</f>
        <v>(a1210</v>
      </c>
    </row>
    <row r="84" spans="1:1">
      <c r="A84" t="str">
        <f>IF(totales!D466="temporal",IF(totales!C466="morfológico","(m",IF(totales!C466="analítico","(a",IF(totales!C466="presente","(p",IF(totales!C466="presente_cont","(c",))))&amp;totales!E466&amp;totales!H466&amp;totales!I466&amp;totales!J466,0)</f>
        <v>(a1210</v>
      </c>
    </row>
    <row r="85" spans="1:1">
      <c r="A85" t="str">
        <f>IF(totales!D36="temporal",IF(totales!C36="morfológico","(m",IF(totales!C36="analítico","(a",IF(totales!C36="presente","(p",IF(totales!C36="presente_cont","(c",))))&amp;totales!E36&amp;totales!H36&amp;totales!I36&amp;totales!J36,0)</f>
        <v>(a2000</v>
      </c>
    </row>
    <row r="86" spans="1:1">
      <c r="A86" t="str">
        <f>IF(totales!D109="temporal",IF(totales!C109="morfológico","(m",IF(totales!C109="analítico","(a",IF(totales!C109="presente","(p",IF(totales!C109="presente_cont","(c",))))&amp;totales!E109&amp;totales!H109&amp;totales!I109&amp;totales!J109,0)</f>
        <v>(a2000</v>
      </c>
    </row>
    <row r="87" spans="1:1">
      <c r="A87" t="str">
        <f>IF(totales!D110="temporal",IF(totales!C110="morfológico","(m",IF(totales!C110="analítico","(a",IF(totales!C110="presente","(p",IF(totales!C110="presente_cont","(c",))))&amp;totales!E110&amp;totales!H110&amp;totales!I110&amp;totales!J110,0)</f>
        <v>(a2000</v>
      </c>
    </row>
    <row r="88" spans="1:1">
      <c r="A88" t="str">
        <f>IF(totales!D139="temporal",IF(totales!C139="morfológico","(m",IF(totales!C139="analítico","(a",IF(totales!C139="presente","(p",IF(totales!C139="presente_cont","(c",))))&amp;totales!E139&amp;totales!H139&amp;totales!I139&amp;totales!J139,0)</f>
        <v>(a2000</v>
      </c>
    </row>
    <row r="89" spans="1:1">
      <c r="A89" t="str">
        <f>IF(totales!D140="temporal",IF(totales!C140="morfológico","(m",IF(totales!C140="analítico","(a",IF(totales!C140="presente","(p",IF(totales!C140="presente_cont","(c",))))&amp;totales!E140&amp;totales!H140&amp;totales!I140&amp;totales!J140,0)</f>
        <v>(a2000</v>
      </c>
    </row>
    <row r="90" spans="1:1">
      <c r="A90" t="str">
        <f>IF(totales!D170="temporal",IF(totales!C170="morfológico","(m",IF(totales!C170="analítico","(a",IF(totales!C170="presente","(p",IF(totales!C170="presente_cont","(c",))))&amp;totales!E170&amp;totales!H170&amp;totales!I170&amp;totales!J170,0)</f>
        <v>(a2000</v>
      </c>
    </row>
    <row r="91" spans="1:1">
      <c r="A91" t="str">
        <f>IF(totales!D185="temporal",IF(totales!C185="morfológico","(m",IF(totales!C185="analítico","(a",IF(totales!C185="presente","(p",IF(totales!C185="presente_cont","(c",))))&amp;totales!E185&amp;totales!H185&amp;totales!I185&amp;totales!J185,0)</f>
        <v>(a2000</v>
      </c>
    </row>
    <row r="92" spans="1:1">
      <c r="A92" t="str">
        <f>IF(totales!D191="temporal",IF(totales!C191="morfológico","(m",IF(totales!C191="analítico","(a",IF(totales!C191="presente","(p",IF(totales!C191="presente_cont","(c",))))&amp;totales!E191&amp;totales!H191&amp;totales!I191&amp;totales!J191,0)</f>
        <v>(a2000</v>
      </c>
    </row>
    <row r="93" spans="1:1">
      <c r="A93" t="str">
        <f>IF(totales!D209="temporal",IF(totales!C209="morfológico","(m",IF(totales!C209="analítico","(a",IF(totales!C209="presente","(p",IF(totales!C209="presente_cont","(c",))))&amp;totales!E209&amp;totales!H209&amp;totales!I209&amp;totales!J209,0)</f>
        <v>(a2000</v>
      </c>
    </row>
    <row r="94" spans="1:1">
      <c r="A94" t="str">
        <f>IF(totales!D210="temporal",IF(totales!C210="morfológico","(m",IF(totales!C210="analítico","(a",IF(totales!C210="presente","(p",IF(totales!C210="presente_cont","(c",))))&amp;totales!E210&amp;totales!H210&amp;totales!I210&amp;totales!J210,0)</f>
        <v>(a2000</v>
      </c>
    </row>
    <row r="95" spans="1:1">
      <c r="A95" t="str">
        <f>IF(totales!D273="temporal",IF(totales!C273="morfológico","(m",IF(totales!C273="analítico","(a",IF(totales!C273="presente","(p",IF(totales!C273="presente_cont","(c",))))&amp;totales!E273&amp;totales!H273&amp;totales!I273&amp;totales!J273,0)</f>
        <v>(a2000</v>
      </c>
    </row>
    <row r="96" spans="1:1">
      <c r="A96" t="str">
        <f>IF(totales!D364="temporal",IF(totales!C364="morfológico","(m",IF(totales!C364="analítico","(a",IF(totales!C364="presente","(p",IF(totales!C364="presente_cont","(c",))))&amp;totales!E364&amp;totales!H364&amp;totales!I364&amp;totales!J364,0)</f>
        <v>(a2000</v>
      </c>
    </row>
    <row r="97" spans="1:1">
      <c r="A97" t="str">
        <f>IF(totales!D365="temporal",IF(totales!C365="morfológico","(m",IF(totales!C365="analítico","(a",IF(totales!C365="presente","(p",IF(totales!C365="presente_cont","(c",))))&amp;totales!E365&amp;totales!H365&amp;totales!I365&amp;totales!J365,0)</f>
        <v>(a2000</v>
      </c>
    </row>
    <row r="98" spans="1:1">
      <c r="A98" t="str">
        <f>IF(totales!D366="temporal",IF(totales!C366="morfológico","(m",IF(totales!C366="analítico","(a",IF(totales!C366="presente","(p",IF(totales!C366="presente_cont","(c",))))&amp;totales!E366&amp;totales!H366&amp;totales!I366&amp;totales!J366,0)</f>
        <v>(a2000</v>
      </c>
    </row>
    <row r="99" spans="1:1">
      <c r="A99" t="str">
        <f>IF(totales!D369="temporal",IF(totales!C369="morfológico","(m",IF(totales!C369="analítico","(a",IF(totales!C369="presente","(p",IF(totales!C369="presente_cont","(c",))))&amp;totales!E369&amp;totales!H369&amp;totales!I369&amp;totales!J369,0)</f>
        <v>(a2000</v>
      </c>
    </row>
    <row r="100" spans="1:1">
      <c r="A100" t="str">
        <f>IF(totales!D381="temporal",IF(totales!C381="morfológico","(m",IF(totales!C381="analítico","(a",IF(totales!C381="presente","(p",IF(totales!C381="presente_cont","(c",))))&amp;totales!E381&amp;totales!H381&amp;totales!I381&amp;totales!J381,0)</f>
        <v>(a2000</v>
      </c>
    </row>
    <row r="101" spans="1:1">
      <c r="A101" t="str">
        <f>IF(totales!D392="temporal",IF(totales!C392="morfológico","(m",IF(totales!C392="analítico","(a",IF(totales!C392="presente","(p",IF(totales!C392="presente_cont","(c",))))&amp;totales!E392&amp;totales!H392&amp;totales!I392&amp;totales!J392,0)</f>
        <v>(a2000</v>
      </c>
    </row>
    <row r="102" spans="1:1">
      <c r="A102" t="str">
        <f>IF(totales!D409="temporal",IF(totales!C409="morfológico","(m",IF(totales!C409="analítico","(a",IF(totales!C409="presente","(p",IF(totales!C409="presente_cont","(c",))))&amp;totales!E409&amp;totales!H409&amp;totales!I409&amp;totales!J409,0)</f>
        <v>(a2000</v>
      </c>
    </row>
    <row r="103" spans="1:1">
      <c r="A103" t="str">
        <f>IF(totales!D412="temporal",IF(totales!C412="morfológico","(m",IF(totales!C412="analítico","(a",IF(totales!C412="presente","(p",IF(totales!C412="presente_cont","(c",))))&amp;totales!E412&amp;totales!H412&amp;totales!I412&amp;totales!J412,0)</f>
        <v>(a2000</v>
      </c>
    </row>
    <row r="104" spans="1:1">
      <c r="A104" t="str">
        <f>IF(totales!D413="temporal",IF(totales!C413="morfológico","(m",IF(totales!C413="analítico","(a",IF(totales!C413="presente","(p",IF(totales!C413="presente_cont","(c",))))&amp;totales!E413&amp;totales!H413&amp;totales!I413&amp;totales!J413,0)</f>
        <v>(a2000</v>
      </c>
    </row>
    <row r="105" spans="1:1">
      <c r="A105" t="str">
        <f>IF(totales!D414="temporal",IF(totales!C414="morfológico","(m",IF(totales!C414="analítico","(a",IF(totales!C414="presente","(p",IF(totales!C414="presente_cont","(c",))))&amp;totales!E414&amp;totales!H414&amp;totales!I414&amp;totales!J414,0)</f>
        <v>(a2000</v>
      </c>
    </row>
    <row r="106" spans="1:1">
      <c r="A106" t="str">
        <f>IF(totales!D447="temporal",IF(totales!C447="morfológico","(m",IF(totales!C447="analítico","(a",IF(totales!C447="presente","(p",IF(totales!C447="presente_cont","(c",))))&amp;totales!E447&amp;totales!H447&amp;totales!I447&amp;totales!J447,0)</f>
        <v>(a2000</v>
      </c>
    </row>
    <row r="107" spans="1:1">
      <c r="A107" t="str">
        <f>IF(totales!D473="temporal",IF(totales!C473="morfológico","(m",IF(totales!C473="analítico","(a",IF(totales!C473="presente","(p",IF(totales!C473="presente_cont","(c",))))&amp;totales!E473&amp;totales!H473&amp;totales!I473&amp;totales!J473,0)</f>
        <v>(a2000</v>
      </c>
    </row>
    <row r="108" spans="1:1">
      <c r="A108" t="str">
        <f>IF(totales!D113="temporal",IF(totales!C113="morfológico","(m",IF(totales!C113="analítico","(a",IF(totales!C113="presente","(p",IF(totales!C113="presente_cont","(c",))))&amp;totales!E113&amp;totales!H113&amp;totales!I113&amp;totales!J113,0)</f>
        <v>(a2001</v>
      </c>
    </row>
    <row r="109" spans="1:1">
      <c r="A109" t="str">
        <f>IF(totales!D114="temporal",IF(totales!C114="morfológico","(m",IF(totales!C114="analítico","(a",IF(totales!C114="presente","(p",IF(totales!C114="presente_cont","(c",))))&amp;totales!E114&amp;totales!H114&amp;totales!I114&amp;totales!J114,0)</f>
        <v>(a2001</v>
      </c>
    </row>
    <row r="110" spans="1:1">
      <c r="A110" t="str">
        <f>IF(totales!D145="temporal",IF(totales!C145="morfológico","(m",IF(totales!C145="analítico","(a",IF(totales!C145="presente","(p",IF(totales!C145="presente_cont","(c",))))&amp;totales!E145&amp;totales!H145&amp;totales!I145&amp;totales!J145,0)</f>
        <v>(a2001</v>
      </c>
    </row>
    <row r="111" spans="1:1">
      <c r="A111" t="str">
        <f>IF(totales!D313="temporal",IF(totales!C313="morfológico","(m",IF(totales!C313="analítico","(a",IF(totales!C313="presente","(p",IF(totales!C313="presente_cont","(c",))))&amp;totales!E313&amp;totales!H313&amp;totales!I313&amp;totales!J313,0)</f>
        <v>(a2001</v>
      </c>
    </row>
    <row r="112" spans="1:1">
      <c r="A112" t="str">
        <f>IF(totales!D325="temporal",IF(totales!C325="morfológico","(m",IF(totales!C325="analítico","(a",IF(totales!C325="presente","(p",IF(totales!C325="presente_cont","(c",))))&amp;totales!E325&amp;totales!H325&amp;totales!I325&amp;totales!J325,0)</f>
        <v>(a2001</v>
      </c>
    </row>
    <row r="113" spans="1:1">
      <c r="A113" t="str">
        <f>IF(totales!D401="temporal",IF(totales!C401="morfológico","(m",IF(totales!C401="analítico","(a",IF(totales!C401="presente","(p",IF(totales!C401="presente_cont","(c",))))&amp;totales!E401&amp;totales!H401&amp;totales!I401&amp;totales!J401,0)</f>
        <v>(a2001</v>
      </c>
    </row>
    <row r="114" spans="1:1">
      <c r="A114" t="str">
        <f>IF(totales!D54="temporal",IF(totales!C54="morfológico","(m",IF(totales!C54="analítico","(a",IF(totales!C54="presente","(p",IF(totales!C54="presente_cont","(c",))))&amp;totales!E54&amp;totales!H54&amp;totales!I54&amp;totales!J54,0)</f>
        <v>(a2010</v>
      </c>
    </row>
    <row r="115" spans="1:1">
      <c r="A115" t="str">
        <f>IF(totales!D59="temporal",IF(totales!C59="morfológico","(m",IF(totales!C59="analítico","(a",IF(totales!C59="presente","(p",IF(totales!C59="presente_cont","(c",))))&amp;totales!E59&amp;totales!H59&amp;totales!I59&amp;totales!J59,0)</f>
        <v>(a2010</v>
      </c>
    </row>
    <row r="116" spans="1:1">
      <c r="A116" t="str">
        <f>IF(totales!D73="temporal",IF(totales!C73="morfológico","(m",IF(totales!C73="analítico","(a",IF(totales!C73="presente","(p",IF(totales!C73="presente_cont","(c",))))&amp;totales!E73&amp;totales!H73&amp;totales!I73&amp;totales!J73,0)</f>
        <v>(a2010</v>
      </c>
    </row>
    <row r="117" spans="1:1">
      <c r="A117" t="str">
        <f>IF(totales!D74="temporal",IF(totales!C74="morfológico","(m",IF(totales!C74="analítico","(a",IF(totales!C74="presente","(p",IF(totales!C74="presente_cont","(c",))))&amp;totales!E74&amp;totales!H74&amp;totales!I74&amp;totales!J74,0)</f>
        <v>(a2010</v>
      </c>
    </row>
    <row r="118" spans="1:1">
      <c r="A118" t="str">
        <f>IF(totales!D192="temporal",IF(totales!C192="morfológico","(m",IF(totales!C192="analítico","(a",IF(totales!C192="presente","(p",IF(totales!C192="presente_cont","(c",))))&amp;totales!E192&amp;totales!H192&amp;totales!I192&amp;totales!J192,0)</f>
        <v>(a2010</v>
      </c>
    </row>
    <row r="119" spans="1:1">
      <c r="A119" t="str">
        <f>IF(totales!D4="temporal",IF(totales!C4="morfológico","(m",IF(totales!C4="analítico","(a",IF(totales!C4="presente","(p",IF(totales!C4="presente_cont","(c",))))&amp;totales!E4&amp;totales!H4&amp;totales!I4&amp;totales!J4,0)</f>
        <v>(a2011</v>
      </c>
    </row>
    <row r="120" spans="1:1">
      <c r="A120" t="str">
        <f>IF(totales!D6="temporal",IF(totales!C6="morfológico","(m",IF(totales!C6="analítico","(a",IF(totales!C6="presente","(p",IF(totales!C6="presente_cont","(c",))))&amp;totales!E6&amp;totales!H6&amp;totales!I6&amp;totales!J6,0)</f>
        <v>(a2011</v>
      </c>
    </row>
    <row r="121" spans="1:1">
      <c r="A121" t="str">
        <f>IF(totales!D25="temporal",IF(totales!C25="morfológico","(m",IF(totales!C25="analítico","(a",IF(totales!C25="presente","(p",IF(totales!C25="presente_cont","(c",))))&amp;totales!E25&amp;totales!H25&amp;totales!I25&amp;totales!J25,0)</f>
        <v>(a2100</v>
      </c>
    </row>
    <row r="122" spans="1:1">
      <c r="A122" t="str">
        <f>IF(totales!D62="temporal",IF(totales!C62="morfológico","(m",IF(totales!C62="analítico","(a",IF(totales!C62="presente","(p",IF(totales!C62="presente_cont","(c",))))&amp;totales!E62&amp;totales!H62&amp;totales!I62&amp;totales!J62,0)</f>
        <v>(a2100</v>
      </c>
    </row>
    <row r="123" spans="1:1">
      <c r="A123" t="str">
        <f>IF(totales!D91="temporal",IF(totales!C91="morfológico","(m",IF(totales!C91="analítico","(a",IF(totales!C91="presente","(p",IF(totales!C91="presente_cont","(c",))))&amp;totales!E91&amp;totales!H91&amp;totales!I91&amp;totales!J91,0)</f>
        <v>(a2100</v>
      </c>
    </row>
    <row r="124" spans="1:1">
      <c r="A124" t="str">
        <f>IF(totales!D495="temporal",IF(totales!C495="morfológico","(m",IF(totales!C495="analítico","(a",IF(totales!C495="presente","(p",IF(totales!C495="presente_cont","(c",))))&amp;totales!E495&amp;totales!H495&amp;totales!I495&amp;totales!J495,0)</f>
        <v>(a2100</v>
      </c>
    </row>
    <row r="125" spans="1:1">
      <c r="A125" t="str">
        <f>IF(totales!D496="temporal",IF(totales!C496="morfológico","(m",IF(totales!C496="analítico","(a",IF(totales!C496="presente","(p",IF(totales!C496="presente_cont","(c",))))&amp;totales!E496&amp;totales!H496&amp;totales!I496&amp;totales!J496,0)</f>
        <v>(a2100</v>
      </c>
    </row>
    <row r="126" spans="1:1">
      <c r="A126" t="str">
        <f>IF(totales!D100="temporal",IF(totales!C100="morfológico","(m",IF(totales!C100="analítico","(a",IF(totales!C100="presente","(p",IF(totales!C100="presente_cont","(c",))))&amp;totales!E100&amp;totales!H100&amp;totales!I100&amp;totales!J100,0)</f>
        <v>(a2101</v>
      </c>
    </row>
    <row r="127" spans="1:1">
      <c r="A127" t="str">
        <f>IF(totales!D12="temporal",IF(totales!C12="morfológico","(m",IF(totales!C12="analítico","(a",IF(totales!C12="presente","(p",IF(totales!C12="presente_cont","(c",))))&amp;totales!E12&amp;totales!H12&amp;totales!I12&amp;totales!J12,0)</f>
        <v>(a2110</v>
      </c>
    </row>
    <row r="128" spans="1:1">
      <c r="A128" t="str">
        <f>IF(totales!D333="temporal",IF(totales!C333="morfológico","(m",IF(totales!C333="analítico","(a",IF(totales!C333="presente","(p",IF(totales!C333="presente_cont","(c",))))&amp;totales!E333&amp;totales!H333&amp;totales!I333&amp;totales!J333,0)</f>
        <v>(a2201</v>
      </c>
    </row>
    <row r="129" spans="1:1">
      <c r="A129" t="str">
        <f>IF(totales!D334="temporal",IF(totales!C334="morfológico","(m",IF(totales!C334="analítico","(a",IF(totales!C334="presente","(p",IF(totales!C334="presente_cont","(c",))))&amp;totales!E334&amp;totales!H334&amp;totales!I334&amp;totales!J334,0)</f>
        <v>(a2201</v>
      </c>
    </row>
    <row r="130" spans="1:1">
      <c r="A130" t="str">
        <f>IF(totales!D8="temporal",IF(totales!C8="morfológico","(m",IF(totales!C8="analítico","(a",IF(totales!C8="presente","(p",IF(totales!C8="presente_cont","(c",))))&amp;totales!E8&amp;totales!H8&amp;totales!I8&amp;totales!J8,0)</f>
        <v>(a3000</v>
      </c>
    </row>
    <row r="131" spans="1:1">
      <c r="A131" t="str">
        <f>IF(totales!D34="temporal",IF(totales!C34="morfológico","(m",IF(totales!C34="analítico","(a",IF(totales!C34="presente","(p",IF(totales!C34="presente_cont","(c",))))&amp;totales!E34&amp;totales!H34&amp;totales!I34&amp;totales!J34,0)</f>
        <v>(a3000</v>
      </c>
    </row>
    <row r="132" spans="1:1">
      <c r="A132" t="str">
        <f>IF(totales!D56="temporal",IF(totales!C56="morfológico","(m",IF(totales!C56="analítico","(a",IF(totales!C56="presente","(p",IF(totales!C56="presente_cont","(c",))))&amp;totales!E56&amp;totales!H56&amp;totales!I56&amp;totales!J56,0)</f>
        <v>(a3000</v>
      </c>
    </row>
    <row r="133" spans="1:1">
      <c r="A133" t="str">
        <f>IF(totales!D57="temporal",IF(totales!C57="morfológico","(m",IF(totales!C57="analítico","(a",IF(totales!C57="presente","(p",IF(totales!C57="presente_cont","(c",))))&amp;totales!E57&amp;totales!H57&amp;totales!I57&amp;totales!J57,0)</f>
        <v>(a3000</v>
      </c>
    </row>
    <row r="134" spans="1:1">
      <c r="A134" t="str">
        <f>IF(totales!D68="temporal",IF(totales!C68="morfológico","(m",IF(totales!C68="analítico","(a",IF(totales!C68="presente","(p",IF(totales!C68="presente_cont","(c",))))&amp;totales!E68&amp;totales!H68&amp;totales!I68&amp;totales!J68,0)</f>
        <v>(a3000</v>
      </c>
    </row>
    <row r="135" spans="1:1">
      <c r="A135" t="str">
        <f>IF(totales!D75="temporal",IF(totales!C75="morfológico","(m",IF(totales!C75="analítico","(a",IF(totales!C75="presente","(p",IF(totales!C75="presente_cont","(c",))))&amp;totales!E75&amp;totales!H75&amp;totales!I75&amp;totales!J75,0)</f>
        <v>(a3000</v>
      </c>
    </row>
    <row r="136" spans="1:1">
      <c r="A136" t="str">
        <f>IF(totales!D95="temporal",IF(totales!C95="morfológico","(m",IF(totales!C95="analítico","(a",IF(totales!C95="presente","(p",IF(totales!C95="presente_cont","(c",))))&amp;totales!E95&amp;totales!H95&amp;totales!I95&amp;totales!J95,0)</f>
        <v>(a3000</v>
      </c>
    </row>
    <row r="137" spans="1:1">
      <c r="A137" t="str">
        <f>IF(totales!D99="temporal",IF(totales!C99="morfológico","(m",IF(totales!C99="analítico","(a",IF(totales!C99="presente","(p",IF(totales!C99="presente_cont","(c",))))&amp;totales!E99&amp;totales!H99&amp;totales!I99&amp;totales!J99,0)</f>
        <v>(a3000</v>
      </c>
    </row>
    <row r="138" spans="1:1">
      <c r="A138" t="str">
        <f>IF(totales!D102="temporal",IF(totales!C102="morfológico","(m",IF(totales!C102="analítico","(a",IF(totales!C102="presente","(p",IF(totales!C102="presente_cont","(c",))))&amp;totales!E102&amp;totales!H102&amp;totales!I102&amp;totales!J102,0)</f>
        <v>(a3000</v>
      </c>
    </row>
    <row r="139" spans="1:1">
      <c r="A139" t="str">
        <f>IF(totales!D103="temporal",IF(totales!C103="morfológico","(m",IF(totales!C103="analítico","(a",IF(totales!C103="presente","(p",IF(totales!C103="presente_cont","(c",))))&amp;totales!E103&amp;totales!H103&amp;totales!I103&amp;totales!J103,0)</f>
        <v>(a3000</v>
      </c>
    </row>
    <row r="140" spans="1:1">
      <c r="A140" t="str">
        <f>IF(totales!D116="temporal",IF(totales!C116="morfológico","(m",IF(totales!C116="analítico","(a",IF(totales!C116="presente","(p",IF(totales!C116="presente_cont","(c",))))&amp;totales!E116&amp;totales!H116&amp;totales!I116&amp;totales!J116,0)</f>
        <v>(a3000</v>
      </c>
    </row>
    <row r="141" spans="1:1">
      <c r="A141" t="str">
        <f>IF(totales!D123="temporal",IF(totales!C123="morfológico","(m",IF(totales!C123="analítico","(a",IF(totales!C123="presente","(p",IF(totales!C123="presente_cont","(c",))))&amp;totales!E123&amp;totales!H123&amp;totales!I123&amp;totales!J123,0)</f>
        <v>(a3000</v>
      </c>
    </row>
    <row r="142" spans="1:1">
      <c r="A142" t="str">
        <f>IF(totales!D132="temporal",IF(totales!C132="morfológico","(m",IF(totales!C132="analítico","(a",IF(totales!C132="presente","(p",IF(totales!C132="presente_cont","(c",))))&amp;totales!E132&amp;totales!H132&amp;totales!I132&amp;totales!J132,0)</f>
        <v>(a3000</v>
      </c>
    </row>
    <row r="143" spans="1:1">
      <c r="A143" t="str">
        <f>IF(totales!D167="temporal",IF(totales!C167="morfológico","(m",IF(totales!C167="analítico","(a",IF(totales!C167="presente","(p",IF(totales!C167="presente_cont","(c",))))&amp;totales!E167&amp;totales!H167&amp;totales!I167&amp;totales!J167,0)</f>
        <v>(a3000</v>
      </c>
    </row>
    <row r="144" spans="1:1">
      <c r="A144" t="str">
        <f>IF(totales!D168="temporal",IF(totales!C168="morfológico","(m",IF(totales!C168="analítico","(a",IF(totales!C168="presente","(p",IF(totales!C168="presente_cont","(c",))))&amp;totales!E168&amp;totales!H168&amp;totales!I168&amp;totales!J168,0)</f>
        <v>(a3000</v>
      </c>
    </row>
    <row r="145" spans="1:1">
      <c r="A145" t="str">
        <f>IF(totales!D169="temporal",IF(totales!C169="morfológico","(m",IF(totales!C169="analítico","(a",IF(totales!C169="presente","(p",IF(totales!C169="presente_cont","(c",))))&amp;totales!E169&amp;totales!H169&amp;totales!I169&amp;totales!J169,0)</f>
        <v>(a3000</v>
      </c>
    </row>
    <row r="146" spans="1:1">
      <c r="A146" t="str">
        <f>IF(totales!D176="temporal",IF(totales!C176="morfológico","(m",IF(totales!C176="analítico","(a",IF(totales!C176="presente","(p",IF(totales!C176="presente_cont","(c",))))&amp;totales!E176&amp;totales!H176&amp;totales!I176&amp;totales!J176,0)</f>
        <v>(a3000</v>
      </c>
    </row>
    <row r="147" spans="1:1">
      <c r="A147" t="str">
        <f>IF(totales!D179="temporal",IF(totales!C179="morfológico","(m",IF(totales!C179="analítico","(a",IF(totales!C179="presente","(p",IF(totales!C179="presente_cont","(c",))))&amp;totales!E179&amp;totales!H179&amp;totales!I179&amp;totales!J179,0)</f>
        <v>(a3000</v>
      </c>
    </row>
    <row r="148" spans="1:1">
      <c r="A148" t="str">
        <f>IF(totales!D218="temporal",IF(totales!C218="morfológico","(m",IF(totales!C218="analítico","(a",IF(totales!C218="presente","(p",IF(totales!C218="presente_cont","(c",))))&amp;totales!E218&amp;totales!H218&amp;totales!I218&amp;totales!J218,0)</f>
        <v>(a3000</v>
      </c>
    </row>
    <row r="149" spans="1:1">
      <c r="A149" t="str">
        <f>IF(totales!D225="temporal",IF(totales!C225="morfológico","(m",IF(totales!C225="analítico","(a",IF(totales!C225="presente","(p",IF(totales!C225="presente_cont","(c",))))&amp;totales!E225&amp;totales!H225&amp;totales!I225&amp;totales!J225,0)</f>
        <v>(a3000</v>
      </c>
    </row>
    <row r="150" spans="1:1">
      <c r="A150" t="str">
        <f>IF(totales!D226="temporal",IF(totales!C226="morfológico","(m",IF(totales!C226="analítico","(a",IF(totales!C226="presente","(p",IF(totales!C226="presente_cont","(c",))))&amp;totales!E226&amp;totales!H226&amp;totales!I226&amp;totales!J226,0)</f>
        <v>(a3000</v>
      </c>
    </row>
    <row r="151" spans="1:1">
      <c r="A151" t="str">
        <f>IF(totales!D229="temporal",IF(totales!C229="morfológico","(m",IF(totales!C229="analítico","(a",IF(totales!C229="presente","(p",IF(totales!C229="presente_cont","(c",))))&amp;totales!E229&amp;totales!H229&amp;totales!I229&amp;totales!J229,0)</f>
        <v>(a3000</v>
      </c>
    </row>
    <row r="152" spans="1:1">
      <c r="A152" t="str">
        <f>IF(totales!D234="temporal",IF(totales!C234="morfológico","(m",IF(totales!C234="analítico","(a",IF(totales!C234="presente","(p",IF(totales!C234="presente_cont","(c",))))&amp;totales!E234&amp;totales!H234&amp;totales!I234&amp;totales!J234,0)</f>
        <v>(a3000</v>
      </c>
    </row>
    <row r="153" spans="1:1">
      <c r="A153" t="str">
        <f>IF(totales!D236="temporal",IF(totales!C236="morfológico","(m",IF(totales!C236="analítico","(a",IF(totales!C236="presente","(p",IF(totales!C236="presente_cont","(c",))))&amp;totales!E236&amp;totales!H236&amp;totales!I236&amp;totales!J236,0)</f>
        <v>(a3000</v>
      </c>
    </row>
    <row r="154" spans="1:1">
      <c r="A154" t="str">
        <f>IF(totales!D243="temporal",IF(totales!C243="morfológico","(m",IF(totales!C243="analítico","(a",IF(totales!C243="presente","(p",IF(totales!C243="presente_cont","(c",))))&amp;totales!E243&amp;totales!H243&amp;totales!I243&amp;totales!J243,0)</f>
        <v>(a3000</v>
      </c>
    </row>
    <row r="155" spans="1:1">
      <c r="A155" t="str">
        <f>IF(totales!D267="temporal",IF(totales!C267="morfológico","(m",IF(totales!C267="analítico","(a",IF(totales!C267="presente","(p",IF(totales!C267="presente_cont","(c",))))&amp;totales!E267&amp;totales!H267&amp;totales!I267&amp;totales!J267,0)</f>
        <v>(a3000</v>
      </c>
    </row>
    <row r="156" spans="1:1">
      <c r="A156" t="str">
        <f>IF(totales!D275="temporal",IF(totales!C275="morfológico","(m",IF(totales!C275="analítico","(a",IF(totales!C275="presente","(p",IF(totales!C275="presente_cont","(c",))))&amp;totales!E275&amp;totales!H275&amp;totales!I275&amp;totales!J275,0)</f>
        <v>(a3000</v>
      </c>
    </row>
    <row r="157" spans="1:1">
      <c r="A157" t="str">
        <f>IF(totales!D282="temporal",IF(totales!C282="morfológico","(m",IF(totales!C282="analítico","(a",IF(totales!C282="presente","(p",IF(totales!C282="presente_cont","(c",))))&amp;totales!E282&amp;totales!H282&amp;totales!I282&amp;totales!J282,0)</f>
        <v>(a3000</v>
      </c>
    </row>
    <row r="158" spans="1:1">
      <c r="A158" t="str">
        <f>IF(totales!D287="temporal",IF(totales!C287="morfológico","(m",IF(totales!C287="analítico","(a",IF(totales!C287="presente","(p",IF(totales!C287="presente_cont","(c",))))&amp;totales!E287&amp;totales!H287&amp;totales!I287&amp;totales!J287,0)</f>
        <v>(a3000</v>
      </c>
    </row>
    <row r="159" spans="1:1">
      <c r="A159" t="str">
        <f>IF(totales!D292="temporal",IF(totales!C292="morfológico","(m",IF(totales!C292="analítico","(a",IF(totales!C292="presente","(p",IF(totales!C292="presente_cont","(c",))))&amp;totales!E292&amp;totales!H292&amp;totales!I292&amp;totales!J292,0)</f>
        <v>(a3000</v>
      </c>
    </row>
    <row r="160" spans="1:1">
      <c r="A160" t="str">
        <f>IF(totales!D301="temporal",IF(totales!C301="morfológico","(m",IF(totales!C301="analítico","(a",IF(totales!C301="presente","(p",IF(totales!C301="presente_cont","(c",))))&amp;totales!E301&amp;totales!H301&amp;totales!I301&amp;totales!J301,0)</f>
        <v>(a3000</v>
      </c>
    </row>
    <row r="161" spans="1:1">
      <c r="A161" t="str">
        <f>IF(totales!D306="temporal",IF(totales!C306="morfológico","(m",IF(totales!C306="analítico","(a",IF(totales!C306="presente","(p",IF(totales!C306="presente_cont","(c",))))&amp;totales!E306&amp;totales!H306&amp;totales!I306&amp;totales!J306,0)</f>
        <v>(a3000</v>
      </c>
    </row>
    <row r="162" spans="1:1">
      <c r="A162" t="str">
        <f>IF(totales!D356="temporal",IF(totales!C356="morfológico","(m",IF(totales!C356="analítico","(a",IF(totales!C356="presente","(p",IF(totales!C356="presente_cont","(c",))))&amp;totales!E356&amp;totales!H356&amp;totales!I356&amp;totales!J356,0)</f>
        <v>(a3000</v>
      </c>
    </row>
    <row r="163" spans="1:1">
      <c r="A163" t="str">
        <f>IF(totales!D357="temporal",IF(totales!C357="morfológico","(m",IF(totales!C357="analítico","(a",IF(totales!C357="presente","(p",IF(totales!C357="presente_cont","(c",))))&amp;totales!E357&amp;totales!H357&amp;totales!I357&amp;totales!J357,0)</f>
        <v>(a3000</v>
      </c>
    </row>
    <row r="164" spans="1:1">
      <c r="A164" t="str">
        <f>IF(totales!D374="temporal",IF(totales!C374="morfológico","(m",IF(totales!C374="analítico","(a",IF(totales!C374="presente","(p",IF(totales!C374="presente_cont","(c",))))&amp;totales!E374&amp;totales!H374&amp;totales!I374&amp;totales!J374,0)</f>
        <v>(a3000</v>
      </c>
    </row>
    <row r="165" spans="1:1">
      <c r="A165" t="str">
        <f>IF(totales!D380="temporal",IF(totales!C380="morfológico","(m",IF(totales!C380="analítico","(a",IF(totales!C380="presente","(p",IF(totales!C380="presente_cont","(c",))))&amp;totales!E380&amp;totales!H380&amp;totales!I380&amp;totales!J380,0)</f>
        <v>(a3000</v>
      </c>
    </row>
    <row r="166" spans="1:1">
      <c r="A166" t="str">
        <f>IF(totales!D393="temporal",IF(totales!C393="morfológico","(m",IF(totales!C393="analítico","(a",IF(totales!C393="presente","(p",IF(totales!C393="presente_cont","(c",))))&amp;totales!E393&amp;totales!H393&amp;totales!I393&amp;totales!J393,0)</f>
        <v>(a3000</v>
      </c>
    </row>
    <row r="167" spans="1:1">
      <c r="A167" t="str">
        <f>IF(totales!D406="temporal",IF(totales!C406="morfológico","(m",IF(totales!C406="analítico","(a",IF(totales!C406="presente","(p",IF(totales!C406="presente_cont","(c",))))&amp;totales!E406&amp;totales!H406&amp;totales!I406&amp;totales!J406,0)</f>
        <v>(a3000</v>
      </c>
    </row>
    <row r="168" spans="1:1">
      <c r="A168" t="str">
        <f>IF(totales!D407="temporal",IF(totales!C407="morfológico","(m",IF(totales!C407="analítico","(a",IF(totales!C407="presente","(p",IF(totales!C407="presente_cont","(c",))))&amp;totales!E407&amp;totales!H407&amp;totales!I407&amp;totales!J407,0)</f>
        <v>(a3000</v>
      </c>
    </row>
    <row r="169" spans="1:1">
      <c r="A169" t="str">
        <f>IF(totales!D408="temporal",IF(totales!C408="morfológico","(m",IF(totales!C408="analítico","(a",IF(totales!C408="presente","(p",IF(totales!C408="presente_cont","(c",))))&amp;totales!E408&amp;totales!H408&amp;totales!I408&amp;totales!J408,0)</f>
        <v>(a3000</v>
      </c>
    </row>
    <row r="170" spans="1:1">
      <c r="A170" t="str">
        <f>IF(totales!D423="temporal",IF(totales!C423="morfológico","(m",IF(totales!C423="analítico","(a",IF(totales!C423="presente","(p",IF(totales!C423="presente_cont","(c",))))&amp;totales!E423&amp;totales!H423&amp;totales!I423&amp;totales!J423,0)</f>
        <v>(a3000</v>
      </c>
    </row>
    <row r="171" spans="1:1">
      <c r="A171" t="str">
        <f>IF(totales!D424="temporal",IF(totales!C424="morfológico","(m",IF(totales!C424="analítico","(a",IF(totales!C424="presente","(p",IF(totales!C424="presente_cont","(c",))))&amp;totales!E424&amp;totales!H424&amp;totales!I424&amp;totales!J424,0)</f>
        <v>(a3000</v>
      </c>
    </row>
    <row r="172" spans="1:1">
      <c r="A172" t="str">
        <f>IF(totales!D436="temporal",IF(totales!C436="morfológico","(m",IF(totales!C436="analítico","(a",IF(totales!C436="presente","(p",IF(totales!C436="presente_cont","(c",))))&amp;totales!E436&amp;totales!H436&amp;totales!I436&amp;totales!J436,0)</f>
        <v>(a3000</v>
      </c>
    </row>
    <row r="173" spans="1:1">
      <c r="A173" t="str">
        <f>IF(totales!D437="temporal",IF(totales!C437="morfológico","(m",IF(totales!C437="analítico","(a",IF(totales!C437="presente","(p",IF(totales!C437="presente_cont","(c",))))&amp;totales!E437&amp;totales!H437&amp;totales!I437&amp;totales!J437,0)</f>
        <v>(a3000</v>
      </c>
    </row>
    <row r="174" spans="1:1">
      <c r="A174" t="str">
        <f>IF(totales!D478="temporal",IF(totales!C478="morfológico","(m",IF(totales!C478="analítico","(a",IF(totales!C478="presente","(p",IF(totales!C478="presente_cont","(c",))))&amp;totales!E478&amp;totales!H478&amp;totales!I478&amp;totales!J478,0)</f>
        <v>(a3000</v>
      </c>
    </row>
    <row r="175" spans="1:1">
      <c r="A175" t="str">
        <f>IF(totales!D482="temporal",IF(totales!C482="morfológico","(m",IF(totales!C482="analítico","(a",IF(totales!C482="presente","(p",IF(totales!C482="presente_cont","(c",))))&amp;totales!E482&amp;totales!H482&amp;totales!I482&amp;totales!J482,0)</f>
        <v>(a3000</v>
      </c>
    </row>
    <row r="176" spans="1:1">
      <c r="A176" t="str">
        <f>IF(totales!D483="temporal",IF(totales!C483="morfológico","(m",IF(totales!C483="analítico","(a",IF(totales!C483="presente","(p",IF(totales!C483="presente_cont","(c",))))&amp;totales!E483&amp;totales!H483&amp;totales!I483&amp;totales!J483,0)</f>
        <v>(a3000</v>
      </c>
    </row>
    <row r="177" spans="1:1">
      <c r="A177" t="str">
        <f>IF(totales!D484="temporal",IF(totales!C484="morfológico","(m",IF(totales!C484="analítico","(a",IF(totales!C484="presente","(p",IF(totales!C484="presente_cont","(c",))))&amp;totales!E484&amp;totales!H484&amp;totales!I484&amp;totales!J484,0)</f>
        <v>(a3000</v>
      </c>
    </row>
    <row r="178" spans="1:1">
      <c r="A178" t="str">
        <f>IF(totales!D491="temporal",IF(totales!C491="morfológico","(m",IF(totales!C491="analítico","(a",IF(totales!C491="presente","(p",IF(totales!C491="presente_cont","(c",))))&amp;totales!E491&amp;totales!H491&amp;totales!I491&amp;totales!J491,0)</f>
        <v>(a3000</v>
      </c>
    </row>
    <row r="179" spans="1:1">
      <c r="A179" t="str">
        <f>IF(totales!D492="temporal",IF(totales!C492="morfológico","(m",IF(totales!C492="analítico","(a",IF(totales!C492="presente","(p",IF(totales!C492="presente_cont","(c",))))&amp;totales!E492&amp;totales!H492&amp;totales!I492&amp;totales!J492,0)</f>
        <v>(a3000</v>
      </c>
    </row>
    <row r="180" spans="1:1">
      <c r="A180" t="str">
        <f>IF(totales!D493="temporal",IF(totales!C493="morfológico","(m",IF(totales!C493="analítico","(a",IF(totales!C493="presente","(p",IF(totales!C493="presente_cont","(c",))))&amp;totales!E493&amp;totales!H493&amp;totales!I493&amp;totales!J493,0)</f>
        <v>(a3000</v>
      </c>
    </row>
    <row r="181" spans="1:1">
      <c r="A181" t="str">
        <f>IF(totales!D494="temporal",IF(totales!C494="morfológico","(m",IF(totales!C494="analítico","(a",IF(totales!C494="presente","(p",IF(totales!C494="presente_cont","(c",))))&amp;totales!E494&amp;totales!H494&amp;totales!I494&amp;totales!J494,0)</f>
        <v>(a3000</v>
      </c>
    </row>
    <row r="182" spans="1:1">
      <c r="A182" t="str">
        <f>IF(totales!D522="temporal",IF(totales!C522="morfológico","(m",IF(totales!C522="analítico","(a",IF(totales!C522="presente","(p",IF(totales!C522="presente_cont","(c",))))&amp;totales!E522&amp;totales!H522&amp;totales!I522&amp;totales!J522,0)</f>
        <v>(a3000</v>
      </c>
    </row>
    <row r="183" spans="1:1">
      <c r="A183" t="str">
        <f>IF(totales!D7="temporal",IF(totales!C7="morfológico","(m",IF(totales!C7="analítico","(a",IF(totales!C7="presente","(p",IF(totales!C7="presente_cont","(c",))))&amp;totales!E7&amp;totales!H7&amp;totales!I7&amp;totales!J7,0)</f>
        <v>(a3001</v>
      </c>
    </row>
    <row r="184" spans="1:1">
      <c r="A184" t="str">
        <f>IF(totales!D78="temporal",IF(totales!C78="morfológico","(m",IF(totales!C78="analítico","(a",IF(totales!C78="presente","(p",IF(totales!C78="presente_cont","(c",))))&amp;totales!E78&amp;totales!H78&amp;totales!I78&amp;totales!J78,0)</f>
        <v>(a3001</v>
      </c>
    </row>
    <row r="185" spans="1:1">
      <c r="A185" t="str">
        <f>IF(totales!D289="temporal",IF(totales!C289="morfológico","(m",IF(totales!C289="analítico","(a",IF(totales!C289="presente","(p",IF(totales!C289="presente_cont","(c",))))&amp;totales!E289&amp;totales!H289&amp;totales!I289&amp;totales!J289,0)</f>
        <v>(a3001</v>
      </c>
    </row>
    <row r="186" spans="1:1">
      <c r="A186" t="str">
        <f>IF(totales!D309="temporal",IF(totales!C309="morfológico","(m",IF(totales!C309="analítico","(a",IF(totales!C309="presente","(p",IF(totales!C309="presente_cont","(c",))))&amp;totales!E309&amp;totales!H309&amp;totales!I309&amp;totales!J309,0)</f>
        <v>(a3001</v>
      </c>
    </row>
    <row r="187" spans="1:1">
      <c r="A187" t="str">
        <f>IF(totales!D314="temporal",IF(totales!C314="morfológico","(m",IF(totales!C314="analítico","(a",IF(totales!C314="presente","(p",IF(totales!C314="presente_cont","(c",))))&amp;totales!E314&amp;totales!H314&amp;totales!I314&amp;totales!J314,0)</f>
        <v>(a3001</v>
      </c>
    </row>
    <row r="188" spans="1:1">
      <c r="A188" t="str">
        <f>IF(totales!D433="temporal",IF(totales!C433="morfológico","(m",IF(totales!C433="analítico","(a",IF(totales!C433="presente","(p",IF(totales!C433="presente_cont","(c",))))&amp;totales!E433&amp;totales!H433&amp;totales!I433&amp;totales!J433,0)</f>
        <v>(a3001</v>
      </c>
    </row>
    <row r="189" spans="1:1">
      <c r="A189" t="str">
        <f>IF(totales!D450="temporal",IF(totales!C450="morfológico","(m",IF(totales!C450="analítico","(a",IF(totales!C450="presente","(p",IF(totales!C450="presente_cont","(c",))))&amp;totales!E450&amp;totales!H450&amp;totales!I450&amp;totales!J450,0)</f>
        <v>(a3001</v>
      </c>
    </row>
    <row r="190" spans="1:1">
      <c r="A190" t="str">
        <f>IF(totales!D485="temporal",IF(totales!C485="morfológico","(m",IF(totales!C485="analítico","(a",IF(totales!C485="presente","(p",IF(totales!C485="presente_cont","(c",))))&amp;totales!E485&amp;totales!H485&amp;totales!I485&amp;totales!J485,0)</f>
        <v>(a3001</v>
      </c>
    </row>
    <row r="191" spans="1:1">
      <c r="A191" t="str">
        <f>IF(totales!D486="temporal",IF(totales!C486="morfológico","(m",IF(totales!C486="analítico","(a",IF(totales!C486="presente","(p",IF(totales!C486="presente_cont","(c",))))&amp;totales!E486&amp;totales!H486&amp;totales!I486&amp;totales!J486,0)</f>
        <v>(a3001</v>
      </c>
    </row>
    <row r="192" spans="1:1">
      <c r="A192" t="str">
        <f>IF(totales!D487="temporal",IF(totales!C487="morfológico","(m",IF(totales!C487="analítico","(a",IF(totales!C487="presente","(p",IF(totales!C487="presente_cont","(c",))))&amp;totales!E487&amp;totales!H487&amp;totales!I487&amp;totales!J487,0)</f>
        <v>(a3001</v>
      </c>
    </row>
    <row r="193" spans="1:1">
      <c r="A193" t="str">
        <f>IF(totales!D490="temporal",IF(totales!C490="morfológico","(m",IF(totales!C490="analítico","(a",IF(totales!C490="presente","(p",IF(totales!C490="presente_cont","(c",))))&amp;totales!E490&amp;totales!H490&amp;totales!I490&amp;totales!J490,0)</f>
        <v>(a3001</v>
      </c>
    </row>
    <row r="194" spans="1:1">
      <c r="A194" t="str">
        <f>IF(totales!D14="temporal",IF(totales!C14="morfológico","(m",IF(totales!C14="analítico","(a",IF(totales!C14="presente","(p",IF(totales!C14="presente_cont","(c",))))&amp;totales!E14&amp;totales!H14&amp;totales!I14&amp;totales!J14,0)</f>
        <v>(a3010</v>
      </c>
    </row>
    <row r="195" spans="1:1">
      <c r="A195" t="str">
        <f>IF(totales!D63="temporal",IF(totales!C63="morfológico","(m",IF(totales!C63="analítico","(a",IF(totales!C63="presente","(p",IF(totales!C63="presente_cont","(c",))))&amp;totales!E63&amp;totales!H63&amp;totales!I63&amp;totales!J63,0)</f>
        <v>(a3010</v>
      </c>
    </row>
    <row r="196" spans="1:1">
      <c r="A196" t="str">
        <f>IF(totales!D64="temporal",IF(totales!C64="morfológico","(m",IF(totales!C64="analítico","(a",IF(totales!C64="presente","(p",IF(totales!C64="presente_cont","(c",))))&amp;totales!E64&amp;totales!H64&amp;totales!I64&amp;totales!J64,0)</f>
        <v>(a3010</v>
      </c>
    </row>
    <row r="197" spans="1:1">
      <c r="A197" t="str">
        <f>IF(totales!D84="temporal",IF(totales!C84="morfológico","(m",IF(totales!C84="analítico","(a",IF(totales!C84="presente","(p",IF(totales!C84="presente_cont","(c",))))&amp;totales!E84&amp;totales!H84&amp;totales!I84&amp;totales!J84,0)</f>
        <v>(a3010</v>
      </c>
    </row>
    <row r="198" spans="1:1">
      <c r="A198" t="str">
        <f>IF(totales!D153="temporal",IF(totales!C153="morfológico","(m",IF(totales!C153="analítico","(a",IF(totales!C153="presente","(p",IF(totales!C153="presente_cont","(c",))))&amp;totales!E153&amp;totales!H153&amp;totales!I153&amp;totales!J153,0)</f>
        <v>(a3010</v>
      </c>
    </row>
    <row r="199" spans="1:1">
      <c r="A199" t="str">
        <f>IF(totales!D155="temporal",IF(totales!C155="morfológico","(m",IF(totales!C155="analítico","(a",IF(totales!C155="presente","(p",IF(totales!C155="presente_cont","(c",))))&amp;totales!E155&amp;totales!H155&amp;totales!I155&amp;totales!J155,0)</f>
        <v>(a3010</v>
      </c>
    </row>
    <row r="200" spans="1:1">
      <c r="A200" t="str">
        <f>IF(totales!D199="temporal",IF(totales!C199="morfológico","(m",IF(totales!C199="analítico","(a",IF(totales!C199="presente","(p",IF(totales!C199="presente_cont","(c",))))&amp;totales!E199&amp;totales!H199&amp;totales!I199&amp;totales!J199,0)</f>
        <v>(a3010</v>
      </c>
    </row>
    <row r="201" spans="1:1">
      <c r="A201" t="str">
        <f>IF(totales!D201="temporal",IF(totales!C201="morfológico","(m",IF(totales!C201="analítico","(a",IF(totales!C201="presente","(p",IF(totales!C201="presente_cont","(c",))))&amp;totales!E201&amp;totales!H201&amp;totales!I201&amp;totales!J201,0)</f>
        <v>(a3010</v>
      </c>
    </row>
    <row r="202" spans="1:1">
      <c r="A202" t="str">
        <f>IF(totales!D202="temporal",IF(totales!C202="morfológico","(m",IF(totales!C202="analítico","(a",IF(totales!C202="presente","(p",IF(totales!C202="presente_cont","(c",))))&amp;totales!E202&amp;totales!H202&amp;totales!I202&amp;totales!J202,0)</f>
        <v>(a3010</v>
      </c>
    </row>
    <row r="203" spans="1:1">
      <c r="A203" t="str">
        <f>IF(totales!D204="temporal",IF(totales!C204="morfológico","(m",IF(totales!C204="analítico","(a",IF(totales!C204="presente","(p",IF(totales!C204="presente_cont","(c",))))&amp;totales!E204&amp;totales!H204&amp;totales!I204&amp;totales!J204,0)</f>
        <v>(a3010</v>
      </c>
    </row>
    <row r="204" spans="1:1">
      <c r="A204" t="str">
        <f>IF(totales!D228="temporal",IF(totales!C228="morfológico","(m",IF(totales!C228="analítico","(a",IF(totales!C228="presente","(p",IF(totales!C228="presente_cont","(c",))))&amp;totales!E228&amp;totales!H228&amp;totales!I228&amp;totales!J228,0)</f>
        <v>(a3010</v>
      </c>
    </row>
    <row r="205" spans="1:1">
      <c r="A205" t="str">
        <f>IF(totales!D362="temporal",IF(totales!C362="morfológico","(m",IF(totales!C362="analítico","(a",IF(totales!C362="presente","(p",IF(totales!C362="presente_cont","(c",))))&amp;totales!E362&amp;totales!H362&amp;totales!I362&amp;totales!J362,0)</f>
        <v>(a3010</v>
      </c>
    </row>
    <row r="206" spans="1:1">
      <c r="A206" t="str">
        <f>IF(totales!D375="temporal",IF(totales!C375="morfológico","(m",IF(totales!C375="analítico","(a",IF(totales!C375="presente","(p",IF(totales!C375="presente_cont","(c",))))&amp;totales!E375&amp;totales!H375&amp;totales!I375&amp;totales!J375,0)</f>
        <v>(a3010</v>
      </c>
    </row>
    <row r="207" spans="1:1">
      <c r="A207" t="str">
        <f>IF(totales!D376="temporal",IF(totales!C376="morfológico","(m",IF(totales!C376="analítico","(a",IF(totales!C376="presente","(p",IF(totales!C376="presente_cont","(c",))))&amp;totales!E376&amp;totales!H376&amp;totales!I376&amp;totales!J376,0)</f>
        <v>(a3010</v>
      </c>
    </row>
    <row r="208" spans="1:1">
      <c r="A208" t="str">
        <f>IF(totales!D377="temporal",IF(totales!C377="morfológico","(m",IF(totales!C377="analítico","(a",IF(totales!C377="presente","(p",IF(totales!C377="presente_cont","(c",))))&amp;totales!E377&amp;totales!H377&amp;totales!I377&amp;totales!J377,0)</f>
        <v>(a3010</v>
      </c>
    </row>
    <row r="209" spans="1:1">
      <c r="A209" t="str">
        <f>IF(totales!D378="temporal",IF(totales!C378="morfológico","(m",IF(totales!C378="analítico","(a",IF(totales!C378="presente","(p",IF(totales!C378="presente_cont","(c",))))&amp;totales!E378&amp;totales!H378&amp;totales!I378&amp;totales!J378,0)</f>
        <v>(a3010</v>
      </c>
    </row>
    <row r="210" spans="1:1">
      <c r="A210" t="str">
        <f>IF(totales!D389="temporal",IF(totales!C389="morfológico","(m",IF(totales!C389="analítico","(a",IF(totales!C389="presente","(p",IF(totales!C389="presente_cont","(c",))))&amp;totales!E389&amp;totales!H389&amp;totales!I389&amp;totales!J389,0)</f>
        <v>(a3010</v>
      </c>
    </row>
    <row r="211" spans="1:1">
      <c r="A211" t="str">
        <f>IF(totales!D418="temporal",IF(totales!C418="morfológico","(m",IF(totales!C418="analítico","(a",IF(totales!C418="presente","(p",IF(totales!C418="presente_cont","(c",))))&amp;totales!E418&amp;totales!H418&amp;totales!I418&amp;totales!J418,0)</f>
        <v>(a3010</v>
      </c>
    </row>
    <row r="212" spans="1:1">
      <c r="A212" t="str">
        <f>IF(totales!D422="temporal",IF(totales!C422="morfológico","(m",IF(totales!C422="analítico","(a",IF(totales!C422="presente","(p",IF(totales!C422="presente_cont","(c",))))&amp;totales!E422&amp;totales!H422&amp;totales!I422&amp;totales!J422,0)</f>
        <v>(a3010</v>
      </c>
    </row>
    <row r="213" spans="1:1">
      <c r="A213" t="str">
        <f>IF(totales!D431="temporal",IF(totales!C431="morfológico","(m",IF(totales!C431="analítico","(a",IF(totales!C431="presente","(p",IF(totales!C431="presente_cont","(c",))))&amp;totales!E431&amp;totales!H431&amp;totales!I431&amp;totales!J431,0)</f>
        <v>(a3010</v>
      </c>
    </row>
    <row r="214" spans="1:1">
      <c r="A214" t="str">
        <f>IF(totales!D432="temporal",IF(totales!C432="morfológico","(m",IF(totales!C432="analítico","(a",IF(totales!C432="presente","(p",IF(totales!C432="presente_cont","(c",))))&amp;totales!E432&amp;totales!H432&amp;totales!I432&amp;totales!J432,0)</f>
        <v>(a3010</v>
      </c>
    </row>
    <row r="215" spans="1:1">
      <c r="A215" t="str">
        <f>IF(totales!D441="temporal",IF(totales!C441="morfológico","(m",IF(totales!C441="analítico","(a",IF(totales!C441="presente","(p",IF(totales!C441="presente_cont","(c",))))&amp;totales!E441&amp;totales!H441&amp;totales!I441&amp;totales!J441,0)</f>
        <v>(a3010</v>
      </c>
    </row>
    <row r="216" spans="1:1">
      <c r="A216" t="str">
        <f>IF(totales!D499="temporal",IF(totales!C499="morfológico","(m",IF(totales!C499="analítico","(a",IF(totales!C499="presente","(p",IF(totales!C499="presente_cont","(c",))))&amp;totales!E499&amp;totales!H499&amp;totales!I499&amp;totales!J499,0)</f>
        <v>(a3010</v>
      </c>
    </row>
    <row r="217" spans="1:1">
      <c r="A217" t="str">
        <f>IF(totales!D513="temporal",IF(totales!C513="morfológico","(m",IF(totales!C513="analítico","(a",IF(totales!C513="presente","(p",IF(totales!C513="presente_cont","(c",))))&amp;totales!E513&amp;totales!H513&amp;totales!I513&amp;totales!J513,0)</f>
        <v>(a3010</v>
      </c>
    </row>
    <row r="218" spans="1:1">
      <c r="A218" t="str">
        <f>IF(totales!D193="temporal",IF(totales!C193="morfológico","(m",IF(totales!C193="analítico","(a",IF(totales!C193="presente","(p",IF(totales!C193="presente_cont","(c",))))&amp;totales!E193&amp;totales!H193&amp;totales!I193&amp;totales!J193,0)</f>
        <v>(a3011</v>
      </c>
    </row>
    <row r="219" spans="1:1">
      <c r="A219" t="str">
        <f>IF(totales!D194="temporal",IF(totales!C194="morfológico","(m",IF(totales!C194="analítico","(a",IF(totales!C194="presente","(p",IF(totales!C194="presente_cont","(c",))))&amp;totales!E194&amp;totales!H194&amp;totales!I194&amp;totales!J194,0)</f>
        <v>(a3011</v>
      </c>
    </row>
    <row r="220" spans="1:1">
      <c r="A220" t="str">
        <f>IF(totales!D195="temporal",IF(totales!C195="morfológico","(m",IF(totales!C195="analítico","(a",IF(totales!C195="presente","(p",IF(totales!C195="presente_cont","(c",))))&amp;totales!E195&amp;totales!H195&amp;totales!I195&amp;totales!J195,0)</f>
        <v>(a3011</v>
      </c>
    </row>
    <row r="221" spans="1:1">
      <c r="A221" t="str">
        <f>IF(totales!D196="temporal",IF(totales!C196="morfológico","(m",IF(totales!C196="analítico","(a",IF(totales!C196="presente","(p",IF(totales!C196="presente_cont","(c",))))&amp;totales!E196&amp;totales!H196&amp;totales!I196&amp;totales!J196,0)</f>
        <v>(a3011</v>
      </c>
    </row>
    <row r="222" spans="1:1">
      <c r="A222" t="str">
        <f>IF(totales!D197="temporal",IF(totales!C197="morfológico","(m",IF(totales!C197="analítico","(a",IF(totales!C197="presente","(p",IF(totales!C197="presente_cont","(c",))))&amp;totales!E197&amp;totales!H197&amp;totales!I197&amp;totales!J197,0)</f>
        <v>(a3011</v>
      </c>
    </row>
    <row r="223" spans="1:1">
      <c r="A223" t="str">
        <f>IF(totales!D198="temporal",IF(totales!C198="morfológico","(m",IF(totales!C198="analítico","(a",IF(totales!C198="presente","(p",IF(totales!C198="presente_cont","(c",))))&amp;totales!E198&amp;totales!H198&amp;totales!I198&amp;totales!J198,0)</f>
        <v>(a3011</v>
      </c>
    </row>
    <row r="224" spans="1:1">
      <c r="A224" t="str">
        <f>IF(totales!D254="temporal",IF(totales!C254="morfológico","(m",IF(totales!C254="analítico","(a",IF(totales!C254="presente","(p",IF(totales!C254="presente_cont","(c",))))&amp;totales!E254&amp;totales!H254&amp;totales!I254&amp;totales!J254,0)</f>
        <v>(a3011</v>
      </c>
    </row>
    <row r="225" spans="1:1">
      <c r="A225" t="str">
        <f>IF(totales!D24="temporal",IF(totales!C24="morfológico","(m",IF(totales!C24="analítico","(a",IF(totales!C24="presente","(p",IF(totales!C24="presente_cont","(c",))))&amp;totales!E24&amp;totales!H24&amp;totales!I24&amp;totales!J24,0)</f>
        <v>(a3100</v>
      </c>
    </row>
    <row r="226" spans="1:1">
      <c r="A226" t="str">
        <f>IF(totales!D92="temporal",IF(totales!C92="morfológico","(m",IF(totales!C92="analítico","(a",IF(totales!C92="presente","(p",IF(totales!C92="presente_cont","(c",))))&amp;totales!E92&amp;totales!H92&amp;totales!I92&amp;totales!J92,0)</f>
        <v>(a3100</v>
      </c>
    </row>
    <row r="227" spans="1:1">
      <c r="A227" t="str">
        <f>IF(totales!D96="temporal",IF(totales!C96="morfológico","(m",IF(totales!C96="analítico","(a",IF(totales!C96="presente","(p",IF(totales!C96="presente_cont","(c",))))&amp;totales!E96&amp;totales!H96&amp;totales!I96&amp;totales!J96,0)</f>
        <v>(a3100</v>
      </c>
    </row>
    <row r="228" spans="1:1">
      <c r="A228" t="str">
        <f>IF(totales!D144="temporal",IF(totales!C144="morfológico","(m",IF(totales!C144="analítico","(a",IF(totales!C144="presente","(p",IF(totales!C144="presente_cont","(c",))))&amp;totales!E144&amp;totales!H144&amp;totales!I144&amp;totales!J144,0)</f>
        <v>(a3100</v>
      </c>
    </row>
    <row r="229" spans="1:1">
      <c r="A229" t="str">
        <f>IF(totales!D262="temporal",IF(totales!C262="morfológico","(m",IF(totales!C262="analítico","(a",IF(totales!C262="presente","(p",IF(totales!C262="presente_cont","(c",))))&amp;totales!E262&amp;totales!H262&amp;totales!I262&amp;totales!J262,0)</f>
        <v>(a3100</v>
      </c>
    </row>
    <row r="230" spans="1:1">
      <c r="A230" t="str">
        <f>IF(totales!D263="temporal",IF(totales!C263="morfológico","(m",IF(totales!C263="analítico","(a",IF(totales!C263="presente","(p",IF(totales!C263="presente_cont","(c",))))&amp;totales!E263&amp;totales!H263&amp;totales!I263&amp;totales!J263,0)</f>
        <v>(a3100</v>
      </c>
    </row>
    <row r="231" spans="1:1">
      <c r="A231" t="str">
        <f>IF(totales!D264="temporal",IF(totales!C264="morfológico","(m",IF(totales!C264="analítico","(a",IF(totales!C264="presente","(p",IF(totales!C264="presente_cont","(c",))))&amp;totales!E264&amp;totales!H264&amp;totales!I264&amp;totales!J264,0)</f>
        <v>(a3100</v>
      </c>
    </row>
    <row r="232" spans="1:1">
      <c r="A232" t="str">
        <f>IF(totales!D266="temporal",IF(totales!C266="morfológico","(m",IF(totales!C266="analítico","(a",IF(totales!C266="presente","(p",IF(totales!C266="presente_cont","(c",))))&amp;totales!E266&amp;totales!H266&amp;totales!I266&amp;totales!J266,0)</f>
        <v>(a3100</v>
      </c>
    </row>
    <row r="233" spans="1:1">
      <c r="A233" t="str">
        <f>IF(totales!D307="temporal",IF(totales!C307="morfológico","(m",IF(totales!C307="analítico","(a",IF(totales!C307="presente","(p",IF(totales!C307="presente_cont","(c",))))&amp;totales!E307&amp;totales!H307&amp;totales!I307&amp;totales!J307,0)</f>
        <v>(a3100</v>
      </c>
    </row>
    <row r="234" spans="1:1">
      <c r="A234" t="str">
        <f>IF(totales!D310="temporal",IF(totales!C310="morfológico","(m",IF(totales!C310="analítico","(a",IF(totales!C310="presente","(p",IF(totales!C310="presente_cont","(c",))))&amp;totales!E310&amp;totales!H310&amp;totales!I310&amp;totales!J310,0)</f>
        <v>(a3100</v>
      </c>
    </row>
    <row r="235" spans="1:1">
      <c r="A235" t="str">
        <f>IF(totales!D311="temporal",IF(totales!C311="morfológico","(m",IF(totales!C311="analítico","(a",IF(totales!C311="presente","(p",IF(totales!C311="presente_cont","(c",))))&amp;totales!E311&amp;totales!H311&amp;totales!I311&amp;totales!J311,0)</f>
        <v>(a3100</v>
      </c>
    </row>
    <row r="236" spans="1:1">
      <c r="A236" t="str">
        <f>IF(totales!D312="temporal",IF(totales!C312="morfológico","(m",IF(totales!C312="analítico","(a",IF(totales!C312="presente","(p",IF(totales!C312="presente_cont","(c",))))&amp;totales!E312&amp;totales!H312&amp;totales!I312&amp;totales!J312,0)</f>
        <v>(a3100</v>
      </c>
    </row>
    <row r="237" spans="1:1">
      <c r="A237" t="str">
        <f>IF(totales!D388="temporal",IF(totales!C388="morfológico","(m",IF(totales!C388="analítico","(a",IF(totales!C388="presente","(p",IF(totales!C388="presente_cont","(c",))))&amp;totales!E388&amp;totales!H388&amp;totales!I388&amp;totales!J388,0)</f>
        <v>(a3100</v>
      </c>
    </row>
    <row r="238" spans="1:1">
      <c r="A238" t="str">
        <f>IF(totales!D480="temporal",IF(totales!C480="morfológico","(m",IF(totales!C480="analítico","(a",IF(totales!C480="presente","(p",IF(totales!C480="presente_cont","(c",))))&amp;totales!E480&amp;totales!H480&amp;totales!I480&amp;totales!J480,0)</f>
        <v>(a3100</v>
      </c>
    </row>
    <row r="239" spans="1:1">
      <c r="A239" t="str">
        <f>IF(totales!D481="temporal",IF(totales!C481="morfológico","(m",IF(totales!C481="analítico","(a",IF(totales!C481="presente","(p",IF(totales!C481="presente_cont","(c",))))&amp;totales!E481&amp;totales!H481&amp;totales!I481&amp;totales!J481,0)</f>
        <v>(a3100</v>
      </c>
    </row>
    <row r="240" spans="1:1">
      <c r="A240" t="str">
        <f>IF(totales!D50="temporal",IF(totales!C50="morfológico","(m",IF(totales!C50="analítico","(a",IF(totales!C50="presente","(p",IF(totales!C50="presente_cont","(c",))))&amp;totales!E50&amp;totales!H50&amp;totales!I50&amp;totales!J50,0)</f>
        <v>(a3101</v>
      </c>
    </row>
    <row r="241" spans="1:1">
      <c r="A241" t="str">
        <f>IF(totales!D15="temporal",IF(totales!C15="morfológico","(m",IF(totales!C15="analítico","(a",IF(totales!C15="presente","(p",IF(totales!C15="presente_cont","(c",))))&amp;totales!E15&amp;totales!H15&amp;totales!I15&amp;totales!J15,0)</f>
        <v>(a3110</v>
      </c>
    </row>
    <row r="242" spans="1:1">
      <c r="A242" t="str">
        <f>IF(totales!D23="temporal",IF(totales!C23="morfológico","(m",IF(totales!C23="analítico","(a",IF(totales!C23="presente","(p",IF(totales!C23="presente_cont","(c",))))&amp;totales!E23&amp;totales!H23&amp;totales!I23&amp;totales!J23,0)</f>
        <v>(a3110</v>
      </c>
    </row>
    <row r="243" spans="1:1">
      <c r="A243" t="str">
        <f>IF(totales!D94="temporal",IF(totales!C94="morfológico","(m",IF(totales!C94="analítico","(a",IF(totales!C94="presente","(p",IF(totales!C94="presente_cont","(c",))))&amp;totales!E94&amp;totales!H94&amp;totales!I94&amp;totales!J94,0)</f>
        <v>(a3110</v>
      </c>
    </row>
    <row r="244" spans="1:1">
      <c r="A244" t="str">
        <f>IF(totales!D293="temporal",IF(totales!C293="morfológico","(m",IF(totales!C293="analítico","(a",IF(totales!C293="presente","(p",IF(totales!C293="presente_cont","(c",))))&amp;totales!E293&amp;totales!H293&amp;totales!I293&amp;totales!J293,0)</f>
        <v>(a3110</v>
      </c>
    </row>
    <row r="245" spans="1:1">
      <c r="A245" t="str">
        <f>IF(totales!D98="temporal",IF(totales!C98="morfológico","(m",IF(totales!C98="analítico","(a",IF(totales!C98="presente","(p",IF(totales!C98="presente_cont","(c",))))&amp;totales!E98&amp;totales!H98&amp;totales!I98&amp;totales!J98,0)</f>
        <v>(a3200</v>
      </c>
    </row>
    <row r="246" spans="1:1">
      <c r="A246" t="str">
        <f>IF(totales!D166="temporal",IF(totales!C166="morfológico","(m",IF(totales!C166="analítico","(a",IF(totales!C166="presente","(p",IF(totales!C166="presente_cont","(c",))))&amp;totales!E166&amp;totales!H166&amp;totales!I166&amp;totales!J166,0)</f>
        <v>(a3200</v>
      </c>
    </row>
    <row r="247" spans="1:1">
      <c r="A247" t="str">
        <f>IF(totales!D207="temporal",IF(totales!C207="morfológico","(m",IF(totales!C207="analítico","(a",IF(totales!C207="presente","(p",IF(totales!C207="presente_cont","(c",))))&amp;totales!E207&amp;totales!H207&amp;totales!I207&amp;totales!J207,0)</f>
        <v>(a3200</v>
      </c>
    </row>
    <row r="248" spans="1:1">
      <c r="A248" t="str">
        <f>IF(totales!D245="temporal",IF(totales!C245="morfológico","(m",IF(totales!C245="analítico","(a",IF(totales!C245="presente","(p",IF(totales!C245="presente_cont","(c",))))&amp;totales!E245&amp;totales!H245&amp;totales!I245&amp;totales!J245,0)</f>
        <v>(a3200</v>
      </c>
    </row>
    <row r="249" spans="1:1">
      <c r="A249" t="str">
        <f>IF(totales!D251="temporal",IF(totales!C251="morfológico","(m",IF(totales!C251="analítico","(a",IF(totales!C251="presente","(p",IF(totales!C251="presente_cont","(c",))))&amp;totales!E251&amp;totales!H251&amp;totales!I251&amp;totales!J251,0)</f>
        <v>(a3200</v>
      </c>
    </row>
    <row r="250" spans="1:1">
      <c r="A250" t="str">
        <f>IF(totales!D501="temporal",IF(totales!C501="morfológico","(m",IF(totales!C501="analítico","(a",IF(totales!C501="presente","(p",IF(totales!C501="presente_cont","(c",))))&amp;totales!E501&amp;totales!H501&amp;totales!I501&amp;totales!J501,0)</f>
        <v>(a3201</v>
      </c>
    </row>
    <row r="251" spans="1:1">
      <c r="A251" t="str">
        <f>IF(totales!D502="temporal",IF(totales!C502="morfológico","(m",IF(totales!C502="analítico","(a",IF(totales!C502="presente","(p",IF(totales!C502="presente_cont","(c",))))&amp;totales!E502&amp;totales!H502&amp;totales!I502&amp;totales!J502,0)</f>
        <v>(a3201</v>
      </c>
    </row>
    <row r="252" spans="1:1">
      <c r="A252" t="str">
        <f>IF(totales!D205="temporal",IF(totales!C205="morfológico","(m",IF(totales!C205="analítico","(a",IF(totales!C205="presente","(p",IF(totales!C205="presente_cont","(c",))))&amp;totales!E205&amp;totales!H205&amp;totales!I205&amp;totales!J205,0)</f>
        <v>(a3210</v>
      </c>
    </row>
    <row r="253" spans="1:1">
      <c r="A253" t="str">
        <f>IF(totales!D206="temporal",IF(totales!C206="morfológico","(m",IF(totales!C206="analítico","(a",IF(totales!C206="presente","(p",IF(totales!C206="presente_cont","(c",))))&amp;totales!E206&amp;totales!H206&amp;totales!I206&amp;totales!J206,0)</f>
        <v>(a3210</v>
      </c>
    </row>
    <row r="254" spans="1:1">
      <c r="A254" t="str">
        <f>IF(totales!D227="temporal",IF(totales!C227="morfológico","(m",IF(totales!C227="analítico","(a",IF(totales!C227="presente","(p",IF(totales!C227="presente_cont","(c",))))&amp;totales!E227&amp;totales!H227&amp;totales!I227&amp;totales!J227,0)</f>
        <v>(a3210</v>
      </c>
    </row>
    <row r="255" spans="1:1">
      <c r="A255" t="str">
        <f>IF(totales!D253="temporal",IF(totales!C253="morfológico","(m",IF(totales!C253="analítico","(a",IF(totales!C253="presente","(p",IF(totales!C253="presente_cont","(c",))))&amp;totales!E253&amp;totales!H253&amp;totales!I253&amp;totales!J253,0)</f>
        <v>(a3210</v>
      </c>
    </row>
    <row r="256" spans="1:1">
      <c r="A256" t="str">
        <f>IF(totales!D505="temporal",IF(totales!C505="morfológico","(m",IF(totales!C505="analítico","(a",IF(totales!C505="presente","(p",IF(totales!C505="presente_cont","(c",))))&amp;totales!E505&amp;totales!H505&amp;totales!I505&amp;totales!J505,0)</f>
        <v>(a3210</v>
      </c>
    </row>
    <row r="257" spans="1:1">
      <c r="A257" t="str">
        <f>IF(totales!D79="temporal",IF(totales!C79="morfológico","(m",IF(totales!C79="analítico","(a",IF(totales!C79="presente","(p",IF(totales!C79="presente_cont","(c",))))&amp;totales!E79&amp;totales!H79&amp;totales!I79&amp;totales!J79,0)</f>
        <v>(a4000</v>
      </c>
    </row>
    <row r="258" spans="1:1">
      <c r="A258" t="str">
        <f>IF(totales!D82="temporal",IF(totales!C82="morfológico","(m",IF(totales!C82="analítico","(a",IF(totales!C82="presente","(p",IF(totales!C82="presente_cont","(c",))))&amp;totales!E82&amp;totales!H82&amp;totales!I82&amp;totales!J82,0)</f>
        <v>(a4000</v>
      </c>
    </row>
    <row r="259" spans="1:1">
      <c r="A259" t="str">
        <f>IF(totales!D83="temporal",IF(totales!C83="morfológico","(m",IF(totales!C83="analítico","(a",IF(totales!C83="presente","(p",IF(totales!C83="presente_cont","(c",))))&amp;totales!E83&amp;totales!H83&amp;totales!I83&amp;totales!J83,0)</f>
        <v>(a4000</v>
      </c>
    </row>
    <row r="260" spans="1:1">
      <c r="A260" t="str">
        <f>IF(totales!D112="temporal",IF(totales!C112="morfológico","(m",IF(totales!C112="analítico","(a",IF(totales!C112="presente","(p",IF(totales!C112="presente_cont","(c",))))&amp;totales!E112&amp;totales!H112&amp;totales!I112&amp;totales!J112,0)</f>
        <v>(a4000</v>
      </c>
    </row>
    <row r="261" spans="1:1">
      <c r="A261" t="str">
        <f>IF(totales!D147="temporal",IF(totales!C147="morfológico","(m",IF(totales!C147="analítico","(a",IF(totales!C147="presente","(p",IF(totales!C147="presente_cont","(c",))))&amp;totales!E147&amp;totales!H147&amp;totales!I147&amp;totales!J147,0)</f>
        <v>(a4000</v>
      </c>
    </row>
    <row r="262" spans="1:1">
      <c r="A262" t="str">
        <f>IF(totales!D150="temporal",IF(totales!C150="morfológico","(m",IF(totales!C150="analítico","(a",IF(totales!C150="presente","(p",IF(totales!C150="presente_cont","(c",))))&amp;totales!E150&amp;totales!H150&amp;totales!I150&amp;totales!J150,0)</f>
        <v>(a4000</v>
      </c>
    </row>
    <row r="263" spans="1:1">
      <c r="A263" t="str">
        <f>IF(totales!D272="temporal",IF(totales!C272="morfológico","(m",IF(totales!C272="analítico","(a",IF(totales!C272="presente","(p",IF(totales!C272="presente_cont","(c",))))&amp;totales!E272&amp;totales!H272&amp;totales!I272&amp;totales!J272,0)</f>
        <v>(a4000</v>
      </c>
    </row>
    <row r="264" spans="1:1">
      <c r="A264" t="str">
        <f>IF(totales!D277="temporal",IF(totales!C277="morfológico","(m",IF(totales!C277="analítico","(a",IF(totales!C277="presente","(p",IF(totales!C277="presente_cont","(c",))))&amp;totales!E277&amp;totales!H277&amp;totales!I277&amp;totales!J277,0)</f>
        <v>(a4000</v>
      </c>
    </row>
    <row r="265" spans="1:1">
      <c r="A265" t="str">
        <f>IF(totales!D295="temporal",IF(totales!C295="morfológico","(m",IF(totales!C295="analítico","(a",IF(totales!C295="presente","(p",IF(totales!C295="presente_cont","(c",))))&amp;totales!E295&amp;totales!H295&amp;totales!I295&amp;totales!J295,0)</f>
        <v>(a4000</v>
      </c>
    </row>
    <row r="266" spans="1:1">
      <c r="A266" t="str">
        <f>IF(totales!D337="temporal",IF(totales!C337="morfológico","(m",IF(totales!C337="analítico","(a",IF(totales!C337="presente","(p",IF(totales!C337="presente_cont","(c",))))&amp;totales!E337&amp;totales!H337&amp;totales!I337&amp;totales!J337,0)</f>
        <v>(a4000</v>
      </c>
    </row>
    <row r="267" spans="1:1">
      <c r="A267" t="str">
        <f>IF(totales!D338="temporal",IF(totales!C338="morfológico","(m",IF(totales!C338="analítico","(a",IF(totales!C338="presente","(p",IF(totales!C338="presente_cont","(c",))))&amp;totales!E338&amp;totales!H338&amp;totales!I338&amp;totales!J338,0)</f>
        <v>(a4000</v>
      </c>
    </row>
    <row r="268" spans="1:1">
      <c r="A268" t="str">
        <f>IF(totales!D399="temporal",IF(totales!C399="morfológico","(m",IF(totales!C399="analítico","(a",IF(totales!C399="presente","(p",IF(totales!C399="presente_cont","(c",))))&amp;totales!E399&amp;totales!H399&amp;totales!I399&amp;totales!J399,0)</f>
        <v>(a4000</v>
      </c>
    </row>
    <row r="269" spans="1:1">
      <c r="A269" t="str">
        <f>IF(totales!D452="temporal",IF(totales!C452="morfológico","(m",IF(totales!C452="analítico","(a",IF(totales!C452="presente","(p",IF(totales!C452="presente_cont","(c",))))&amp;totales!E452&amp;totales!H452&amp;totales!I452&amp;totales!J452,0)</f>
        <v>(a4000</v>
      </c>
    </row>
    <row r="270" spans="1:1">
      <c r="A270" t="str">
        <f>IF(totales!D453="temporal",IF(totales!C453="morfológico","(m",IF(totales!C453="analítico","(a",IF(totales!C453="presente","(p",IF(totales!C453="presente_cont","(c",))))&amp;totales!E453&amp;totales!H453&amp;totales!I453&amp;totales!J453,0)</f>
        <v>(a4000</v>
      </c>
    </row>
    <row r="271" spans="1:1">
      <c r="A271" t="str">
        <f>IF(totales!D454="temporal",IF(totales!C454="morfológico","(m",IF(totales!C454="analítico","(a",IF(totales!C454="presente","(p",IF(totales!C454="presente_cont","(c",))))&amp;totales!E454&amp;totales!H454&amp;totales!I454&amp;totales!J454,0)</f>
        <v>(a4000</v>
      </c>
    </row>
    <row r="272" spans="1:1">
      <c r="A272" t="str">
        <f>IF(totales!D456="temporal",IF(totales!C456="morfológico","(m",IF(totales!C456="analítico","(a",IF(totales!C456="presente","(p",IF(totales!C456="presente_cont","(c",))))&amp;totales!E456&amp;totales!H456&amp;totales!I456&amp;totales!J456,0)</f>
        <v>(a4000</v>
      </c>
    </row>
    <row r="273" spans="1:1">
      <c r="A273" t="str">
        <f>IF(totales!D476="temporal",IF(totales!C476="morfológico","(m",IF(totales!C476="analítico","(a",IF(totales!C476="presente","(p",IF(totales!C476="presente_cont","(c",))))&amp;totales!E476&amp;totales!H476&amp;totales!I476&amp;totales!J476,0)</f>
        <v>(a4000</v>
      </c>
    </row>
    <row r="274" spans="1:1">
      <c r="A274" t="str">
        <f>IF(totales!D181="temporal",IF(totales!C181="morfológico","(m",IF(totales!C181="analítico","(a",IF(totales!C181="presente","(p",IF(totales!C181="presente_cont","(c",))))&amp;totales!E181&amp;totales!H181&amp;totales!I181&amp;totales!J181,0)</f>
        <v>(a4001</v>
      </c>
    </row>
    <row r="275" spans="1:1">
      <c r="A275" t="str">
        <f>IF(totales!D72="temporal",IF(totales!C72="morfológico","(m",IF(totales!C72="analítico","(a",IF(totales!C72="presente","(p",IF(totales!C72="presente_cont","(c",))))&amp;totales!E72&amp;totales!H72&amp;totales!I72&amp;totales!J72,0)</f>
        <v>(a4010</v>
      </c>
    </row>
    <row r="276" spans="1:1">
      <c r="A276" t="str">
        <f>IF(totales!D444="temporal",IF(totales!C444="morfológico","(m",IF(totales!C444="analítico","(a",IF(totales!C444="presente","(p",IF(totales!C444="presente_cont","(c",))))&amp;totales!E444&amp;totales!H444&amp;totales!I444&amp;totales!J444,0)</f>
        <v>(a4010</v>
      </c>
    </row>
    <row r="277" spans="1:1">
      <c r="A277" t="str">
        <f>IF(totales!D498="temporal",IF(totales!C498="morfológico","(m",IF(totales!C498="analítico","(a",IF(totales!C498="presente","(p",IF(totales!C498="presente_cont","(c",))))&amp;totales!E498&amp;totales!H498&amp;totales!I498&amp;totales!J498,0)</f>
        <v>(a4010</v>
      </c>
    </row>
    <row r="278" spans="1:1">
      <c r="A278" t="str">
        <f>IF(totales!D55="temporal",IF(totales!C55="morfológico","(m",IF(totales!C55="analítico","(a",IF(totales!C55="presente","(p",IF(totales!C55="presente_cont","(c",))))&amp;totales!E55&amp;totales!H55&amp;totales!I55&amp;totales!J55,0)</f>
        <v>(a4011</v>
      </c>
    </row>
    <row r="279" spans="1:1">
      <c r="A279" t="str">
        <f>IF(totales!D29="temporal",IF(totales!C29="morfológico","(m",IF(totales!C29="analítico","(a",IF(totales!C29="presente","(p",IF(totales!C29="presente_cont","(c",))))&amp;totales!E29&amp;totales!H29&amp;totales!I29&amp;totales!J29,0)</f>
        <v>(a4100</v>
      </c>
    </row>
    <row r="280" spans="1:1">
      <c r="A280" t="str">
        <f>IF(totales!D161="temporal",IF(totales!C161="morfológico","(m",IF(totales!C161="analítico","(a",IF(totales!C161="presente","(p",IF(totales!C161="presente_cont","(c",))))&amp;totales!E161&amp;totales!H161&amp;totales!I161&amp;totales!J161,0)</f>
        <v>(a4100</v>
      </c>
    </row>
    <row r="281" spans="1:1">
      <c r="A281" t="str">
        <f>IF(totales!D18="temporal",IF(totales!C18="morfológico","(m",IF(totales!C18="analítico","(a",IF(totales!C18="presente","(p",IF(totales!C18="presente_cont","(c",))))&amp;totales!E18&amp;totales!H18&amp;totales!I18&amp;totales!J18,0)</f>
        <v>(a4200</v>
      </c>
    </row>
    <row r="282" spans="1:1">
      <c r="A282" t="str">
        <f>IF(totales!D156="temporal",IF(totales!C156="morfológico","(m",IF(totales!C156="analítico","(a",IF(totales!C156="presente","(p",IF(totales!C156="presente_cont","(c",))))&amp;totales!E156&amp;totales!H156&amp;totales!I156&amp;totales!J156,0)</f>
        <v>(a4200</v>
      </c>
    </row>
    <row r="283" spans="1:1">
      <c r="A283" t="str">
        <f>IF(totales!D160="temporal",IF(totales!C160="morfológico","(m",IF(totales!C160="analítico","(a",IF(totales!C160="presente","(p",IF(totales!C160="presente_cont","(c",))))&amp;totales!E160&amp;totales!H160&amp;totales!I160&amp;totales!J160,0)</f>
        <v>(a4200</v>
      </c>
    </row>
    <row r="284" spans="1:1">
      <c r="A284" t="str">
        <f>IF(totales!D500="temporal",IF(totales!C500="morfológico","(m",IF(totales!C500="analítico","(a",IF(totales!C500="presente","(p",IF(totales!C500="presente_cont","(c",))))&amp;totales!E500&amp;totales!H500&amp;totales!I500&amp;totales!J500,0)</f>
        <v>(a4200</v>
      </c>
    </row>
    <row r="285" spans="1:1">
      <c r="A285" t="str">
        <f>IF(totales!D506="temporal",IF(totales!C506="morfológico","(m",IF(totales!C506="analítico","(a",IF(totales!C506="presente","(p",IF(totales!C506="presente_cont","(c",))))&amp;totales!E506&amp;totales!H506&amp;totales!I506&amp;totales!J506,0)</f>
        <v>(a4200</v>
      </c>
    </row>
    <row r="286" spans="1:1">
      <c r="A286" t="str">
        <f>IF(totales!D514="temporal",IF(totales!C514="morfológico","(m",IF(totales!C514="analítico","(a",IF(totales!C514="presente","(p",IF(totales!C514="presente_cont","(c",))))&amp;totales!E514&amp;totales!H514&amp;totales!I514&amp;totales!J514,0)</f>
        <v>(a4210</v>
      </c>
    </row>
    <row r="287" spans="1:1">
      <c r="A287" t="str">
        <f>IF(totales!D503="temporal",IF(totales!C503="morfológico","(m",IF(totales!C503="analítico","(a",IF(totales!C503="presente","(p",IF(totales!C503="presente_cont","(c",))))&amp;totales!E503&amp;totales!H503&amp;totales!I503&amp;totales!J503,0)</f>
        <v>(a4211</v>
      </c>
    </row>
    <row r="288" spans="1:1">
      <c r="A288" t="str">
        <f>IF(totales!D51="temporal",IF(totales!C51="morfológico","(m",IF(totales!C51="analítico","(a",IF(totales!C51="presente","(p",IF(totales!C51="presente_cont","(c",))))&amp;totales!E51&amp;totales!H51&amp;totales!I51&amp;totales!J51,0)</f>
        <v>(a6000</v>
      </c>
    </row>
    <row r="289" spans="1:1">
      <c r="A289" t="str">
        <f>IF(totales!D80="temporal",IF(totales!C80="morfológico","(m",IF(totales!C80="analítico","(a",IF(totales!C80="presente","(p",IF(totales!C80="presente_cont","(c",))))&amp;totales!E80&amp;totales!H80&amp;totales!I80&amp;totales!J80,0)</f>
        <v>(a6000</v>
      </c>
    </row>
    <row r="290" spans="1:1">
      <c r="A290" t="str">
        <f>IF(totales!D115="temporal",IF(totales!C115="morfológico","(m",IF(totales!C115="analítico","(a",IF(totales!C115="presente","(p",IF(totales!C115="presente_cont","(c",))))&amp;totales!E115&amp;totales!H115&amp;totales!I115&amp;totales!J115,0)</f>
        <v>(a6000</v>
      </c>
    </row>
    <row r="291" spans="1:1">
      <c r="A291" t="str">
        <f>IF(totales!D129="temporal",IF(totales!C129="morfológico","(m",IF(totales!C129="analítico","(a",IF(totales!C129="presente","(p",IF(totales!C129="presente_cont","(c",))))&amp;totales!E129&amp;totales!H129&amp;totales!I129&amp;totales!J129,0)</f>
        <v>(a6000</v>
      </c>
    </row>
    <row r="292" spans="1:1">
      <c r="A292" t="str">
        <f>IF(totales!D130="temporal",IF(totales!C130="morfológico","(m",IF(totales!C130="analítico","(a",IF(totales!C130="presente","(p",IF(totales!C130="presente_cont","(c",))))&amp;totales!E130&amp;totales!H130&amp;totales!I130&amp;totales!J130,0)</f>
        <v>(a6000</v>
      </c>
    </row>
    <row r="293" spans="1:1">
      <c r="A293" t="str">
        <f>IF(totales!D131="temporal",IF(totales!C131="morfológico","(m",IF(totales!C131="analítico","(a",IF(totales!C131="presente","(p",IF(totales!C131="presente_cont","(c",))))&amp;totales!E131&amp;totales!H131&amp;totales!I131&amp;totales!J131,0)</f>
        <v>(a6000</v>
      </c>
    </row>
    <row r="294" spans="1:1">
      <c r="A294" t="str">
        <f>IF(totales!D239="temporal",IF(totales!C239="morfológico","(m",IF(totales!C239="analítico","(a",IF(totales!C239="presente","(p",IF(totales!C239="presente_cont","(c",))))&amp;totales!E239&amp;totales!H239&amp;totales!I239&amp;totales!J239,0)</f>
        <v>(a6000</v>
      </c>
    </row>
    <row r="295" spans="1:1">
      <c r="A295" t="str">
        <f>IF(totales!D274="temporal",IF(totales!C274="morfológico","(m",IF(totales!C274="analítico","(a",IF(totales!C274="presente","(p",IF(totales!C274="presente_cont","(c",))))&amp;totales!E274&amp;totales!H274&amp;totales!I274&amp;totales!J274,0)</f>
        <v>(a6000</v>
      </c>
    </row>
    <row r="296" spans="1:1">
      <c r="A296" t="str">
        <f>IF(totales!D280="temporal",IF(totales!C280="morfológico","(m",IF(totales!C280="analítico","(a",IF(totales!C280="presente","(p",IF(totales!C280="presente_cont","(c",))))&amp;totales!E280&amp;totales!H280&amp;totales!I280&amp;totales!J280,0)</f>
        <v>(a6000</v>
      </c>
    </row>
    <row r="297" spans="1:1">
      <c r="A297" t="str">
        <f>IF(totales!D296="temporal",IF(totales!C296="morfológico","(m",IF(totales!C296="analítico","(a",IF(totales!C296="presente","(p",IF(totales!C296="presente_cont","(c",))))&amp;totales!E296&amp;totales!H296&amp;totales!I296&amp;totales!J296,0)</f>
        <v>(a6000</v>
      </c>
    </row>
    <row r="298" spans="1:1">
      <c r="A298" t="str">
        <f>IF(totales!D300="temporal",IF(totales!C300="morfológico","(m",IF(totales!C300="analítico","(a",IF(totales!C300="presente","(p",IF(totales!C300="presente_cont","(c",))))&amp;totales!E300&amp;totales!H300&amp;totales!I300&amp;totales!J300,0)</f>
        <v>(a6000</v>
      </c>
    </row>
    <row r="299" spans="1:1">
      <c r="A299" t="str">
        <f>IF(totales!D367="temporal",IF(totales!C367="morfológico","(m",IF(totales!C367="analítico","(a",IF(totales!C367="presente","(p",IF(totales!C367="presente_cont","(c",))))&amp;totales!E367&amp;totales!H367&amp;totales!I367&amp;totales!J367,0)</f>
        <v>(a6000</v>
      </c>
    </row>
    <row r="300" spans="1:1">
      <c r="A300" t="str">
        <f>IF(totales!D368="temporal",IF(totales!C368="morfológico","(m",IF(totales!C368="analítico","(a",IF(totales!C368="presente","(p",IF(totales!C368="presente_cont","(c",))))&amp;totales!E368&amp;totales!H368&amp;totales!I368&amp;totales!J368,0)</f>
        <v>(a6000</v>
      </c>
    </row>
    <row r="301" spans="1:1">
      <c r="A301" t="str">
        <f>IF(totales!D385="temporal",IF(totales!C385="morfológico","(m",IF(totales!C385="analítico","(a",IF(totales!C385="presente","(p",IF(totales!C385="presente_cont","(c",))))&amp;totales!E385&amp;totales!H385&amp;totales!I385&amp;totales!J385,0)</f>
        <v>(a6000</v>
      </c>
    </row>
    <row r="302" spans="1:1">
      <c r="A302" t="str">
        <f>IF(totales!D386="temporal",IF(totales!C386="morfológico","(m",IF(totales!C386="analítico","(a",IF(totales!C386="presente","(p",IF(totales!C386="presente_cont","(c",))))&amp;totales!E386&amp;totales!H386&amp;totales!I386&amp;totales!J386,0)</f>
        <v>(a6000</v>
      </c>
    </row>
    <row r="303" spans="1:1">
      <c r="A303" t="str">
        <f>IF(totales!D387="temporal",IF(totales!C387="morfológico","(m",IF(totales!C387="analítico","(a",IF(totales!C387="presente","(p",IF(totales!C387="presente_cont","(c",))))&amp;totales!E387&amp;totales!H387&amp;totales!I387&amp;totales!J387,0)</f>
        <v>(a6000</v>
      </c>
    </row>
    <row r="304" spans="1:1">
      <c r="A304" t="str">
        <f>IF(totales!D472="temporal",IF(totales!C472="morfológico","(m",IF(totales!C472="analítico","(a",IF(totales!C472="presente","(p",IF(totales!C472="presente_cont","(c",))))&amp;totales!E472&amp;totales!H472&amp;totales!I472&amp;totales!J472,0)</f>
        <v>(a6000</v>
      </c>
    </row>
    <row r="305" spans="1:1">
      <c r="A305" t="str">
        <f>IF(totales!D477="temporal",IF(totales!C477="morfológico","(m",IF(totales!C477="analítico","(a",IF(totales!C477="presente","(p",IF(totales!C477="presente_cont","(c",))))&amp;totales!E477&amp;totales!H477&amp;totales!I477&amp;totales!J477,0)</f>
        <v>(a6000</v>
      </c>
    </row>
    <row r="306" spans="1:1">
      <c r="A306" t="str">
        <f>IF(totales!D157="temporal",IF(totales!C157="morfológico","(m",IF(totales!C157="analítico","(a",IF(totales!C157="presente","(p",IF(totales!C157="presente_cont","(c",))))&amp;totales!E157&amp;totales!H157&amp;totales!I157&amp;totales!J157,0)</f>
        <v>(a6001</v>
      </c>
    </row>
    <row r="307" spans="1:1">
      <c r="A307" t="str">
        <f>IF(totales!D372="temporal",IF(totales!C372="morfológico","(m",IF(totales!C372="analítico","(a",IF(totales!C372="presente","(p",IF(totales!C372="presente_cont","(c",))))&amp;totales!E372&amp;totales!H372&amp;totales!I372&amp;totales!J372,0)</f>
        <v>(a6001</v>
      </c>
    </row>
    <row r="308" spans="1:1">
      <c r="A308" t="str">
        <f>IF(totales!D435="temporal",IF(totales!C435="morfológico","(m",IF(totales!C435="analítico","(a",IF(totales!C435="presente","(p",IF(totales!C435="presente_cont","(c",))))&amp;totales!E435&amp;totales!H435&amp;totales!I435&amp;totales!J435,0)</f>
        <v>(a6001</v>
      </c>
    </row>
    <row r="309" spans="1:1">
      <c r="A309" t="str">
        <f>IF(totales!D154="temporal",IF(totales!C154="morfológico","(m",IF(totales!C154="analítico","(a",IF(totales!C154="presente","(p",IF(totales!C154="presente_cont","(c",))))&amp;totales!E154&amp;totales!H154&amp;totales!I154&amp;totales!J154,0)</f>
        <v>(a6010</v>
      </c>
    </row>
    <row r="310" spans="1:1">
      <c r="A310" t="str">
        <f>IF(totales!D203="temporal",IF(totales!C203="morfológico","(m",IF(totales!C203="analítico","(a",IF(totales!C203="presente","(p",IF(totales!C203="presente_cont","(c",))))&amp;totales!E203&amp;totales!H203&amp;totales!I203&amp;totales!J203,0)</f>
        <v>(a6010</v>
      </c>
    </row>
    <row r="311" spans="1:1">
      <c r="A311" t="str">
        <f>IF(totales!D291="temporal",IF(totales!C291="morfológico","(m",IF(totales!C291="analítico","(a",IF(totales!C291="presente","(p",IF(totales!C291="presente_cont","(c",))))&amp;totales!E291&amp;totales!H291&amp;totales!I291&amp;totales!J291,0)</f>
        <v>(a6010</v>
      </c>
    </row>
    <row r="312" spans="1:1">
      <c r="A312" t="str">
        <f>IF(totales!D425="temporal",IF(totales!C425="morfológico","(m",IF(totales!C425="analítico","(a",IF(totales!C425="presente","(p",IF(totales!C425="presente_cont","(c",))))&amp;totales!E425&amp;totales!H425&amp;totales!I425&amp;totales!J425,0)</f>
        <v>(a6010</v>
      </c>
    </row>
    <row r="313" spans="1:1">
      <c r="A313" t="str">
        <f>IF(totales!D426="temporal",IF(totales!C426="morfológico","(m",IF(totales!C426="analítico","(a",IF(totales!C426="presente","(p",IF(totales!C426="presente_cont","(c",))))&amp;totales!E426&amp;totales!H426&amp;totales!I426&amp;totales!J426,0)</f>
        <v>(a6010</v>
      </c>
    </row>
    <row r="314" spans="1:1">
      <c r="A314" t="str">
        <f>IF(totales!D427="temporal",IF(totales!C427="morfológico","(m",IF(totales!C427="analítico","(a",IF(totales!C427="presente","(p",IF(totales!C427="presente_cont","(c",))))&amp;totales!E427&amp;totales!H427&amp;totales!I427&amp;totales!J427,0)</f>
        <v>(a6010</v>
      </c>
    </row>
    <row r="315" spans="1:1">
      <c r="A315" t="str">
        <f>IF(totales!D428="temporal",IF(totales!C428="morfológico","(m",IF(totales!C428="analítico","(a",IF(totales!C428="presente","(p",IF(totales!C428="presente_cont","(c",))))&amp;totales!E428&amp;totales!H428&amp;totales!I428&amp;totales!J428,0)</f>
        <v>(a6010</v>
      </c>
    </row>
    <row r="316" spans="1:1">
      <c r="A316" t="str">
        <f>IF(totales!D141="temporal",IF(totales!C141="morfológico","(m",IF(totales!C141="analítico","(a",IF(totales!C141="presente","(p",IF(totales!C141="presente_cont","(c",))))&amp;totales!E141&amp;totales!H141&amp;totales!I141&amp;totales!J141,0)</f>
        <v>(a6011</v>
      </c>
    </row>
    <row r="317" spans="1:1">
      <c r="A317" t="str">
        <f>IF(totales!D5="temporal",IF(totales!C5="morfológico","(m",IF(totales!C5="analítico","(a",IF(totales!C5="presente","(p",IF(totales!C5="presente_cont","(c",))))&amp;totales!E5&amp;totales!H5&amp;totales!I5&amp;totales!J5,0)</f>
        <v>(a6100</v>
      </c>
    </row>
    <row r="318" spans="1:1">
      <c r="A318" t="str">
        <f>IF(totales!D17="temporal",IF(totales!C17="morfológico","(m",IF(totales!C17="analítico","(a",IF(totales!C17="presente","(p",IF(totales!C17="presente_cont","(c",))))&amp;totales!E17&amp;totales!H17&amp;totales!I17&amp;totales!J17,0)</f>
        <v>(a6100</v>
      </c>
    </row>
    <row r="319" spans="1:1">
      <c r="A319" t="str">
        <f>IF(totales!D81="temporal",IF(totales!C81="morfológico","(m",IF(totales!C81="analítico","(a",IF(totales!C81="presente","(p",IF(totales!C81="presente_cont","(c",))))&amp;totales!E81&amp;totales!H81&amp;totales!I81&amp;totales!J81,0)</f>
        <v>(a6100</v>
      </c>
    </row>
    <row r="320" spans="1:1">
      <c r="A320" t="str">
        <f>IF(totales!D133="temporal",IF(totales!C133="morfológico","(m",IF(totales!C133="analítico","(a",IF(totales!C133="presente","(p",IF(totales!C133="presente_cont","(c",))))&amp;totales!E133&amp;totales!H133&amp;totales!I133&amp;totales!J133,0)</f>
        <v>(a6100</v>
      </c>
    </row>
    <row r="321" spans="1:1">
      <c r="A321" t="str">
        <f>IF(totales!D134="temporal",IF(totales!C134="morfológico","(m",IF(totales!C134="analítico","(a",IF(totales!C134="presente","(p",IF(totales!C134="presente_cont","(c",))))&amp;totales!E134&amp;totales!H134&amp;totales!I134&amp;totales!J134,0)</f>
        <v>(a6100</v>
      </c>
    </row>
    <row r="322" spans="1:1">
      <c r="A322" t="str">
        <f>IF(totales!D190="temporal",IF(totales!C190="morfológico","(m",IF(totales!C190="analítico","(a",IF(totales!C190="presente","(p",IF(totales!C190="presente_cont","(c",))))&amp;totales!E190&amp;totales!H190&amp;totales!I190&amp;totales!J190,0)</f>
        <v>(a6100</v>
      </c>
    </row>
    <row r="323" spans="1:1">
      <c r="A323" t="str">
        <f>IF(totales!D244="temporal",IF(totales!C244="morfológico","(m",IF(totales!C244="analítico","(a",IF(totales!C244="presente","(p",IF(totales!C244="presente_cont","(c",))))&amp;totales!E244&amp;totales!H244&amp;totales!I244&amp;totales!J244,0)</f>
        <v>(a6100</v>
      </c>
    </row>
    <row r="324" spans="1:1">
      <c r="A324" t="str">
        <f>IF(totales!D268="temporal",IF(totales!C268="morfológico","(m",IF(totales!C268="analítico","(a",IF(totales!C268="presente","(p",IF(totales!C268="presente_cont","(c",))))&amp;totales!E268&amp;totales!H268&amp;totales!I268&amp;totales!J268,0)</f>
        <v>(a6100</v>
      </c>
    </row>
    <row r="325" spans="1:1">
      <c r="A325" t="str">
        <f>IF(totales!D269="temporal",IF(totales!C269="morfológico","(m",IF(totales!C269="analítico","(a",IF(totales!C269="presente","(p",IF(totales!C269="presente_cont","(c",))))&amp;totales!E269&amp;totales!H269&amp;totales!I269&amp;totales!J269,0)</f>
        <v>(a6100</v>
      </c>
    </row>
    <row r="326" spans="1:1">
      <c r="A326" t="str">
        <f>IF(totales!D246="temporal",IF(totales!C246="morfológico","(m",IF(totales!C246="analítico","(a",IF(totales!C246="presente","(p",IF(totales!C246="presente_cont","(c",))))&amp;totales!E246&amp;totales!H246&amp;totales!I246&amp;totales!J246,0)</f>
        <v>(a6110</v>
      </c>
    </row>
    <row r="327" spans="1:1">
      <c r="A327" t="str">
        <f>IF(totales!D231="temporal",IF(totales!C231="morfológico","(m",IF(totales!C231="analítico","(a",IF(totales!C231="presente","(p",IF(totales!C231="presente_cont","(c",))))&amp;totales!E231&amp;totales!H231&amp;totales!I231&amp;totales!J231,0)</f>
        <v>(a6200</v>
      </c>
    </row>
    <row r="328" spans="1:1">
      <c r="A328" t="str">
        <f>IF(totales!D255="temporal",IF(totales!C255="morfológico","(m",IF(totales!C255="analítico","(a",IF(totales!C255="presente","(p",IF(totales!C255="presente_cont","(c",))))&amp;totales!E255&amp;totales!H255&amp;totales!I255&amp;totales!J255,0)</f>
        <v>(a6200</v>
      </c>
    </row>
    <row r="329" spans="1:1">
      <c r="A329" t="str">
        <f>IF(totales!D256="temporal",IF(totales!C256="morfológico","(m",IF(totales!C256="analítico","(a",IF(totales!C256="presente","(p",IF(totales!C256="presente_cont","(c",))))&amp;totales!E256&amp;totales!H256&amp;totales!I256&amp;totales!J256,0)</f>
        <v>(a6200</v>
      </c>
    </row>
    <row r="330" spans="1:1">
      <c r="A330" t="str">
        <f>IF(totales!D257="temporal",IF(totales!C257="morfológico","(m",IF(totales!C257="analítico","(a",IF(totales!C257="presente","(p",IF(totales!C257="presente_cont","(c",))))&amp;totales!E257&amp;totales!H257&amp;totales!I257&amp;totales!J257,0)</f>
        <v>(a6200</v>
      </c>
    </row>
    <row r="331" spans="1:1">
      <c r="A331" t="str">
        <f>IF(totales!D439="temporal",IF(totales!C439="morfológico","(m",IF(totales!C439="analítico","(a",IF(totales!C439="presente","(p",IF(totales!C439="presente_cont","(c",))))&amp;totales!E439&amp;totales!H439&amp;totales!I439&amp;totales!J439,0)</f>
        <v>(a6200</v>
      </c>
    </row>
    <row r="332" spans="1:1">
      <c r="A332" t="str">
        <f>IF(totales!D469="temporal",IF(totales!C469="morfológico","(m",IF(totales!C469="analítico","(a",IF(totales!C469="presente","(p",IF(totales!C469="presente_cont","(c",))))&amp;totales!E469&amp;totales!H469&amp;totales!I469&amp;totales!J469,0)</f>
        <v>(a6200</v>
      </c>
    </row>
    <row r="333" spans="1:1">
      <c r="A333" t="str">
        <f>IF(totales!D10="temporal",IF(totales!C10="morfológico","(m",IF(totales!C10="analítico","(a",IF(totales!C10="presente","(p",IF(totales!C10="presente_cont","(c",))))&amp;totales!E10&amp;totales!H10&amp;totales!I10&amp;totales!J10,0)</f>
        <v>(m1001</v>
      </c>
    </row>
    <row r="334" spans="1:1">
      <c r="A334" t="str">
        <f>IF(totales!D459="temporal",IF(totales!C459="morfológico","(m",IF(totales!C459="analítico","(a",IF(totales!C459="presente","(p",IF(totales!C459="presente_cont","(c",))))&amp;totales!E459&amp;totales!H459&amp;totales!I459&amp;totales!J459,0)</f>
        <v>(m1001</v>
      </c>
    </row>
    <row r="335" spans="1:1">
      <c r="A335" t="str">
        <f>IF(totales!D460="temporal",IF(totales!C460="morfológico","(m",IF(totales!C460="analítico","(a",IF(totales!C460="presente","(p",IF(totales!C460="presente_cont","(c",))))&amp;totales!E460&amp;totales!H460&amp;totales!I460&amp;totales!J460,0)</f>
        <v>(m1001</v>
      </c>
    </row>
    <row r="336" spans="1:1">
      <c r="A336" t="str">
        <f>IF(totales!D395="temporal",IF(totales!C395="morfológico","(m",IF(totales!C395="analítico","(a",IF(totales!C395="presente","(p",IF(totales!C395="presente_cont","(c",))))&amp;totales!E395&amp;totales!H395&amp;totales!I395&amp;totales!J395,0)</f>
        <v>(m1010</v>
      </c>
    </row>
    <row r="337" spans="1:1">
      <c r="A337" t="str">
        <f>IF(totales!D440="temporal",IF(totales!C440="morfológico","(m",IF(totales!C440="analítico","(a",IF(totales!C440="presente","(p",IF(totales!C440="presente_cont","(c",))))&amp;totales!E440&amp;totales!H440&amp;totales!I440&amp;totales!J440,0)</f>
        <v>(m1010</v>
      </c>
    </row>
    <row r="338" spans="1:1">
      <c r="A338" t="str">
        <f>IF(totales!D3="temporal",IF(totales!C3="morfológico","(m",IF(totales!C3="analítico","(a",IF(totales!C3="presente","(p",IF(totales!C3="presente_cont","(c",))))&amp;totales!E3&amp;totales!H3&amp;totales!I3&amp;totales!J3,0)</f>
        <v>(m1100</v>
      </c>
    </row>
    <row r="339" spans="1:1">
      <c r="A339" t="str">
        <f>IF(totales!D71="temporal",IF(totales!C71="morfológico","(m",IF(totales!C71="analítico","(a",IF(totales!C71="presente","(p",IF(totales!C71="presente_cont","(c",))))&amp;totales!E71&amp;totales!H71&amp;totales!I71&amp;totales!J71,0)</f>
        <v>(m1100</v>
      </c>
    </row>
    <row r="340" spans="1:1">
      <c r="A340" t="str">
        <f>IF(totales!D317="temporal",IF(totales!C317="morfológico","(m",IF(totales!C317="analítico","(a",IF(totales!C317="presente","(p",IF(totales!C317="presente_cont","(c",))))&amp;totales!E317&amp;totales!H317&amp;totales!I317&amp;totales!J317,0)</f>
        <v>(m1100</v>
      </c>
    </row>
    <row r="341" spans="1:1">
      <c r="A341" t="str">
        <f>IF(totales!D318="temporal",IF(totales!C318="morfológico","(m",IF(totales!C318="analítico","(a",IF(totales!C318="presente","(p",IF(totales!C318="presente_cont","(c",))))&amp;totales!E318&amp;totales!H318&amp;totales!I318&amp;totales!J318,0)</f>
        <v>(m1100</v>
      </c>
    </row>
    <row r="342" spans="1:1">
      <c r="A342" t="str">
        <f>IF(totales!D319="temporal",IF(totales!C319="morfológico","(m",IF(totales!C319="analítico","(a",IF(totales!C319="presente","(p",IF(totales!C319="presente_cont","(c",))))&amp;totales!E319&amp;totales!H319&amp;totales!I319&amp;totales!J319,0)</f>
        <v>(m1100</v>
      </c>
    </row>
    <row r="343" spans="1:1">
      <c r="A343" t="str">
        <f>IF(totales!D451="temporal",IF(totales!C451="morfológico","(m",IF(totales!C451="analítico","(a",IF(totales!C451="presente","(p",IF(totales!C451="presente_cont","(c",))))&amp;totales!E451&amp;totales!H451&amp;totales!I451&amp;totales!J451,0)</f>
        <v>(m1110</v>
      </c>
    </row>
    <row r="344" spans="1:1">
      <c r="A344" t="str">
        <f>IF(totales!D46="temporal",IF(totales!C46="morfológico","(m",IF(totales!C46="analítico","(a",IF(totales!C46="presente","(p",IF(totales!C46="presente_cont","(c",))))&amp;totales!E46&amp;totales!H46&amp;totales!I46&amp;totales!J46,0)</f>
        <v>(m1201</v>
      </c>
    </row>
    <row r="345" spans="1:1">
      <c r="A345" t="str">
        <f>IF(totales!D47="temporal",IF(totales!C47="morfológico","(m",IF(totales!C47="analítico","(a",IF(totales!C47="presente","(p",IF(totales!C47="presente_cont","(c",))))&amp;totales!E47&amp;totales!H47&amp;totales!I47&amp;totales!J47,0)</f>
        <v>(m1201</v>
      </c>
    </row>
    <row r="346" spans="1:1">
      <c r="A346" t="str">
        <f>IF(totales!D294="temporal",IF(totales!C294="morfológico","(m",IF(totales!C294="analítico","(a",IF(totales!C294="presente","(p",IF(totales!C294="presente_cont","(c",))))&amp;totales!E294&amp;totales!H294&amp;totales!I294&amp;totales!J294,0)</f>
        <v>(m1010</v>
      </c>
    </row>
    <row r="347" spans="1:1">
      <c r="A347" t="str">
        <f>IF(totales!D67="temporal",IF(totales!C67="morfológico","(m",IF(totales!C67="analítico","(a",IF(totales!C67="presente","(p",IF(totales!C67="presente_cont","(c",))))&amp;totales!E67&amp;totales!H67&amp;totales!I67&amp;totales!J67,0)</f>
        <v>(m3000</v>
      </c>
    </row>
    <row r="348" spans="1:1">
      <c r="A348" t="str">
        <f>IF(totales!D69="temporal",IF(totales!C69="morfológico","(m",IF(totales!C69="analítico","(a",IF(totales!C69="presente","(p",IF(totales!C69="presente_cont","(c",))))&amp;totales!E69&amp;totales!H69&amp;totales!I69&amp;totales!J69,0)</f>
        <v>(m3000</v>
      </c>
    </row>
    <row r="349" spans="1:1">
      <c r="A349" t="str">
        <f>IF(totales!D213="temporal",IF(totales!C213="morfológico","(m",IF(totales!C213="analítico","(a",IF(totales!C213="presente","(p",IF(totales!C213="presente_cont","(c",))))&amp;totales!E213&amp;totales!H213&amp;totales!I213&amp;totales!J213,0)</f>
        <v>(m3000</v>
      </c>
    </row>
    <row r="350" spans="1:1">
      <c r="A350" t="str">
        <f>IF(totales!D216="temporal",IF(totales!C216="morfológico","(m",IF(totales!C216="analítico","(a",IF(totales!C216="presente","(p",IF(totales!C216="presente_cont","(c",))))&amp;totales!E216&amp;totales!H216&amp;totales!I216&amp;totales!J216,0)</f>
        <v>(m3000</v>
      </c>
    </row>
    <row r="351" spans="1:1">
      <c r="A351" t="str">
        <f>IF(totales!D400="temporal",IF(totales!C400="morfológico","(m",IF(totales!C400="analítico","(a",IF(totales!C400="presente","(p",IF(totales!C400="presente_cont","(c",))))&amp;totales!E400&amp;totales!H400&amp;totales!I400&amp;totales!J400,0)</f>
        <v>(m3001</v>
      </c>
    </row>
    <row r="352" spans="1:1">
      <c r="A352" t="str">
        <f>IF(totales!D149="temporal",IF(totales!C149="morfológico","(m",IF(totales!C149="analítico","(a",IF(totales!C149="presente","(p",IF(totales!C149="presente_cont","(c",))))&amp;totales!E149&amp;totales!H149&amp;totales!I149&amp;totales!J149,0)</f>
        <v>(m3010</v>
      </c>
    </row>
    <row r="353" spans="1:1">
      <c r="A353" t="str">
        <f>IF(totales!D421="temporal",IF(totales!C421="morfológico","(m",IF(totales!C421="analítico","(a",IF(totales!C421="presente","(p",IF(totales!C421="presente_cont","(c",))))&amp;totales!E421&amp;totales!H421&amp;totales!I421&amp;totales!J421,0)</f>
        <v>(m3010</v>
      </c>
    </row>
    <row r="354" spans="1:1">
      <c r="A354" t="str">
        <f>IF(totales!D442="temporal",IF(totales!C442="morfológico","(m",IF(totales!C442="analítico","(a",IF(totales!C442="presente","(p",IF(totales!C442="presente_cont","(c",))))&amp;totales!E442&amp;totales!H442&amp;totales!I442&amp;totales!J442,0)</f>
        <v>(m3010</v>
      </c>
    </row>
    <row r="355" spans="1:1">
      <c r="A355" t="str">
        <f>IF(totales!D70="temporal",IF(totales!C70="morfológico","(m",IF(totales!C70="analítico","(a",IF(totales!C70="presente","(p",IF(totales!C70="presente_cont","(c",))))&amp;totales!E70&amp;totales!H70&amp;totales!I70&amp;totales!J70,0)</f>
        <v>(m3100</v>
      </c>
    </row>
    <row r="356" spans="1:1">
      <c r="A356" t="str">
        <f>IF(totales!D135="temporal",IF(totales!C135="morfológico","(m",IF(totales!C135="analítico","(a",IF(totales!C135="presente","(p",IF(totales!C135="presente_cont","(c",))))&amp;totales!E135&amp;totales!H135&amp;totales!I135&amp;totales!J135,0)</f>
        <v>(m3100</v>
      </c>
    </row>
    <row r="357" spans="1:1">
      <c r="A357" t="str">
        <f>IF(totales!D384="temporal",IF(totales!C384="morfológico","(m",IF(totales!C384="analítico","(a",IF(totales!C384="presente","(p",IF(totales!C384="presente_cont","(c",))))&amp;totales!E384&amp;totales!H384&amp;totales!I384&amp;totales!J384,0)</f>
        <v>(m3100</v>
      </c>
    </row>
    <row r="358" spans="1:1">
      <c r="A358" t="str">
        <f>IF(totales!D397="temporal",IF(totales!C397="morfológico","(m",IF(totales!C397="analítico","(a",IF(totales!C397="presente","(p",IF(totales!C397="presente_cont","(c",))))&amp;totales!E397&amp;totales!H397&amp;totales!I397&amp;totales!J397,0)</f>
        <v>(m3100</v>
      </c>
    </row>
    <row r="359" spans="1:1">
      <c r="A359" t="str">
        <f>IF(totales!D65="temporal",IF(totales!C65="morfológico","(m",IF(totales!C65="analítico","(a",IF(totales!C65="presente","(p",IF(totales!C65="presente_cont","(c",))))&amp;totales!E65&amp;totales!H65&amp;totales!I65&amp;totales!J65,0)</f>
        <v>(m3110</v>
      </c>
    </row>
    <row r="360" spans="1:1">
      <c r="A360" t="str">
        <f>IF(totales!D189="temporal",IF(totales!C189="morfológico","(m",IF(totales!C189="analítico","(a",IF(totales!C189="presente","(p",IF(totales!C189="presente_cont","(c",))))&amp;totales!E189&amp;totales!H189&amp;totales!I189&amp;totales!J189,0)</f>
        <v>(m3110</v>
      </c>
    </row>
    <row r="361" spans="1:1">
      <c r="A361" t="str">
        <f>IF(totales!D419="temporal",IF(totales!C419="morfológico","(m",IF(totales!C419="analítico","(a",IF(totales!C419="presente","(p",IF(totales!C419="presente_cont","(c",))))&amp;totales!E419&amp;totales!H419&amp;totales!I419&amp;totales!J419,0)</f>
        <v>(m3110</v>
      </c>
    </row>
    <row r="362" spans="1:1">
      <c r="A362" t="str">
        <f>IF(totales!D420="temporal",IF(totales!C420="morfológico","(m",IF(totales!C420="analítico","(a",IF(totales!C420="presente","(p",IF(totales!C420="presente_cont","(c",))))&amp;totales!E420&amp;totales!H420&amp;totales!I420&amp;totales!J420,0)</f>
        <v>(m3110</v>
      </c>
    </row>
    <row r="363" spans="1:1">
      <c r="A363" t="str">
        <f>IF(totales!D474="temporal",IF(totales!C474="morfológico","(m",IF(totales!C474="analítico","(a",IF(totales!C474="presente","(p",IF(totales!C474="presente_cont","(c",))))&amp;totales!E474&amp;totales!H474&amp;totales!I474&amp;totales!J474,0)</f>
        <v>(m3110</v>
      </c>
    </row>
    <row r="364" spans="1:1">
      <c r="A364" t="str">
        <f>IF(totales!D430="temporal",IF(totales!C430="morfológico","(m",IF(totales!C430="analítico","(a",IF(totales!C430="presente","(p",IF(totales!C430="presente_cont","(c",))))&amp;totales!E430&amp;totales!H430&amp;totales!I430&amp;totales!J430,0)</f>
        <v>(m4010</v>
      </c>
    </row>
    <row r="365" spans="1:1">
      <c r="A365" t="str">
        <f>IF(totales!D16="temporal",IF(totales!C16="morfológico","(m",IF(totales!C16="analítico","(a",IF(totales!C16="presente","(p",IF(totales!C16="presente_cont","(c",))))&amp;totales!E16&amp;totales!H16&amp;totales!I16&amp;totales!J16,0)</f>
        <v>(m4100</v>
      </c>
    </row>
    <row r="366" spans="1:1">
      <c r="A366" t="str">
        <f>IF(totales!D515="temporal",IF(totales!C515="morfológico","(m",IF(totales!C515="analítico","(a",IF(totales!C515="presente","(p",IF(totales!C515="presente_cont","(c",))))&amp;totales!E515&amp;totales!H515&amp;totales!I515&amp;totales!J515,0)</f>
        <v>(m6100</v>
      </c>
    </row>
    <row r="367" spans="1:1">
      <c r="A367" t="str">
        <f>IF(totales!D27="temporal",IF(totales!C27="morfológico","(m",IF(totales!C27="analítico","(a",IF(totales!C27="presente","(p",IF(totales!C27="presente_cont","(c",))))&amp;totales!E27&amp;totales!H27&amp;totales!I27&amp;totales!J27,0)</f>
        <v>(p1000</v>
      </c>
    </row>
    <row r="368" spans="1:1">
      <c r="A368" t="str">
        <f>IF(totales!D158="temporal",IF(totales!C158="morfológico","(m",IF(totales!C158="analítico","(a",IF(totales!C158="presente","(p",IF(totales!C158="presente_cont","(c",))))&amp;totales!E158&amp;totales!H158&amp;totales!I158&amp;totales!J158,0)</f>
        <v>(p1000</v>
      </c>
    </row>
    <row r="369" spans="1:1">
      <c r="A369" t="str">
        <f>IF(totales!D159="temporal",IF(totales!C159="morfológico","(m",IF(totales!C159="analítico","(a",IF(totales!C159="presente","(p",IF(totales!C159="presente_cont","(c",))))&amp;totales!E159&amp;totales!H159&amp;totales!I159&amp;totales!J159,0)</f>
        <v>(p1000</v>
      </c>
    </row>
    <row r="370" spans="1:1">
      <c r="A370" t="str">
        <f>IF(totales!D283="temporal",IF(totales!C283="morfológico","(m",IF(totales!C283="analítico","(a",IF(totales!C283="presente","(p",IF(totales!C283="presente_cont","(c",))))&amp;totales!E283&amp;totales!H283&amp;totales!I283&amp;totales!J283,0)</f>
        <v>(p1000</v>
      </c>
    </row>
    <row r="371" spans="1:1">
      <c r="A371" t="str">
        <f>IF(totales!D9="temporal",IF(totales!C9="morfológico","(m",IF(totales!C9="analítico","(a",IF(totales!C9="presente","(p",IF(totales!C9="presente_cont","(c",))))&amp;totales!E9&amp;totales!H9&amp;totales!I9&amp;totales!J9,0)</f>
        <v>(p1001</v>
      </c>
    </row>
    <row r="372" spans="1:1">
      <c r="A372" t="str">
        <f>IF(totales!D124="temporal",IF(totales!C124="morfológico","(m",IF(totales!C124="analítico","(a",IF(totales!C124="presente","(p",IF(totales!C124="presente_cont","(c",))))&amp;totales!E124&amp;totales!H124&amp;totales!I124&amp;totales!J124,0)</f>
        <v>(p1001</v>
      </c>
    </row>
    <row r="373" spans="1:1">
      <c r="A373" t="str">
        <f>IF(totales!D125="temporal",IF(totales!C125="morfológico","(m",IF(totales!C125="analítico","(a",IF(totales!C125="presente","(p",IF(totales!C125="presente_cont","(c",))))&amp;totales!E125&amp;totales!H125&amp;totales!I125&amp;totales!J125,0)</f>
        <v>(p1001</v>
      </c>
    </row>
    <row r="374" spans="1:1">
      <c r="A374" t="str">
        <f>IF(totales!D126="temporal",IF(totales!C126="morfológico","(m",IF(totales!C126="analítico","(a",IF(totales!C126="presente","(p",IF(totales!C126="presente_cont","(c",))))&amp;totales!E126&amp;totales!H126&amp;totales!I126&amp;totales!J126,0)</f>
        <v>(p1001</v>
      </c>
    </row>
    <row r="375" spans="1:1">
      <c r="A375" t="str">
        <f>IF(totales!D127="temporal",IF(totales!C127="morfológico","(m",IF(totales!C127="analítico","(a",IF(totales!C127="presente","(p",IF(totales!C127="presente_cont","(c",))))&amp;totales!E127&amp;totales!H127&amp;totales!I127&amp;totales!J127,0)</f>
        <v>(p1001</v>
      </c>
    </row>
    <row r="376" spans="1:1">
      <c r="A376" t="str">
        <f>IF(totales!D146="temporal",IF(totales!C146="morfológico","(m",IF(totales!C146="analítico","(a",IF(totales!C146="presente","(p",IF(totales!C146="presente_cont","(c",))))&amp;totales!E146&amp;totales!H146&amp;totales!I146&amp;totales!J146,0)</f>
        <v>(p1001</v>
      </c>
    </row>
    <row r="377" spans="1:1">
      <c r="A377" t="str">
        <f>IF(totales!D396="temporal",IF(totales!C396="morfológico","(m",IF(totales!C396="analítico","(a",IF(totales!C396="presente","(p",IF(totales!C396="presente_cont","(c",))))&amp;totales!E396&amp;totales!H396&amp;totales!I396&amp;totales!J396,0)</f>
        <v>(p1001</v>
      </c>
    </row>
    <row r="378" spans="1:1">
      <c r="A378" t="str">
        <f>IF(totales!D39="temporal",IF(totales!C39="morfológico","(m",IF(totales!C39="analítico","(a",IF(totales!C39="presente","(p",IF(totales!C39="presente_cont","(c",))))&amp;totales!E39&amp;totales!H39&amp;totales!I39&amp;totales!J39,0)</f>
        <v>(p1010</v>
      </c>
    </row>
    <row r="379" spans="1:1">
      <c r="A379" t="str">
        <f>IF(totales!D177="temporal",IF(totales!C177="morfológico","(m",IF(totales!C177="analítico","(a",IF(totales!C177="presente","(p",IF(totales!C177="presente_cont","(c",))))&amp;totales!E177&amp;totales!H177&amp;totales!I177&amp;totales!J177,0)</f>
        <v>(p1010</v>
      </c>
    </row>
    <row r="380" spans="1:1">
      <c r="A380" t="str">
        <f>IF(totales!D178="temporal",IF(totales!C178="morfológico","(m",IF(totales!C178="analítico","(a",IF(totales!C178="presente","(p",IF(totales!C178="presente_cont","(c",))))&amp;totales!E178&amp;totales!H178&amp;totales!I178&amp;totales!J178,0)</f>
        <v>(p1010</v>
      </c>
    </row>
    <row r="381" spans="1:1">
      <c r="A381" t="str">
        <f>IF(totales!D305="temporal",IF(totales!C305="morfológico","(m",IF(totales!C305="analítico","(a",IF(totales!C305="presente","(p",IF(totales!C305="presente_cont","(c",))))&amp;totales!E305&amp;totales!H305&amp;totales!I305&amp;totales!J305,0)</f>
        <v>(p1010</v>
      </c>
    </row>
    <row r="382" spans="1:1">
      <c r="A382" t="str">
        <f>IF(totales!D38="temporal",IF(totales!C38="morfológico","(m",IF(totales!C38="analítico","(a",IF(totales!C38="presente","(p",IF(totales!C38="presente_cont","(c",))))&amp;totales!E38&amp;totales!H38&amp;totales!I38&amp;totales!J38,0)</f>
        <v>(p1100</v>
      </c>
    </row>
    <row r="383" spans="1:1">
      <c r="A383" t="str">
        <f>IF(totales!D212="temporal",IF(totales!C212="morfológico","(m",IF(totales!C212="analítico","(a",IF(totales!C212="presente","(p",IF(totales!C212="presente_cont","(c",))))&amp;totales!E212&amp;totales!H212&amp;totales!I212&amp;totales!J212,0)</f>
        <v>(p1100</v>
      </c>
    </row>
    <row r="384" spans="1:1">
      <c r="A384" t="str">
        <f>IF(totales!D222="temporal",IF(totales!C222="morfológico","(m",IF(totales!C222="analítico","(a",IF(totales!C222="presente","(p",IF(totales!C222="presente_cont","(c",))))&amp;totales!E222&amp;totales!H222&amp;totales!I222&amp;totales!J222,0)</f>
        <v>(p1100</v>
      </c>
    </row>
    <row r="385" spans="1:1">
      <c r="A385" t="str">
        <f>IF(totales!D33="temporal",IF(totales!C33="morfológico","(m",IF(totales!C33="analítico","(a",IF(totales!C33="presente","(p",IF(totales!C33="presente_cont","(c",))))&amp;totales!E33&amp;totales!H33&amp;totales!I33&amp;totales!J33,0)</f>
        <v>(p2000</v>
      </c>
    </row>
    <row r="386" spans="1:1">
      <c r="A386" t="str">
        <f>IF(totales!D208="temporal",IF(totales!C208="morfológico","(m",IF(totales!C208="analítico","(a",IF(totales!C208="presente","(p",IF(totales!C208="presente_cont","(c",))))&amp;totales!E208&amp;totales!H208&amp;totales!I208&amp;totales!J208,0)</f>
        <v>(p2000</v>
      </c>
    </row>
    <row r="387" spans="1:1">
      <c r="A387" t="str">
        <f>IF(totales!D410="temporal",IF(totales!C410="morfológico","(m",IF(totales!C410="analítico","(a",IF(totales!C410="presente","(p",IF(totales!C410="presente_cont","(c",))))&amp;totales!E410&amp;totales!H410&amp;totales!I410&amp;totales!J410,0)</f>
        <v>(p2000</v>
      </c>
    </row>
    <row r="388" spans="1:1">
      <c r="A388" t="str">
        <f>IF(totales!D411="temporal",IF(totales!C411="morfológico","(m",IF(totales!C411="analítico","(a",IF(totales!C411="presente","(p",IF(totales!C411="presente_cont","(c",))))&amp;totales!E411&amp;totales!H411&amp;totales!I411&amp;totales!J411,0)</f>
        <v>(p2000</v>
      </c>
    </row>
    <row r="389" spans="1:1">
      <c r="A389" t="str">
        <f>IF(totales!D335="temporal",IF(totales!C335="morfológico","(m",IF(totales!C335="analítico","(a",IF(totales!C335="presente","(p",IF(totales!C335="presente_cont","(c",))))&amp;totales!E335&amp;totales!H335&amp;totales!I335&amp;totales!J335,0)</f>
        <v>(p2001</v>
      </c>
    </row>
    <row r="390" spans="1:1">
      <c r="A390" t="str">
        <f>IF(totales!D361="temporal",IF(totales!C361="morfológico","(m",IF(totales!C361="analítico","(a",IF(totales!C361="presente","(p",IF(totales!C361="presente_cont","(c",))))&amp;totales!E361&amp;totales!H361&amp;totales!I361&amp;totales!J361,0)</f>
        <v>(p2001</v>
      </c>
    </row>
    <row r="391" spans="1:1">
      <c r="A391" t="str">
        <f>IF(totales!D303="temporal",IF(totales!C303="morfológico","(m",IF(totales!C303="analítico","(a",IF(totales!C303="presente","(p",IF(totales!C303="presente_cont","(c",))))&amp;totales!E303&amp;totales!H303&amp;totales!I303&amp;totales!J303,0)</f>
        <v>(p2010</v>
      </c>
    </row>
    <row r="392" spans="1:1">
      <c r="A392" t="str">
        <f>IF(totales!D304="temporal",IF(totales!C304="morfológico","(m",IF(totales!C304="analítico","(a",IF(totales!C304="presente","(p",IF(totales!C304="presente_cont","(c",))))&amp;totales!E304&amp;totales!H304&amp;totales!I304&amp;totales!J304,0)</f>
        <v>(p2010</v>
      </c>
    </row>
    <row r="393" spans="1:1">
      <c r="A393" t="str">
        <f>IF(totales!D90="temporal",IF(totales!C90="morfológico","(m",IF(totales!C90="analítico","(a",IF(totales!C90="presente","(p",IF(totales!C90="presente_cont","(c",))))&amp;totales!E90&amp;totales!H90&amp;totales!I90&amp;totales!J90,0)</f>
        <v>(p2100</v>
      </c>
    </row>
    <row r="394" spans="1:1">
      <c r="A394" t="str">
        <f>IF(totales!D105="temporal",IF(totales!C105="morfológico","(m",IF(totales!C105="analítico","(a",IF(totales!C105="presente","(p",IF(totales!C105="presente_cont","(c",))))&amp;totales!E105&amp;totales!H105&amp;totales!I105&amp;totales!J105,0)</f>
        <v>(p2100</v>
      </c>
    </row>
    <row r="395" spans="1:1">
      <c r="A395" t="str">
        <f>IF(totales!D106="temporal",IF(totales!C106="morfológico","(m",IF(totales!C106="analítico","(a",IF(totales!C106="presente","(p",IF(totales!C106="presente_cont","(c",))))&amp;totales!E106&amp;totales!H106&amp;totales!I106&amp;totales!J106,0)</f>
        <v>(p2100</v>
      </c>
    </row>
    <row r="396" spans="1:1">
      <c r="A396" t="str">
        <f>IF(totales!D148="temporal",IF(totales!C148="morfológico","(m",IF(totales!C148="analítico","(a",IF(totales!C148="presente","(p",IF(totales!C148="presente_cont","(c",))))&amp;totales!E148&amp;totales!H148&amp;totales!I148&amp;totales!J148,0)</f>
        <v>(p2100</v>
      </c>
    </row>
    <row r="397" spans="1:1">
      <c r="A397" t="str">
        <f>IF(totales!D19="temporal",IF(totales!C19="morfológico","(m",IF(totales!C19="analítico","(a",IF(totales!C19="presente","(p",IF(totales!C19="presente_cont","(c",))))&amp;totales!E19&amp;totales!H19&amp;totales!I19&amp;totales!J19,0)</f>
        <v>(p2200</v>
      </c>
    </row>
    <row r="398" spans="1:1">
      <c r="A398" t="str">
        <f>IF(totales!D336="temporal",IF(totales!C336="morfológico","(m",IF(totales!C336="analítico","(a",IF(totales!C336="presente","(p",IF(totales!C336="presente_cont","(c",))))&amp;totales!E336&amp;totales!H336&amp;totales!I336&amp;totales!J336,0)</f>
        <v>(p2200</v>
      </c>
    </row>
    <row r="399" spans="1:1">
      <c r="A399" t="str">
        <f>IF(totales!D404="temporal",IF(totales!C404="morfológico","(m",IF(totales!C404="analítico","(a",IF(totales!C404="presente","(p",IF(totales!C404="presente_cont","(c",))))&amp;totales!E404&amp;totales!H404&amp;totales!I404&amp;totales!J404,0)</f>
        <v>(p2200</v>
      </c>
    </row>
    <row r="400" spans="1:1">
      <c r="A400" t="str">
        <f>IF(totales!D20="temporal",IF(totales!C20="morfológico","(m",IF(totales!C20="analítico","(a",IF(totales!C20="presente","(p",IF(totales!C20="presente_cont","(c",))))&amp;totales!E20&amp;totales!H20&amp;totales!I20&amp;totales!J20,0)</f>
        <v>(p3000</v>
      </c>
    </row>
    <row r="401" spans="1:1">
      <c r="A401" t="str">
        <f>IF(totales!D21="temporal",IF(totales!C21="morfológico","(m",IF(totales!C21="analítico","(a",IF(totales!C21="presente","(p",IF(totales!C21="presente_cont","(c",))))&amp;totales!E21&amp;totales!H21&amp;totales!I21&amp;totales!J21,0)</f>
        <v>(p3000</v>
      </c>
    </row>
    <row r="402" spans="1:1">
      <c r="A402" t="str">
        <f>IF(totales!D31="temporal",IF(totales!C31="morfológico","(m",IF(totales!C31="analítico","(a",IF(totales!C31="presente","(p",IF(totales!C31="presente_cont","(c",))))&amp;totales!E31&amp;totales!H31&amp;totales!I31&amp;totales!J31,0)</f>
        <v>(p3000</v>
      </c>
    </row>
    <row r="403" spans="1:1">
      <c r="A403" t="str">
        <f>IF(totales!D32="temporal",IF(totales!C32="morfológico","(m",IF(totales!C32="analítico","(a",IF(totales!C32="presente","(p",IF(totales!C32="presente_cont","(c",))))&amp;totales!E32&amp;totales!H32&amp;totales!I32&amp;totales!J32,0)</f>
        <v>(p3000</v>
      </c>
    </row>
    <row r="404" spans="1:1">
      <c r="A404" t="str">
        <f>IF(totales!D35="temporal",IF(totales!C35="morfológico","(m",IF(totales!C35="analítico","(a",IF(totales!C35="presente","(p",IF(totales!C35="presente_cont","(c",))))&amp;totales!E35&amp;totales!H35&amp;totales!I35&amp;totales!J35,0)</f>
        <v>(p3000</v>
      </c>
    </row>
    <row r="405" spans="1:1">
      <c r="A405" t="str">
        <f>IF(totales!D58="temporal",IF(totales!C58="morfológico","(m",IF(totales!C58="analítico","(a",IF(totales!C58="presente","(p",IF(totales!C58="presente_cont","(c",))))&amp;totales!E58&amp;totales!H58&amp;totales!I58&amp;totales!J58,0)</f>
        <v>(p3000</v>
      </c>
    </row>
    <row r="406" spans="1:1">
      <c r="A406" t="str">
        <f>IF(totales!D122="temporal",IF(totales!C122="morfológico","(m",IF(totales!C122="analítico","(a",IF(totales!C122="presente","(p",IF(totales!C122="presente_cont","(c",))))&amp;totales!E122&amp;totales!H122&amp;totales!I122&amp;totales!J122,0)</f>
        <v>(p3000</v>
      </c>
    </row>
    <row r="407" spans="1:1">
      <c r="A407" t="str">
        <f>IF(totales!D219="temporal",IF(totales!C219="morfológico","(m",IF(totales!C219="analítico","(a",IF(totales!C219="presente","(p",IF(totales!C219="presente_cont","(c",))))&amp;totales!E219&amp;totales!H219&amp;totales!I219&amp;totales!J219,0)</f>
        <v>(p3000</v>
      </c>
    </row>
    <row r="408" spans="1:1">
      <c r="A408" t="str">
        <f>IF(totales!D220="temporal",IF(totales!C220="morfológico","(m",IF(totales!C220="analítico","(a",IF(totales!C220="presente","(p",IF(totales!C220="presente_cont","(c",))))&amp;totales!E220&amp;totales!H220&amp;totales!I220&amp;totales!J220,0)</f>
        <v>(p3000</v>
      </c>
    </row>
    <row r="409" spans="1:1">
      <c r="A409" t="str">
        <f>IF(totales!D382="temporal",IF(totales!C382="morfológico","(m",IF(totales!C382="analítico","(a",IF(totales!C382="presente","(p",IF(totales!C382="presente_cont","(c",))))&amp;totales!E382&amp;totales!H382&amp;totales!I382&amp;totales!J382,0)</f>
        <v>(p3000</v>
      </c>
    </row>
    <row r="410" spans="1:1">
      <c r="A410" t="str">
        <f>IF(totales!D383="temporal",IF(totales!C383="morfológico","(m",IF(totales!C383="analítico","(a",IF(totales!C383="presente","(p",IF(totales!C383="presente_cont","(c",))))&amp;totales!E383&amp;totales!H383&amp;totales!I383&amp;totales!J383,0)</f>
        <v>(p3000</v>
      </c>
    </row>
    <row r="411" spans="1:1">
      <c r="A411" t="str">
        <f>IF(totales!D390="temporal",IF(totales!C390="morfológico","(m",IF(totales!C390="analítico","(a",IF(totales!C390="presente","(p",IF(totales!C390="presente_cont","(c",))))&amp;totales!E390&amp;totales!H390&amp;totales!I390&amp;totales!J390,0)</f>
        <v>(p3000</v>
      </c>
    </row>
    <row r="412" spans="1:1">
      <c r="A412" t="str">
        <f>IF(totales!D520="temporal",IF(totales!C520="morfológico","(m",IF(totales!C520="analítico","(a",IF(totales!C520="presente","(p",IF(totales!C520="presente_cont","(c",))))&amp;totales!E520&amp;totales!H520&amp;totales!I520&amp;totales!J520,0)</f>
        <v>(p3000</v>
      </c>
    </row>
    <row r="413" spans="1:1">
      <c r="A413" t="str">
        <f>IF(totales!D41="temporal",IF(totales!C41="morfológico","(m",IF(totales!C41="analítico","(a",IF(totales!C41="presente","(p",IF(totales!C41="presente_cont","(c",))))&amp;totales!E41&amp;totales!H41&amp;totales!I41&amp;totales!J41,0)</f>
        <v>(p3001</v>
      </c>
    </row>
    <row r="414" spans="1:1">
      <c r="A414" t="str">
        <f>IF(totales!D42="temporal",IF(totales!C42="morfológico","(m",IF(totales!C42="analítico","(a",IF(totales!C42="presente","(p",IF(totales!C42="presente_cont","(c",))))&amp;totales!E42&amp;totales!H42&amp;totales!I42&amp;totales!J42,0)</f>
        <v>(p3001</v>
      </c>
    </row>
    <row r="415" spans="1:1">
      <c r="A415" t="str">
        <f>IF(totales!D60="temporal",IF(totales!C60="morfológico","(m",IF(totales!C60="analítico","(a",IF(totales!C60="presente","(p",IF(totales!C60="presente_cont","(c",))))&amp;totales!E60&amp;totales!H60&amp;totales!I60&amp;totales!J60,0)</f>
        <v>(p3001</v>
      </c>
    </row>
    <row r="416" spans="1:1">
      <c r="A416" t="str">
        <f>IF(totales!D61="temporal",IF(totales!C61="morfológico","(m",IF(totales!C61="analítico","(a",IF(totales!C61="presente","(p",IF(totales!C61="presente_cont","(c",))))&amp;totales!E61&amp;totales!H61&amp;totales!I61&amp;totales!J61,0)</f>
        <v>(p3001</v>
      </c>
    </row>
    <row r="417" spans="1:1">
      <c r="A417" t="str">
        <f>IF(totales!D322="temporal",IF(totales!C322="morfológico","(m",IF(totales!C322="analítico","(a",IF(totales!C322="presente","(p",IF(totales!C322="presente_cont","(c",))))&amp;totales!E322&amp;totales!H322&amp;totales!I322&amp;totales!J322,0)</f>
        <v>(p3001</v>
      </c>
    </row>
    <row r="418" spans="1:1">
      <c r="A418" t="str">
        <f>IF(totales!D510="temporal",IF(totales!C510="morfológico","(m",IF(totales!C510="analítico","(a",IF(totales!C510="presente","(p",IF(totales!C510="presente_cont","(c",))))&amp;totales!E510&amp;totales!H510&amp;totales!I510&amp;totales!J510,0)</f>
        <v>(p3001</v>
      </c>
    </row>
    <row r="419" spans="1:1">
      <c r="A419" t="str">
        <f>IF(totales!D511="temporal",IF(totales!C511="morfológico","(m",IF(totales!C511="analítico","(a",IF(totales!C511="presente","(p",IF(totales!C511="presente_cont","(c",))))&amp;totales!E511&amp;totales!H511&amp;totales!I511&amp;totales!J511,0)</f>
        <v>(p3001</v>
      </c>
    </row>
    <row r="420" spans="1:1">
      <c r="A420" t="str">
        <f>IF(totales!D40="temporal",IF(totales!C40="morfológico","(m",IF(totales!C40="analítico","(a",IF(totales!C40="presente","(p",IF(totales!C40="presente_cont","(c",))))&amp;totales!E40&amp;totales!H40&amp;totales!I40&amp;totales!J40,0)</f>
        <v>(p3010</v>
      </c>
    </row>
    <row r="421" spans="1:1">
      <c r="A421" t="str">
        <f>IF(totales!D429="temporal",IF(totales!C429="morfológico","(m",IF(totales!C429="analítico","(a",IF(totales!C429="presente","(p",IF(totales!C429="presente_cont","(c",))))&amp;totales!E429&amp;totales!H429&amp;totales!I429&amp;totales!J429,0)</f>
        <v>(p3010</v>
      </c>
    </row>
    <row r="422" spans="1:1">
      <c r="A422" t="str">
        <f>IF(totales!D488="temporal",IF(totales!C488="morfológico","(m",IF(totales!C488="analítico","(a",IF(totales!C488="presente","(p",IF(totales!C488="presente_cont","(c",))))&amp;totales!E488&amp;totales!H488&amp;totales!I488&amp;totales!J488,0)</f>
        <v>(p3010</v>
      </c>
    </row>
    <row r="423" spans="1:1">
      <c r="A423" t="str">
        <f>IF(totales!D259="temporal",IF(totales!C259="morfológico","(m",IF(totales!C259="analítico","(a",IF(totales!C259="presente","(p",IF(totales!C259="presente_cont","(c",))))&amp;totales!E259&amp;totales!H259&amp;totales!I259&amp;totales!J259,0)</f>
        <v>(p3011</v>
      </c>
    </row>
    <row r="424" spans="1:1">
      <c r="A424" t="str">
        <f>IF(totales!D37="temporal",IF(totales!C37="morfológico","(m",IF(totales!C37="analítico","(a",IF(totales!C37="presente","(p",IF(totales!C37="presente_cont","(c",))))&amp;totales!E37&amp;totales!H37&amp;totales!I37&amp;totales!J37,0)</f>
        <v>(p3100</v>
      </c>
    </row>
    <row r="425" spans="1:1">
      <c r="A425" t="str">
        <f>IF(totales!D136="temporal",IF(totales!C136="morfológico","(m",IF(totales!C136="analítico","(a",IF(totales!C136="presente","(p",IF(totales!C136="presente_cont","(c",))))&amp;totales!E136&amp;totales!H136&amp;totales!I136&amp;totales!J136,0)</f>
        <v>(p3100</v>
      </c>
    </row>
    <row r="426" spans="1:1">
      <c r="A426" t="str">
        <f>IF(totales!D137="temporal",IF(totales!C137="morfológico","(m",IF(totales!C137="analítico","(a",IF(totales!C137="presente","(p",IF(totales!C137="presente_cont","(c",))))&amp;totales!E137&amp;totales!H137&amp;totales!I137&amp;totales!J137,0)</f>
        <v>(p3100</v>
      </c>
    </row>
    <row r="427" spans="1:1">
      <c r="A427" t="str">
        <f>IF(totales!D143="temporal",IF(totales!C143="morfológico","(m",IF(totales!C143="analítico","(a",IF(totales!C143="presente","(p",IF(totales!C143="presente_cont","(c",))))&amp;totales!E143&amp;totales!H143&amp;totales!I143&amp;totales!J143,0)</f>
        <v>(p3100</v>
      </c>
    </row>
    <row r="428" spans="1:1">
      <c r="A428" t="str">
        <f>IF(totales!D174="temporal",IF(totales!C174="morfológico","(m",IF(totales!C174="analítico","(a",IF(totales!C174="presente","(p",IF(totales!C174="presente_cont","(c",))))&amp;totales!E174&amp;totales!H174&amp;totales!I174&amp;totales!J174,0)</f>
        <v>(p3100</v>
      </c>
    </row>
    <row r="429" spans="1:1">
      <c r="A429" t="str">
        <f>IF(totales!D235="temporal",IF(totales!C235="morfológico","(m",IF(totales!C235="analítico","(a",IF(totales!C235="presente","(p",IF(totales!C235="presente_cont","(c",))))&amp;totales!E235&amp;totales!H235&amp;totales!I235&amp;totales!J235,0)</f>
        <v>(p3100</v>
      </c>
    </row>
    <row r="430" spans="1:1">
      <c r="A430" t="str">
        <f>IF(totales!D237="temporal",IF(totales!C237="morfológico","(m",IF(totales!C237="analítico","(a",IF(totales!C237="presente","(p",IF(totales!C237="presente_cont","(c",))))&amp;totales!E237&amp;totales!H237&amp;totales!I237&amp;totales!J237,0)</f>
        <v>(p3100</v>
      </c>
    </row>
    <row r="431" spans="1:1">
      <c r="A431" t="str">
        <f>IF(totales!D238="temporal",IF(totales!C238="morfológico","(m",IF(totales!C238="analítico","(a",IF(totales!C238="presente","(p",IF(totales!C238="presente_cont","(c",))))&amp;totales!E238&amp;totales!H238&amp;totales!I238&amp;totales!J238,0)</f>
        <v>(p3100</v>
      </c>
    </row>
    <row r="432" spans="1:1">
      <c r="A432" t="str">
        <f>IF(totales!D261="temporal",IF(totales!C261="morfológico","(m",IF(totales!C261="analítico","(a",IF(totales!C261="presente","(p",IF(totales!C261="presente_cont","(c",))))&amp;totales!E261&amp;totales!H261&amp;totales!I261&amp;totales!J261,0)</f>
        <v>(p3100</v>
      </c>
    </row>
    <row r="433" spans="1:1">
      <c r="A433" t="str">
        <f>IF(totales!D281="temporal",IF(totales!C281="morfológico","(m",IF(totales!C281="analítico","(a",IF(totales!C281="presente","(p",IF(totales!C281="presente_cont","(c",))))&amp;totales!E281&amp;totales!H281&amp;totales!I281&amp;totales!J281,0)</f>
        <v>(p3100</v>
      </c>
    </row>
    <row r="434" spans="1:1">
      <c r="A434" t="str">
        <f>IF(totales!D26="temporal",IF(totales!C26="morfológico","(m",IF(totales!C26="analítico","(a",IF(totales!C26="presente","(p",IF(totales!C26="presente_cont","(c",))))&amp;totales!E26&amp;totales!H26&amp;totales!I26&amp;totales!J26,0)</f>
        <v>(p3200</v>
      </c>
    </row>
    <row r="435" spans="1:1">
      <c r="A435" t="str">
        <f>IF(totales!D230="temporal",IF(totales!C230="morfológico","(m",IF(totales!C230="analítico","(a",IF(totales!C230="presente","(p",IF(totales!C230="presente_cont","(c",))))&amp;totales!E230&amp;totales!H230&amp;totales!I230&amp;totales!J230,0)</f>
        <v>(p3200</v>
      </c>
    </row>
    <row r="436" spans="1:1">
      <c r="A436" t="str">
        <f>IF(totales!D233="temporal",IF(totales!C233="morfológico","(m",IF(totales!C233="analítico","(a",IF(totales!C233="presente","(p",IF(totales!C233="presente_cont","(c",))))&amp;totales!E233&amp;totales!H233&amp;totales!I233&amp;totales!J233,0)</f>
        <v>(p3200</v>
      </c>
    </row>
    <row r="437" spans="1:1">
      <c r="A437" t="str">
        <f>IF(totales!D258="temporal",IF(totales!C258="morfológico","(m",IF(totales!C258="analítico","(a",IF(totales!C258="presente","(p",IF(totales!C258="presente_cont","(c",))))&amp;totales!E258&amp;totales!H258&amp;totales!I258&amp;totales!J258,0)</f>
        <v>(p3200</v>
      </c>
    </row>
    <row r="438" spans="1:1">
      <c r="A438" t="str">
        <f>IF(totales!D403="temporal",IF(totales!C403="morfológico","(m",IF(totales!C403="analítico","(a",IF(totales!C403="presente","(p",IF(totales!C403="presente_cont","(c",))))&amp;totales!E403&amp;totales!H403&amp;totales!I403&amp;totales!J403,0)</f>
        <v>(p3200</v>
      </c>
    </row>
    <row r="439" spans="1:1">
      <c r="A439" t="str">
        <f>IF(totales!D405="temporal",IF(totales!C405="morfológico","(m",IF(totales!C405="analítico","(a",IF(totales!C405="presente","(p",IF(totales!C405="presente_cont","(c",))))&amp;totales!E405&amp;totales!H405&amp;totales!I405&amp;totales!J405,0)</f>
        <v>(p3200</v>
      </c>
    </row>
    <row r="440" spans="1:1">
      <c r="A440" t="str">
        <f>IF(totales!D214="temporal",IF(totales!C214="morfológico","(m",IF(totales!C214="analítico","(a",IF(totales!C214="presente","(p",IF(totales!C214="presente_cont","(c",))))&amp;totales!E214&amp;totales!H214&amp;totales!I214&amp;totales!J214,0)</f>
        <v>(p3210</v>
      </c>
    </row>
    <row r="441" spans="1:1">
      <c r="A441" t="str">
        <f>IF(totales!D467="temporal",IF(totales!C467="morfológico","(m",IF(totales!C467="analítico","(a",IF(totales!C467="presente","(p",IF(totales!C467="presente_cont","(c",))))&amp;totales!E467&amp;totales!H467&amp;totales!I467&amp;totales!J467,0)</f>
        <v>(p3210</v>
      </c>
    </row>
    <row r="442" spans="1:1">
      <c r="A442" t="str">
        <f>IF(totales!D468="temporal",IF(totales!C468="morfológico","(m",IF(totales!C468="analítico","(a",IF(totales!C468="presente","(p",IF(totales!C468="presente_cont","(c",))))&amp;totales!E468&amp;totales!H468&amp;totales!I468&amp;totales!J468,0)</f>
        <v>(p3210</v>
      </c>
    </row>
    <row r="443" spans="1:1">
      <c r="A443" t="str">
        <f>IF(totales!D455="temporal",IF(totales!C455="morfológico","(m",IF(totales!C455="analítico","(a",IF(totales!C455="presente","(p",IF(totales!C455="presente_cont","(c",))))&amp;totales!E455&amp;totales!H455&amp;totales!I455&amp;totales!J455,0)</f>
        <v>(p4000</v>
      </c>
    </row>
    <row r="444" spans="1:1">
      <c r="A444" t="str">
        <f>IF(totales!D22="temporal",IF(totales!C22="morfológico","(m",IF(totales!C22="analítico","(a",IF(totales!C22="presente","(p",IF(totales!C22="presente_cont","(c",))))&amp;totales!E22&amp;totales!H22&amp;totales!I22&amp;totales!J22,0)</f>
        <v>(p4100</v>
      </c>
    </row>
    <row r="445" spans="1:1">
      <c r="A445" t="str">
        <f>IF(totales!D28="temporal",IF(totales!C28="morfológico","(m",IF(totales!C28="analítico","(a",IF(totales!C28="presente","(p",IF(totales!C28="presente_cont","(c",))))&amp;totales!E28&amp;totales!H28&amp;totales!I28&amp;totales!J28,0)</f>
        <v>(p4100</v>
      </c>
    </row>
    <row r="446" spans="1:1">
      <c r="A446" t="str">
        <f>IF(totales!D142="temporal",IF(totales!C142="morfológico","(m",IF(totales!C142="analítico","(a",IF(totales!C142="presente","(p",IF(totales!C142="presente_cont","(c",))))&amp;totales!E142&amp;totales!H142&amp;totales!I142&amp;totales!J142,0)</f>
        <v>(p4100</v>
      </c>
    </row>
    <row r="447" spans="1:1">
      <c r="A447" t="str">
        <f>IF(totales!D162="temporal",IF(totales!C162="morfológico","(m",IF(totales!C162="analítico","(a",IF(totales!C162="presente","(p",IF(totales!C162="presente_cont","(c",))))&amp;totales!E162&amp;totales!H162&amp;totales!I162&amp;totales!J162,0)</f>
        <v>(p4100</v>
      </c>
    </row>
    <row r="448" spans="1:1">
      <c r="A448" t="str">
        <f>IF(totales!D260="temporal",IF(totales!C260="morfológico","(m",IF(totales!C260="analítico","(a",IF(totales!C260="presente","(p",IF(totales!C260="presente_cont","(c",))))&amp;totales!E260&amp;totales!H260&amp;totales!I260&amp;totales!J260,0)</f>
        <v>(p4100</v>
      </c>
    </row>
    <row r="449" spans="1:1">
      <c r="A449" t="str">
        <f>IF(totales!D97="temporal",IF(totales!C97="morfológico","(m",IF(totales!C97="analítico","(a",IF(totales!C97="presente","(p",IF(totales!C97="presente_cont","(c",))))&amp;totales!E97&amp;totales!H97&amp;totales!I97&amp;totales!J97,0)</f>
        <v>(p4200</v>
      </c>
    </row>
    <row r="450" spans="1:1">
      <c r="A450" t="str">
        <f>IF(totales!D45="temporal",IF(totales!C45="morfológico","(m",IF(totales!C45="analítico","(a",IF(totales!C45="presente","(p",IF(totales!C45="presente_cont","(c",))))&amp;totales!E45&amp;totales!H45&amp;totales!I45&amp;totales!J45,0)</f>
        <v>(p4210</v>
      </c>
    </row>
    <row r="451" spans="1:1">
      <c r="A451" t="str">
        <f>IF(totales!D298="temporal",IF(totales!C298="morfológico","(m",IF(totales!C298="analítico","(a",IF(totales!C298="presente","(p",IF(totales!C298="presente_cont","(c",))))&amp;totales!E298&amp;totales!H298&amp;totales!I298&amp;totales!J298,0)</f>
        <v>(p4210</v>
      </c>
    </row>
    <row r="452" spans="1:1">
      <c r="A452" t="str">
        <f>IF(totales!D299="temporal",IF(totales!C299="morfológico","(m",IF(totales!C299="analítico","(a",IF(totales!C299="presente","(p",IF(totales!C299="presente_cont","(c",))))&amp;totales!E299&amp;totales!H299&amp;totales!I299&amp;totales!J299,0)</f>
        <v>(p4210</v>
      </c>
    </row>
    <row r="453" spans="1:1">
      <c r="A453" t="str">
        <f>IF(totales!D504="temporal",IF(totales!C504="morfológico","(m",IF(totales!C504="analítico","(a",IF(totales!C504="presente","(p",IF(totales!C504="presente_cont","(c",))))&amp;totales!E504&amp;totales!H504&amp;totales!I504&amp;totales!J504,0)</f>
        <v>(p4211</v>
      </c>
    </row>
    <row r="454" spans="1:1">
      <c r="A454" t="str">
        <f>IF(totales!D232="temporal",IF(totales!C232="morfológico","(m",IF(totales!C232="analítico","(a",IF(totales!C232="presente","(p",IF(totales!C232="presente_cont","(c",))))&amp;totales!E232&amp;totales!H232&amp;totales!I232&amp;totales!J232,0)</f>
        <v>(p6000</v>
      </c>
    </row>
    <row r="455" spans="1:1">
      <c r="A455" t="str">
        <f>IF(totales!D118="temporal",IF(totales!C118="morfológico","(m",IF(totales!C118="analítico","(a",IF(totales!C118="presente","(p",IF(totales!C118="presente_cont","(c",))))&amp;totales!E118&amp;totales!H118&amp;totales!I118&amp;totales!J118,0)</f>
        <v>(p6001</v>
      </c>
    </row>
    <row r="456" spans="1:1">
      <c r="A456" t="str">
        <f>IF(totales!D200="temporal",IF(totales!C200="morfológico","(m",IF(totales!C200="analítico","(a",IF(totales!C200="presente","(p",IF(totales!C200="presente_cont","(c",))))&amp;totales!E200&amp;totales!H200&amp;totales!I200&amp;totales!J200,0)</f>
        <v>(p6010</v>
      </c>
    </row>
    <row r="457" spans="1:1">
      <c r="A457" t="str">
        <f>IF(totales!D44="temporal",IF(totales!C44="morfológico","(m",IF(totales!C44="analítico","(a",IF(totales!C44="presente","(p",IF(totales!C44="presente_cont","(c",))))&amp;totales!E44&amp;totales!H44&amp;totales!I44&amp;totales!J44,0)</f>
        <v>(p6011</v>
      </c>
    </row>
    <row r="458" spans="1:1">
      <c r="A458" t="str">
        <f>IF(totales!D163="temporal",IF(totales!C163="morfológico","(m",IF(totales!C163="analítico","(a",IF(totales!C163="presente","(p",IF(totales!C163="presente_cont","(c",))))&amp;totales!E163&amp;totales!H163&amp;totales!I163&amp;totales!J163,0)</f>
        <v>(p6200</v>
      </c>
    </row>
  </sheetData>
  <sortState ref="A2:A603">
    <sortCondition ref="A525"/>
  </sortState>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3"/>
  <sheetViews>
    <sheetView zoomScale="80" zoomScaleNormal="80" zoomScalePageLayoutView="80" workbookViewId="0">
      <selection activeCell="W30" sqref="W30"/>
    </sheetView>
  </sheetViews>
  <sheetFormatPr baseColWidth="10" defaultRowHeight="14" x14ac:dyDescent="0"/>
  <cols>
    <col min="6" max="6" width="3.6640625" customWidth="1"/>
    <col min="7" max="7" width="2.1640625" customWidth="1"/>
    <col min="9" max="10" width="3" customWidth="1"/>
    <col min="12" max="12" width="2.1640625" customWidth="1"/>
    <col min="13" max="13" width="3.1640625" customWidth="1"/>
    <col min="15" max="15" width="1.33203125" customWidth="1"/>
    <col min="16" max="16" width="3" customWidth="1"/>
    <col min="18" max="18" width="1.5" customWidth="1"/>
    <col min="19" max="19" width="7" customWidth="1"/>
    <col min="22" max="22" width="12.6640625" bestFit="1" customWidth="1"/>
  </cols>
  <sheetData>
    <row r="1" spans="1:22" ht="15">
      <c r="A1">
        <f>IF(totales!D2="temporal",IF(totales!C2="morfológico","(m",IF(totales!C2="analítico","(a",IF(totales!C2="presente","(p",IF(totales!C2="presente_cont","(c",))))&amp;B2,0)</f>
        <v>0</v>
      </c>
      <c r="B1" s="1">
        <v>1</v>
      </c>
      <c r="C1">
        <v>0</v>
      </c>
      <c r="D1">
        <v>0</v>
      </c>
      <c r="E1">
        <v>0</v>
      </c>
      <c r="F1" t="s">
        <v>681</v>
      </c>
      <c r="G1" t="s">
        <v>682</v>
      </c>
      <c r="H1" t="s">
        <v>690</v>
      </c>
      <c r="I1">
        <f>B1</f>
        <v>1</v>
      </c>
      <c r="J1" t="s">
        <v>683</v>
      </c>
      <c r="K1" t="s">
        <v>689</v>
      </c>
      <c r="L1">
        <f>C1</f>
        <v>0</v>
      </c>
      <c r="M1" t="s">
        <v>683</v>
      </c>
      <c r="N1" t="s">
        <v>688</v>
      </c>
      <c r="O1">
        <f>D1</f>
        <v>0</v>
      </c>
      <c r="P1" t="s">
        <v>683</v>
      </c>
      <c r="Q1" t="s">
        <v>684</v>
      </c>
      <c r="R1">
        <f>E1</f>
        <v>0</v>
      </c>
      <c r="S1" t="s">
        <v>692</v>
      </c>
      <c r="T1" t="s">
        <v>685</v>
      </c>
      <c r="U1" t="s">
        <v>686</v>
      </c>
      <c r="V1" s="102" t="str">
        <f>IF(totales!D2="temporal",IF(totales!E2="1"&amp;totales!H2="0"&amp;totales!I2="0"&amp;totales!J2="0","a",IF(totales!E2="2"&amp;totales!H2="0"&amp;totales!I2="0"&amp;totales!J2="0","b",IF(totales!E2="3"&amp;totales!H2="0"&amp;totales!I2="0"&amp;totales!J2="0","c",IF(totales!E2="4"&amp;totales!H2="0"&amp;totales!I2="0"&amp;totales!J2="0","d",IF(totales!E2="6"&amp;totales!H2="0"&amp;totales!I2="0"&amp;totales!J2="0","e",IF(totales!E2="1"&amp;totales!H2="1"&amp;totales!I2="0"&amp;totales!J2="0","f",IF(totales!E2="2"&amp;totales!H2="1"&amp;totales!I2="0"&amp;totales!J2="0","g",IF(totales!E2="3"&amp;totales!H2="1"&amp;totales!I2="0"&amp;totales!J2="0","h",IF(totales!E2="4"&amp;totales!H2="1"&amp;totales!I2="0"&amp;totales!J2="0","i",IF(totales!E2="6"&amp;totales!H2="1"&amp;totales!I2="0"&amp;totales!J2="0","j",IF(totales!E2="1"&amp;totales!H2="2"&amp;totales!I2="0"&amp;totales!J2="0","k",IF(totales!E2="2"&amp;totales!H2="2"&amp;totales!I2="0"&amp;totales!J2="0","l",IF(totales!E2="3"&amp;totales!H2="2"&amp;totales!I2="0"&amp;totales!J2="0","m",IF(totales!E2="4"&amp;totales!H2="2"&amp;totales!I2="0"&amp;totales!J2="0","n",IF(totales!E2="6"&amp;totales!H2="2"&amp;totales!I2="0"&amp;totales!J2="0","o",IF(totales!E2="1"&amp;totales!H2="0"&amp;totales!I2="1"&amp;totales!J2="0","p",IF(totales!E2="2"&amp;totales!H2="0"&amp;totales!I2="1"&amp;totales!J2="0","q",IF(totales!E2="3"&amp;totales!H2="0"&amp;totales!I2="1"&amp;totales!J2="0","r",IF(totales!E2="4"&amp;totales!H2="0"&amp;totales!I2="1"&amp;totales!J2="0","s",IF(totales!E2="6"&amp;totales!H2="0"&amp;totales!I2="1"&amp;totales!J2="0","t",IF(totales!E2="1"&amp;totales!H2="2"&amp;totales!I2="1"&amp;totales!J2="0","u",IF(totales!E2="2"&amp;totales!H2="2"&amp;totales!I2="1"&amp;totales!J2="0","v",IF(totales!E2="3"&amp;totales!H2="2"&amp;totales!I2="1"&amp;totales!J2="0","w",IF(totales!E2="4"&amp;totales!H2="2"&amp;totales!I2="1"&amp;totales!J2="0","x",IF(totales!E2="6"&amp;totales!H2="2"&amp;totales!I2="1"&amp;totales!J2="0","y",IF(totales!E2="1"&amp;totales!H2="1"&amp;totales!I2="1"&amp;totales!J2="0","z",IF(totales!E2="2"&amp;totales!H2="1"&amp;totales!I2="1"&amp;totales!J2="0","0",IF(totales!E2="3"&amp;totales!H2="1"&amp;totales!I2="1"&amp;totales!J2="0","1",IF(totales!E2="4"&amp;totales!H2="1"&amp;totales!I2="1"&amp;totales!J2="0","2",IF(totales!E2="6"&amp;totales!H2="1"&amp;totales!I2="1"&amp;totales!J2="0","3",IF(totales!E2="1"&amp;totales!H2="0"&amp;totales!I2="1"&amp;totales!J2="1","4",IF(totales!E2="2"&amp;totales!H2="0"&amp;totales!I2="1"&amp;totales!J2="1","5",IF(totales!E2="3"&amp;totales!H2="0"&amp;totales!I2="1"&amp;totales!J2="1","6",IF(totales!E2="4"&amp;totales!H2="0"&amp;totales!I2="1"&amp;totales!J2="1","7",IF(totales!E2="6"&amp;totales!H2="0"&amp;totales!I2="1"&amp;totales!J2="1","8",IF(totales!E2="1"&amp;totales!H2="1"&amp;totales!I2="0"&amp;totales!J2="1","9",)))))))))))))))))))))))))))))))))))),"ERROR")</f>
        <v>ERROR</v>
      </c>
    </row>
    <row r="2" spans="1:22" ht="15">
      <c r="B2" s="1">
        <v>2</v>
      </c>
      <c r="C2">
        <v>0</v>
      </c>
      <c r="D2">
        <v>0</v>
      </c>
      <c r="E2">
        <v>0</v>
      </c>
      <c r="F2" t="s">
        <v>681</v>
      </c>
      <c r="G2" t="s">
        <v>682</v>
      </c>
      <c r="H2" t="s">
        <v>690</v>
      </c>
      <c r="I2">
        <f>B2</f>
        <v>2</v>
      </c>
      <c r="J2" t="s">
        <v>683</v>
      </c>
      <c r="K2" t="s">
        <v>689</v>
      </c>
      <c r="L2">
        <f>C2</f>
        <v>0</v>
      </c>
      <c r="M2" t="s">
        <v>683</v>
      </c>
      <c r="N2" t="s">
        <v>688</v>
      </c>
      <c r="O2">
        <f>D2</f>
        <v>0</v>
      </c>
      <c r="P2" t="s">
        <v>683</v>
      </c>
      <c r="Q2" t="s">
        <v>684</v>
      </c>
      <c r="R2">
        <f>E2</f>
        <v>0</v>
      </c>
      <c r="S2" t="s">
        <v>693</v>
      </c>
      <c r="T2" t="s">
        <v>687</v>
      </c>
      <c r="U2" t="s">
        <v>686</v>
      </c>
      <c r="V2" s="102">
        <f>IF(totales!D3="temporal",IF(totales!E3="1"&amp;totales!H3="0"&amp;totales!I3="0"&amp;totales!J3="0","a",IF(totales!E3="2"&amp;totales!H3="0"&amp;totales!I3="0"&amp;totales!J3="0","b",IF(totales!E3="3"&amp;totales!H3="0"&amp;totales!I3="0"&amp;totales!J3="0","c",IF(totales!E3="4"&amp;totales!H3="0"&amp;totales!I3="0"&amp;totales!J3="0","d",IF(totales!E3="6"&amp;totales!H3="0"&amp;totales!I3="0"&amp;totales!J3="0","e",IF(totales!E3="1"&amp;totales!H3="1"&amp;totales!I3="0"&amp;totales!J3="0","f",IF(totales!E3="2"&amp;totales!H3="1"&amp;totales!I3="0"&amp;totales!J3="0","g",IF(totales!E3="3"&amp;totales!H3="1"&amp;totales!I3="0"&amp;totales!J3="0","h",IF(totales!E3="4"&amp;totales!H3="1"&amp;totales!I3="0"&amp;totales!J3="0","i",IF(totales!E3="6"&amp;totales!H3="1"&amp;totales!I3="0"&amp;totales!J3="0","j",IF(totales!E3="1"&amp;totales!H3="2"&amp;totales!I3="0"&amp;totales!J3="0","k",IF(totales!E3="2"&amp;totales!H3="2"&amp;totales!I3="0"&amp;totales!J3="0","l",IF(totales!E3="3"&amp;totales!H3="2"&amp;totales!I3="0"&amp;totales!J3="0","m",IF(totales!E3="4"&amp;totales!H3="2"&amp;totales!I3="0"&amp;totales!J3="0","n",IF(totales!E3="6"&amp;totales!H3="2"&amp;totales!I3="0"&amp;totales!J3="0","o",IF(totales!E3="1"&amp;totales!H3="0"&amp;totales!I3="1"&amp;totales!J3="0","p",IF(totales!E3="2"&amp;totales!H3="0"&amp;totales!I3="1"&amp;totales!J3="0","q",IF(totales!E3="3"&amp;totales!H3="0"&amp;totales!I3="1"&amp;totales!J3="0","r",IF(totales!E3="4"&amp;totales!H3="0"&amp;totales!I3="1"&amp;totales!J3="0","s",IF(totales!E3="6"&amp;totales!H3="0"&amp;totales!I3="1"&amp;totales!J3="0","t",IF(totales!E3="1"&amp;totales!H3="2"&amp;totales!I3="1"&amp;totales!J3="0","u",IF(totales!E3="2"&amp;totales!H3="2"&amp;totales!I3="1"&amp;totales!J3="0","v",IF(totales!E3="3"&amp;totales!H3="2"&amp;totales!I3="1"&amp;totales!J3="0","w",IF(totales!E3="4"&amp;totales!H3="2"&amp;totales!I3="1"&amp;totales!J3="0","x",IF(totales!E3="6"&amp;totales!H3="2"&amp;totales!I3="1"&amp;totales!J3="0","y",IF(totales!E3="1"&amp;totales!H3="1"&amp;totales!I3="1"&amp;totales!J3="0","z",IF(totales!E3="2"&amp;totales!H3="1"&amp;totales!I3="1"&amp;totales!J3="0","0",IF(totales!E3="3"&amp;totales!H3="1"&amp;totales!I3="1"&amp;totales!J3="0","1",IF(totales!E3="4"&amp;totales!H3="1"&amp;totales!I3="1"&amp;totales!J3="0","2",IF(totales!E3="6"&amp;totales!H3="1"&amp;totales!I3="1"&amp;totales!J3="0","3",IF(totales!E3="1"&amp;totales!H3="0"&amp;totales!I3="1"&amp;totales!J3="1","4",IF(totales!E3="2"&amp;totales!H3="0"&amp;totales!I3="1"&amp;totales!J3="1","5",IF(totales!E3="3"&amp;totales!H3="0"&amp;totales!I3="1"&amp;totales!J3="1","6",IF(totales!E3="4"&amp;totales!H3="0"&amp;totales!I3="1"&amp;totales!J3="1","7",IF(totales!E3="6"&amp;totales!H3="0"&amp;totales!I3="1"&amp;totales!J3="1","8",IF(totales!E3="1"&amp;totales!H3="1"&amp;totales!I3="0"&amp;totales!J3="1","9",)))))))))))))))))))))))))))))))))))),"ERROR")</f>
        <v>0</v>
      </c>
    </row>
    <row r="3" spans="1:22" ht="15">
      <c r="B3" s="1">
        <v>3</v>
      </c>
      <c r="C3">
        <v>0</v>
      </c>
      <c r="D3">
        <v>0</v>
      </c>
      <c r="E3">
        <v>0</v>
      </c>
      <c r="F3" t="s">
        <v>681</v>
      </c>
      <c r="G3" t="s">
        <v>682</v>
      </c>
      <c r="H3" t="s">
        <v>690</v>
      </c>
      <c r="I3">
        <f>B3</f>
        <v>3</v>
      </c>
      <c r="J3" t="s">
        <v>683</v>
      </c>
      <c r="K3" t="s">
        <v>689</v>
      </c>
      <c r="L3">
        <f>C3</f>
        <v>0</v>
      </c>
      <c r="M3" t="s">
        <v>683</v>
      </c>
      <c r="N3" t="s">
        <v>688</v>
      </c>
      <c r="O3">
        <f>D3</f>
        <v>0</v>
      </c>
      <c r="P3" t="s">
        <v>683</v>
      </c>
      <c r="Q3" t="s">
        <v>684</v>
      </c>
      <c r="R3">
        <f>E3</f>
        <v>0</v>
      </c>
      <c r="S3" t="s">
        <v>695</v>
      </c>
      <c r="T3" t="s">
        <v>691</v>
      </c>
      <c r="U3" t="s">
        <v>686</v>
      </c>
      <c r="V3" s="102">
        <f>IF(totales!D4="temporal",IF(totales!E4="1"&amp;totales!H4="0"&amp;totales!I4="0"&amp;totales!J4="0","a",IF(totales!E4="2"&amp;totales!H4="0"&amp;totales!I4="0"&amp;totales!J4="0","b",IF(totales!E4="3"&amp;totales!H4="0"&amp;totales!I4="0"&amp;totales!J4="0","c",IF(totales!E4="4"&amp;totales!H4="0"&amp;totales!I4="0"&amp;totales!J4="0","d",IF(totales!E4="6"&amp;totales!H4="0"&amp;totales!I4="0"&amp;totales!J4="0","e",IF(totales!E4="1"&amp;totales!H4="1"&amp;totales!I4="0"&amp;totales!J4="0","f",IF(totales!E4="2"&amp;totales!H4="1"&amp;totales!I4="0"&amp;totales!J4="0","g",IF(totales!E4="3"&amp;totales!H4="1"&amp;totales!I4="0"&amp;totales!J4="0","h",IF(totales!E4="4"&amp;totales!H4="1"&amp;totales!I4="0"&amp;totales!J4="0","i",IF(totales!E4="6"&amp;totales!H4="1"&amp;totales!I4="0"&amp;totales!J4="0","j",IF(totales!E4="1"&amp;totales!H4="2"&amp;totales!I4="0"&amp;totales!J4="0","k",IF(totales!E4="2"&amp;totales!H4="2"&amp;totales!I4="0"&amp;totales!J4="0","l",IF(totales!E4="3"&amp;totales!H4="2"&amp;totales!I4="0"&amp;totales!J4="0","m",IF(totales!E4="4"&amp;totales!H4="2"&amp;totales!I4="0"&amp;totales!J4="0","n",IF(totales!E4="6"&amp;totales!H4="2"&amp;totales!I4="0"&amp;totales!J4="0","o",IF(totales!E4="1"&amp;totales!H4="0"&amp;totales!I4="1"&amp;totales!J4="0","p",IF(totales!E4="2"&amp;totales!H4="0"&amp;totales!I4="1"&amp;totales!J4="0","q",IF(totales!E4="3"&amp;totales!H4="0"&amp;totales!I4="1"&amp;totales!J4="0","r",IF(totales!E4="4"&amp;totales!H4="0"&amp;totales!I4="1"&amp;totales!J4="0","s",IF(totales!E4="6"&amp;totales!H4="0"&amp;totales!I4="1"&amp;totales!J4="0","t",IF(totales!E4="1"&amp;totales!H4="2"&amp;totales!I4="1"&amp;totales!J4="0","u",IF(totales!E4="2"&amp;totales!H4="2"&amp;totales!I4="1"&amp;totales!J4="0","v",IF(totales!E4="3"&amp;totales!H4="2"&amp;totales!I4="1"&amp;totales!J4="0","w",IF(totales!E4="4"&amp;totales!H4="2"&amp;totales!I4="1"&amp;totales!J4="0","x",IF(totales!E4="6"&amp;totales!H4="2"&amp;totales!I4="1"&amp;totales!J4="0","y",IF(totales!E4="1"&amp;totales!H4="1"&amp;totales!I4="1"&amp;totales!J4="0","z",IF(totales!E4="2"&amp;totales!H4="1"&amp;totales!I4="1"&amp;totales!J4="0","0",IF(totales!E4="3"&amp;totales!H4="1"&amp;totales!I4="1"&amp;totales!J4="0","1",IF(totales!E4="4"&amp;totales!H4="1"&amp;totales!I4="1"&amp;totales!J4="0","2",IF(totales!E4="6"&amp;totales!H4="1"&amp;totales!I4="1"&amp;totales!J4="0","3",IF(totales!E4="1"&amp;totales!H4="0"&amp;totales!I4="1"&amp;totales!J4="1","4",IF(totales!E4="2"&amp;totales!H4="0"&amp;totales!I4="1"&amp;totales!J4="1","5",IF(totales!E4="3"&amp;totales!H4="0"&amp;totales!I4="1"&amp;totales!J4="1","6",IF(totales!E4="4"&amp;totales!H4="0"&amp;totales!I4="1"&amp;totales!J4="1","7",IF(totales!E4="6"&amp;totales!H4="0"&amp;totales!I4="1"&amp;totales!J4="1","8",IF(totales!E4="1"&amp;totales!H4="1"&amp;totales!I4="0"&amp;totales!J4="1","9",)))))))))))))))))))))))))))))))))))),"ERROR")</f>
        <v>0</v>
      </c>
    </row>
    <row r="4" spans="1:22" ht="15">
      <c r="B4" s="1">
        <v>4</v>
      </c>
      <c r="C4">
        <v>0</v>
      </c>
      <c r="D4">
        <v>0</v>
      </c>
      <c r="E4">
        <v>0</v>
      </c>
      <c r="F4" t="s">
        <v>681</v>
      </c>
      <c r="G4" t="s">
        <v>682</v>
      </c>
      <c r="H4" t="s">
        <v>690</v>
      </c>
      <c r="I4">
        <f t="shared" ref="I4:I60" si="0">B4</f>
        <v>4</v>
      </c>
      <c r="J4" t="s">
        <v>683</v>
      </c>
      <c r="K4" t="s">
        <v>689</v>
      </c>
      <c r="L4">
        <f t="shared" ref="L4:L60" si="1">C4</f>
        <v>0</v>
      </c>
      <c r="M4" t="s">
        <v>683</v>
      </c>
      <c r="N4" t="s">
        <v>688</v>
      </c>
      <c r="O4">
        <f t="shared" ref="O4:O60" si="2">D4</f>
        <v>0</v>
      </c>
      <c r="P4" t="s">
        <v>683</v>
      </c>
      <c r="Q4" t="s">
        <v>684</v>
      </c>
      <c r="R4">
        <f t="shared" ref="R4:R60" si="3">E4</f>
        <v>0</v>
      </c>
      <c r="S4" t="s">
        <v>692</v>
      </c>
      <c r="V4" s="102">
        <f>IF(totales!D5="temporal",IF(totales!E5="1"&amp;totales!H5="0"&amp;totales!I5="0"&amp;totales!J5="0","a",IF(totales!E5="2"&amp;totales!H5="0"&amp;totales!I5="0"&amp;totales!J5="0","b",IF(totales!E5="3"&amp;totales!H5="0"&amp;totales!I5="0"&amp;totales!J5="0","c",IF(totales!E5="4"&amp;totales!H5="0"&amp;totales!I5="0"&amp;totales!J5="0","d",IF(totales!E5="6"&amp;totales!H5="0"&amp;totales!I5="0"&amp;totales!J5="0","e",IF(totales!E5="1"&amp;totales!H5="1"&amp;totales!I5="0"&amp;totales!J5="0","f",IF(totales!E5="2"&amp;totales!H5="1"&amp;totales!I5="0"&amp;totales!J5="0","g",IF(totales!E5="3"&amp;totales!H5="1"&amp;totales!I5="0"&amp;totales!J5="0","h",IF(totales!E5="4"&amp;totales!H5="1"&amp;totales!I5="0"&amp;totales!J5="0","i",IF(totales!E5="6"&amp;totales!H5="1"&amp;totales!I5="0"&amp;totales!J5="0","j",IF(totales!E5="1"&amp;totales!H5="2"&amp;totales!I5="0"&amp;totales!J5="0","k",IF(totales!E5="2"&amp;totales!H5="2"&amp;totales!I5="0"&amp;totales!J5="0","l",IF(totales!E5="3"&amp;totales!H5="2"&amp;totales!I5="0"&amp;totales!J5="0","m",IF(totales!E5="4"&amp;totales!H5="2"&amp;totales!I5="0"&amp;totales!J5="0","n",IF(totales!E5="6"&amp;totales!H5="2"&amp;totales!I5="0"&amp;totales!J5="0","o",IF(totales!E5="1"&amp;totales!H5="0"&amp;totales!I5="1"&amp;totales!J5="0","p",IF(totales!E5="2"&amp;totales!H5="0"&amp;totales!I5="1"&amp;totales!J5="0","q",IF(totales!E5="3"&amp;totales!H5="0"&amp;totales!I5="1"&amp;totales!J5="0","r",IF(totales!E5="4"&amp;totales!H5="0"&amp;totales!I5="1"&amp;totales!J5="0","s",IF(totales!E5="6"&amp;totales!H5="0"&amp;totales!I5="1"&amp;totales!J5="0","t",IF(totales!E5="1"&amp;totales!H5="2"&amp;totales!I5="1"&amp;totales!J5="0","u",IF(totales!E5="2"&amp;totales!H5="2"&amp;totales!I5="1"&amp;totales!J5="0","v",IF(totales!E5="3"&amp;totales!H5="2"&amp;totales!I5="1"&amp;totales!J5="0","w",IF(totales!E5="4"&amp;totales!H5="2"&amp;totales!I5="1"&amp;totales!J5="0","x",IF(totales!E5="6"&amp;totales!H5="2"&amp;totales!I5="1"&amp;totales!J5="0","y",IF(totales!E5="1"&amp;totales!H5="1"&amp;totales!I5="1"&amp;totales!J5="0","z",IF(totales!E5="2"&amp;totales!H5="1"&amp;totales!I5="1"&amp;totales!J5="0","0",IF(totales!E5="3"&amp;totales!H5="1"&amp;totales!I5="1"&amp;totales!J5="0","1",IF(totales!E5="4"&amp;totales!H5="1"&amp;totales!I5="1"&amp;totales!J5="0","2",IF(totales!E5="6"&amp;totales!H5="1"&amp;totales!I5="1"&amp;totales!J5="0","3",IF(totales!E5="1"&amp;totales!H5="0"&amp;totales!I5="1"&amp;totales!J5="1","4",IF(totales!E5="2"&amp;totales!H5="0"&amp;totales!I5="1"&amp;totales!J5="1","5",IF(totales!E5="3"&amp;totales!H5="0"&amp;totales!I5="1"&amp;totales!J5="1","6",IF(totales!E5="4"&amp;totales!H5="0"&amp;totales!I5="1"&amp;totales!J5="1","7",IF(totales!E5="6"&amp;totales!H5="0"&amp;totales!I5="1"&amp;totales!J5="1","8",IF(totales!E5="1"&amp;totales!H5="1"&amp;totales!I5="0"&amp;totales!J5="1","9",)))))))))))))))))))))))))))))))))))),"ERROR")</f>
        <v>0</v>
      </c>
    </row>
    <row r="5" spans="1:22" ht="15">
      <c r="B5" s="1">
        <v>6</v>
      </c>
      <c r="C5">
        <v>0</v>
      </c>
      <c r="D5">
        <v>0</v>
      </c>
      <c r="E5">
        <v>0</v>
      </c>
      <c r="F5" t="s">
        <v>681</v>
      </c>
      <c r="G5" t="s">
        <v>682</v>
      </c>
      <c r="H5" t="s">
        <v>690</v>
      </c>
      <c r="I5">
        <f t="shared" si="0"/>
        <v>6</v>
      </c>
      <c r="J5" t="s">
        <v>683</v>
      </c>
      <c r="K5" t="s">
        <v>689</v>
      </c>
      <c r="L5">
        <f t="shared" si="1"/>
        <v>0</v>
      </c>
      <c r="M5" t="s">
        <v>683</v>
      </c>
      <c r="N5" t="s">
        <v>688</v>
      </c>
      <c r="O5">
        <f t="shared" si="2"/>
        <v>0</v>
      </c>
      <c r="P5" t="s">
        <v>683</v>
      </c>
      <c r="Q5" t="s">
        <v>684</v>
      </c>
      <c r="R5">
        <f t="shared" si="3"/>
        <v>0</v>
      </c>
      <c r="S5" t="s">
        <v>693</v>
      </c>
      <c r="V5" s="102">
        <f>IF(totales!D6="temporal",IF(totales!E6="1"&amp;totales!H6="0"&amp;totales!I6="0"&amp;totales!J6="0","a",IF(totales!E6="2"&amp;totales!H6="0"&amp;totales!I6="0"&amp;totales!J6="0","b",IF(totales!E6="3"&amp;totales!H6="0"&amp;totales!I6="0"&amp;totales!J6="0","c",IF(totales!E6="4"&amp;totales!H6="0"&amp;totales!I6="0"&amp;totales!J6="0","d",IF(totales!E6="6"&amp;totales!H6="0"&amp;totales!I6="0"&amp;totales!J6="0","e",IF(totales!E6="1"&amp;totales!H6="1"&amp;totales!I6="0"&amp;totales!J6="0","f",IF(totales!E6="2"&amp;totales!H6="1"&amp;totales!I6="0"&amp;totales!J6="0","g",IF(totales!E6="3"&amp;totales!H6="1"&amp;totales!I6="0"&amp;totales!J6="0","h",IF(totales!E6="4"&amp;totales!H6="1"&amp;totales!I6="0"&amp;totales!J6="0","i",IF(totales!E6="6"&amp;totales!H6="1"&amp;totales!I6="0"&amp;totales!J6="0","j",IF(totales!E6="1"&amp;totales!H6="2"&amp;totales!I6="0"&amp;totales!J6="0","k",IF(totales!E6="2"&amp;totales!H6="2"&amp;totales!I6="0"&amp;totales!J6="0","l",IF(totales!E6="3"&amp;totales!H6="2"&amp;totales!I6="0"&amp;totales!J6="0","m",IF(totales!E6="4"&amp;totales!H6="2"&amp;totales!I6="0"&amp;totales!J6="0","n",IF(totales!E6="6"&amp;totales!H6="2"&amp;totales!I6="0"&amp;totales!J6="0","o",IF(totales!E6="1"&amp;totales!H6="0"&amp;totales!I6="1"&amp;totales!J6="0","p",IF(totales!E6="2"&amp;totales!H6="0"&amp;totales!I6="1"&amp;totales!J6="0","q",IF(totales!E6="3"&amp;totales!H6="0"&amp;totales!I6="1"&amp;totales!J6="0","r",IF(totales!E6="4"&amp;totales!H6="0"&amp;totales!I6="1"&amp;totales!J6="0","s",IF(totales!E6="6"&amp;totales!H6="0"&amp;totales!I6="1"&amp;totales!J6="0","t",IF(totales!E6="1"&amp;totales!H6="2"&amp;totales!I6="1"&amp;totales!J6="0","u",IF(totales!E6="2"&amp;totales!H6="2"&amp;totales!I6="1"&amp;totales!J6="0","v",IF(totales!E6="3"&amp;totales!H6="2"&amp;totales!I6="1"&amp;totales!J6="0","w",IF(totales!E6="4"&amp;totales!H6="2"&amp;totales!I6="1"&amp;totales!J6="0","x",IF(totales!E6="6"&amp;totales!H6="2"&amp;totales!I6="1"&amp;totales!J6="0","y",IF(totales!E6="1"&amp;totales!H6="1"&amp;totales!I6="1"&amp;totales!J6="0","z",IF(totales!E6="2"&amp;totales!H6="1"&amp;totales!I6="1"&amp;totales!J6="0","0",IF(totales!E6="3"&amp;totales!H6="1"&amp;totales!I6="1"&amp;totales!J6="0","1",IF(totales!E6="4"&amp;totales!H6="1"&amp;totales!I6="1"&amp;totales!J6="0","2",IF(totales!E6="6"&amp;totales!H6="1"&amp;totales!I6="1"&amp;totales!J6="0","3",IF(totales!E6="1"&amp;totales!H6="0"&amp;totales!I6="1"&amp;totales!J6="1","4",IF(totales!E6="2"&amp;totales!H6="0"&amp;totales!I6="1"&amp;totales!J6="1","5",IF(totales!E6="3"&amp;totales!H6="0"&amp;totales!I6="1"&amp;totales!J6="1","6",IF(totales!E6="4"&amp;totales!H6="0"&amp;totales!I6="1"&amp;totales!J6="1","7",IF(totales!E6="6"&amp;totales!H6="0"&amp;totales!I6="1"&amp;totales!J6="1","8",IF(totales!E6="1"&amp;totales!H6="1"&amp;totales!I6="0"&amp;totales!J6="1","9",)))))))))))))))))))))))))))))))))))),"ERROR")</f>
        <v>0</v>
      </c>
    </row>
    <row r="6" spans="1:22" ht="15">
      <c r="B6" s="1">
        <v>1</v>
      </c>
      <c r="C6">
        <v>1</v>
      </c>
      <c r="D6">
        <v>0</v>
      </c>
      <c r="E6">
        <v>0</v>
      </c>
      <c r="F6" t="s">
        <v>681</v>
      </c>
      <c r="G6" t="s">
        <v>682</v>
      </c>
      <c r="H6" t="s">
        <v>690</v>
      </c>
      <c r="I6">
        <f t="shared" si="0"/>
        <v>1</v>
      </c>
      <c r="J6" t="s">
        <v>683</v>
      </c>
      <c r="K6" t="s">
        <v>689</v>
      </c>
      <c r="L6">
        <f t="shared" si="1"/>
        <v>1</v>
      </c>
      <c r="M6" t="s">
        <v>683</v>
      </c>
      <c r="N6" t="s">
        <v>688</v>
      </c>
      <c r="O6">
        <f t="shared" si="2"/>
        <v>0</v>
      </c>
      <c r="P6" t="s">
        <v>683</v>
      </c>
      <c r="Q6" t="s">
        <v>684</v>
      </c>
      <c r="R6">
        <f t="shared" si="3"/>
        <v>0</v>
      </c>
      <c r="S6" t="s">
        <v>694</v>
      </c>
      <c r="V6" s="102" t="str">
        <f>IF(totales!D7="temporal",IF(totales!E7="1"&amp;totales!H7="0"&amp;totales!I7="0"&amp;totales!J7="0","a",IF(totales!E7="2"&amp;totales!H7="0"&amp;totales!I7="0"&amp;totales!J7="0","b",IF(totales!E7="3"&amp;totales!H7="0"&amp;totales!I7="0"&amp;totales!J7="0","c",IF(totales!E7="4"&amp;totales!H7="0"&amp;totales!I7="0"&amp;totales!J7="0","d",IF(totales!E7="6"&amp;totales!H7="0"&amp;totales!I7="0"&amp;totales!J7="0","e",IF(totales!E7="1"&amp;totales!H7="1"&amp;totales!I7="0"&amp;totales!J7="0","f",IF(totales!E7="2"&amp;totales!H7="1"&amp;totales!I7="0"&amp;totales!J7="0","g",IF(totales!E7="3"&amp;totales!H7="1"&amp;totales!I7="0"&amp;totales!J7="0","h",IF(totales!E7="4"&amp;totales!H7="1"&amp;totales!I7="0"&amp;totales!J7="0","i",IF(totales!E7="6"&amp;totales!H7="1"&amp;totales!I7="0"&amp;totales!J7="0","j",IF(totales!E7="1"&amp;totales!H7="2"&amp;totales!I7="0"&amp;totales!J7="0","k",IF(totales!E7="2"&amp;totales!H7="2"&amp;totales!I7="0"&amp;totales!J7="0","l",IF(totales!E7="3"&amp;totales!H7="2"&amp;totales!I7="0"&amp;totales!J7="0","m",IF(totales!E7="4"&amp;totales!H7="2"&amp;totales!I7="0"&amp;totales!J7="0","n",IF(totales!E7="6"&amp;totales!H7="2"&amp;totales!I7="0"&amp;totales!J7="0","o",IF(totales!E7="1"&amp;totales!H7="0"&amp;totales!I7="1"&amp;totales!J7="0","p",IF(totales!E7="2"&amp;totales!H7="0"&amp;totales!I7="1"&amp;totales!J7="0","q",IF(totales!E7="3"&amp;totales!H7="0"&amp;totales!I7="1"&amp;totales!J7="0","r",IF(totales!E7="4"&amp;totales!H7="0"&amp;totales!I7="1"&amp;totales!J7="0","s",IF(totales!E7="6"&amp;totales!H7="0"&amp;totales!I7="1"&amp;totales!J7="0","t",IF(totales!E7="1"&amp;totales!H7="2"&amp;totales!I7="1"&amp;totales!J7="0","u",IF(totales!E7="2"&amp;totales!H7="2"&amp;totales!I7="1"&amp;totales!J7="0","v",IF(totales!E7="3"&amp;totales!H7="2"&amp;totales!I7="1"&amp;totales!J7="0","w",IF(totales!E7="4"&amp;totales!H7="2"&amp;totales!I7="1"&amp;totales!J7="0","x",IF(totales!E7="6"&amp;totales!H7="2"&amp;totales!I7="1"&amp;totales!J7="0","y",IF(totales!E7="1"&amp;totales!H7="1"&amp;totales!I7="1"&amp;totales!J7="0","z",IF(totales!E7="2"&amp;totales!H7="1"&amp;totales!I7="1"&amp;totales!J7="0","0",IF(totales!E7="3"&amp;totales!H7="1"&amp;totales!I7="1"&amp;totales!J7="0","1",IF(totales!E7="4"&amp;totales!H7="1"&amp;totales!I7="1"&amp;totales!J7="0","2",IF(totales!E7="6"&amp;totales!H7="1"&amp;totales!I7="1"&amp;totales!J7="0","3",IF(totales!E7="1"&amp;totales!H7="0"&amp;totales!I7="1"&amp;totales!J7="1","4",IF(totales!E7="2"&amp;totales!H7="0"&amp;totales!I7="1"&amp;totales!J7="1","5",IF(totales!E7="3"&amp;totales!H7="0"&amp;totales!I7="1"&amp;totales!J7="1","6",IF(totales!E7="4"&amp;totales!H7="0"&amp;totales!I7="1"&amp;totales!J7="1","7",IF(totales!E7="6"&amp;totales!H7="0"&amp;totales!I7="1"&amp;totales!J7="1","8",IF(totales!E7="1"&amp;totales!H7="1"&amp;totales!I7="0"&amp;totales!J7="1","9","Geen gegevens")))))))))))))))))))))))))))))))))))),"ERROR")</f>
        <v>Geen gegevens</v>
      </c>
    </row>
    <row r="7" spans="1:22" ht="15">
      <c r="B7" s="1">
        <v>2</v>
      </c>
      <c r="C7">
        <v>1</v>
      </c>
      <c r="D7">
        <v>0</v>
      </c>
      <c r="E7">
        <v>0</v>
      </c>
      <c r="F7" t="s">
        <v>681</v>
      </c>
      <c r="G7" t="s">
        <v>682</v>
      </c>
      <c r="H7" t="s">
        <v>690</v>
      </c>
      <c r="I7">
        <f t="shared" si="0"/>
        <v>2</v>
      </c>
      <c r="J7" t="s">
        <v>683</v>
      </c>
      <c r="K7" t="s">
        <v>689</v>
      </c>
      <c r="L7">
        <f t="shared" si="1"/>
        <v>1</v>
      </c>
      <c r="M7" t="s">
        <v>683</v>
      </c>
      <c r="N7" t="s">
        <v>688</v>
      </c>
      <c r="O7">
        <f t="shared" si="2"/>
        <v>0</v>
      </c>
      <c r="P7" t="s">
        <v>683</v>
      </c>
      <c r="Q7" t="s">
        <v>684</v>
      </c>
      <c r="R7">
        <f t="shared" si="3"/>
        <v>0</v>
      </c>
      <c r="S7" t="s">
        <v>692</v>
      </c>
      <c r="V7" s="102" t="str">
        <f>IF(totales!D8="temporal",IF(totales!E8="1"&amp;totales!H8="0"&amp;totales!I8="0"&amp;totales!J8="0","a",IF(totales!E8="2"&amp;totales!H8="0"&amp;totales!I8="0"&amp;totales!J8="0","b",IF(totales!E8="3"&amp;totales!H8="0"&amp;totales!I8="0"&amp;totales!J8="0","c",IF(totales!E8="4"&amp;totales!H8="0"&amp;totales!I8="0"&amp;totales!J8="0","d",IF(totales!E8="6"&amp;totales!H8="0"&amp;totales!I8="0"&amp;totales!J8="0","e",IF(totales!E8="1"&amp;totales!H8="1"&amp;totales!I8="0"&amp;totales!J8="0","f",IF(totales!E8="2"&amp;totales!H8="1"&amp;totales!I8="0"&amp;totales!J8="0","g",IF(totales!E8="3"&amp;totales!H8="1"&amp;totales!I8="0"&amp;totales!J8="0","h",IF(totales!E8="4"&amp;totales!H8="1"&amp;totales!I8="0"&amp;totales!J8="0","i",IF(totales!E8="6"&amp;totales!H8="1"&amp;totales!I8="0"&amp;totales!J8="0","j",IF(totales!E8="1"&amp;totales!H8="2"&amp;totales!I8="0"&amp;totales!J8="0","k",IF(totales!E8="2"&amp;totales!H8="2"&amp;totales!I8="0"&amp;totales!J8="0","l",IF(totales!E8="3"&amp;totales!H8="2"&amp;totales!I8="0"&amp;totales!J8="0","m",IF(totales!E8="4"&amp;totales!H8="2"&amp;totales!I8="0"&amp;totales!J8="0","n",IF(totales!E8="6"&amp;totales!H8="2"&amp;totales!I8="0"&amp;totales!J8="0","o",IF(totales!E8="1"&amp;totales!H8="0"&amp;totales!I8="1"&amp;totales!J8="0","p",IF(totales!E8="2"&amp;totales!H8="0"&amp;totales!I8="1"&amp;totales!J8="0","q",IF(totales!E8="3"&amp;totales!H8="0"&amp;totales!I8="1"&amp;totales!J8="0","r",IF(totales!E8="4"&amp;totales!H8="0"&amp;totales!I8="1"&amp;totales!J8="0","s",IF(totales!E8="6"&amp;totales!H8="0"&amp;totales!I8="1"&amp;totales!J8="0","t",IF(totales!E8="1"&amp;totales!H8="2"&amp;totales!I8="1"&amp;totales!J8="0","u",IF(totales!E8="2"&amp;totales!H8="2"&amp;totales!I8="1"&amp;totales!J8="0","v",IF(totales!E8="3"&amp;totales!H8="2"&amp;totales!I8="1"&amp;totales!J8="0","w",IF(totales!E8="4"&amp;totales!H8="2"&amp;totales!I8="1"&amp;totales!J8="0","x",IF(totales!E8="6"&amp;totales!H8="2"&amp;totales!I8="1"&amp;totales!J8="0","y",IF(totales!E8="1"&amp;totales!H8="1"&amp;totales!I8="1"&amp;totales!J8="0","z",IF(totales!E8="2"&amp;totales!H8="1"&amp;totales!I8="1"&amp;totales!J8="0","0",IF(totales!E8="3"&amp;totales!H8="1"&amp;totales!I8="1"&amp;totales!J8="0","1",IF(totales!E8="4"&amp;totales!H8="1"&amp;totales!I8="1"&amp;totales!J8="0","2",IF(totales!E8="6"&amp;totales!H8="1"&amp;totales!I8="1"&amp;totales!J8="0","3",IF(totales!E8="1"&amp;totales!H8="0"&amp;totales!I8="1"&amp;totales!J8="1","4",IF(totales!E8="2"&amp;totales!H8="0"&amp;totales!I8="1"&amp;totales!J8="1","5",IF(totales!E8="3"&amp;totales!H8="0"&amp;totales!I8="1"&amp;totales!J8="1","6",IF(totales!E8="4"&amp;totales!H8="0"&amp;totales!I8="1"&amp;totales!J8="1","7",IF(totales!E8="6"&amp;totales!H8="0"&amp;totales!I8="1"&amp;totales!J8="1","8",IF(totales!E8="1"&amp;totales!H8="1"&amp;totales!I8="0"&amp;totales!J8="1","9","Geen gegevens")))))))))))))))))))))))))))))))))))),"ERROR")</f>
        <v>Geen gegevens</v>
      </c>
    </row>
    <row r="8" spans="1:22" ht="15">
      <c r="B8" s="1">
        <v>3</v>
      </c>
      <c r="C8">
        <v>1</v>
      </c>
      <c r="D8">
        <v>0</v>
      </c>
      <c r="E8">
        <v>0</v>
      </c>
      <c r="F8" t="s">
        <v>681</v>
      </c>
      <c r="G8" t="s">
        <v>682</v>
      </c>
      <c r="H8" t="s">
        <v>690</v>
      </c>
      <c r="I8">
        <f t="shared" si="0"/>
        <v>3</v>
      </c>
      <c r="J8" t="s">
        <v>683</v>
      </c>
      <c r="K8" t="s">
        <v>689</v>
      </c>
      <c r="L8">
        <f t="shared" si="1"/>
        <v>1</v>
      </c>
      <c r="M8" t="s">
        <v>683</v>
      </c>
      <c r="N8" t="s">
        <v>688</v>
      </c>
      <c r="O8">
        <f t="shared" si="2"/>
        <v>0</v>
      </c>
      <c r="P8" t="s">
        <v>683</v>
      </c>
      <c r="Q8" t="s">
        <v>684</v>
      </c>
      <c r="R8">
        <f t="shared" si="3"/>
        <v>0</v>
      </c>
      <c r="S8" t="s">
        <v>693</v>
      </c>
      <c r="V8" s="102" t="str">
        <f>IF(totales!D9="temporal",IF(totales!E9="1"&amp;totales!H9="0"&amp;totales!I9="0"&amp;totales!J9="0","a",IF(totales!E9="2"&amp;totales!H9="0"&amp;totales!I9="0"&amp;totales!J9="0","b",IF(totales!E9="3"&amp;totales!H9="0"&amp;totales!I9="0"&amp;totales!J9="0","c",IF(totales!E9="4"&amp;totales!H9="0"&amp;totales!I9="0"&amp;totales!J9="0","d",IF(totales!E9="6"&amp;totales!H9="0"&amp;totales!I9="0"&amp;totales!J9="0","e",IF(totales!E9="1"&amp;totales!H9="1"&amp;totales!I9="0"&amp;totales!J9="0","f",IF(totales!E9="2"&amp;totales!H9="1"&amp;totales!I9="0"&amp;totales!J9="0","g",IF(totales!E9="3"&amp;totales!H9="1"&amp;totales!I9="0"&amp;totales!J9="0","h",IF(totales!E9="4"&amp;totales!H9="1"&amp;totales!I9="0"&amp;totales!J9="0","i",IF(totales!E9="6"&amp;totales!H9="1"&amp;totales!I9="0"&amp;totales!J9="0","j",IF(totales!E9="1"&amp;totales!H9="2"&amp;totales!I9="0"&amp;totales!J9="0","k",IF(totales!E9="2"&amp;totales!H9="2"&amp;totales!I9="0"&amp;totales!J9="0","l",IF(totales!E9="3"&amp;totales!H9="2"&amp;totales!I9="0"&amp;totales!J9="0","m",IF(totales!E9="4"&amp;totales!H9="2"&amp;totales!I9="0"&amp;totales!J9="0","n",IF(totales!E9="6"&amp;totales!H9="2"&amp;totales!I9="0"&amp;totales!J9="0","o",IF(totales!E9="1"&amp;totales!H9="0"&amp;totales!I9="1"&amp;totales!J9="0","p",IF(totales!E9="2"&amp;totales!H9="0"&amp;totales!I9="1"&amp;totales!J9="0","q",IF(totales!E9="3"&amp;totales!H9="0"&amp;totales!I9="1"&amp;totales!J9="0","r",IF(totales!E9="4"&amp;totales!H9="0"&amp;totales!I9="1"&amp;totales!J9="0","s",IF(totales!E9="6"&amp;totales!H9="0"&amp;totales!I9="1"&amp;totales!J9="0","t",IF(totales!E9="1"&amp;totales!H9="2"&amp;totales!I9="1"&amp;totales!J9="0","u",IF(totales!E9="2"&amp;totales!H9="2"&amp;totales!I9="1"&amp;totales!J9="0","v",IF(totales!E9="3"&amp;totales!H9="2"&amp;totales!I9="1"&amp;totales!J9="0","w",IF(totales!E9="4"&amp;totales!H9="2"&amp;totales!I9="1"&amp;totales!J9="0","x",IF(totales!E9="6"&amp;totales!H9="2"&amp;totales!I9="1"&amp;totales!J9="0","y",IF(totales!E9="1"&amp;totales!H9="1"&amp;totales!I9="1"&amp;totales!J9="0","z",IF(totales!E9="2"&amp;totales!H9="1"&amp;totales!I9="1"&amp;totales!J9="0","0",IF(totales!E9="3"&amp;totales!H9="1"&amp;totales!I9="1"&amp;totales!J9="0","1",IF(totales!E9="4"&amp;totales!H9="1"&amp;totales!I9="1"&amp;totales!J9="0","2",IF(totales!E9="6"&amp;totales!H9="1"&amp;totales!I9="1"&amp;totales!J9="0","3",IF(totales!E9="1"&amp;totales!H9="0"&amp;totales!I9="1"&amp;totales!J9="1","4",IF(totales!E9="2"&amp;totales!H9="0"&amp;totales!I9="1"&amp;totales!J9="1","5",IF(totales!E9="3"&amp;totales!H9="0"&amp;totales!I9="1"&amp;totales!J9="1","6",IF(totales!E9="4"&amp;totales!H9="0"&amp;totales!I9="1"&amp;totales!J9="1","7",IF(totales!E9="6"&amp;totales!H9="0"&amp;totales!I9="1"&amp;totales!J9="1","8",IF(totales!E9="1"&amp;totales!H9="1"&amp;totales!I9="0"&amp;totales!J9="1","9","Geen gegevens")))))))))))))))))))))))))))))))))))),"ERROR")</f>
        <v>Geen gegevens</v>
      </c>
    </row>
    <row r="9" spans="1:22" ht="15">
      <c r="B9" s="1">
        <v>4</v>
      </c>
      <c r="C9">
        <v>1</v>
      </c>
      <c r="D9">
        <v>0</v>
      </c>
      <c r="E9">
        <v>0</v>
      </c>
      <c r="F9" t="s">
        <v>681</v>
      </c>
      <c r="G9" t="s">
        <v>682</v>
      </c>
      <c r="H9" t="s">
        <v>690</v>
      </c>
      <c r="I9">
        <f t="shared" si="0"/>
        <v>4</v>
      </c>
      <c r="J9" t="s">
        <v>683</v>
      </c>
      <c r="K9" t="s">
        <v>689</v>
      </c>
      <c r="L9">
        <f t="shared" si="1"/>
        <v>1</v>
      </c>
      <c r="M9" t="s">
        <v>683</v>
      </c>
      <c r="N9" t="s">
        <v>688</v>
      </c>
      <c r="O9">
        <f t="shared" si="2"/>
        <v>0</v>
      </c>
      <c r="P9" t="s">
        <v>683</v>
      </c>
      <c r="Q9" t="s">
        <v>684</v>
      </c>
      <c r="R9">
        <f t="shared" si="3"/>
        <v>0</v>
      </c>
      <c r="S9" t="s">
        <v>694</v>
      </c>
      <c r="V9" s="102" t="b">
        <f>IF(totales!D10="temporal",IF(totales!E10="1"&amp;totales!H10="0"&amp;totales!I10="0"&amp;totales!J10="0","a",IF(totales!E10="2"&amp;totales!H10="0"&amp;totales!I10="0"&amp;totales!J10="0","b",IF(totales!E10="3"&amp;totales!H10="0"&amp;totales!I10="0"&amp;totales!J10="0","c",IF(totales!E10="4"&amp;totales!H10="0"&amp;totales!I10="0"&amp;totales!J10="0","d",IF(totales!E10="6"&amp;totales!H10="0"&amp;totales!I10="0"&amp;totales!J10="0","e",IF(totales!E10="1"&amp;totales!H10="1"&amp;totales!I10="0"&amp;totales!J10="0","f",IF(totales!E10="2"&amp;totales!H10="1"&amp;totales!I10="0"&amp;totales!J10="0","g",IF(totales!E10="3"&amp;totales!H10="1"&amp;totales!I10="0"&amp;totales!J10="0","h",IF(totales!E10="4"&amp;totales!H10="1"&amp;totales!I10="0"&amp;totales!J10="0","i",IF(totales!E10="6"&amp;totales!H10="1"&amp;totales!I10="0"&amp;totales!J10="0","j",IF(totales!E10="1"&amp;totales!H10="2"&amp;totales!I10="0"&amp;totales!J10="0","k",IF(totales!E10="2"&amp;totales!H10="2"&amp;totales!I10="0"&amp;totales!J10="0","l",IF(totales!E10="3"&amp;totales!H10="2"&amp;totales!I10="0"&amp;totales!J10="0","m",
IF(totales!E10="4"&amp;totales!H10="2"&amp;totales!I10="0"&amp;totales!J10="0","n",IF(totales!E10="6"&amp;totales!H10="2"&amp;totales!I10="0"&amp;totales!J10="0","o",IF(totales!E10="1"&amp;totales!H10="0"&amp;totales!I10="1"&amp;totales!J10="0","p",IF(totales!E10="2"&amp;totales!H10="0"&amp;totales!I10="1"&amp;totales!J10="0","q",IF(totales!E10="3"&amp;totales!H10="0"&amp;totales!I10="1"&amp;totales!J10="0","r",IF(totales!E10="4"&amp;totales!H10="0"&amp;totales!I10="1"&amp;totales!J10="0","s",IF(totales!E10="6"&amp;totales!H10="0"&amp;totales!I10="1"&amp;totales!J10="0","t",IF(totales!E10="1"&amp;totales!H10="2"&amp;totales!I10="1"&amp;totales!J10="0","u",IF(totales!E10="2"&amp;totales!H10="2"&amp;totales!I10="1"&amp;totales!J10="0","v",IF(totales!E10="3"&amp;totales!H10="2"&amp;totales!I10="1"&amp;totales!J10="0","w",IF(totales!E10="4"&amp;totales!H10="2"&amp;totales!I10="1"&amp;totales!J10="0","x",
IF(totales!E10="6"&amp;totales!H10="2"&amp;totales!I10="1"&amp;totales!J10="0","y",IF(totales!E10="1"&amp;totales!H10="1"&amp;totales!I10="1"&amp;totales!J10="0","z",IF(totales!E10="2"&amp;totales!H10="1"&amp;totales!I10="1"&amp;totales!J10="0","0",IF(totales!E10="3"&amp;totales!H10="1"&amp;totales!I10="1"&amp;totales!J10="0","1",IF(totales!E10="4"&amp;totales!H10="1"&amp;totales!I10="1"&amp;totales!J10="0","2",IF(totales!E10="6"&amp;totales!H10="1"&amp;totales!I10="1"&amp;totales!J10="0","3",IF(totales!E10="1"&amp;totales!H10="0"&amp;totales!I10="1"&amp;totales!J10="1","4",IF(totales!E10="2"&amp;totales!H10="0"&amp;totales!I10="1"&amp;totales!J10="1","5",IF(totales!E10="3"&amp;totales!H10="0"&amp;totales!I10="1"&amp;totales!J10="1","6",IF(totales!E10="4"&amp;totales!H10="0"&amp;totales!I10="1"&amp;totales!J10="1","7",IF(totales!E10="6"&amp;totales!H10="0"&amp;totales!I10="1"&amp;totales!J10="1","8",IF(totales!E10="1"&amp;totales!H10="1"&amp;totales!I10="0"&amp;totales!J10="1","9")))))))))))))))))))))))))))))))))))),"ERROR")</f>
        <v>0</v>
      </c>
    </row>
    <row r="10" spans="1:22" ht="15">
      <c r="B10" s="1">
        <v>6</v>
      </c>
      <c r="C10">
        <v>1</v>
      </c>
      <c r="D10">
        <v>0</v>
      </c>
      <c r="E10">
        <v>0</v>
      </c>
      <c r="F10" t="s">
        <v>681</v>
      </c>
      <c r="G10" t="s">
        <v>682</v>
      </c>
      <c r="H10" t="s">
        <v>690</v>
      </c>
      <c r="I10">
        <f t="shared" si="0"/>
        <v>6</v>
      </c>
      <c r="J10" t="s">
        <v>683</v>
      </c>
      <c r="K10" t="s">
        <v>689</v>
      </c>
      <c r="L10">
        <f t="shared" si="1"/>
        <v>1</v>
      </c>
      <c r="M10" t="s">
        <v>683</v>
      </c>
      <c r="N10" t="s">
        <v>688</v>
      </c>
      <c r="O10">
        <f t="shared" si="2"/>
        <v>0</v>
      </c>
      <c r="P10" t="s">
        <v>683</v>
      </c>
      <c r="Q10" t="s">
        <v>684</v>
      </c>
      <c r="R10">
        <f t="shared" si="3"/>
        <v>0</v>
      </c>
      <c r="S10" t="s">
        <v>692</v>
      </c>
      <c r="V10" s="102" t="str">
        <f>IF(totales!D11="temporal",IF(totales!E11="1"&amp;totales!H11="0"&amp;totales!I11="0"&amp;totales!J11="0","a",IF(totales!E11="2"&amp;totales!H11="0"&amp;totales!I11="0"&amp;totales!J11="0","b",IF(totales!E11="3"&amp;totales!H11="0"&amp;totales!I11="0"&amp;totales!J11="0","c",IF(totales!E11="4"&amp;totales!H11="0"&amp;totales!I11="0"&amp;totales!J11="0","d",IF(totales!E11="6"&amp;totales!H11="0"&amp;totales!I11="0"&amp;totales!J11="0","e",IF(totales!E11="1"&amp;totales!H11="1"&amp;totales!I11="0"&amp;totales!J11="0","f",IF(totales!E11="2"&amp;totales!H11="1"&amp;totales!I11="0"&amp;totales!J11="0","g",IF(totales!E11="3"&amp;totales!H11="1"&amp;totales!I11="0"&amp;totales!J11="0","h",IF(totales!E11="4"&amp;totales!H11="1"&amp;totales!I11="0"&amp;totales!J11="0","i",IF(totales!E11="6"&amp;totales!H11="1"&amp;totales!I11="0"&amp;totales!J11="0","j",IF(totales!E11="1"&amp;totales!H11="2"&amp;totales!I11="0"&amp;totales!J11="0","k",IF(totales!E11="2"&amp;totales!H11="2"&amp;totales!I11="0"&amp;totales!J11="0","l",IF(totales!E11="3"&amp;totales!H11="2"&amp;totales!I11="0"&amp;totales!J11="0","m",
IF(totales!E11="4"&amp;totales!H11="2"&amp;totales!I11="0"&amp;totales!J11="0","n",IF(totales!E11="6"&amp;totales!H11="2"&amp;totales!I11="0"&amp;totales!J11="0","o",IF(totales!E11="1"&amp;totales!H11="0"&amp;totales!I11="1"&amp;totales!J11="0","p",IF(totales!E11="2"&amp;totales!H11="0"&amp;totales!I11="1"&amp;totales!J11="0","q",IF(totales!E11="3"&amp;totales!H11="0"&amp;totales!I11="1"&amp;totales!J11="0","r",IF(totales!E11="4"&amp;totales!H11="0"&amp;totales!I11="1"&amp;totales!J11="0","s",IF(totales!E11="6"&amp;totales!H11="0"&amp;totales!I11="1"&amp;totales!J11="0","t",IF(totales!E11="1"&amp;totales!H11="2"&amp;totales!I11="1"&amp;totales!J11="0","u",IF(totales!E11="2"&amp;totales!H11="2"&amp;totales!I11="1"&amp;totales!J11="0","v",IF(totales!E11="3"&amp;totales!H11="2"&amp;totales!I11="1"&amp;totales!J11="0","w",IF(totales!E11="4"&amp;totales!H11="2"&amp;totales!I11="1"&amp;totales!J11="0","x",
IF(totales!E11="6"&amp;totales!H11="2"&amp;totales!I11="1"&amp;totales!J11="0","y",IF(totales!E11="1"&amp;totales!H11="1"&amp;totales!I11="1"&amp;totales!J11="0","z",IF(totales!E11="2"&amp;totales!H11="1"&amp;totales!I11="1"&amp;totales!J11="0","0",IF(totales!E11="3"&amp;totales!H11="1"&amp;totales!I11="1"&amp;totales!J11="0","1",IF(totales!E11="4"&amp;totales!H11="1"&amp;totales!I11="1"&amp;totales!J11="0","2",IF(totales!E11="6"&amp;totales!H11="1"&amp;totales!I11="1"&amp;totales!J11="0","3",IF(totales!E11="1"&amp;totales!H11="0"&amp;totales!I11="1"&amp;totales!J11="1","4",IF(totales!E11="2"&amp;totales!H11="0"&amp;totales!I11="1"&amp;totales!J11="1","5",IF(totales!E11="3"&amp;totales!H11="0"&amp;totales!I11="1"&amp;totales!J11="1","6",IF(totales!E11="4"&amp;totales!H11="0"&amp;totales!I11="1"&amp;totales!J11="1","7",IF(totales!E11="6"&amp;totales!H11="0"&amp;totales!I11="1"&amp;totales!J11="1","8",IF(totales!E11="1"&amp;totales!H11="1"&amp;totales!I11="0"&amp;totales!J11="1","9")))))))))))))))))))))))))))))))))))),"ERROR")</f>
        <v>ERROR</v>
      </c>
    </row>
    <row r="11" spans="1:22" ht="15">
      <c r="B11" s="1">
        <v>1</v>
      </c>
      <c r="C11">
        <v>2</v>
      </c>
      <c r="D11">
        <v>0</v>
      </c>
      <c r="E11">
        <v>0</v>
      </c>
      <c r="F11" t="s">
        <v>681</v>
      </c>
      <c r="G11" t="s">
        <v>682</v>
      </c>
      <c r="H11" t="s">
        <v>690</v>
      </c>
      <c r="I11">
        <f t="shared" si="0"/>
        <v>1</v>
      </c>
      <c r="J11" t="s">
        <v>683</v>
      </c>
      <c r="K11" t="s">
        <v>689</v>
      </c>
      <c r="L11">
        <f t="shared" si="1"/>
        <v>2</v>
      </c>
      <c r="M11" t="s">
        <v>683</v>
      </c>
      <c r="N11" t="s">
        <v>688</v>
      </c>
      <c r="O11">
        <f t="shared" si="2"/>
        <v>0</v>
      </c>
      <c r="P11" t="s">
        <v>683</v>
      </c>
      <c r="Q11" t="s">
        <v>684</v>
      </c>
      <c r="R11">
        <f t="shared" si="3"/>
        <v>0</v>
      </c>
      <c r="S11" t="s">
        <v>693</v>
      </c>
      <c r="V11" s="102" t="b">
        <f>IF(totales!D12="temporal",IF(totales!E12="1"&amp;totales!H12="0"&amp;totales!I12="0"&amp;totales!J12="0","a",IF(totales!E12="2"&amp;totales!H12="0"&amp;totales!I12="0"&amp;totales!J12="0","b",IF(totales!E12="3"&amp;totales!H12="0"&amp;totales!I12="0"&amp;totales!J12="0","c",IF(totales!E12="4"&amp;totales!H12="0"&amp;totales!I12="0"&amp;totales!J12="0","d",IF(totales!E12="6"&amp;totales!H12="0"&amp;totales!I12="0"&amp;totales!J12="0","e",IF(totales!E12="1"&amp;totales!H12="1"&amp;totales!I12="0"&amp;totales!J12="0","f",IF(totales!E12="2"&amp;totales!H12="1"&amp;totales!I12="0"&amp;totales!J12="0","g",IF(totales!E12="3"&amp;totales!H12="1"&amp;totales!I12="0"&amp;totales!J12="0","h",IF(totales!E12="4"&amp;totales!H12="1"&amp;totales!I12="0"&amp;totales!J12="0","i",IF(totales!E12="6"&amp;totales!H12="1"&amp;totales!I12="0"&amp;totales!J12="0","j",IF(totales!E12="1"&amp;totales!H12="2"&amp;totales!I12="0"&amp;totales!J12="0","k",IF(totales!E12="2"&amp;totales!H12="2"&amp;totales!I12="0"&amp;totales!J12="0","l",IF(totales!E12="3"&amp;totales!H12="2"&amp;totales!I12="0"&amp;totales!J12="0","m",
IF(totales!E12="4"&amp;totales!H12="2"&amp;totales!I12="0"&amp;totales!J12="0","n",IF(totales!E12="6"&amp;totales!H12="2"&amp;totales!I12="0"&amp;totales!J12="0","o",IF(totales!E12="1"&amp;totales!H12="0"&amp;totales!I12="1"&amp;totales!J12="0","p",IF(totales!E12="2"&amp;totales!H12="0"&amp;totales!I12="1"&amp;totales!J12="0","q",IF(totales!E12="3"&amp;totales!H12="0"&amp;totales!I12="1"&amp;totales!J12="0","r",IF(totales!E12="4"&amp;totales!H12="0"&amp;totales!I12="1"&amp;totales!J12="0","s",IF(totales!E12="6"&amp;totales!H12="0"&amp;totales!I12="1"&amp;totales!J12="0","t",IF(totales!E12="1"&amp;totales!H12="2"&amp;totales!I12="1"&amp;totales!J12="0","u",IF(totales!E12="2"&amp;totales!H12="2"&amp;totales!I12="1"&amp;totales!J12="0","v",IF(totales!E12="3"&amp;totales!H12="2"&amp;totales!I12="1"&amp;totales!J12="0","w",IF(totales!E12="4"&amp;totales!H12="2"&amp;totales!I12="1"&amp;totales!J12="0","x",
IF(totales!E12="6"&amp;totales!H12="2"&amp;totales!I12="1"&amp;totales!J12="0","y",IF(totales!E12="1"&amp;totales!H12="1"&amp;totales!I12="1"&amp;totales!J12="0","z",IF(totales!E12="2"&amp;totales!H12="1"&amp;totales!I12="1"&amp;totales!J12="0","0",IF(totales!E12="3"&amp;totales!H12="1"&amp;totales!I12="1"&amp;totales!J12="0","1",IF(totales!E12="4"&amp;totales!H12="1"&amp;totales!I12="1"&amp;totales!J12="0","2",IF(totales!E12="6"&amp;totales!H12="1"&amp;totales!I12="1"&amp;totales!J12="0","3",IF(totales!E12="1"&amp;totales!H12="0"&amp;totales!I12="1"&amp;totales!J12="1","4",IF(totales!E12="2"&amp;totales!H12="0"&amp;totales!I12="1"&amp;totales!J12="1","5",IF(totales!E12="3"&amp;totales!H12="0"&amp;totales!I12="1"&amp;totales!J12="1","6",IF(totales!E12="4"&amp;totales!H12="0"&amp;totales!I12="1"&amp;totales!J12="1","7",IF(totales!E12="6"&amp;totales!H12="0"&amp;totales!I12="1"&amp;totales!J12="1","8",IF(totales!E12="1"&amp;totales!H12="1"&amp;totales!I12="0"&amp;totales!J12="1","9")))))))))))))))))))))))))))))))))))),"ERROR")</f>
        <v>0</v>
      </c>
    </row>
    <row r="12" spans="1:22" ht="15">
      <c r="B12" s="1">
        <v>2</v>
      </c>
      <c r="C12">
        <v>2</v>
      </c>
      <c r="D12">
        <v>0</v>
      </c>
      <c r="E12">
        <v>0</v>
      </c>
      <c r="F12" t="s">
        <v>681</v>
      </c>
      <c r="G12" t="s">
        <v>682</v>
      </c>
      <c r="H12" t="s">
        <v>690</v>
      </c>
      <c r="I12">
        <f t="shared" si="0"/>
        <v>2</v>
      </c>
      <c r="J12" t="s">
        <v>683</v>
      </c>
      <c r="K12" t="s">
        <v>689</v>
      </c>
      <c r="L12">
        <f t="shared" si="1"/>
        <v>2</v>
      </c>
      <c r="M12" t="s">
        <v>683</v>
      </c>
      <c r="N12" t="s">
        <v>688</v>
      </c>
      <c r="O12">
        <f t="shared" si="2"/>
        <v>0</v>
      </c>
      <c r="P12" t="s">
        <v>683</v>
      </c>
      <c r="Q12" t="s">
        <v>684</v>
      </c>
      <c r="R12">
        <f t="shared" si="3"/>
        <v>0</v>
      </c>
      <c r="S12" t="s">
        <v>694</v>
      </c>
      <c r="V12" s="102" t="str">
        <f>IF(totales!D13="temporal",IF(totales!E13="1"&amp;totales!H13="0"&amp;totales!I13="0"&amp;totales!J13="0","a",IF(totales!E13="2"&amp;totales!H13="0"&amp;totales!I13="0"&amp;totales!J13="0","b",IF(totales!E13="3"&amp;totales!H13="0"&amp;totales!I13="0"&amp;totales!J13="0","c",IF(totales!E13="4"&amp;totales!H13="0"&amp;totales!I13="0"&amp;totales!J13="0","d",IF(totales!E13="6"&amp;totales!H13="0"&amp;totales!I13="0"&amp;totales!J13="0","e",IF(totales!E13="1"&amp;totales!H13="1"&amp;totales!I13="0"&amp;totales!J13="0","f",IF(totales!E13="2"&amp;totales!H13="1"&amp;totales!I13="0"&amp;totales!J13="0","g",IF(totales!E13="3"&amp;totales!H13="1"&amp;totales!I13="0"&amp;totales!J13="0","h",IF(totales!E13="4"&amp;totales!H13="1"&amp;totales!I13="0"&amp;totales!J13="0","i",IF(totales!E13="6"&amp;totales!H13="1"&amp;totales!I13="0"&amp;totales!J13="0","j",IF(totales!E13="1"&amp;totales!H13="2"&amp;totales!I13="0"&amp;totales!J13="0","k",IF(totales!E13="2"&amp;totales!H13="2"&amp;totales!I13="0"&amp;totales!J13="0","l",IF(totales!E13="3"&amp;totales!H13="2"&amp;totales!I13="0"&amp;totales!J13="0","m",
IF(totales!E13="4"&amp;totales!H13="2"&amp;totales!I13="0"&amp;totales!J13="0","n",IF(totales!E13="6"&amp;totales!H13="2"&amp;totales!I13="0"&amp;totales!J13="0","o",IF(totales!E13="1"&amp;totales!H13="0"&amp;totales!I13="1"&amp;totales!J13="0","p",IF(totales!E13="2"&amp;totales!H13="0"&amp;totales!I13="1"&amp;totales!J13="0","q",IF(totales!E13="3"&amp;totales!H13="0"&amp;totales!I13="1"&amp;totales!J13="0","r",IF(totales!E13="4"&amp;totales!H13="0"&amp;totales!I13="1"&amp;totales!J13="0","s",IF(totales!E13="6"&amp;totales!H13="0"&amp;totales!I13="1"&amp;totales!J13="0","t",IF(totales!E13="1"&amp;totales!H13="2"&amp;totales!I13="1"&amp;totales!J13="0","u",IF(totales!E13="2"&amp;totales!H13="2"&amp;totales!I13="1"&amp;totales!J13="0","v",IF(totales!E13="3"&amp;totales!H13="2"&amp;totales!I13="1"&amp;totales!J13="0","w",IF(totales!E13="4"&amp;totales!H13="2"&amp;totales!I13="1"&amp;totales!J13="0","x",
IF(totales!E13="6"&amp;totales!H13="2"&amp;totales!I13="1"&amp;totales!J13="0","y",IF(totales!E13="1"&amp;totales!H13="1"&amp;totales!I13="1"&amp;totales!J13="0","z",IF(totales!E13="2"&amp;totales!H13="1"&amp;totales!I13="1"&amp;totales!J13="0","0",IF(totales!E13="3"&amp;totales!H13="1"&amp;totales!I13="1"&amp;totales!J13="0","1",IF(totales!E13="4"&amp;totales!H13="1"&amp;totales!I13="1"&amp;totales!J13="0","2",IF(totales!E13="6"&amp;totales!H13="1"&amp;totales!I13="1"&amp;totales!J13="0","3",IF(totales!E13="1"&amp;totales!H13="0"&amp;totales!I13="1"&amp;totales!J13="1","4",IF(totales!E13="2"&amp;totales!H13="0"&amp;totales!I13="1"&amp;totales!J13="1","5",IF(totales!E13="3"&amp;totales!H13="0"&amp;totales!I13="1"&amp;totales!J13="1","6",IF(totales!E13="4"&amp;totales!H13="0"&amp;totales!I13="1"&amp;totales!J13="1","7",IF(totales!E13="6"&amp;totales!H13="0"&amp;totales!I13="1"&amp;totales!J13="1","8",IF(totales!E13="1"&amp;totales!H13="1"&amp;totales!I13="0"&amp;totales!J13="1","9")))))))))))))))))))))))))))))))))))),"ERROR")</f>
        <v>ERROR</v>
      </c>
    </row>
    <row r="13" spans="1:22" ht="15">
      <c r="B13" s="1">
        <v>3</v>
      </c>
      <c r="C13">
        <v>2</v>
      </c>
      <c r="D13">
        <v>0</v>
      </c>
      <c r="E13">
        <v>0</v>
      </c>
      <c r="F13" t="s">
        <v>681</v>
      </c>
      <c r="G13" t="s">
        <v>682</v>
      </c>
      <c r="H13" t="s">
        <v>690</v>
      </c>
      <c r="I13">
        <f t="shared" si="0"/>
        <v>3</v>
      </c>
      <c r="J13" t="s">
        <v>683</v>
      </c>
      <c r="K13" t="s">
        <v>689</v>
      </c>
      <c r="L13">
        <f t="shared" si="1"/>
        <v>2</v>
      </c>
      <c r="M13" t="s">
        <v>683</v>
      </c>
      <c r="N13" t="s">
        <v>688</v>
      </c>
      <c r="O13">
        <f t="shared" si="2"/>
        <v>0</v>
      </c>
      <c r="P13" t="s">
        <v>683</v>
      </c>
      <c r="Q13" t="s">
        <v>684</v>
      </c>
      <c r="R13">
        <f t="shared" si="3"/>
        <v>0</v>
      </c>
      <c r="S13" t="s">
        <v>692</v>
      </c>
      <c r="V13" s="102" t="b">
        <f>IF(totales!D14="temporal",IF(totales!E14="1"&amp;totales!H14="0"&amp;totales!I14="0"&amp;totales!J14="0","a",IF(totales!E14="2"&amp;totales!H14="0"&amp;totales!I14="0"&amp;totales!J14="0","b",IF(totales!E14="3"&amp;totales!H14="0"&amp;totales!I14="0"&amp;totales!J14="0","c",IF(totales!E14="4"&amp;totales!H14="0"&amp;totales!I14="0"&amp;totales!J14="0","d",IF(totales!E14="6"&amp;totales!H14="0"&amp;totales!I14="0"&amp;totales!J14="0","e",IF(totales!E14="1"&amp;totales!H14="1"&amp;totales!I14="0"&amp;totales!J14="0","f",IF(totales!E14="2"&amp;totales!H14="1"&amp;totales!I14="0"&amp;totales!J14="0","g",IF(totales!E14="3"&amp;totales!H14="1"&amp;totales!I14="0"&amp;totales!J14="0","h",IF(totales!E14="4"&amp;totales!H14="1"&amp;totales!I14="0"&amp;totales!J14="0","i",IF(totales!E14="6"&amp;totales!H14="1"&amp;totales!I14="0"&amp;totales!J14="0","j",IF(totales!E14="1"&amp;totales!H14="2"&amp;totales!I14="0"&amp;totales!J14="0","k",IF(totales!E14="2"&amp;totales!H14="2"&amp;totales!I14="0"&amp;totales!J14="0","l",IF(totales!E14="3"&amp;totales!H14="2"&amp;totales!I14="0"&amp;totales!J14="0","m",
IF(totales!E14="4"&amp;totales!H14="2"&amp;totales!I14="0"&amp;totales!J14="0","n",IF(totales!E14="6"&amp;totales!H14="2"&amp;totales!I14="0"&amp;totales!J14="0","o",IF(totales!E14="1"&amp;totales!H14="0"&amp;totales!I14="1"&amp;totales!J14="0","p",IF(totales!E14="2"&amp;totales!H14="0"&amp;totales!I14="1"&amp;totales!J14="0","q",IF(totales!E14="3"&amp;totales!H14="0"&amp;totales!I14="1"&amp;totales!J14="0","r",IF(totales!E14="4"&amp;totales!H14="0"&amp;totales!I14="1"&amp;totales!J14="0","s",IF(totales!E14="6"&amp;totales!H14="0"&amp;totales!I14="1"&amp;totales!J14="0","t",IF(totales!E14="1"&amp;totales!H14="2"&amp;totales!I14="1"&amp;totales!J14="0","u",IF(totales!E14="2"&amp;totales!H14="2"&amp;totales!I14="1"&amp;totales!J14="0","v",IF(totales!E14="3"&amp;totales!H14="2"&amp;totales!I14="1"&amp;totales!J14="0","w",IF(totales!E14="4"&amp;totales!H14="2"&amp;totales!I14="1"&amp;totales!J14="0","x",
IF(totales!E14="6"&amp;totales!H14="2"&amp;totales!I14="1"&amp;totales!J14="0","y",IF(totales!E14="1"&amp;totales!H14="1"&amp;totales!I14="1"&amp;totales!J14="0","z",IF(totales!E14="2"&amp;totales!H14="1"&amp;totales!I14="1"&amp;totales!J14="0","0",IF(totales!E14="3"&amp;totales!H14="1"&amp;totales!I14="1"&amp;totales!J14="0","1",IF(totales!E14="4"&amp;totales!H14="1"&amp;totales!I14="1"&amp;totales!J14="0","2",IF(totales!E14="6"&amp;totales!H14="1"&amp;totales!I14="1"&amp;totales!J14="0","3",IF(totales!E14="1"&amp;totales!H14="0"&amp;totales!I14="1"&amp;totales!J14="1","4",IF(totales!E14="2"&amp;totales!H14="0"&amp;totales!I14="1"&amp;totales!J14="1","5",IF(totales!E14="3"&amp;totales!H14="0"&amp;totales!I14="1"&amp;totales!J14="1","6",IF(totales!E14="4"&amp;totales!H14="0"&amp;totales!I14="1"&amp;totales!J14="1","7",IF(totales!E14="6"&amp;totales!H14="0"&amp;totales!I14="1"&amp;totales!J14="1","8",IF(totales!E14="1"&amp;totales!H14="1"&amp;totales!I14="0"&amp;totales!J14="1","9")))))))))))))))))))))))))))))))))))),"ERROR")</f>
        <v>0</v>
      </c>
    </row>
    <row r="14" spans="1:22" ht="15">
      <c r="B14" s="1">
        <v>4</v>
      </c>
      <c r="C14">
        <v>2</v>
      </c>
      <c r="D14">
        <v>0</v>
      </c>
      <c r="E14">
        <v>0</v>
      </c>
      <c r="F14" t="s">
        <v>681</v>
      </c>
      <c r="G14" t="s">
        <v>682</v>
      </c>
      <c r="H14" t="s">
        <v>690</v>
      </c>
      <c r="I14">
        <f t="shared" si="0"/>
        <v>4</v>
      </c>
      <c r="J14" t="s">
        <v>683</v>
      </c>
      <c r="K14" t="s">
        <v>689</v>
      </c>
      <c r="L14">
        <f t="shared" si="1"/>
        <v>2</v>
      </c>
      <c r="M14" t="s">
        <v>683</v>
      </c>
      <c r="N14" t="s">
        <v>688</v>
      </c>
      <c r="O14">
        <f t="shared" si="2"/>
        <v>0</v>
      </c>
      <c r="P14" t="s">
        <v>683</v>
      </c>
      <c r="Q14" t="s">
        <v>684</v>
      </c>
      <c r="R14">
        <f t="shared" si="3"/>
        <v>0</v>
      </c>
      <c r="S14" t="s">
        <v>693</v>
      </c>
      <c r="V14" s="102" t="b">
        <f>IF(totales!D15="temporal",IF(totales!E15="1"&amp;totales!H15="0"&amp;totales!I15="0"&amp;totales!J15="0","a",IF(totales!E15="2"&amp;totales!H15="0"&amp;totales!I15="0"&amp;totales!J15="0","b",IF(totales!E15="3"&amp;totales!H15="0"&amp;totales!I15="0"&amp;totales!J15="0","c",IF(totales!E15="4"&amp;totales!H15="0"&amp;totales!I15="0"&amp;totales!J15="0","d",IF(totales!E15="6"&amp;totales!H15="0"&amp;totales!I15="0"&amp;totales!J15="0","e",IF(totales!E15="1"&amp;totales!H15="1"&amp;totales!I15="0"&amp;totales!J15="0","f",IF(totales!E15="2"&amp;totales!H15="1"&amp;totales!I15="0"&amp;totales!J15="0","g",IF(totales!E15="3"&amp;totales!H15="1"&amp;totales!I15="0"&amp;totales!J15="0","h",IF(totales!E15="4"&amp;totales!H15="1"&amp;totales!I15="0"&amp;totales!J15="0","i",IF(totales!E15="6"&amp;totales!H15="1"&amp;totales!I15="0"&amp;totales!J15="0","j",IF(totales!E15="1"&amp;totales!H15="2"&amp;totales!I15="0"&amp;totales!J15="0","k",IF(totales!E15="2"&amp;totales!H15="2"&amp;totales!I15="0"&amp;totales!J15="0","l",IF(totales!E15="3"&amp;totales!H15="2"&amp;totales!I15="0"&amp;totales!J15="0","m",
IF(totales!E15="4"&amp;totales!H15="2"&amp;totales!I15="0"&amp;totales!J15="0","n",IF(totales!E15="6"&amp;totales!H15="2"&amp;totales!I15="0"&amp;totales!J15="0","o",IF(totales!E15="1"&amp;totales!H15="0"&amp;totales!I15="1"&amp;totales!J15="0","p",IF(totales!E15="2"&amp;totales!H15="0"&amp;totales!I15="1"&amp;totales!J15="0","q",IF(totales!E15="3"&amp;totales!H15="0"&amp;totales!I15="1"&amp;totales!J15="0","r",IF(totales!E15="4"&amp;totales!H15="0"&amp;totales!I15="1"&amp;totales!J15="0","s",IF(totales!E15="6"&amp;totales!H15="0"&amp;totales!I15="1"&amp;totales!J15="0","t",IF(totales!E15="1"&amp;totales!H15="2"&amp;totales!I15="1"&amp;totales!J15="0","u",IF(totales!E15="2"&amp;totales!H15="2"&amp;totales!I15="1"&amp;totales!J15="0","v",IF(totales!E15="3"&amp;totales!H15="2"&amp;totales!I15="1"&amp;totales!J15="0","w",IF(totales!E15="4"&amp;totales!H15="2"&amp;totales!I15="1"&amp;totales!J15="0","x",
IF(totales!E15="6"&amp;totales!H15="2"&amp;totales!I15="1"&amp;totales!J15="0","y",IF(totales!E15="1"&amp;totales!H15="1"&amp;totales!I15="1"&amp;totales!J15="0","z",IF(totales!E15="2"&amp;totales!H15="1"&amp;totales!I15="1"&amp;totales!J15="0","0",IF(totales!E15="3"&amp;totales!H15="1"&amp;totales!I15="1"&amp;totales!J15="0","1",IF(totales!E15="4"&amp;totales!H15="1"&amp;totales!I15="1"&amp;totales!J15="0","2",IF(totales!E15="6"&amp;totales!H15="1"&amp;totales!I15="1"&amp;totales!J15="0","3",IF(totales!E15="1"&amp;totales!H15="0"&amp;totales!I15="1"&amp;totales!J15="1","4",IF(totales!E15="2"&amp;totales!H15="0"&amp;totales!I15="1"&amp;totales!J15="1","5",IF(totales!E15="3"&amp;totales!H15="0"&amp;totales!I15="1"&amp;totales!J15="1","6",IF(totales!E15="4"&amp;totales!H15="0"&amp;totales!I15="1"&amp;totales!J15="1","7",IF(totales!E15="6"&amp;totales!H15="0"&amp;totales!I15="1"&amp;totales!J15="1","8",IF(totales!E15="1"&amp;totales!H15="1"&amp;totales!I15="0"&amp;totales!J15="1","9")))))))))))))))))))))))))))))))))))),"ERROR")</f>
        <v>0</v>
      </c>
    </row>
    <row r="15" spans="1:22" ht="15">
      <c r="B15" s="1">
        <v>6</v>
      </c>
      <c r="C15">
        <v>2</v>
      </c>
      <c r="D15">
        <v>0</v>
      </c>
      <c r="E15">
        <v>0</v>
      </c>
      <c r="F15" t="s">
        <v>681</v>
      </c>
      <c r="G15" t="s">
        <v>682</v>
      </c>
      <c r="H15" t="s">
        <v>690</v>
      </c>
      <c r="I15">
        <f t="shared" si="0"/>
        <v>6</v>
      </c>
      <c r="J15" t="s">
        <v>683</v>
      </c>
      <c r="K15" t="s">
        <v>689</v>
      </c>
      <c r="L15">
        <f t="shared" si="1"/>
        <v>2</v>
      </c>
      <c r="M15" t="s">
        <v>683</v>
      </c>
      <c r="N15" t="s">
        <v>688</v>
      </c>
      <c r="O15">
        <f t="shared" si="2"/>
        <v>0</v>
      </c>
      <c r="P15" t="s">
        <v>683</v>
      </c>
      <c r="Q15" t="s">
        <v>684</v>
      </c>
      <c r="R15">
        <f t="shared" si="3"/>
        <v>0</v>
      </c>
      <c r="S15" t="s">
        <v>694</v>
      </c>
      <c r="V15" s="102" t="b">
        <f>IF(totales!D16="temporal",IF(totales!E16="1"&amp;totales!H16="0"&amp;totales!I16="0"&amp;totales!J16="0","a",IF(totales!E16="2"&amp;totales!H16="0"&amp;totales!I16="0"&amp;totales!J16="0","b",IF(totales!E16="3"&amp;totales!H16="0"&amp;totales!I16="0"&amp;totales!J16="0","c",IF(totales!E16="4"&amp;totales!H16="0"&amp;totales!I16="0"&amp;totales!J16="0","d",IF(totales!E16="6"&amp;totales!H16="0"&amp;totales!I16="0"&amp;totales!J16="0","e",IF(totales!E16="1"&amp;totales!H16="1"&amp;totales!I16="0"&amp;totales!J16="0","f",IF(totales!E16="2"&amp;totales!H16="1"&amp;totales!I16="0"&amp;totales!J16="0","g",IF(totales!E16="3"&amp;totales!H16="1"&amp;totales!I16="0"&amp;totales!J16="0","h",IF(totales!E16="4"&amp;totales!H16="1"&amp;totales!I16="0"&amp;totales!J16="0","i",IF(totales!E16="6"&amp;totales!H16="1"&amp;totales!I16="0"&amp;totales!J16="0","j",IF(totales!E16="1"&amp;totales!H16="2"&amp;totales!I16="0"&amp;totales!J16="0","k",IF(totales!E16="2"&amp;totales!H16="2"&amp;totales!I16="0"&amp;totales!J16="0","l",IF(totales!E16="3"&amp;totales!H16="2"&amp;totales!I16="0"&amp;totales!J16="0","m",
IF(totales!E16="4"&amp;totales!H16="2"&amp;totales!I16="0"&amp;totales!J16="0","n",IF(totales!E16="6"&amp;totales!H16="2"&amp;totales!I16="0"&amp;totales!J16="0","o",IF(totales!E16="1"&amp;totales!H16="0"&amp;totales!I16="1"&amp;totales!J16="0","p",IF(totales!E16="2"&amp;totales!H16="0"&amp;totales!I16="1"&amp;totales!J16="0","q",IF(totales!E16="3"&amp;totales!H16="0"&amp;totales!I16="1"&amp;totales!J16="0","r",IF(totales!E16="4"&amp;totales!H16="0"&amp;totales!I16="1"&amp;totales!J16="0","s",IF(totales!E16="6"&amp;totales!H16="0"&amp;totales!I16="1"&amp;totales!J16="0","t",IF(totales!E16="1"&amp;totales!H16="2"&amp;totales!I16="1"&amp;totales!J16="0","u",IF(totales!E16="2"&amp;totales!H16="2"&amp;totales!I16="1"&amp;totales!J16="0","v",IF(totales!E16="3"&amp;totales!H16="2"&amp;totales!I16="1"&amp;totales!J16="0","w",IF(totales!E16="4"&amp;totales!H16="2"&amp;totales!I16="1"&amp;totales!J16="0","x",
IF(totales!E16="6"&amp;totales!H16="2"&amp;totales!I16="1"&amp;totales!J16="0","y",IF(totales!E16="1"&amp;totales!H16="1"&amp;totales!I16="1"&amp;totales!J16="0","z",IF(totales!E16="2"&amp;totales!H16="1"&amp;totales!I16="1"&amp;totales!J16="0","0",IF(totales!E16="3"&amp;totales!H16="1"&amp;totales!I16="1"&amp;totales!J16="0","1",IF(totales!E16="4"&amp;totales!H16="1"&amp;totales!I16="1"&amp;totales!J16="0","2",IF(totales!E16="6"&amp;totales!H16="1"&amp;totales!I16="1"&amp;totales!J16="0","3",IF(totales!E16="1"&amp;totales!H16="0"&amp;totales!I16="1"&amp;totales!J16="1","4",IF(totales!E16="2"&amp;totales!H16="0"&amp;totales!I16="1"&amp;totales!J16="1","5",IF(totales!E16="3"&amp;totales!H16="0"&amp;totales!I16="1"&amp;totales!J16="1","6",IF(totales!E16="4"&amp;totales!H16="0"&amp;totales!I16="1"&amp;totales!J16="1","7",IF(totales!E16="6"&amp;totales!H16="0"&amp;totales!I16="1"&amp;totales!J16="1","8",IF(totales!E16="1"&amp;totales!H16="1"&amp;totales!I16="0"&amp;totales!J16="1","9")))))))))))))))))))))))))))))))))))),"ERROR")</f>
        <v>0</v>
      </c>
    </row>
    <row r="16" spans="1:22" ht="15">
      <c r="B16" s="1">
        <v>1</v>
      </c>
      <c r="C16">
        <v>0</v>
      </c>
      <c r="D16">
        <v>1</v>
      </c>
      <c r="E16">
        <v>0</v>
      </c>
      <c r="F16" t="s">
        <v>681</v>
      </c>
      <c r="G16" t="s">
        <v>682</v>
      </c>
      <c r="H16" t="s">
        <v>690</v>
      </c>
      <c r="I16">
        <f t="shared" si="0"/>
        <v>1</v>
      </c>
      <c r="J16" t="s">
        <v>683</v>
      </c>
      <c r="K16" t="s">
        <v>689</v>
      </c>
      <c r="L16">
        <f t="shared" si="1"/>
        <v>0</v>
      </c>
      <c r="M16" t="s">
        <v>683</v>
      </c>
      <c r="N16" t="s">
        <v>688</v>
      </c>
      <c r="O16">
        <f t="shared" si="2"/>
        <v>1</v>
      </c>
      <c r="P16" t="s">
        <v>683</v>
      </c>
      <c r="Q16" t="s">
        <v>684</v>
      </c>
      <c r="R16">
        <f t="shared" si="3"/>
        <v>0</v>
      </c>
      <c r="S16" t="s">
        <v>692</v>
      </c>
      <c r="V16" s="102" t="b">
        <f>IF(totales!D17="temporal",IF(totales!E17="1"&amp;totales!H17="0"&amp;totales!I17="0"&amp;totales!J17="0","a",IF(totales!E17="2"&amp;totales!H17="0"&amp;totales!I17="0"&amp;totales!J17="0","b",IF(totales!E17="3"&amp;totales!H17="0"&amp;totales!I17="0"&amp;totales!J17="0","c",IF(totales!E17="4"&amp;totales!H17="0"&amp;totales!I17="0"&amp;totales!J17="0","d",IF(totales!E17="6"&amp;totales!H17="0"&amp;totales!I17="0"&amp;totales!J17="0","e",IF(totales!E17="1"&amp;totales!H17="1"&amp;totales!I17="0"&amp;totales!J17="0","f",IF(totales!E17="2"&amp;totales!H17="1"&amp;totales!I17="0"&amp;totales!J17="0","g",IF(totales!E17="3"&amp;totales!H17="1"&amp;totales!I17="0"&amp;totales!J17="0","h",IF(totales!E17="4"&amp;totales!H17="1"&amp;totales!I17="0"&amp;totales!J17="0","i",IF(totales!E17="6"&amp;totales!H17="1"&amp;totales!I17="0"&amp;totales!J17="0","j",IF(totales!E17="1"&amp;totales!H17="2"&amp;totales!I17="0"&amp;totales!J17="0","k",IF(totales!E17="2"&amp;totales!H17="2"&amp;totales!I17="0"&amp;totales!J17="0","l",IF(totales!E17="3"&amp;totales!H17="2"&amp;totales!I17="0"&amp;totales!J17="0","m",
IF(totales!E17="4"&amp;totales!H17="2"&amp;totales!I17="0"&amp;totales!J17="0","n",IF(totales!E17="6"&amp;totales!H17="2"&amp;totales!I17="0"&amp;totales!J17="0","o",IF(totales!E17="1"&amp;totales!H17="0"&amp;totales!I17="1"&amp;totales!J17="0","p",IF(totales!E17="2"&amp;totales!H17="0"&amp;totales!I17="1"&amp;totales!J17="0","q",IF(totales!E17="3"&amp;totales!H17="0"&amp;totales!I17="1"&amp;totales!J17="0","r",IF(totales!E17="4"&amp;totales!H17="0"&amp;totales!I17="1"&amp;totales!J17="0","s",IF(totales!E17="6"&amp;totales!H17="0"&amp;totales!I17="1"&amp;totales!J17="0","t",IF(totales!E17="1"&amp;totales!H17="2"&amp;totales!I17="1"&amp;totales!J17="0","u",IF(totales!E17="2"&amp;totales!H17="2"&amp;totales!I17="1"&amp;totales!J17="0","v",IF(totales!E17="3"&amp;totales!H17="2"&amp;totales!I17="1"&amp;totales!J17="0","w",IF(totales!E17="4"&amp;totales!H17="2"&amp;totales!I17="1"&amp;totales!J17="0","x",
IF(totales!E17="6"&amp;totales!H17="2"&amp;totales!I17="1"&amp;totales!J17="0","y",IF(totales!E17="1"&amp;totales!H17="1"&amp;totales!I17="1"&amp;totales!J17="0","z",IF(totales!E17="2"&amp;totales!H17="1"&amp;totales!I17="1"&amp;totales!J17="0","0",IF(totales!E17="3"&amp;totales!H17="1"&amp;totales!I17="1"&amp;totales!J17="0","1",IF(totales!E17="4"&amp;totales!H17="1"&amp;totales!I17="1"&amp;totales!J17="0","2",IF(totales!E17="6"&amp;totales!H17="1"&amp;totales!I17="1"&amp;totales!J17="0","3",IF(totales!E17="1"&amp;totales!H17="0"&amp;totales!I17="1"&amp;totales!J17="1","4",IF(totales!E17="2"&amp;totales!H17="0"&amp;totales!I17="1"&amp;totales!J17="1","5",IF(totales!E17="3"&amp;totales!H17="0"&amp;totales!I17="1"&amp;totales!J17="1","6",IF(totales!E17="4"&amp;totales!H17="0"&amp;totales!I17="1"&amp;totales!J17="1","7",IF(totales!E17="6"&amp;totales!H17="0"&amp;totales!I17="1"&amp;totales!J17="1","8",IF(totales!E17="1"&amp;totales!H17="1"&amp;totales!I17="0"&amp;totales!J17="1","9")))))))))))))))))))))))))))))))))))),"ERROR")</f>
        <v>0</v>
      </c>
    </row>
    <row r="17" spans="2:22" ht="15">
      <c r="B17" s="1">
        <v>2</v>
      </c>
      <c r="C17">
        <v>0</v>
      </c>
      <c r="D17">
        <v>1</v>
      </c>
      <c r="E17">
        <v>0</v>
      </c>
      <c r="F17" t="s">
        <v>681</v>
      </c>
      <c r="G17" t="s">
        <v>682</v>
      </c>
      <c r="H17" t="s">
        <v>690</v>
      </c>
      <c r="I17">
        <f t="shared" si="0"/>
        <v>2</v>
      </c>
      <c r="J17" t="s">
        <v>683</v>
      </c>
      <c r="K17" t="s">
        <v>689</v>
      </c>
      <c r="L17">
        <f t="shared" si="1"/>
        <v>0</v>
      </c>
      <c r="M17" t="s">
        <v>683</v>
      </c>
      <c r="N17" t="s">
        <v>688</v>
      </c>
      <c r="O17">
        <f t="shared" si="2"/>
        <v>1</v>
      </c>
      <c r="P17" t="s">
        <v>683</v>
      </c>
      <c r="Q17" t="s">
        <v>684</v>
      </c>
      <c r="R17">
        <f t="shared" si="3"/>
        <v>0</v>
      </c>
      <c r="S17" t="s">
        <v>693</v>
      </c>
      <c r="V17" s="102" t="b">
        <f>IF(totales!D18="temporal",IF(totales!E18="1"&amp;totales!H18="0"&amp;totales!I18="0"&amp;totales!J18="0","a",IF(totales!E18="2"&amp;totales!H18="0"&amp;totales!I18="0"&amp;totales!J18="0","b",IF(totales!E18="3"&amp;totales!H18="0"&amp;totales!I18="0"&amp;totales!J18="0","c",IF(totales!E18="4"&amp;totales!H18="0"&amp;totales!I18="0"&amp;totales!J18="0","d",IF(totales!E18="6"&amp;totales!H18="0"&amp;totales!I18="0"&amp;totales!J18="0","e",IF(totales!E18="1"&amp;totales!H18="1"&amp;totales!I18="0"&amp;totales!J18="0","f",IF(totales!E18="2"&amp;totales!H18="1"&amp;totales!I18="0"&amp;totales!J18="0","g",IF(totales!E18="3"&amp;totales!H18="1"&amp;totales!I18="0"&amp;totales!J18="0","h",IF(totales!E18="4"&amp;totales!H18="1"&amp;totales!I18="0"&amp;totales!J18="0","i",IF(totales!E18="6"&amp;totales!H18="1"&amp;totales!I18="0"&amp;totales!J18="0","j",IF(totales!E18="1"&amp;totales!H18="2"&amp;totales!I18="0"&amp;totales!J18="0","k",IF(totales!E18="2"&amp;totales!H18="2"&amp;totales!I18="0"&amp;totales!J18="0","l",IF(totales!E18="3"&amp;totales!H18="2"&amp;totales!I18="0"&amp;totales!J18="0","m",
IF(totales!E18="4"&amp;totales!H18="2"&amp;totales!I18="0"&amp;totales!J18="0","n",IF(totales!E18="6"&amp;totales!H18="2"&amp;totales!I18="0"&amp;totales!J18="0","o",IF(totales!E18="1"&amp;totales!H18="0"&amp;totales!I18="1"&amp;totales!J18="0","p",IF(totales!E18="2"&amp;totales!H18="0"&amp;totales!I18="1"&amp;totales!J18="0","q",IF(totales!E18="3"&amp;totales!H18="0"&amp;totales!I18="1"&amp;totales!J18="0","r",IF(totales!E18="4"&amp;totales!H18="0"&amp;totales!I18="1"&amp;totales!J18="0","s",IF(totales!E18="6"&amp;totales!H18="0"&amp;totales!I18="1"&amp;totales!J18="0","t",IF(totales!E18="1"&amp;totales!H18="2"&amp;totales!I18="1"&amp;totales!J18="0","u",IF(totales!E18="2"&amp;totales!H18="2"&amp;totales!I18="1"&amp;totales!J18="0","v",IF(totales!E18="3"&amp;totales!H18="2"&amp;totales!I18="1"&amp;totales!J18="0","w",IF(totales!E18="4"&amp;totales!H18="2"&amp;totales!I18="1"&amp;totales!J18="0","x",
IF(totales!E18="6"&amp;totales!H18="2"&amp;totales!I18="1"&amp;totales!J18="0","y",IF(totales!E18="1"&amp;totales!H18="1"&amp;totales!I18="1"&amp;totales!J18="0","z",IF(totales!E18="2"&amp;totales!H18="1"&amp;totales!I18="1"&amp;totales!J18="0","0",IF(totales!E18="3"&amp;totales!H18="1"&amp;totales!I18="1"&amp;totales!J18="0","1",IF(totales!E18="4"&amp;totales!H18="1"&amp;totales!I18="1"&amp;totales!J18="0","2",IF(totales!E18="6"&amp;totales!H18="1"&amp;totales!I18="1"&amp;totales!J18="0","3",IF(totales!E18="1"&amp;totales!H18="0"&amp;totales!I18="1"&amp;totales!J18="1","4",IF(totales!E18="2"&amp;totales!H18="0"&amp;totales!I18="1"&amp;totales!J18="1","5",IF(totales!E18="3"&amp;totales!H18="0"&amp;totales!I18="1"&amp;totales!J18="1","6",IF(totales!E18="4"&amp;totales!H18="0"&amp;totales!I18="1"&amp;totales!J18="1","7",IF(totales!E18="6"&amp;totales!H18="0"&amp;totales!I18="1"&amp;totales!J18="1","8",IF(totales!E18="1"&amp;totales!H18="1"&amp;totales!I18="0"&amp;totales!J18="1","9")))))))))))))))))))))))))))))))))))),"ERROR")</f>
        <v>0</v>
      </c>
    </row>
    <row r="18" spans="2:22" ht="15">
      <c r="B18" s="1">
        <v>3</v>
      </c>
      <c r="C18">
        <v>0</v>
      </c>
      <c r="D18">
        <v>1</v>
      </c>
      <c r="E18">
        <v>0</v>
      </c>
      <c r="F18" t="s">
        <v>681</v>
      </c>
      <c r="G18" t="s">
        <v>682</v>
      </c>
      <c r="H18" t="s">
        <v>690</v>
      </c>
      <c r="I18">
        <f t="shared" si="0"/>
        <v>3</v>
      </c>
      <c r="J18" t="s">
        <v>683</v>
      </c>
      <c r="K18" t="s">
        <v>689</v>
      </c>
      <c r="L18">
        <f t="shared" si="1"/>
        <v>0</v>
      </c>
      <c r="M18" t="s">
        <v>683</v>
      </c>
      <c r="N18" t="s">
        <v>688</v>
      </c>
      <c r="O18">
        <f t="shared" si="2"/>
        <v>1</v>
      </c>
      <c r="P18" t="s">
        <v>683</v>
      </c>
      <c r="Q18" t="s">
        <v>684</v>
      </c>
      <c r="R18">
        <f t="shared" si="3"/>
        <v>0</v>
      </c>
      <c r="S18" t="s">
        <v>694</v>
      </c>
      <c r="V18" s="102" t="b">
        <f>IF(totales!D19="temporal",IF(totales!E19="1"&amp;totales!H19="0"&amp;totales!I19="0"&amp;totales!J19="0","a",IF(totales!E19="2"&amp;totales!H19="0"&amp;totales!I19="0"&amp;totales!J19="0","b",IF(totales!E19="3"&amp;totales!H19="0"&amp;totales!I19="0"&amp;totales!J19="0","c",IF(totales!E19="4"&amp;totales!H19="0"&amp;totales!I19="0"&amp;totales!J19="0","d",IF(totales!E19="6"&amp;totales!H19="0"&amp;totales!I19="0"&amp;totales!J19="0","e",IF(totales!E19="1"&amp;totales!H19="1"&amp;totales!I19="0"&amp;totales!J19="0","f",IF(totales!E19="2"&amp;totales!H19="1"&amp;totales!I19="0"&amp;totales!J19="0","g",IF(totales!E19="3"&amp;totales!H19="1"&amp;totales!I19="0"&amp;totales!J19="0","h",IF(totales!E19="4"&amp;totales!H19="1"&amp;totales!I19="0"&amp;totales!J19="0","i",IF(totales!E19="6"&amp;totales!H19="1"&amp;totales!I19="0"&amp;totales!J19="0","j",IF(totales!E19="1"&amp;totales!H19="2"&amp;totales!I19="0"&amp;totales!J19="0","k",IF(totales!E19="2"&amp;totales!H19="2"&amp;totales!I19="0"&amp;totales!J19="0","l",IF(totales!E19="3"&amp;totales!H19="2"&amp;totales!I19="0"&amp;totales!J19="0","m",
IF(totales!E19="4"&amp;totales!H19="2"&amp;totales!I19="0"&amp;totales!J19="0","n",IF(totales!E19="6"&amp;totales!H19="2"&amp;totales!I19="0"&amp;totales!J19="0","o",IF(totales!E19="1"&amp;totales!H19="0"&amp;totales!I19="1"&amp;totales!J19="0","p",IF(totales!E19="2"&amp;totales!H19="0"&amp;totales!I19="1"&amp;totales!J19="0","q",IF(totales!E19="3"&amp;totales!H19="0"&amp;totales!I19="1"&amp;totales!J19="0","r",IF(totales!E19="4"&amp;totales!H19="0"&amp;totales!I19="1"&amp;totales!J19="0","s",IF(totales!E19="6"&amp;totales!H19="0"&amp;totales!I19="1"&amp;totales!J19="0","t",IF(totales!E19="1"&amp;totales!H19="2"&amp;totales!I19="1"&amp;totales!J19="0","u",IF(totales!E19="2"&amp;totales!H19="2"&amp;totales!I19="1"&amp;totales!J19="0","v",IF(totales!E19="3"&amp;totales!H19="2"&amp;totales!I19="1"&amp;totales!J19="0","w",IF(totales!E19="4"&amp;totales!H19="2"&amp;totales!I19="1"&amp;totales!J19="0","x",
IF(totales!E19="6"&amp;totales!H19="2"&amp;totales!I19="1"&amp;totales!J19="0","y",IF(totales!E19="1"&amp;totales!H19="1"&amp;totales!I19="1"&amp;totales!J19="0","z",IF(totales!E19="2"&amp;totales!H19="1"&amp;totales!I19="1"&amp;totales!J19="0","0",IF(totales!E19="3"&amp;totales!H19="1"&amp;totales!I19="1"&amp;totales!J19="0","1",IF(totales!E19="4"&amp;totales!H19="1"&amp;totales!I19="1"&amp;totales!J19="0","2",IF(totales!E19="6"&amp;totales!H19="1"&amp;totales!I19="1"&amp;totales!J19="0","3",IF(totales!E19="1"&amp;totales!H19="0"&amp;totales!I19="1"&amp;totales!J19="1","4",IF(totales!E19="2"&amp;totales!H19="0"&amp;totales!I19="1"&amp;totales!J19="1","5",IF(totales!E19="3"&amp;totales!H19="0"&amp;totales!I19="1"&amp;totales!J19="1","6",IF(totales!E19="4"&amp;totales!H19="0"&amp;totales!I19="1"&amp;totales!J19="1","7",IF(totales!E19="6"&amp;totales!H19="0"&amp;totales!I19="1"&amp;totales!J19="1","8",IF(totales!E19="1"&amp;totales!H19="1"&amp;totales!I19="0"&amp;totales!J19="1","9")))))))))))))))))))))))))))))))))))),"ERROR")</f>
        <v>0</v>
      </c>
    </row>
    <row r="19" spans="2:22" ht="15">
      <c r="B19" s="1">
        <v>4</v>
      </c>
      <c r="C19">
        <v>0</v>
      </c>
      <c r="D19">
        <v>1</v>
      </c>
      <c r="E19">
        <v>0</v>
      </c>
      <c r="F19" t="s">
        <v>681</v>
      </c>
      <c r="G19" t="s">
        <v>682</v>
      </c>
      <c r="H19" t="s">
        <v>690</v>
      </c>
      <c r="I19">
        <f t="shared" si="0"/>
        <v>4</v>
      </c>
      <c r="J19" t="s">
        <v>683</v>
      </c>
      <c r="K19" t="s">
        <v>689</v>
      </c>
      <c r="L19">
        <f t="shared" si="1"/>
        <v>0</v>
      </c>
      <c r="M19" t="s">
        <v>683</v>
      </c>
      <c r="N19" t="s">
        <v>688</v>
      </c>
      <c r="O19">
        <f t="shared" si="2"/>
        <v>1</v>
      </c>
      <c r="P19" t="s">
        <v>683</v>
      </c>
      <c r="Q19" t="s">
        <v>684</v>
      </c>
      <c r="R19">
        <f t="shared" si="3"/>
        <v>0</v>
      </c>
      <c r="S19" t="s">
        <v>692</v>
      </c>
      <c r="V19" s="102" t="b">
        <f>IF(totales!D20="temporal",IF(totales!E20="1"&amp;totales!H20="0"&amp;totales!I20="0"&amp;totales!J20="0","a",IF(totales!E20="2"&amp;totales!H20="0"&amp;totales!I20="0"&amp;totales!J20="0","b",IF(totales!E20="3"&amp;totales!H20="0"&amp;totales!I20="0"&amp;totales!J20="0","c",IF(totales!E20="4"&amp;totales!H20="0"&amp;totales!I20="0"&amp;totales!J20="0","d",IF(totales!E20="6"&amp;totales!H20="0"&amp;totales!I20="0"&amp;totales!J20="0","e",IF(totales!E20="1"&amp;totales!H20="1"&amp;totales!I20="0"&amp;totales!J20="0","f",IF(totales!E20="2"&amp;totales!H20="1"&amp;totales!I20="0"&amp;totales!J20="0","g",IF(totales!E20="3"&amp;totales!H20="1"&amp;totales!I20="0"&amp;totales!J20="0","h",IF(totales!E20="4"&amp;totales!H20="1"&amp;totales!I20="0"&amp;totales!J20="0","i",IF(totales!E20="6"&amp;totales!H20="1"&amp;totales!I20="0"&amp;totales!J20="0","j",IF(totales!E20="1"&amp;totales!H20="2"&amp;totales!I20="0"&amp;totales!J20="0","k",IF(totales!E20="2"&amp;totales!H20="2"&amp;totales!I20="0"&amp;totales!J20="0","l",IF(totales!E20="3"&amp;totales!H20="2"&amp;totales!I20="0"&amp;totales!J20="0","m",
IF(totales!E20="4"&amp;totales!H20="2"&amp;totales!I20="0"&amp;totales!J20="0","n",IF(totales!E20="6"&amp;totales!H20="2"&amp;totales!I20="0"&amp;totales!J20="0","o",IF(totales!E20="1"&amp;totales!H20="0"&amp;totales!I20="1"&amp;totales!J20="0","p",IF(totales!E20="2"&amp;totales!H20="0"&amp;totales!I20="1"&amp;totales!J20="0","q",IF(totales!E20="3"&amp;totales!H20="0"&amp;totales!I20="1"&amp;totales!J20="0","r",IF(totales!E20="4"&amp;totales!H20="0"&amp;totales!I20="1"&amp;totales!J20="0","s",IF(totales!E20="6"&amp;totales!H20="0"&amp;totales!I20="1"&amp;totales!J20="0","t",IF(totales!E20="1"&amp;totales!H20="2"&amp;totales!I20="1"&amp;totales!J20="0","u",IF(totales!E20="2"&amp;totales!H20="2"&amp;totales!I20="1"&amp;totales!J20="0","v",IF(totales!E20="3"&amp;totales!H20="2"&amp;totales!I20="1"&amp;totales!J20="0","w",IF(totales!E20="4"&amp;totales!H20="2"&amp;totales!I20="1"&amp;totales!J20="0","x",
IF(totales!E20="6"&amp;totales!H20="2"&amp;totales!I20="1"&amp;totales!J20="0","y",IF(totales!E20="1"&amp;totales!H20="1"&amp;totales!I20="1"&amp;totales!J20="0","z",IF(totales!E20="2"&amp;totales!H20="1"&amp;totales!I20="1"&amp;totales!J20="0","0",IF(totales!E20="3"&amp;totales!H20="1"&amp;totales!I20="1"&amp;totales!J20="0","1",IF(totales!E20="4"&amp;totales!H20="1"&amp;totales!I20="1"&amp;totales!J20="0","2",IF(totales!E20="6"&amp;totales!H20="1"&amp;totales!I20="1"&amp;totales!J20="0","3",IF(totales!E20="1"&amp;totales!H20="0"&amp;totales!I20="1"&amp;totales!J20="1","4",IF(totales!E20="2"&amp;totales!H20="0"&amp;totales!I20="1"&amp;totales!J20="1","5",IF(totales!E20="3"&amp;totales!H20="0"&amp;totales!I20="1"&amp;totales!J20="1","6",IF(totales!E20="4"&amp;totales!H20="0"&amp;totales!I20="1"&amp;totales!J20="1","7",IF(totales!E20="6"&amp;totales!H20="0"&amp;totales!I20="1"&amp;totales!J20="1","8",IF(totales!E20="1"&amp;totales!H20="1"&amp;totales!I20="0"&amp;totales!J20="1","9")))))))))))))))))))))))))))))))))))),"ERROR")</f>
        <v>0</v>
      </c>
    </row>
    <row r="20" spans="2:22" ht="15">
      <c r="B20" s="1">
        <v>6</v>
      </c>
      <c r="C20">
        <v>0</v>
      </c>
      <c r="D20">
        <v>1</v>
      </c>
      <c r="E20">
        <v>0</v>
      </c>
      <c r="F20" t="s">
        <v>681</v>
      </c>
      <c r="G20" t="s">
        <v>682</v>
      </c>
      <c r="H20" t="s">
        <v>690</v>
      </c>
      <c r="I20">
        <f t="shared" si="0"/>
        <v>6</v>
      </c>
      <c r="J20" t="s">
        <v>683</v>
      </c>
      <c r="K20" t="s">
        <v>689</v>
      </c>
      <c r="L20">
        <f t="shared" si="1"/>
        <v>0</v>
      </c>
      <c r="M20" t="s">
        <v>683</v>
      </c>
      <c r="N20" t="s">
        <v>688</v>
      </c>
      <c r="O20">
        <f t="shared" si="2"/>
        <v>1</v>
      </c>
      <c r="P20" t="s">
        <v>683</v>
      </c>
      <c r="Q20" t="s">
        <v>684</v>
      </c>
      <c r="R20">
        <f t="shared" si="3"/>
        <v>0</v>
      </c>
      <c r="S20" t="s">
        <v>693</v>
      </c>
      <c r="V20" s="102" t="b">
        <f>IF(totales!D21="temporal",IF(totales!E21="1"&amp;totales!H21="0"&amp;totales!I21="0"&amp;totales!J21="0","a",IF(totales!E21="2"&amp;totales!H21="0"&amp;totales!I21="0"&amp;totales!J21="0","b",IF(totales!E21="3"&amp;totales!H21="0"&amp;totales!I21="0"&amp;totales!J21="0","c",IF(totales!E21="4"&amp;totales!H21="0"&amp;totales!I21="0"&amp;totales!J21="0","d",IF(totales!E21="6"&amp;totales!H21="0"&amp;totales!I21="0"&amp;totales!J21="0","e",IF(totales!E21="1"&amp;totales!H21="1"&amp;totales!I21="0"&amp;totales!J21="0","f",IF(totales!E21="2"&amp;totales!H21="1"&amp;totales!I21="0"&amp;totales!J21="0","g",IF(totales!E21="3"&amp;totales!H21="1"&amp;totales!I21="0"&amp;totales!J21="0","h",IF(totales!E21="4"&amp;totales!H21="1"&amp;totales!I21="0"&amp;totales!J21="0","i",IF(totales!E21="6"&amp;totales!H21="1"&amp;totales!I21="0"&amp;totales!J21="0","j",IF(totales!E21="1"&amp;totales!H21="2"&amp;totales!I21="0"&amp;totales!J21="0","k",IF(totales!E21="2"&amp;totales!H21="2"&amp;totales!I21="0"&amp;totales!J21="0","l",IF(totales!E21="3"&amp;totales!H21="2"&amp;totales!I21="0"&amp;totales!J21="0","m",
IF(totales!E21="4"&amp;totales!H21="2"&amp;totales!I21="0"&amp;totales!J21="0","n",IF(totales!E21="6"&amp;totales!H21="2"&amp;totales!I21="0"&amp;totales!J21="0","o",IF(totales!E21="1"&amp;totales!H21="0"&amp;totales!I21="1"&amp;totales!J21="0","p",IF(totales!E21="2"&amp;totales!H21="0"&amp;totales!I21="1"&amp;totales!J21="0","q",IF(totales!E21="3"&amp;totales!H21="0"&amp;totales!I21="1"&amp;totales!J21="0","r",IF(totales!E21="4"&amp;totales!H21="0"&amp;totales!I21="1"&amp;totales!J21="0","s",IF(totales!E21="6"&amp;totales!H21="0"&amp;totales!I21="1"&amp;totales!J21="0","t",IF(totales!E21="1"&amp;totales!H21="2"&amp;totales!I21="1"&amp;totales!J21="0","u",IF(totales!E21="2"&amp;totales!H21="2"&amp;totales!I21="1"&amp;totales!J21="0","v",IF(totales!E21="3"&amp;totales!H21="2"&amp;totales!I21="1"&amp;totales!J21="0","w",IF(totales!E21="4"&amp;totales!H21="2"&amp;totales!I21="1"&amp;totales!J21="0","x",
IF(totales!E21="6"&amp;totales!H21="2"&amp;totales!I21="1"&amp;totales!J21="0","y",IF(totales!E21="1"&amp;totales!H21="1"&amp;totales!I21="1"&amp;totales!J21="0","z",IF(totales!E21="2"&amp;totales!H21="1"&amp;totales!I21="1"&amp;totales!J21="0","0",IF(totales!E21="3"&amp;totales!H21="1"&amp;totales!I21="1"&amp;totales!J21="0","1",IF(totales!E21="4"&amp;totales!H21="1"&amp;totales!I21="1"&amp;totales!J21="0","2",IF(totales!E21="6"&amp;totales!H21="1"&amp;totales!I21="1"&amp;totales!J21="0","3",IF(totales!E21="1"&amp;totales!H21="0"&amp;totales!I21="1"&amp;totales!J21="1","4",IF(totales!E21="2"&amp;totales!H21="0"&amp;totales!I21="1"&amp;totales!J21="1","5",IF(totales!E21="3"&amp;totales!H21="0"&amp;totales!I21="1"&amp;totales!J21="1","6",IF(totales!E21="4"&amp;totales!H21="0"&amp;totales!I21="1"&amp;totales!J21="1","7",IF(totales!E21="6"&amp;totales!H21="0"&amp;totales!I21="1"&amp;totales!J21="1","8",IF(totales!E21="1"&amp;totales!H21="1"&amp;totales!I21="0"&amp;totales!J21="1","9")))))))))))))))))))))))))))))))))))),"ERROR")</f>
        <v>0</v>
      </c>
    </row>
    <row r="21" spans="2:22" ht="15">
      <c r="B21" s="1">
        <v>1</v>
      </c>
      <c r="C21">
        <v>2</v>
      </c>
      <c r="D21">
        <v>1</v>
      </c>
      <c r="E21">
        <v>0</v>
      </c>
      <c r="F21" t="s">
        <v>681</v>
      </c>
      <c r="G21" t="s">
        <v>682</v>
      </c>
      <c r="H21" t="s">
        <v>690</v>
      </c>
      <c r="I21">
        <f t="shared" si="0"/>
        <v>1</v>
      </c>
      <c r="J21" t="s">
        <v>683</v>
      </c>
      <c r="K21" t="s">
        <v>689</v>
      </c>
      <c r="L21">
        <f t="shared" si="1"/>
        <v>2</v>
      </c>
      <c r="M21" t="s">
        <v>683</v>
      </c>
      <c r="N21" t="s">
        <v>688</v>
      </c>
      <c r="O21">
        <f t="shared" si="2"/>
        <v>1</v>
      </c>
      <c r="P21" t="s">
        <v>683</v>
      </c>
      <c r="Q21" t="s">
        <v>684</v>
      </c>
      <c r="R21">
        <f t="shared" si="3"/>
        <v>0</v>
      </c>
      <c r="S21" t="s">
        <v>694</v>
      </c>
      <c r="V21" s="102" t="b">
        <f>IF(totales!D22="temporal",IF(totales!E22="1"&amp;totales!H22="0"&amp;totales!I22="0"&amp;totales!J22="0","a",IF(totales!E22="2"&amp;totales!H22="0"&amp;totales!I22="0"&amp;totales!J22="0","b",IF(totales!E22="3"&amp;totales!H22="0"&amp;totales!I22="0"&amp;totales!J22="0","c",IF(totales!E22="4"&amp;totales!H22="0"&amp;totales!I22="0"&amp;totales!J22="0","d",IF(totales!E22="6"&amp;totales!H22="0"&amp;totales!I22="0"&amp;totales!J22="0","e",IF(totales!E22="1"&amp;totales!H22="1"&amp;totales!I22="0"&amp;totales!J22="0","f",IF(totales!E22="2"&amp;totales!H22="1"&amp;totales!I22="0"&amp;totales!J22="0","g",IF(totales!E22="3"&amp;totales!H22="1"&amp;totales!I22="0"&amp;totales!J22="0","h",IF(totales!E22="4"&amp;totales!H22="1"&amp;totales!I22="0"&amp;totales!J22="0","i",IF(totales!E22="6"&amp;totales!H22="1"&amp;totales!I22="0"&amp;totales!J22="0","j",IF(totales!E22="1"&amp;totales!H22="2"&amp;totales!I22="0"&amp;totales!J22="0","k",IF(totales!E22="2"&amp;totales!H22="2"&amp;totales!I22="0"&amp;totales!J22="0","l",IF(totales!E22="3"&amp;totales!H22="2"&amp;totales!I22="0"&amp;totales!J22="0","m",
IF(totales!E22="4"&amp;totales!H22="2"&amp;totales!I22="0"&amp;totales!J22="0","n",IF(totales!E22="6"&amp;totales!H22="2"&amp;totales!I22="0"&amp;totales!J22="0","o",IF(totales!E22="1"&amp;totales!H22="0"&amp;totales!I22="1"&amp;totales!J22="0","p",IF(totales!E22="2"&amp;totales!H22="0"&amp;totales!I22="1"&amp;totales!J22="0","q",IF(totales!E22="3"&amp;totales!H22="0"&amp;totales!I22="1"&amp;totales!J22="0","r",IF(totales!E22="4"&amp;totales!H22="0"&amp;totales!I22="1"&amp;totales!J22="0","s",IF(totales!E22="6"&amp;totales!H22="0"&amp;totales!I22="1"&amp;totales!J22="0","t",IF(totales!E22="1"&amp;totales!H22="2"&amp;totales!I22="1"&amp;totales!J22="0","u",IF(totales!E22="2"&amp;totales!H22="2"&amp;totales!I22="1"&amp;totales!J22="0","v",IF(totales!E22="3"&amp;totales!H22="2"&amp;totales!I22="1"&amp;totales!J22="0","w",IF(totales!E22="4"&amp;totales!H22="2"&amp;totales!I22="1"&amp;totales!J22="0","x",
IF(totales!E22="6"&amp;totales!H22="2"&amp;totales!I22="1"&amp;totales!J22="0","y",IF(totales!E22="1"&amp;totales!H22="1"&amp;totales!I22="1"&amp;totales!J22="0","z",IF(totales!E22="2"&amp;totales!H22="1"&amp;totales!I22="1"&amp;totales!J22="0","0",IF(totales!E22="3"&amp;totales!H22="1"&amp;totales!I22="1"&amp;totales!J22="0","1",IF(totales!E22="4"&amp;totales!H22="1"&amp;totales!I22="1"&amp;totales!J22="0","2",IF(totales!E22="6"&amp;totales!H22="1"&amp;totales!I22="1"&amp;totales!J22="0","3",IF(totales!E22="1"&amp;totales!H22="0"&amp;totales!I22="1"&amp;totales!J22="1","4",IF(totales!E22="2"&amp;totales!H22="0"&amp;totales!I22="1"&amp;totales!J22="1","5",IF(totales!E22="3"&amp;totales!H22="0"&amp;totales!I22="1"&amp;totales!J22="1","6",IF(totales!E22="4"&amp;totales!H22="0"&amp;totales!I22="1"&amp;totales!J22="1","7",IF(totales!E22="6"&amp;totales!H22="0"&amp;totales!I22="1"&amp;totales!J22="1","8",IF(totales!E22="1"&amp;totales!H22="1"&amp;totales!I22="0"&amp;totales!J22="1","9")))))))))))))))))))))))))))))))))))),"ERROR")</f>
        <v>0</v>
      </c>
    </row>
    <row r="22" spans="2:22" ht="15">
      <c r="B22" s="1">
        <v>2</v>
      </c>
      <c r="C22">
        <v>2</v>
      </c>
      <c r="D22">
        <v>1</v>
      </c>
      <c r="E22">
        <v>0</v>
      </c>
      <c r="F22" t="s">
        <v>681</v>
      </c>
      <c r="G22" t="s">
        <v>682</v>
      </c>
      <c r="H22" t="s">
        <v>690</v>
      </c>
      <c r="I22">
        <f t="shared" si="0"/>
        <v>2</v>
      </c>
      <c r="J22" t="s">
        <v>683</v>
      </c>
      <c r="K22" t="s">
        <v>689</v>
      </c>
      <c r="L22">
        <f t="shared" si="1"/>
        <v>2</v>
      </c>
      <c r="M22" t="s">
        <v>683</v>
      </c>
      <c r="N22" t="s">
        <v>688</v>
      </c>
      <c r="O22">
        <f t="shared" si="2"/>
        <v>1</v>
      </c>
      <c r="P22" t="s">
        <v>683</v>
      </c>
      <c r="Q22" t="s">
        <v>684</v>
      </c>
      <c r="R22">
        <f t="shared" si="3"/>
        <v>0</v>
      </c>
      <c r="S22" t="s">
        <v>692</v>
      </c>
      <c r="V22" s="102" t="b">
        <f>IF(totales!D23="temporal",IF(totales!E23="1"&amp;totales!H23="0"&amp;totales!I23="0"&amp;totales!J23="0","a",IF(totales!E23="2"&amp;totales!H23="0"&amp;totales!I23="0"&amp;totales!J23="0","b",IF(totales!E23="3"&amp;totales!H23="0"&amp;totales!I23="0"&amp;totales!J23="0","c",IF(totales!E23="4"&amp;totales!H23="0"&amp;totales!I23="0"&amp;totales!J23="0","d",IF(totales!E23="6"&amp;totales!H23="0"&amp;totales!I23="0"&amp;totales!J23="0","e",IF(totales!E23="1"&amp;totales!H23="1"&amp;totales!I23="0"&amp;totales!J23="0","f",IF(totales!E23="2"&amp;totales!H23="1"&amp;totales!I23="0"&amp;totales!J23="0","g",IF(totales!E23="3"&amp;totales!H23="1"&amp;totales!I23="0"&amp;totales!J23="0","h",IF(totales!E23="4"&amp;totales!H23="1"&amp;totales!I23="0"&amp;totales!J23="0","i",IF(totales!E23="6"&amp;totales!H23="1"&amp;totales!I23="0"&amp;totales!J23="0","j",IF(totales!E23="1"&amp;totales!H23="2"&amp;totales!I23="0"&amp;totales!J23="0","k",IF(totales!E23="2"&amp;totales!H23="2"&amp;totales!I23="0"&amp;totales!J23="0","l",IF(totales!E23="3"&amp;totales!H23="2"&amp;totales!I23="0"&amp;totales!J23="0","m",
IF(totales!E23="4"&amp;totales!H23="2"&amp;totales!I23="0"&amp;totales!J23="0","n",IF(totales!E23="6"&amp;totales!H23="2"&amp;totales!I23="0"&amp;totales!J23="0","o",IF(totales!E23="1"&amp;totales!H23="0"&amp;totales!I23="1"&amp;totales!J23="0","p",IF(totales!E23="2"&amp;totales!H23="0"&amp;totales!I23="1"&amp;totales!J23="0","q",IF(totales!E23="3"&amp;totales!H23="0"&amp;totales!I23="1"&amp;totales!J23="0","r",IF(totales!E23="4"&amp;totales!H23="0"&amp;totales!I23="1"&amp;totales!J23="0","s",IF(totales!E23="6"&amp;totales!H23="0"&amp;totales!I23="1"&amp;totales!J23="0","t",IF(totales!E23="1"&amp;totales!H23="2"&amp;totales!I23="1"&amp;totales!J23="0","u",IF(totales!E23="2"&amp;totales!H23="2"&amp;totales!I23="1"&amp;totales!J23="0","v",IF(totales!E23="3"&amp;totales!H23="2"&amp;totales!I23="1"&amp;totales!J23="0","w",IF(totales!E23="4"&amp;totales!H23="2"&amp;totales!I23="1"&amp;totales!J23="0","x",
IF(totales!E23="6"&amp;totales!H23="2"&amp;totales!I23="1"&amp;totales!J23="0","y",IF(totales!E23="1"&amp;totales!H23="1"&amp;totales!I23="1"&amp;totales!J23="0","z",IF(totales!E23="2"&amp;totales!H23="1"&amp;totales!I23="1"&amp;totales!J23="0","0",IF(totales!E23="3"&amp;totales!H23="1"&amp;totales!I23="1"&amp;totales!J23="0","1",IF(totales!E23="4"&amp;totales!H23="1"&amp;totales!I23="1"&amp;totales!J23="0","2",IF(totales!E23="6"&amp;totales!H23="1"&amp;totales!I23="1"&amp;totales!J23="0","3",IF(totales!E23="1"&amp;totales!H23="0"&amp;totales!I23="1"&amp;totales!J23="1","4",IF(totales!E23="2"&amp;totales!H23="0"&amp;totales!I23="1"&amp;totales!J23="1","5",IF(totales!E23="3"&amp;totales!H23="0"&amp;totales!I23="1"&amp;totales!J23="1","6",IF(totales!E23="4"&amp;totales!H23="0"&amp;totales!I23="1"&amp;totales!J23="1","7",IF(totales!E23="6"&amp;totales!H23="0"&amp;totales!I23="1"&amp;totales!J23="1","8",IF(totales!E23="1"&amp;totales!H23="1"&amp;totales!I23="0"&amp;totales!J23="1","9")))))))))))))))))))))))))))))))))))),"ERROR")</f>
        <v>0</v>
      </c>
    </row>
    <row r="23" spans="2:22" ht="15">
      <c r="B23" s="1">
        <v>3</v>
      </c>
      <c r="C23">
        <v>2</v>
      </c>
      <c r="D23">
        <v>1</v>
      </c>
      <c r="E23">
        <v>0</v>
      </c>
      <c r="F23" t="s">
        <v>681</v>
      </c>
      <c r="G23" t="s">
        <v>682</v>
      </c>
      <c r="H23" t="s">
        <v>690</v>
      </c>
      <c r="I23">
        <f t="shared" si="0"/>
        <v>3</v>
      </c>
      <c r="J23" t="s">
        <v>683</v>
      </c>
      <c r="K23" t="s">
        <v>689</v>
      </c>
      <c r="L23">
        <f t="shared" si="1"/>
        <v>2</v>
      </c>
      <c r="M23" t="s">
        <v>683</v>
      </c>
      <c r="N23" t="s">
        <v>688</v>
      </c>
      <c r="O23">
        <f t="shared" si="2"/>
        <v>1</v>
      </c>
      <c r="P23" t="s">
        <v>683</v>
      </c>
      <c r="Q23" t="s">
        <v>684</v>
      </c>
      <c r="R23">
        <f t="shared" si="3"/>
        <v>0</v>
      </c>
      <c r="S23" t="s">
        <v>693</v>
      </c>
      <c r="V23" s="102" t="b">
        <f>IF(totales!D24="temporal",IF(totales!E24="1"&amp;totales!H24="0"&amp;totales!I24="0"&amp;totales!J24="0","a",IF(totales!E24="2"&amp;totales!H24="0"&amp;totales!I24="0"&amp;totales!J24="0","b",IF(totales!E24="3"&amp;totales!H24="0"&amp;totales!I24="0"&amp;totales!J24="0","c",IF(totales!E24="4"&amp;totales!H24="0"&amp;totales!I24="0"&amp;totales!J24="0","d",IF(totales!E24="6"&amp;totales!H24="0"&amp;totales!I24="0"&amp;totales!J24="0","e",IF(totales!E24="1"&amp;totales!H24="1"&amp;totales!I24="0"&amp;totales!J24="0","f",IF(totales!E24="2"&amp;totales!H24="1"&amp;totales!I24="0"&amp;totales!J24="0","g",IF(totales!E24="3"&amp;totales!H24="1"&amp;totales!I24="0"&amp;totales!J24="0","h",IF(totales!E24="4"&amp;totales!H24="1"&amp;totales!I24="0"&amp;totales!J24="0","i",IF(totales!E24="6"&amp;totales!H24="1"&amp;totales!I24="0"&amp;totales!J24="0","j",IF(totales!E24="1"&amp;totales!H24="2"&amp;totales!I24="0"&amp;totales!J24="0","k",IF(totales!E24="2"&amp;totales!H24="2"&amp;totales!I24="0"&amp;totales!J24="0","l",IF(totales!E24="3"&amp;totales!H24="2"&amp;totales!I24="0"&amp;totales!J24="0","m",
IF(totales!E24="4"&amp;totales!H24="2"&amp;totales!I24="0"&amp;totales!J24="0","n",IF(totales!E24="6"&amp;totales!H24="2"&amp;totales!I24="0"&amp;totales!J24="0","o",IF(totales!E24="1"&amp;totales!H24="0"&amp;totales!I24="1"&amp;totales!J24="0","p",IF(totales!E24="2"&amp;totales!H24="0"&amp;totales!I24="1"&amp;totales!J24="0","q",IF(totales!E24="3"&amp;totales!H24="0"&amp;totales!I24="1"&amp;totales!J24="0","r",IF(totales!E24="4"&amp;totales!H24="0"&amp;totales!I24="1"&amp;totales!J24="0","s",IF(totales!E24="6"&amp;totales!H24="0"&amp;totales!I24="1"&amp;totales!J24="0","t",IF(totales!E24="1"&amp;totales!H24="2"&amp;totales!I24="1"&amp;totales!J24="0","u",IF(totales!E24="2"&amp;totales!H24="2"&amp;totales!I24="1"&amp;totales!J24="0","v",IF(totales!E24="3"&amp;totales!H24="2"&amp;totales!I24="1"&amp;totales!J24="0","w",IF(totales!E24="4"&amp;totales!H24="2"&amp;totales!I24="1"&amp;totales!J24="0","x",
IF(totales!E24="6"&amp;totales!H24="2"&amp;totales!I24="1"&amp;totales!J24="0","y",IF(totales!E24="1"&amp;totales!H24="1"&amp;totales!I24="1"&amp;totales!J24="0","z",IF(totales!E24="2"&amp;totales!H24="1"&amp;totales!I24="1"&amp;totales!J24="0","0",IF(totales!E24="3"&amp;totales!H24="1"&amp;totales!I24="1"&amp;totales!J24="0","1",IF(totales!E24="4"&amp;totales!H24="1"&amp;totales!I24="1"&amp;totales!J24="0","2",IF(totales!E24="6"&amp;totales!H24="1"&amp;totales!I24="1"&amp;totales!J24="0","3",IF(totales!E24="1"&amp;totales!H24="0"&amp;totales!I24="1"&amp;totales!J24="1","4",IF(totales!E24="2"&amp;totales!H24="0"&amp;totales!I24="1"&amp;totales!J24="1","5",IF(totales!E24="3"&amp;totales!H24="0"&amp;totales!I24="1"&amp;totales!J24="1","6",IF(totales!E24="4"&amp;totales!H24="0"&amp;totales!I24="1"&amp;totales!J24="1","7",IF(totales!E24="6"&amp;totales!H24="0"&amp;totales!I24="1"&amp;totales!J24="1","8",IF(totales!E24="1"&amp;totales!H24="1"&amp;totales!I24="0"&amp;totales!J24="1","9")))))))))))))))))))))))))))))))))))),"ERROR")</f>
        <v>0</v>
      </c>
    </row>
    <row r="24" spans="2:22" ht="15">
      <c r="B24" s="1">
        <v>4</v>
      </c>
      <c r="C24">
        <v>2</v>
      </c>
      <c r="D24">
        <v>1</v>
      </c>
      <c r="E24">
        <v>0</v>
      </c>
      <c r="F24" t="s">
        <v>681</v>
      </c>
      <c r="G24" t="s">
        <v>682</v>
      </c>
      <c r="H24" t="s">
        <v>690</v>
      </c>
      <c r="I24">
        <f t="shared" si="0"/>
        <v>4</v>
      </c>
      <c r="J24" t="s">
        <v>683</v>
      </c>
      <c r="K24" t="s">
        <v>689</v>
      </c>
      <c r="L24">
        <f t="shared" si="1"/>
        <v>2</v>
      </c>
      <c r="M24" t="s">
        <v>683</v>
      </c>
      <c r="N24" t="s">
        <v>688</v>
      </c>
      <c r="O24">
        <f t="shared" si="2"/>
        <v>1</v>
      </c>
      <c r="P24" t="s">
        <v>683</v>
      </c>
      <c r="Q24" t="s">
        <v>684</v>
      </c>
      <c r="R24">
        <f t="shared" si="3"/>
        <v>0</v>
      </c>
      <c r="S24" t="s">
        <v>694</v>
      </c>
      <c r="V24" s="102" t="b">
        <f>IF(totales!E25="1"&amp;totales!H25="0"&amp;totales!I25="0"&amp;totales!J25="0","a",IF(totales!E25="2"&amp;totales!H25="0"&amp;totales!I25="0"&amp;totales!J25="0","b",IF(totales!E25="3"&amp;totales!H25="0"&amp;totales!I25="0"&amp;totales!J25="0","c",IF(totales!E25="4"&amp;totales!H25="0"&amp;totales!I25="0"&amp;totales!J25="0","d",IF(totales!E25="6"&amp;totales!H25="0"&amp;totales!I25="0"&amp;totales!J25="0","e",IF(totales!E25="1"&amp;totales!H25="1"&amp;totales!I25="0"&amp;totales!J25="0","f",IF(totales!E25="2"&amp;totales!H25="1"&amp;totales!I25="0"&amp;totales!J25="0","g",IF(totales!E25="3"&amp;totales!H25="1"&amp;totales!I25="0"&amp;totales!J25="0","h",IF(totales!E25="4"&amp;totales!H25="1"&amp;totales!I25="0"&amp;totales!J25="0","i",IF(totales!E25="6"&amp;totales!H25="1"&amp;totales!I25="0"&amp;totales!J25="0","j",IF(totales!E25="1"&amp;totales!H25="2"&amp;totales!I25="0"&amp;totales!J25="0","k",IF(totales!E25="2"&amp;totales!H25="2"&amp;totales!I25="0"&amp;totales!J25="0","l",IF(totales!E25="3"&amp;totales!H25="2"&amp;totales!I25="0"&amp;totales!J25="0","m",
IF(totales!E25="4"&amp;totales!H25="2"&amp;totales!I25="0"&amp;totales!J25="0","n",IF(totales!E25="6"&amp;totales!H25="2"&amp;totales!I25="0"&amp;totales!J25="0","o",IF(totales!E25="1"&amp;totales!H25="0"&amp;totales!I25="1"&amp;totales!J25="0","p",IF(totales!E25="2"&amp;totales!H25="0"&amp;totales!I25="1"&amp;totales!J25="0","q",IF(totales!E25="3"&amp;totales!H25="0"&amp;totales!I25="1"&amp;totales!J25="0","r",IF(totales!E25="4"&amp;totales!H25="0"&amp;totales!I25="1"&amp;totales!J25="0","s",IF(totales!E25="6"&amp;totales!H25="0"&amp;totales!I25="1"&amp;totales!J25="0","t",IF(totales!E25="1"&amp;totales!H25="2"&amp;totales!I25="1"&amp;totales!J25="0","u",IF(totales!E25="2"&amp;totales!H25="2"&amp;totales!I25="1"&amp;totales!J25="0","v",IF(totales!E25="3"&amp;totales!H25="2"&amp;totales!I25="1"&amp;totales!J25="0","w",IF(totales!E25="4"&amp;totales!H25="2"&amp;totales!I25="1"&amp;totales!J25="0","x",
IF(totales!E25="6"&amp;totales!H25="2"&amp;totales!I25="1"&amp;totales!J25="0","y",IF(totales!E25="1"&amp;totales!H25="1"&amp;totales!I25="1"&amp;totales!J25="0","z",IF(totales!E25="2"&amp;totales!H25="1"&amp;totales!I25="1"&amp;totales!J25="0","0",IF(totales!E25="3"&amp;totales!H25="1"&amp;totales!I25="1"&amp;totales!J25="0","1",IF(totales!E25="4"&amp;totales!H25="1"&amp;totales!I25="1"&amp;totales!J25="0","2",IF(totales!E25="6"&amp;totales!H25="1"&amp;totales!I25="1"&amp;totales!J25="0","3",IF(totales!E25="1"&amp;totales!H25="0"&amp;totales!I25="1"&amp;totales!J25="1","4",IF(totales!E25="2"&amp;totales!H25="0"&amp;totales!I25="1"&amp;totales!J25="1","5",IF(totales!E25="3"&amp;totales!H25="0"&amp;totales!I25="1"&amp;totales!J25="1","6",IF(totales!E25="4"&amp;totales!H25="0"&amp;totales!I25="1"&amp;totales!J25="1","7",IF(totales!E25="6"&amp;totales!H25="0"&amp;totales!I25="1"&amp;totales!J25="1","8",IF(totales!E25="1"&amp;totales!H25="1"&amp;totales!I25="0"&amp;totales!J25="1","9"))))))))))))))))))))))))))))))))))))</f>
        <v>0</v>
      </c>
    </row>
    <row r="25" spans="2:22" ht="15">
      <c r="B25" s="1">
        <v>6</v>
      </c>
      <c r="C25">
        <v>2</v>
      </c>
      <c r="D25">
        <v>1</v>
      </c>
      <c r="E25">
        <v>0</v>
      </c>
      <c r="F25" t="s">
        <v>681</v>
      </c>
      <c r="G25" t="s">
        <v>682</v>
      </c>
      <c r="H25" t="s">
        <v>690</v>
      </c>
      <c r="I25">
        <f t="shared" si="0"/>
        <v>6</v>
      </c>
      <c r="J25" t="s">
        <v>683</v>
      </c>
      <c r="K25" t="s">
        <v>689</v>
      </c>
      <c r="L25">
        <f t="shared" si="1"/>
        <v>2</v>
      </c>
      <c r="M25" t="s">
        <v>683</v>
      </c>
      <c r="N25" t="s">
        <v>688</v>
      </c>
      <c r="O25">
        <f t="shared" si="2"/>
        <v>1</v>
      </c>
      <c r="P25" t="s">
        <v>683</v>
      </c>
      <c r="Q25" t="s">
        <v>684</v>
      </c>
      <c r="R25">
        <f t="shared" si="3"/>
        <v>0</v>
      </c>
      <c r="S25" t="s">
        <v>692</v>
      </c>
      <c r="V25" s="102" t="b">
        <f>IF(totales!E26="1"&amp;totales!H26="0"&amp;totales!I26="0"&amp;totales!J26="0","a",IF(totales!E26="2"&amp;totales!H26="0"&amp;totales!I26="0"&amp;totales!J26="0","b",IF(totales!E26="3"&amp;totales!H26="0"&amp;totales!I26="0"&amp;totales!J26="0","c",IF(totales!E26="4"&amp;totales!H26="0"&amp;totales!I26="0"&amp;totales!J26="0","d",IF(totales!E26="6"&amp;totales!H26="0"&amp;totales!I26="0"&amp;totales!J26="0","e",IF(totales!E26="1"&amp;totales!H26="1"&amp;totales!I26="0"&amp;totales!J26="0","f",IF(totales!E26="2"&amp;totales!H26="1"&amp;totales!I26="0"&amp;totales!J26="0","g",IF(totales!E26="3"&amp;totales!H26="1"&amp;totales!I26="0"&amp;totales!J26="0","h",IF(totales!E26="4"&amp;totales!H26="1"&amp;totales!I26="0"&amp;totales!J26="0","i",IF(totales!E26="6"&amp;totales!H26="1"&amp;totales!I26="0"&amp;totales!J26="0","j",IF(totales!E26="1"&amp;totales!H26="2"&amp;totales!I26="0"&amp;totales!J26="0","k",IF(totales!E26="2"&amp;totales!H26="2"&amp;totales!I26="0"&amp;totales!J26="0","l",IF(totales!E26="3"&amp;totales!H26="2"&amp;totales!I26="0"&amp;totales!J26="0","m",
IF(totales!E26="4"&amp;totales!H26="2"&amp;totales!I26="0"&amp;totales!J26="0","n",IF(totales!E26="6"&amp;totales!H26="2"&amp;totales!I26="0"&amp;totales!J26="0","o",IF(totales!E26="1"&amp;totales!H26="0"&amp;totales!I26="1"&amp;totales!J26="0","p",IF(totales!E26="2"&amp;totales!H26="0"&amp;totales!I26="1"&amp;totales!J26="0","q",IF(totales!E26="3"&amp;totales!H26="0"&amp;totales!I26="1"&amp;totales!J26="0","r",IF(totales!E26="4"&amp;totales!H26="0"&amp;totales!I26="1"&amp;totales!J26="0","s",IF(totales!E26="6"&amp;totales!H26="0"&amp;totales!I26="1"&amp;totales!J26="0","t",IF(totales!E26="1"&amp;totales!H26="2"&amp;totales!I26="1"&amp;totales!J26="0","u",IF(totales!E26="2"&amp;totales!H26="2"&amp;totales!I26="1"&amp;totales!J26="0","v",IF(totales!E26="3"&amp;totales!H26="2"&amp;totales!I26="1"&amp;totales!J26="0","w",IF(totales!E26="4"&amp;totales!H26="2"&amp;totales!I26="1"&amp;totales!J26="0","x",
IF(totales!E26="6"&amp;totales!H26="2"&amp;totales!I26="1"&amp;totales!J26="0","y",IF(totales!E26="1"&amp;totales!H26="1"&amp;totales!I26="1"&amp;totales!J26="0","z",IF(totales!E26="2"&amp;totales!H26="1"&amp;totales!I26="1"&amp;totales!J26="0","0",IF(totales!E26="3"&amp;totales!H26="1"&amp;totales!I26="1"&amp;totales!J26="0","1",IF(totales!E26="4"&amp;totales!H26="1"&amp;totales!I26="1"&amp;totales!J26="0","2",IF(totales!E26="6"&amp;totales!H26="1"&amp;totales!I26="1"&amp;totales!J26="0","3",IF(totales!E26="1"&amp;totales!H26="0"&amp;totales!I26="1"&amp;totales!J26="1","4",IF(totales!E26="2"&amp;totales!H26="0"&amp;totales!I26="1"&amp;totales!J26="1","5",IF(totales!E26="3"&amp;totales!H26="0"&amp;totales!I26="1"&amp;totales!J26="1","6",IF(totales!E26="4"&amp;totales!H26="0"&amp;totales!I26="1"&amp;totales!J26="1","7",IF(totales!E26="6"&amp;totales!H26="0"&amp;totales!I26="1"&amp;totales!J26="1","8",IF(totales!E26="1"&amp;totales!H26="1"&amp;totales!I26="0"&amp;totales!J26="1","9"))))))))))))))))))))))))))))))))))))</f>
        <v>0</v>
      </c>
    </row>
    <row r="26" spans="2:22" ht="15">
      <c r="B26" s="1">
        <v>1</v>
      </c>
      <c r="C26">
        <v>1</v>
      </c>
      <c r="D26">
        <v>1</v>
      </c>
      <c r="E26">
        <v>0</v>
      </c>
      <c r="F26" t="s">
        <v>681</v>
      </c>
      <c r="G26" t="s">
        <v>682</v>
      </c>
      <c r="H26" t="s">
        <v>690</v>
      </c>
      <c r="I26">
        <f t="shared" si="0"/>
        <v>1</v>
      </c>
      <c r="J26" t="s">
        <v>683</v>
      </c>
      <c r="K26" t="s">
        <v>689</v>
      </c>
      <c r="L26">
        <f t="shared" si="1"/>
        <v>1</v>
      </c>
      <c r="M26" t="s">
        <v>683</v>
      </c>
      <c r="N26" t="s">
        <v>688</v>
      </c>
      <c r="O26">
        <f t="shared" si="2"/>
        <v>1</v>
      </c>
      <c r="P26" t="s">
        <v>683</v>
      </c>
      <c r="Q26" t="s">
        <v>684</v>
      </c>
      <c r="R26">
        <f t="shared" si="3"/>
        <v>0</v>
      </c>
      <c r="S26" t="s">
        <v>693</v>
      </c>
      <c r="V26" s="102" t="b">
        <f>IF(totales!E27="1"&amp;totales!H27="0"&amp;totales!I27="0"&amp;totales!J27="0","a",IF(totales!E27="2"&amp;totales!H27="0"&amp;totales!I27="0"&amp;totales!J27="0","b",IF(totales!E27="3"&amp;totales!H27="0"&amp;totales!I27="0"&amp;totales!J27="0","c",IF(totales!E27="4"&amp;totales!H27="0"&amp;totales!I27="0"&amp;totales!J27="0","d",IF(totales!E27="6"&amp;totales!H27="0"&amp;totales!I27="0"&amp;totales!J27="0","e",IF(totales!E27="1"&amp;totales!H27="1"&amp;totales!I27="0"&amp;totales!J27="0","f",IF(totales!E27="2"&amp;totales!H27="1"&amp;totales!I27="0"&amp;totales!J27="0","g",IF(totales!E27="3"&amp;totales!H27="1"&amp;totales!I27="0"&amp;totales!J27="0","h",IF(totales!E27="4"&amp;totales!H27="1"&amp;totales!I27="0"&amp;totales!J27="0","i",IF(totales!E27="6"&amp;totales!H27="1"&amp;totales!I27="0"&amp;totales!J27="0","j",IF(totales!E27="1"&amp;totales!H27="2"&amp;totales!I27="0"&amp;totales!J27="0","k",IF(totales!E27="2"&amp;totales!H27="2"&amp;totales!I27="0"&amp;totales!J27="0","l",IF(totales!E27="3"&amp;totales!H27="2"&amp;totales!I27="0"&amp;totales!J27="0","m",
IF(totales!E27="4"&amp;totales!H27="2"&amp;totales!I27="0"&amp;totales!J27="0","n",IF(totales!E27="6"&amp;totales!H27="2"&amp;totales!I27="0"&amp;totales!J27="0","o",IF(totales!E27="1"&amp;totales!H27="0"&amp;totales!I27="1"&amp;totales!J27="0","p",IF(totales!E27="2"&amp;totales!H27="0"&amp;totales!I27="1"&amp;totales!J27="0","q",IF(totales!E27="3"&amp;totales!H27="0"&amp;totales!I27="1"&amp;totales!J27="0","r",IF(totales!E27="4"&amp;totales!H27="0"&amp;totales!I27="1"&amp;totales!J27="0","s",IF(totales!E27="6"&amp;totales!H27="0"&amp;totales!I27="1"&amp;totales!J27="0","t",IF(totales!E27="1"&amp;totales!H27="2"&amp;totales!I27="1"&amp;totales!J27="0","u",IF(totales!E27="2"&amp;totales!H27="2"&amp;totales!I27="1"&amp;totales!J27="0","v",IF(totales!E27="3"&amp;totales!H27="2"&amp;totales!I27="1"&amp;totales!J27="0","w",IF(totales!E27="4"&amp;totales!H27="2"&amp;totales!I27="1"&amp;totales!J27="0","x",
IF(totales!E27="6"&amp;totales!H27="2"&amp;totales!I27="1"&amp;totales!J27="0","y",IF(totales!E27="1"&amp;totales!H27="1"&amp;totales!I27="1"&amp;totales!J27="0","z",IF(totales!E27="2"&amp;totales!H27="1"&amp;totales!I27="1"&amp;totales!J27="0","0",IF(totales!E27="3"&amp;totales!H27="1"&amp;totales!I27="1"&amp;totales!J27="0","1",IF(totales!E27="4"&amp;totales!H27="1"&amp;totales!I27="1"&amp;totales!J27="0","2",IF(totales!E27="6"&amp;totales!H27="1"&amp;totales!I27="1"&amp;totales!J27="0","3",IF(totales!E27="1"&amp;totales!H27="0"&amp;totales!I27="1"&amp;totales!J27="1","4",IF(totales!E27="2"&amp;totales!H27="0"&amp;totales!I27="1"&amp;totales!J27="1","5",IF(totales!E27="3"&amp;totales!H27="0"&amp;totales!I27="1"&amp;totales!J27="1","6",IF(totales!E27="4"&amp;totales!H27="0"&amp;totales!I27="1"&amp;totales!J27="1","7",IF(totales!E27="6"&amp;totales!H27="0"&amp;totales!I27="1"&amp;totales!J27="1","8",IF(totales!E27="1"&amp;totales!H27="1"&amp;totales!I27="0"&amp;totales!J27="1","9"))))))))))))))))))))))))))))))))))))</f>
        <v>0</v>
      </c>
    </row>
    <row r="27" spans="2:22" ht="15">
      <c r="B27" s="1">
        <v>2</v>
      </c>
      <c r="C27">
        <v>1</v>
      </c>
      <c r="D27">
        <v>1</v>
      </c>
      <c r="E27">
        <v>0</v>
      </c>
      <c r="F27" t="s">
        <v>681</v>
      </c>
      <c r="G27" t="s">
        <v>682</v>
      </c>
      <c r="H27" t="s">
        <v>690</v>
      </c>
      <c r="I27">
        <f t="shared" si="0"/>
        <v>2</v>
      </c>
      <c r="J27" t="s">
        <v>683</v>
      </c>
      <c r="K27" t="s">
        <v>689</v>
      </c>
      <c r="L27">
        <f t="shared" si="1"/>
        <v>1</v>
      </c>
      <c r="M27" t="s">
        <v>683</v>
      </c>
      <c r="N27" t="s">
        <v>688</v>
      </c>
      <c r="O27">
        <f t="shared" si="2"/>
        <v>1</v>
      </c>
      <c r="P27" t="s">
        <v>683</v>
      </c>
      <c r="Q27" t="s">
        <v>684</v>
      </c>
      <c r="R27">
        <f t="shared" si="3"/>
        <v>0</v>
      </c>
      <c r="S27" t="s">
        <v>694</v>
      </c>
      <c r="V27" s="102" t="b">
        <f>IF(totales!E28="1"&amp;totales!H28="0"&amp;totales!I28="0"&amp;totales!J28="0","a",IF(totales!E28="2"&amp;totales!H28="0"&amp;totales!I28="0"&amp;totales!J28="0","b",IF(totales!E28="3"&amp;totales!H28="0"&amp;totales!I28="0"&amp;totales!J28="0","c",IF(totales!E28="4"&amp;totales!H28="0"&amp;totales!I28="0"&amp;totales!J28="0","d",IF(totales!E28="6"&amp;totales!H28="0"&amp;totales!I28="0"&amp;totales!J28="0","e",IF(totales!E28="1"&amp;totales!H28="1"&amp;totales!I28="0"&amp;totales!J28="0","f",IF(totales!E28="2"&amp;totales!H28="1"&amp;totales!I28="0"&amp;totales!J28="0","g",IF(totales!E28="3"&amp;totales!H28="1"&amp;totales!I28="0"&amp;totales!J28="0","h",IF(totales!E28="4"&amp;totales!H28="1"&amp;totales!I28="0"&amp;totales!J28="0","i",IF(totales!E28="6"&amp;totales!H28="1"&amp;totales!I28="0"&amp;totales!J28="0","j",IF(totales!E28="1"&amp;totales!H28="2"&amp;totales!I28="0"&amp;totales!J28="0","k",IF(totales!E28="2"&amp;totales!H28="2"&amp;totales!I28="0"&amp;totales!J28="0","l",IF(totales!E28="3"&amp;totales!H28="2"&amp;totales!I28="0"&amp;totales!J28="0","m",
IF(totales!E28="4"&amp;totales!H28="2"&amp;totales!I28="0"&amp;totales!J28="0","n",IF(totales!E28="6"&amp;totales!H28="2"&amp;totales!I28="0"&amp;totales!J28="0","o",IF(totales!E28="1"&amp;totales!H28="0"&amp;totales!I28="1"&amp;totales!J28="0","p",IF(totales!E28="2"&amp;totales!H28="0"&amp;totales!I28="1"&amp;totales!J28="0","q",IF(totales!E28="3"&amp;totales!H28="0"&amp;totales!I28="1"&amp;totales!J28="0","r",IF(totales!E28="4"&amp;totales!H28="0"&amp;totales!I28="1"&amp;totales!J28="0","s",IF(totales!E28="6"&amp;totales!H28="0"&amp;totales!I28="1"&amp;totales!J28="0","t",IF(totales!E28="1"&amp;totales!H28="2"&amp;totales!I28="1"&amp;totales!J28="0","u",IF(totales!E28="2"&amp;totales!H28="2"&amp;totales!I28="1"&amp;totales!J28="0","v",IF(totales!E28="3"&amp;totales!H28="2"&amp;totales!I28="1"&amp;totales!J28="0","w",IF(totales!E28="4"&amp;totales!H28="2"&amp;totales!I28="1"&amp;totales!J28="0","x",
IF(totales!E28="6"&amp;totales!H28="2"&amp;totales!I28="1"&amp;totales!J28="0","y",IF(totales!E28="1"&amp;totales!H28="1"&amp;totales!I28="1"&amp;totales!J28="0","z",IF(totales!E28="2"&amp;totales!H28="1"&amp;totales!I28="1"&amp;totales!J28="0","0",IF(totales!E28="3"&amp;totales!H28="1"&amp;totales!I28="1"&amp;totales!J28="0","1",IF(totales!E28="4"&amp;totales!H28="1"&amp;totales!I28="1"&amp;totales!J28="0","2",IF(totales!E28="6"&amp;totales!H28="1"&amp;totales!I28="1"&amp;totales!J28="0","3",IF(totales!E28="1"&amp;totales!H28="0"&amp;totales!I28="1"&amp;totales!J28="1","4",IF(totales!E28="2"&amp;totales!H28="0"&amp;totales!I28="1"&amp;totales!J28="1","5",IF(totales!E28="3"&amp;totales!H28="0"&amp;totales!I28="1"&amp;totales!J28="1","6",IF(totales!E28="4"&amp;totales!H28="0"&amp;totales!I28="1"&amp;totales!J28="1","7",IF(totales!E28="6"&amp;totales!H28="0"&amp;totales!I28="1"&amp;totales!J28="1","8",IF(totales!E28="1"&amp;totales!H28="1"&amp;totales!I28="0"&amp;totales!J28="1","9"))))))))))))))))))))))))))))))))))))</f>
        <v>0</v>
      </c>
    </row>
    <row r="28" spans="2:22" ht="15">
      <c r="B28" s="1">
        <v>3</v>
      </c>
      <c r="C28">
        <v>1</v>
      </c>
      <c r="D28">
        <v>1</v>
      </c>
      <c r="E28">
        <v>0</v>
      </c>
      <c r="F28" t="s">
        <v>681</v>
      </c>
      <c r="G28" t="s">
        <v>682</v>
      </c>
      <c r="H28" t="s">
        <v>690</v>
      </c>
      <c r="I28">
        <f t="shared" si="0"/>
        <v>3</v>
      </c>
      <c r="J28" t="s">
        <v>683</v>
      </c>
      <c r="K28" t="s">
        <v>689</v>
      </c>
      <c r="L28">
        <f t="shared" si="1"/>
        <v>1</v>
      </c>
      <c r="M28" t="s">
        <v>683</v>
      </c>
      <c r="N28" t="s">
        <v>688</v>
      </c>
      <c r="O28">
        <f t="shared" si="2"/>
        <v>1</v>
      </c>
      <c r="P28" t="s">
        <v>683</v>
      </c>
      <c r="Q28" t="s">
        <v>684</v>
      </c>
      <c r="R28">
        <f t="shared" si="3"/>
        <v>0</v>
      </c>
      <c r="S28" t="s">
        <v>692</v>
      </c>
      <c r="V28" s="102" t="b">
        <f>IF(totales!E29="1"&amp;totales!H29="0"&amp;totales!I29="0"&amp;totales!J29="0","a",IF(totales!E29="2"&amp;totales!H29="0"&amp;totales!I29="0"&amp;totales!J29="0","b",IF(totales!E29="3"&amp;totales!H29="0"&amp;totales!I29="0"&amp;totales!J29="0","c",IF(totales!E29="4"&amp;totales!H29="0"&amp;totales!I29="0"&amp;totales!J29="0","d",IF(totales!E29="6"&amp;totales!H29="0"&amp;totales!I29="0"&amp;totales!J29="0","e",IF(totales!E29="1"&amp;totales!H29="1"&amp;totales!I29="0"&amp;totales!J29="0","f",IF(totales!E29="2"&amp;totales!H29="1"&amp;totales!I29="0"&amp;totales!J29="0","g",IF(totales!E29="3"&amp;totales!H29="1"&amp;totales!I29="0"&amp;totales!J29="0","h",IF(totales!E29="4"&amp;totales!H29="1"&amp;totales!I29="0"&amp;totales!J29="0","i",IF(totales!E29="6"&amp;totales!H29="1"&amp;totales!I29="0"&amp;totales!J29="0","j",IF(totales!E29="1"&amp;totales!H29="2"&amp;totales!I29="0"&amp;totales!J29="0","k",IF(totales!E29="2"&amp;totales!H29="2"&amp;totales!I29="0"&amp;totales!J29="0","l",IF(totales!E29="3"&amp;totales!H29="2"&amp;totales!I29="0"&amp;totales!J29="0","m",
IF(totales!E29="4"&amp;totales!H29="2"&amp;totales!I29="0"&amp;totales!J29="0","n",IF(totales!E29="6"&amp;totales!H29="2"&amp;totales!I29="0"&amp;totales!J29="0","o",IF(totales!E29="1"&amp;totales!H29="0"&amp;totales!I29="1"&amp;totales!J29="0","p",IF(totales!E29="2"&amp;totales!H29="0"&amp;totales!I29="1"&amp;totales!J29="0","q",IF(totales!E29="3"&amp;totales!H29="0"&amp;totales!I29="1"&amp;totales!J29="0","r",IF(totales!E29="4"&amp;totales!H29="0"&amp;totales!I29="1"&amp;totales!J29="0","s",IF(totales!E29="6"&amp;totales!H29="0"&amp;totales!I29="1"&amp;totales!J29="0","t",IF(totales!E29="1"&amp;totales!H29="2"&amp;totales!I29="1"&amp;totales!J29="0","u",IF(totales!E29="2"&amp;totales!H29="2"&amp;totales!I29="1"&amp;totales!J29="0","v",IF(totales!E29="3"&amp;totales!H29="2"&amp;totales!I29="1"&amp;totales!J29="0","w",IF(totales!E29="4"&amp;totales!H29="2"&amp;totales!I29="1"&amp;totales!J29="0","x",
IF(totales!E29="6"&amp;totales!H29="2"&amp;totales!I29="1"&amp;totales!J29="0","y",IF(totales!E29="1"&amp;totales!H29="1"&amp;totales!I29="1"&amp;totales!J29="0","z",IF(totales!E29="2"&amp;totales!H29="1"&amp;totales!I29="1"&amp;totales!J29="0","0",IF(totales!E29="3"&amp;totales!H29="1"&amp;totales!I29="1"&amp;totales!J29="0","1",IF(totales!E29="4"&amp;totales!H29="1"&amp;totales!I29="1"&amp;totales!J29="0","2",IF(totales!E29="6"&amp;totales!H29="1"&amp;totales!I29="1"&amp;totales!J29="0","3",IF(totales!E29="1"&amp;totales!H29="0"&amp;totales!I29="1"&amp;totales!J29="1","4",IF(totales!E29="2"&amp;totales!H29="0"&amp;totales!I29="1"&amp;totales!J29="1","5",IF(totales!E29="3"&amp;totales!H29="0"&amp;totales!I29="1"&amp;totales!J29="1","6",IF(totales!E29="4"&amp;totales!H29="0"&amp;totales!I29="1"&amp;totales!J29="1","7",IF(totales!E29="6"&amp;totales!H29="0"&amp;totales!I29="1"&amp;totales!J29="1","8",IF(totales!E29="1"&amp;totales!H29="1"&amp;totales!I29="0"&amp;totales!J29="1","9"))))))))))))))))))))))))))))))))))))</f>
        <v>0</v>
      </c>
    </row>
    <row r="29" spans="2:22" ht="15">
      <c r="B29" s="1">
        <v>4</v>
      </c>
      <c r="C29">
        <v>1</v>
      </c>
      <c r="D29">
        <v>1</v>
      </c>
      <c r="E29">
        <v>0</v>
      </c>
      <c r="F29" t="s">
        <v>681</v>
      </c>
      <c r="G29" t="s">
        <v>682</v>
      </c>
      <c r="H29" t="s">
        <v>690</v>
      </c>
      <c r="I29">
        <f t="shared" si="0"/>
        <v>4</v>
      </c>
      <c r="J29" t="s">
        <v>683</v>
      </c>
      <c r="K29" t="s">
        <v>689</v>
      </c>
      <c r="L29">
        <f t="shared" si="1"/>
        <v>1</v>
      </c>
      <c r="M29" t="s">
        <v>683</v>
      </c>
      <c r="N29" t="s">
        <v>688</v>
      </c>
      <c r="O29">
        <f t="shared" si="2"/>
        <v>1</v>
      </c>
      <c r="P29" t="s">
        <v>683</v>
      </c>
      <c r="Q29" t="s">
        <v>684</v>
      </c>
      <c r="R29">
        <f t="shared" si="3"/>
        <v>0</v>
      </c>
      <c r="S29" t="s">
        <v>693</v>
      </c>
      <c r="V29" s="102" t="b">
        <f>IF(totales!E30="1"&amp;totales!H30="0"&amp;totales!I30="0"&amp;totales!J30="0","a",IF(totales!E30="2"&amp;totales!H30="0"&amp;totales!I30="0"&amp;totales!J30="0","b",IF(totales!E30="3"&amp;totales!H30="0"&amp;totales!I30="0"&amp;totales!J30="0","c",IF(totales!E30="4"&amp;totales!H30="0"&amp;totales!I30="0"&amp;totales!J30="0","d",IF(totales!E30="6"&amp;totales!H30="0"&amp;totales!I30="0"&amp;totales!J30="0","e",IF(totales!E30="1"&amp;totales!H30="1"&amp;totales!I30="0"&amp;totales!J30="0","f",IF(totales!E30="2"&amp;totales!H30="1"&amp;totales!I30="0"&amp;totales!J30="0","g",IF(totales!E30="3"&amp;totales!H30="1"&amp;totales!I30="0"&amp;totales!J30="0","h",IF(totales!E30="4"&amp;totales!H30="1"&amp;totales!I30="0"&amp;totales!J30="0","i",IF(totales!E30="6"&amp;totales!H30="1"&amp;totales!I30="0"&amp;totales!J30="0","j",IF(totales!E30="1"&amp;totales!H30="2"&amp;totales!I30="0"&amp;totales!J30="0","k",IF(totales!E30="2"&amp;totales!H30="2"&amp;totales!I30="0"&amp;totales!J30="0","l",IF(totales!E30="3"&amp;totales!H30="2"&amp;totales!I30="0"&amp;totales!J30="0","m",
IF(totales!E30="4"&amp;totales!H30="2"&amp;totales!I30="0"&amp;totales!J30="0","n",IF(totales!E30="6"&amp;totales!H30="2"&amp;totales!I30="0"&amp;totales!J30="0","o",IF(totales!E30="1"&amp;totales!H30="0"&amp;totales!I30="1"&amp;totales!J30="0","p",IF(totales!E30="2"&amp;totales!H30="0"&amp;totales!I30="1"&amp;totales!J30="0","q",IF(totales!E30="3"&amp;totales!H30="0"&amp;totales!I30="1"&amp;totales!J30="0","r",IF(totales!E30="4"&amp;totales!H30="0"&amp;totales!I30="1"&amp;totales!J30="0","s",IF(totales!E30="6"&amp;totales!H30="0"&amp;totales!I30="1"&amp;totales!J30="0","t",IF(totales!E30="1"&amp;totales!H30="2"&amp;totales!I30="1"&amp;totales!J30="0","u",IF(totales!E30="2"&amp;totales!H30="2"&amp;totales!I30="1"&amp;totales!J30="0","v",IF(totales!E30="3"&amp;totales!H30="2"&amp;totales!I30="1"&amp;totales!J30="0","w",IF(totales!E30="4"&amp;totales!H30="2"&amp;totales!I30="1"&amp;totales!J30="0","x",
IF(totales!E30="6"&amp;totales!H30="2"&amp;totales!I30="1"&amp;totales!J30="0","y",IF(totales!E30="1"&amp;totales!H30="1"&amp;totales!I30="1"&amp;totales!J30="0","z",IF(totales!E30="2"&amp;totales!H30="1"&amp;totales!I30="1"&amp;totales!J30="0","0",IF(totales!E30="3"&amp;totales!H30="1"&amp;totales!I30="1"&amp;totales!J30="0","1",IF(totales!E30="4"&amp;totales!H30="1"&amp;totales!I30="1"&amp;totales!J30="0","2",IF(totales!E30="6"&amp;totales!H30="1"&amp;totales!I30="1"&amp;totales!J30="0","3",IF(totales!E30="1"&amp;totales!H30="0"&amp;totales!I30="1"&amp;totales!J30="1","4",IF(totales!E30="2"&amp;totales!H30="0"&amp;totales!I30="1"&amp;totales!J30="1","5",IF(totales!E30="3"&amp;totales!H30="0"&amp;totales!I30="1"&amp;totales!J30="1","6",IF(totales!E30="4"&amp;totales!H30="0"&amp;totales!I30="1"&amp;totales!J30="1","7",IF(totales!E30="6"&amp;totales!H30="0"&amp;totales!I30="1"&amp;totales!J30="1","8",IF(totales!E30="1"&amp;totales!H30="1"&amp;totales!I30="0"&amp;totales!J30="1","9"))))))))))))))))))))))))))))))))))))</f>
        <v>0</v>
      </c>
    </row>
    <row r="30" spans="2:22" ht="15">
      <c r="B30" s="1">
        <v>6</v>
      </c>
      <c r="C30">
        <v>1</v>
      </c>
      <c r="D30">
        <v>1</v>
      </c>
      <c r="E30">
        <v>0</v>
      </c>
      <c r="F30" t="s">
        <v>681</v>
      </c>
      <c r="G30" t="s">
        <v>682</v>
      </c>
      <c r="H30" t="s">
        <v>690</v>
      </c>
      <c r="I30">
        <f t="shared" si="0"/>
        <v>6</v>
      </c>
      <c r="J30" t="s">
        <v>683</v>
      </c>
      <c r="K30" t="s">
        <v>689</v>
      </c>
      <c r="L30">
        <f t="shared" si="1"/>
        <v>1</v>
      </c>
      <c r="M30" t="s">
        <v>683</v>
      </c>
      <c r="N30" t="s">
        <v>688</v>
      </c>
      <c r="O30">
        <f t="shared" si="2"/>
        <v>1</v>
      </c>
      <c r="P30" t="s">
        <v>683</v>
      </c>
      <c r="Q30" t="s">
        <v>684</v>
      </c>
      <c r="R30">
        <f t="shared" si="3"/>
        <v>0</v>
      </c>
      <c r="S30" t="s">
        <v>694</v>
      </c>
      <c r="V30" s="102" t="b">
        <f>IF(totales!E31="1"&amp;totales!H31="0"&amp;totales!I31="0"&amp;totales!J31="0","a",IF(totales!E31="2"&amp;totales!H31="0"&amp;totales!I31="0"&amp;totales!J31="0","b",IF(totales!E31="3"&amp;totales!H31="0"&amp;totales!I31="0"&amp;totales!J31="0","c",IF(totales!E31="4"&amp;totales!H31="0"&amp;totales!I31="0"&amp;totales!J31="0","d",IF(totales!E31="6"&amp;totales!H31="0"&amp;totales!I31="0"&amp;totales!J31="0","e",IF(totales!E31="1"&amp;totales!H31="1"&amp;totales!I31="0"&amp;totales!J31="0","f",IF(totales!E31="2"&amp;totales!H31="1"&amp;totales!I31="0"&amp;totales!J31="0","g",IF(totales!E31="3"&amp;totales!H31="1"&amp;totales!I31="0"&amp;totales!J31="0","h",IF(totales!E31="4"&amp;totales!H31="1"&amp;totales!I31="0"&amp;totales!J31="0","i",IF(totales!E31="6"&amp;totales!H31="1"&amp;totales!I31="0"&amp;totales!J31="0","j",IF(totales!E31="1"&amp;totales!H31="2"&amp;totales!I31="0"&amp;totales!J31="0","k",IF(totales!E31="2"&amp;totales!H31="2"&amp;totales!I31="0"&amp;totales!J31="0","l",IF(totales!E31="3"&amp;totales!H31="2"&amp;totales!I31="0"&amp;totales!J31="0","m",
IF(totales!E31="4"&amp;totales!H31="2"&amp;totales!I31="0"&amp;totales!J31="0","n",IF(totales!E31="6"&amp;totales!H31="2"&amp;totales!I31="0"&amp;totales!J31="0","o",IF(totales!E31="1"&amp;totales!H31="0"&amp;totales!I31="1"&amp;totales!J31="0","p",IF(totales!E31="2"&amp;totales!H31="0"&amp;totales!I31="1"&amp;totales!J31="0","q",IF(totales!E31="3"&amp;totales!H31="0"&amp;totales!I31="1"&amp;totales!J31="0","r",IF(totales!E31="4"&amp;totales!H31="0"&amp;totales!I31="1"&amp;totales!J31="0","s",IF(totales!E31="6"&amp;totales!H31="0"&amp;totales!I31="1"&amp;totales!J31="0","t",IF(totales!E31="1"&amp;totales!H31="2"&amp;totales!I31="1"&amp;totales!J31="0","u",IF(totales!E31="2"&amp;totales!H31="2"&amp;totales!I31="1"&amp;totales!J31="0","v",IF(totales!E31="3"&amp;totales!H31="2"&amp;totales!I31="1"&amp;totales!J31="0","w",IF(totales!E31="4"&amp;totales!H31="2"&amp;totales!I31="1"&amp;totales!J31="0","x",
IF(totales!E31="6"&amp;totales!H31="2"&amp;totales!I31="1"&amp;totales!J31="0","y",IF(totales!E31="1"&amp;totales!H31="1"&amp;totales!I31="1"&amp;totales!J31="0","z",IF(totales!E31="2"&amp;totales!H31="1"&amp;totales!I31="1"&amp;totales!J31="0","0",IF(totales!E31="3"&amp;totales!H31="1"&amp;totales!I31="1"&amp;totales!J31="0","1",IF(totales!E31="4"&amp;totales!H31="1"&amp;totales!I31="1"&amp;totales!J31="0","2",IF(totales!E31="6"&amp;totales!H31="1"&amp;totales!I31="1"&amp;totales!J31="0","3",IF(totales!E31="1"&amp;totales!H31="0"&amp;totales!I31="1"&amp;totales!J31="1","4",IF(totales!E31="2"&amp;totales!H31="0"&amp;totales!I31="1"&amp;totales!J31="1","5",IF(totales!E31="3"&amp;totales!H31="0"&amp;totales!I31="1"&amp;totales!J31="1","6",IF(totales!E31="4"&amp;totales!H31="0"&amp;totales!I31="1"&amp;totales!J31="1","7",IF(totales!E31="6"&amp;totales!H31="0"&amp;totales!I31="1"&amp;totales!J31="1","8",IF(totales!E31="1"&amp;totales!H31="1"&amp;totales!I31="0"&amp;totales!J31="1","9"))))))))))))))))))))))))))))))))))))</f>
        <v>0</v>
      </c>
    </row>
    <row r="31" spans="2:22" ht="15">
      <c r="B31" s="1">
        <v>1</v>
      </c>
      <c r="C31">
        <v>0</v>
      </c>
      <c r="D31">
        <v>1</v>
      </c>
      <c r="E31">
        <v>1</v>
      </c>
      <c r="F31" t="s">
        <v>681</v>
      </c>
      <c r="G31" t="s">
        <v>682</v>
      </c>
      <c r="H31" t="s">
        <v>690</v>
      </c>
      <c r="I31">
        <f t="shared" si="0"/>
        <v>1</v>
      </c>
      <c r="J31" t="s">
        <v>683</v>
      </c>
      <c r="K31" t="s">
        <v>689</v>
      </c>
      <c r="L31">
        <f t="shared" si="1"/>
        <v>0</v>
      </c>
      <c r="M31" t="s">
        <v>683</v>
      </c>
      <c r="N31" t="s">
        <v>688</v>
      </c>
      <c r="O31">
        <f t="shared" si="2"/>
        <v>1</v>
      </c>
      <c r="P31" t="s">
        <v>683</v>
      </c>
      <c r="Q31" t="s">
        <v>684</v>
      </c>
      <c r="R31">
        <f t="shared" si="3"/>
        <v>1</v>
      </c>
      <c r="S31" t="s">
        <v>692</v>
      </c>
      <c r="V31" s="102" t="b">
        <f>IF(totales!E32="1"&amp;totales!H32="0"&amp;totales!I32="0"&amp;totales!J32="0","a",IF(totales!E32="2"&amp;totales!H32="0"&amp;totales!I32="0"&amp;totales!J32="0","b",IF(totales!E32="3"&amp;totales!H32="0"&amp;totales!I32="0"&amp;totales!J32="0","c",IF(totales!E32="4"&amp;totales!H32="0"&amp;totales!I32="0"&amp;totales!J32="0","d",IF(totales!E32="6"&amp;totales!H32="0"&amp;totales!I32="0"&amp;totales!J32="0","e",IF(totales!E32="1"&amp;totales!H32="1"&amp;totales!I32="0"&amp;totales!J32="0","f",IF(totales!E32="2"&amp;totales!H32="1"&amp;totales!I32="0"&amp;totales!J32="0","g",IF(totales!E32="3"&amp;totales!H32="1"&amp;totales!I32="0"&amp;totales!J32="0","h",IF(totales!E32="4"&amp;totales!H32="1"&amp;totales!I32="0"&amp;totales!J32="0","i",IF(totales!E32="6"&amp;totales!H32="1"&amp;totales!I32="0"&amp;totales!J32="0","j",IF(totales!E32="1"&amp;totales!H32="2"&amp;totales!I32="0"&amp;totales!J32="0","k",IF(totales!E32="2"&amp;totales!H32="2"&amp;totales!I32="0"&amp;totales!J32="0","l",IF(totales!E32="3"&amp;totales!H32="2"&amp;totales!I32="0"&amp;totales!J32="0","m",
IF(totales!E32="4"&amp;totales!H32="2"&amp;totales!I32="0"&amp;totales!J32="0","n",IF(totales!E32="6"&amp;totales!H32="2"&amp;totales!I32="0"&amp;totales!J32="0","o",IF(totales!E32="1"&amp;totales!H32="0"&amp;totales!I32="1"&amp;totales!J32="0","p",IF(totales!E32="2"&amp;totales!H32="0"&amp;totales!I32="1"&amp;totales!J32="0","q",IF(totales!E32="3"&amp;totales!H32="0"&amp;totales!I32="1"&amp;totales!J32="0","r",IF(totales!E32="4"&amp;totales!H32="0"&amp;totales!I32="1"&amp;totales!J32="0","s",IF(totales!E32="6"&amp;totales!H32="0"&amp;totales!I32="1"&amp;totales!J32="0","t",IF(totales!E32="1"&amp;totales!H32="2"&amp;totales!I32="1"&amp;totales!J32="0","u",IF(totales!E32="2"&amp;totales!H32="2"&amp;totales!I32="1"&amp;totales!J32="0","v",IF(totales!E32="3"&amp;totales!H32="2"&amp;totales!I32="1"&amp;totales!J32="0","w",IF(totales!E32="4"&amp;totales!H32="2"&amp;totales!I32="1"&amp;totales!J32="0","x",
IF(totales!E32="6"&amp;totales!H32="2"&amp;totales!I32="1"&amp;totales!J32="0","y",IF(totales!E32="1"&amp;totales!H32="1"&amp;totales!I32="1"&amp;totales!J32="0","z",IF(totales!E32="2"&amp;totales!H32="1"&amp;totales!I32="1"&amp;totales!J32="0","0",IF(totales!E32="3"&amp;totales!H32="1"&amp;totales!I32="1"&amp;totales!J32="0","1",IF(totales!E32="4"&amp;totales!H32="1"&amp;totales!I32="1"&amp;totales!J32="0","2",IF(totales!E32="6"&amp;totales!H32="1"&amp;totales!I32="1"&amp;totales!J32="0","3",IF(totales!E32="1"&amp;totales!H32="0"&amp;totales!I32="1"&amp;totales!J32="1","4",IF(totales!E32="2"&amp;totales!H32="0"&amp;totales!I32="1"&amp;totales!J32="1","5",IF(totales!E32="3"&amp;totales!H32="0"&amp;totales!I32="1"&amp;totales!J32="1","6",IF(totales!E32="4"&amp;totales!H32="0"&amp;totales!I32="1"&amp;totales!J32="1","7",IF(totales!E32="6"&amp;totales!H32="0"&amp;totales!I32="1"&amp;totales!J32="1","8",IF(totales!E32="1"&amp;totales!H32="1"&amp;totales!I32="0"&amp;totales!J32="1","9"))))))))))))))))))))))))))))))))))))</f>
        <v>0</v>
      </c>
    </row>
    <row r="32" spans="2:22" ht="15">
      <c r="B32" s="1">
        <v>2</v>
      </c>
      <c r="C32">
        <v>0</v>
      </c>
      <c r="D32">
        <v>1</v>
      </c>
      <c r="E32">
        <v>1</v>
      </c>
      <c r="F32" t="s">
        <v>681</v>
      </c>
      <c r="G32" t="s">
        <v>682</v>
      </c>
      <c r="H32" t="s">
        <v>690</v>
      </c>
      <c r="I32">
        <f t="shared" si="0"/>
        <v>2</v>
      </c>
      <c r="J32" t="s">
        <v>683</v>
      </c>
      <c r="K32" t="s">
        <v>689</v>
      </c>
      <c r="L32">
        <f t="shared" si="1"/>
        <v>0</v>
      </c>
      <c r="M32" t="s">
        <v>683</v>
      </c>
      <c r="N32" t="s">
        <v>688</v>
      </c>
      <c r="O32">
        <f t="shared" si="2"/>
        <v>1</v>
      </c>
      <c r="P32" t="s">
        <v>683</v>
      </c>
      <c r="Q32" t="s">
        <v>684</v>
      </c>
      <c r="R32">
        <f t="shared" si="3"/>
        <v>1</v>
      </c>
      <c r="S32" t="s">
        <v>693</v>
      </c>
      <c r="V32" s="102" t="b">
        <f>IF(totales!E33="1"&amp;totales!H33="0"&amp;totales!I33="0"&amp;totales!J33="0","a",IF(totales!E33="2"&amp;totales!H33="0"&amp;totales!I33="0"&amp;totales!J33="0","b",IF(totales!E33="3"&amp;totales!H33="0"&amp;totales!I33="0"&amp;totales!J33="0","c",IF(totales!E33="4"&amp;totales!H33="0"&amp;totales!I33="0"&amp;totales!J33="0","d",IF(totales!E33="6"&amp;totales!H33="0"&amp;totales!I33="0"&amp;totales!J33="0","e",IF(totales!E33="1"&amp;totales!H33="1"&amp;totales!I33="0"&amp;totales!J33="0","f",IF(totales!E33="2"&amp;totales!H33="1"&amp;totales!I33="0"&amp;totales!J33="0","g",IF(totales!E33="3"&amp;totales!H33="1"&amp;totales!I33="0"&amp;totales!J33="0","h",IF(totales!E33="4"&amp;totales!H33="1"&amp;totales!I33="0"&amp;totales!J33="0","i",IF(totales!E33="6"&amp;totales!H33="1"&amp;totales!I33="0"&amp;totales!J33="0","j",IF(totales!E33="1"&amp;totales!H33="2"&amp;totales!I33="0"&amp;totales!J33="0","k",IF(totales!E33="2"&amp;totales!H33="2"&amp;totales!I33="0"&amp;totales!J33="0","l",IF(totales!E33="3"&amp;totales!H33="2"&amp;totales!I33="0"&amp;totales!J33="0","m",
IF(totales!E33="4"&amp;totales!H33="2"&amp;totales!I33="0"&amp;totales!J33="0","n",IF(totales!E33="6"&amp;totales!H33="2"&amp;totales!I33="0"&amp;totales!J33="0","o",IF(totales!E33="1"&amp;totales!H33="0"&amp;totales!I33="1"&amp;totales!J33="0","p",IF(totales!E33="2"&amp;totales!H33="0"&amp;totales!I33="1"&amp;totales!J33="0","q",IF(totales!E33="3"&amp;totales!H33="0"&amp;totales!I33="1"&amp;totales!J33="0","r",IF(totales!E33="4"&amp;totales!H33="0"&amp;totales!I33="1"&amp;totales!J33="0","s",IF(totales!E33="6"&amp;totales!H33="0"&amp;totales!I33="1"&amp;totales!J33="0","t",IF(totales!E33="1"&amp;totales!H33="2"&amp;totales!I33="1"&amp;totales!J33="0","u",IF(totales!E33="2"&amp;totales!H33="2"&amp;totales!I33="1"&amp;totales!J33="0","v",IF(totales!E33="3"&amp;totales!H33="2"&amp;totales!I33="1"&amp;totales!J33="0","w",IF(totales!E33="4"&amp;totales!H33="2"&amp;totales!I33="1"&amp;totales!J33="0","x",
IF(totales!E33="6"&amp;totales!H33="2"&amp;totales!I33="1"&amp;totales!J33="0","y",IF(totales!E33="1"&amp;totales!H33="1"&amp;totales!I33="1"&amp;totales!J33="0","z",IF(totales!E33="2"&amp;totales!H33="1"&amp;totales!I33="1"&amp;totales!J33="0","0",IF(totales!E33="3"&amp;totales!H33="1"&amp;totales!I33="1"&amp;totales!J33="0","1",IF(totales!E33="4"&amp;totales!H33="1"&amp;totales!I33="1"&amp;totales!J33="0","2",IF(totales!E33="6"&amp;totales!H33="1"&amp;totales!I33="1"&amp;totales!J33="0","3",IF(totales!E33="1"&amp;totales!H33="0"&amp;totales!I33="1"&amp;totales!J33="1","4",IF(totales!E33="2"&amp;totales!H33="0"&amp;totales!I33="1"&amp;totales!J33="1","5",IF(totales!E33="3"&amp;totales!H33="0"&amp;totales!I33="1"&amp;totales!J33="1","6",IF(totales!E33="4"&amp;totales!H33="0"&amp;totales!I33="1"&amp;totales!J33="1","7",IF(totales!E33="6"&amp;totales!H33="0"&amp;totales!I33="1"&amp;totales!J33="1","8",IF(totales!E33="1"&amp;totales!H33="1"&amp;totales!I33="0"&amp;totales!J33="1","9"))))))))))))))))))))))))))))))))))))</f>
        <v>0</v>
      </c>
    </row>
    <row r="33" spans="2:22" ht="15">
      <c r="B33" s="1">
        <v>3</v>
      </c>
      <c r="C33">
        <v>0</v>
      </c>
      <c r="D33">
        <v>1</v>
      </c>
      <c r="E33">
        <v>1</v>
      </c>
      <c r="F33" t="s">
        <v>681</v>
      </c>
      <c r="G33" t="s">
        <v>682</v>
      </c>
      <c r="H33" t="s">
        <v>690</v>
      </c>
      <c r="I33">
        <f t="shared" si="0"/>
        <v>3</v>
      </c>
      <c r="J33" t="s">
        <v>683</v>
      </c>
      <c r="K33" t="s">
        <v>689</v>
      </c>
      <c r="L33">
        <f t="shared" si="1"/>
        <v>0</v>
      </c>
      <c r="M33" t="s">
        <v>683</v>
      </c>
      <c r="N33" t="s">
        <v>688</v>
      </c>
      <c r="O33">
        <f t="shared" si="2"/>
        <v>1</v>
      </c>
      <c r="P33" t="s">
        <v>683</v>
      </c>
      <c r="Q33" t="s">
        <v>684</v>
      </c>
      <c r="R33">
        <f t="shared" si="3"/>
        <v>1</v>
      </c>
      <c r="S33" t="s">
        <v>694</v>
      </c>
      <c r="V33" s="102" t="b">
        <f>IF(totales!E34="1"&amp;totales!H34="0"&amp;totales!I34="0"&amp;totales!J34="0","a",IF(totales!E34="2"&amp;totales!H34="0"&amp;totales!I34="0"&amp;totales!J34="0","b",IF(totales!E34="3"&amp;totales!H34="0"&amp;totales!I34="0"&amp;totales!J34="0","c",IF(totales!E34="4"&amp;totales!H34="0"&amp;totales!I34="0"&amp;totales!J34="0","d",IF(totales!E34="6"&amp;totales!H34="0"&amp;totales!I34="0"&amp;totales!J34="0","e",IF(totales!E34="1"&amp;totales!H34="1"&amp;totales!I34="0"&amp;totales!J34="0","f",IF(totales!E34="2"&amp;totales!H34="1"&amp;totales!I34="0"&amp;totales!J34="0","g",IF(totales!E34="3"&amp;totales!H34="1"&amp;totales!I34="0"&amp;totales!J34="0","h",IF(totales!E34="4"&amp;totales!H34="1"&amp;totales!I34="0"&amp;totales!J34="0","i",IF(totales!E34="6"&amp;totales!H34="1"&amp;totales!I34="0"&amp;totales!J34="0","j",IF(totales!E34="1"&amp;totales!H34="2"&amp;totales!I34="0"&amp;totales!J34="0","k",IF(totales!E34="2"&amp;totales!H34="2"&amp;totales!I34="0"&amp;totales!J34="0","l",IF(totales!E34="3"&amp;totales!H34="2"&amp;totales!I34="0"&amp;totales!J34="0","m",
IF(totales!E34="4"&amp;totales!H34="2"&amp;totales!I34="0"&amp;totales!J34="0","n",IF(totales!E34="6"&amp;totales!H34="2"&amp;totales!I34="0"&amp;totales!J34="0","o",IF(totales!E34="1"&amp;totales!H34="0"&amp;totales!I34="1"&amp;totales!J34="0","p",IF(totales!E34="2"&amp;totales!H34="0"&amp;totales!I34="1"&amp;totales!J34="0","q",IF(totales!E34="3"&amp;totales!H34="0"&amp;totales!I34="1"&amp;totales!J34="0","r",IF(totales!E34="4"&amp;totales!H34="0"&amp;totales!I34="1"&amp;totales!J34="0","s",IF(totales!E34="6"&amp;totales!H34="0"&amp;totales!I34="1"&amp;totales!J34="0","t",IF(totales!E34="1"&amp;totales!H34="2"&amp;totales!I34="1"&amp;totales!J34="0","u",IF(totales!E34="2"&amp;totales!H34="2"&amp;totales!I34="1"&amp;totales!J34="0","v",IF(totales!E34="3"&amp;totales!H34="2"&amp;totales!I34="1"&amp;totales!J34="0","w",IF(totales!E34="4"&amp;totales!H34="2"&amp;totales!I34="1"&amp;totales!J34="0","x",
IF(totales!E34="6"&amp;totales!H34="2"&amp;totales!I34="1"&amp;totales!J34="0","y",IF(totales!E34="1"&amp;totales!H34="1"&amp;totales!I34="1"&amp;totales!J34="0","z",IF(totales!E34="2"&amp;totales!H34="1"&amp;totales!I34="1"&amp;totales!J34="0","0",IF(totales!E34="3"&amp;totales!H34="1"&amp;totales!I34="1"&amp;totales!J34="0","1",IF(totales!E34="4"&amp;totales!H34="1"&amp;totales!I34="1"&amp;totales!J34="0","2",IF(totales!E34="6"&amp;totales!H34="1"&amp;totales!I34="1"&amp;totales!J34="0","3",IF(totales!E34="1"&amp;totales!H34="0"&amp;totales!I34="1"&amp;totales!J34="1","4",IF(totales!E34="2"&amp;totales!H34="0"&amp;totales!I34="1"&amp;totales!J34="1","5",IF(totales!E34="3"&amp;totales!H34="0"&amp;totales!I34="1"&amp;totales!J34="1","6",IF(totales!E34="4"&amp;totales!H34="0"&amp;totales!I34="1"&amp;totales!J34="1","7",IF(totales!E34="6"&amp;totales!H34="0"&amp;totales!I34="1"&amp;totales!J34="1","8",IF(totales!E34="1"&amp;totales!H34="1"&amp;totales!I34="0"&amp;totales!J34="1","9"))))))))))))))))))))))))))))))))))))</f>
        <v>0</v>
      </c>
    </row>
    <row r="34" spans="2:22" ht="15">
      <c r="B34" s="1">
        <v>4</v>
      </c>
      <c r="C34">
        <v>0</v>
      </c>
      <c r="D34">
        <v>1</v>
      </c>
      <c r="E34">
        <v>1</v>
      </c>
      <c r="F34" t="s">
        <v>681</v>
      </c>
      <c r="G34" t="s">
        <v>682</v>
      </c>
      <c r="H34" t="s">
        <v>690</v>
      </c>
      <c r="I34">
        <f t="shared" si="0"/>
        <v>4</v>
      </c>
      <c r="J34" t="s">
        <v>683</v>
      </c>
      <c r="K34" t="s">
        <v>689</v>
      </c>
      <c r="L34">
        <f t="shared" si="1"/>
        <v>0</v>
      </c>
      <c r="M34" t="s">
        <v>683</v>
      </c>
      <c r="N34" t="s">
        <v>688</v>
      </c>
      <c r="O34">
        <f t="shared" si="2"/>
        <v>1</v>
      </c>
      <c r="P34" t="s">
        <v>683</v>
      </c>
      <c r="Q34" t="s">
        <v>684</v>
      </c>
      <c r="R34">
        <f t="shared" si="3"/>
        <v>1</v>
      </c>
      <c r="S34" t="s">
        <v>692</v>
      </c>
      <c r="V34" s="102" t="b">
        <f>IF(totales!E35="1"&amp;totales!H35="0"&amp;totales!I35="0"&amp;totales!J35="0","a",IF(totales!E35="2"&amp;totales!H35="0"&amp;totales!I35="0"&amp;totales!J35="0","b",IF(totales!E35="3"&amp;totales!H35="0"&amp;totales!I35="0"&amp;totales!J35="0","c",IF(totales!E35="4"&amp;totales!H35="0"&amp;totales!I35="0"&amp;totales!J35="0","d",IF(totales!E35="6"&amp;totales!H35="0"&amp;totales!I35="0"&amp;totales!J35="0","e",IF(totales!E35="1"&amp;totales!H35="1"&amp;totales!I35="0"&amp;totales!J35="0","f",IF(totales!E35="2"&amp;totales!H35="1"&amp;totales!I35="0"&amp;totales!J35="0","g",IF(totales!E35="3"&amp;totales!H35="1"&amp;totales!I35="0"&amp;totales!J35="0","h",IF(totales!E35="4"&amp;totales!H35="1"&amp;totales!I35="0"&amp;totales!J35="0","i",IF(totales!E35="6"&amp;totales!H35="1"&amp;totales!I35="0"&amp;totales!J35="0","j",IF(totales!E35="1"&amp;totales!H35="2"&amp;totales!I35="0"&amp;totales!J35="0","k",IF(totales!E35="2"&amp;totales!H35="2"&amp;totales!I35="0"&amp;totales!J35="0","l",IF(totales!E35="3"&amp;totales!H35="2"&amp;totales!I35="0"&amp;totales!J35="0","m",
IF(totales!E35="4"&amp;totales!H35="2"&amp;totales!I35="0"&amp;totales!J35="0","n",IF(totales!E35="6"&amp;totales!H35="2"&amp;totales!I35="0"&amp;totales!J35="0","o",IF(totales!E35="1"&amp;totales!H35="0"&amp;totales!I35="1"&amp;totales!J35="0","p",IF(totales!E35="2"&amp;totales!H35="0"&amp;totales!I35="1"&amp;totales!J35="0","q",IF(totales!E35="3"&amp;totales!H35="0"&amp;totales!I35="1"&amp;totales!J35="0","r",IF(totales!E35="4"&amp;totales!H35="0"&amp;totales!I35="1"&amp;totales!J35="0","s",IF(totales!E35="6"&amp;totales!H35="0"&amp;totales!I35="1"&amp;totales!J35="0","t",IF(totales!E35="1"&amp;totales!H35="2"&amp;totales!I35="1"&amp;totales!J35="0","u",IF(totales!E35="2"&amp;totales!H35="2"&amp;totales!I35="1"&amp;totales!J35="0","v",IF(totales!E35="3"&amp;totales!H35="2"&amp;totales!I35="1"&amp;totales!J35="0","w",IF(totales!E35="4"&amp;totales!H35="2"&amp;totales!I35="1"&amp;totales!J35="0","x",
IF(totales!E35="6"&amp;totales!H35="2"&amp;totales!I35="1"&amp;totales!J35="0","y",IF(totales!E35="1"&amp;totales!H35="1"&amp;totales!I35="1"&amp;totales!J35="0","z",IF(totales!E35="2"&amp;totales!H35="1"&amp;totales!I35="1"&amp;totales!J35="0","0",IF(totales!E35="3"&amp;totales!H35="1"&amp;totales!I35="1"&amp;totales!J35="0","1",IF(totales!E35="4"&amp;totales!H35="1"&amp;totales!I35="1"&amp;totales!J35="0","2",IF(totales!E35="6"&amp;totales!H35="1"&amp;totales!I35="1"&amp;totales!J35="0","3",IF(totales!E35="1"&amp;totales!H35="0"&amp;totales!I35="1"&amp;totales!J35="1","4",IF(totales!E35="2"&amp;totales!H35="0"&amp;totales!I35="1"&amp;totales!J35="1","5",IF(totales!E35="3"&amp;totales!H35="0"&amp;totales!I35="1"&amp;totales!J35="1","6",IF(totales!E35="4"&amp;totales!H35="0"&amp;totales!I35="1"&amp;totales!J35="1","7",IF(totales!E35="6"&amp;totales!H35="0"&amp;totales!I35="1"&amp;totales!J35="1","8",IF(totales!E35="1"&amp;totales!H35="1"&amp;totales!I35="0"&amp;totales!J35="1","9"))))))))))))))))))))))))))))))))))))</f>
        <v>0</v>
      </c>
    </row>
    <row r="35" spans="2:22" ht="15">
      <c r="B35" s="1">
        <v>6</v>
      </c>
      <c r="C35">
        <v>0</v>
      </c>
      <c r="D35">
        <v>1</v>
      </c>
      <c r="E35">
        <v>1</v>
      </c>
      <c r="F35" t="s">
        <v>681</v>
      </c>
      <c r="G35" t="s">
        <v>682</v>
      </c>
      <c r="H35" t="s">
        <v>690</v>
      </c>
      <c r="I35">
        <f t="shared" si="0"/>
        <v>6</v>
      </c>
      <c r="J35" t="s">
        <v>683</v>
      </c>
      <c r="K35" t="s">
        <v>689</v>
      </c>
      <c r="L35">
        <f t="shared" si="1"/>
        <v>0</v>
      </c>
      <c r="M35" t="s">
        <v>683</v>
      </c>
      <c r="N35" t="s">
        <v>688</v>
      </c>
      <c r="O35">
        <f t="shared" si="2"/>
        <v>1</v>
      </c>
      <c r="P35" t="s">
        <v>683</v>
      </c>
      <c r="Q35" t="s">
        <v>684</v>
      </c>
      <c r="R35">
        <f t="shared" si="3"/>
        <v>1</v>
      </c>
      <c r="S35" t="s">
        <v>693</v>
      </c>
      <c r="V35" s="102" t="b">
        <f>IF(totales!E36="1"&amp;totales!H36="0"&amp;totales!I36="0"&amp;totales!J36="0","a",IF(totales!E36="2"&amp;totales!H36="0"&amp;totales!I36="0"&amp;totales!J36="0","b",IF(totales!E36="3"&amp;totales!H36="0"&amp;totales!I36="0"&amp;totales!J36="0","c",IF(totales!E36="4"&amp;totales!H36="0"&amp;totales!I36="0"&amp;totales!J36="0","d",IF(totales!E36="6"&amp;totales!H36="0"&amp;totales!I36="0"&amp;totales!J36="0","e",IF(totales!E36="1"&amp;totales!H36="1"&amp;totales!I36="0"&amp;totales!J36="0","f",IF(totales!E36="2"&amp;totales!H36="1"&amp;totales!I36="0"&amp;totales!J36="0","g",IF(totales!E36="3"&amp;totales!H36="1"&amp;totales!I36="0"&amp;totales!J36="0","h",IF(totales!E36="4"&amp;totales!H36="1"&amp;totales!I36="0"&amp;totales!J36="0","i",IF(totales!E36="6"&amp;totales!H36="1"&amp;totales!I36="0"&amp;totales!J36="0","j",IF(totales!E36="1"&amp;totales!H36="2"&amp;totales!I36="0"&amp;totales!J36="0","k",IF(totales!E36="2"&amp;totales!H36="2"&amp;totales!I36="0"&amp;totales!J36="0","l",IF(totales!E36="3"&amp;totales!H36="2"&amp;totales!I36="0"&amp;totales!J36="0","m",
IF(totales!E36="4"&amp;totales!H36="2"&amp;totales!I36="0"&amp;totales!J36="0","n",IF(totales!E36="6"&amp;totales!H36="2"&amp;totales!I36="0"&amp;totales!J36="0","o",IF(totales!E36="1"&amp;totales!H36="0"&amp;totales!I36="1"&amp;totales!J36="0","p",IF(totales!E36="2"&amp;totales!H36="0"&amp;totales!I36="1"&amp;totales!J36="0","q",IF(totales!E36="3"&amp;totales!H36="0"&amp;totales!I36="1"&amp;totales!J36="0","r",IF(totales!E36="4"&amp;totales!H36="0"&amp;totales!I36="1"&amp;totales!J36="0","s",IF(totales!E36="6"&amp;totales!H36="0"&amp;totales!I36="1"&amp;totales!J36="0","t",IF(totales!E36="1"&amp;totales!H36="2"&amp;totales!I36="1"&amp;totales!J36="0","u",IF(totales!E36="2"&amp;totales!H36="2"&amp;totales!I36="1"&amp;totales!J36="0","v",IF(totales!E36="3"&amp;totales!H36="2"&amp;totales!I36="1"&amp;totales!J36="0","w",IF(totales!E36="4"&amp;totales!H36="2"&amp;totales!I36="1"&amp;totales!J36="0","x",
IF(totales!E36="6"&amp;totales!H36="2"&amp;totales!I36="1"&amp;totales!J36="0","y",IF(totales!E36="1"&amp;totales!H36="1"&amp;totales!I36="1"&amp;totales!J36="0","z",IF(totales!E36="2"&amp;totales!H36="1"&amp;totales!I36="1"&amp;totales!J36="0","0",IF(totales!E36="3"&amp;totales!H36="1"&amp;totales!I36="1"&amp;totales!J36="0","1",IF(totales!E36="4"&amp;totales!H36="1"&amp;totales!I36="1"&amp;totales!J36="0","2",IF(totales!E36="6"&amp;totales!H36="1"&amp;totales!I36="1"&amp;totales!J36="0","3",IF(totales!E36="1"&amp;totales!H36="0"&amp;totales!I36="1"&amp;totales!J36="1","4",IF(totales!E36="2"&amp;totales!H36="0"&amp;totales!I36="1"&amp;totales!J36="1","5",IF(totales!E36="3"&amp;totales!H36="0"&amp;totales!I36="1"&amp;totales!J36="1","6",IF(totales!E36="4"&amp;totales!H36="0"&amp;totales!I36="1"&amp;totales!J36="1","7",IF(totales!E36="6"&amp;totales!H36="0"&amp;totales!I36="1"&amp;totales!J36="1","8",IF(totales!E36="1"&amp;totales!H36="1"&amp;totales!I36="0"&amp;totales!J36="1","9"))))))))))))))))))))))))))))))))))))</f>
        <v>0</v>
      </c>
    </row>
    <row r="36" spans="2:22" ht="15">
      <c r="B36" s="1">
        <v>1</v>
      </c>
      <c r="C36">
        <v>1</v>
      </c>
      <c r="D36">
        <v>0</v>
      </c>
      <c r="E36">
        <v>1</v>
      </c>
      <c r="F36" t="s">
        <v>681</v>
      </c>
      <c r="G36" t="s">
        <v>682</v>
      </c>
      <c r="H36" t="s">
        <v>690</v>
      </c>
      <c r="I36">
        <f t="shared" si="0"/>
        <v>1</v>
      </c>
      <c r="J36" t="s">
        <v>683</v>
      </c>
      <c r="K36" t="s">
        <v>689</v>
      </c>
      <c r="L36">
        <f t="shared" si="1"/>
        <v>1</v>
      </c>
      <c r="M36" t="s">
        <v>683</v>
      </c>
      <c r="N36" t="s">
        <v>688</v>
      </c>
      <c r="O36">
        <f t="shared" si="2"/>
        <v>0</v>
      </c>
      <c r="P36" t="s">
        <v>683</v>
      </c>
      <c r="Q36" t="s">
        <v>684</v>
      </c>
      <c r="R36">
        <f t="shared" si="3"/>
        <v>1</v>
      </c>
      <c r="S36" t="s">
        <v>694</v>
      </c>
      <c r="V36" s="102" t="b">
        <f>IF(totales!E37="1"&amp;totales!H37="0"&amp;totales!I37="0"&amp;totales!J37="0","a",IF(totales!E37="2"&amp;totales!H37="0"&amp;totales!I37="0"&amp;totales!J37="0","b",IF(totales!E37="3"&amp;totales!H37="0"&amp;totales!I37="0"&amp;totales!J37="0","c",IF(totales!E37="4"&amp;totales!H37="0"&amp;totales!I37="0"&amp;totales!J37="0","d",IF(totales!E37="6"&amp;totales!H37="0"&amp;totales!I37="0"&amp;totales!J37="0","e",IF(totales!E37="1"&amp;totales!H37="1"&amp;totales!I37="0"&amp;totales!J37="0","f",IF(totales!E37="2"&amp;totales!H37="1"&amp;totales!I37="0"&amp;totales!J37="0","g",IF(totales!E37="3"&amp;totales!H37="1"&amp;totales!I37="0"&amp;totales!J37="0","h",IF(totales!E37="4"&amp;totales!H37="1"&amp;totales!I37="0"&amp;totales!J37="0","i",IF(totales!E37="6"&amp;totales!H37="1"&amp;totales!I37="0"&amp;totales!J37="0","j",IF(totales!E37="1"&amp;totales!H37="2"&amp;totales!I37="0"&amp;totales!J37="0","k",IF(totales!E37="2"&amp;totales!H37="2"&amp;totales!I37="0"&amp;totales!J37="0","l",IF(totales!E37="3"&amp;totales!H37="2"&amp;totales!I37="0"&amp;totales!J37="0","m",
IF(totales!E37="4"&amp;totales!H37="2"&amp;totales!I37="0"&amp;totales!J37="0","n",IF(totales!E37="6"&amp;totales!H37="2"&amp;totales!I37="0"&amp;totales!J37="0","o",IF(totales!E37="1"&amp;totales!H37="0"&amp;totales!I37="1"&amp;totales!J37="0","p",IF(totales!E37="2"&amp;totales!H37="0"&amp;totales!I37="1"&amp;totales!J37="0","q",IF(totales!E37="3"&amp;totales!H37="0"&amp;totales!I37="1"&amp;totales!J37="0","r",IF(totales!E37="4"&amp;totales!H37="0"&amp;totales!I37="1"&amp;totales!J37="0","s",IF(totales!E37="6"&amp;totales!H37="0"&amp;totales!I37="1"&amp;totales!J37="0","t",IF(totales!E37="1"&amp;totales!H37="2"&amp;totales!I37="1"&amp;totales!J37="0","u",IF(totales!E37="2"&amp;totales!H37="2"&amp;totales!I37="1"&amp;totales!J37="0","v",IF(totales!E37="3"&amp;totales!H37="2"&amp;totales!I37="1"&amp;totales!J37="0","w",IF(totales!E37="4"&amp;totales!H37="2"&amp;totales!I37="1"&amp;totales!J37="0","x",
IF(totales!E37="6"&amp;totales!H37="2"&amp;totales!I37="1"&amp;totales!J37="0","y",IF(totales!E37="1"&amp;totales!H37="1"&amp;totales!I37="1"&amp;totales!J37="0","z",IF(totales!E37="2"&amp;totales!H37="1"&amp;totales!I37="1"&amp;totales!J37="0","0",IF(totales!E37="3"&amp;totales!H37="1"&amp;totales!I37="1"&amp;totales!J37="0","1",IF(totales!E37="4"&amp;totales!H37="1"&amp;totales!I37="1"&amp;totales!J37="0","2",IF(totales!E37="6"&amp;totales!H37="1"&amp;totales!I37="1"&amp;totales!J37="0","3",IF(totales!E37="1"&amp;totales!H37="0"&amp;totales!I37="1"&amp;totales!J37="1","4",IF(totales!E37="2"&amp;totales!H37="0"&amp;totales!I37="1"&amp;totales!J37="1","5",IF(totales!E37="3"&amp;totales!H37="0"&amp;totales!I37="1"&amp;totales!J37="1","6",IF(totales!E37="4"&amp;totales!H37="0"&amp;totales!I37="1"&amp;totales!J37="1","7",IF(totales!E37="6"&amp;totales!H37="0"&amp;totales!I37="1"&amp;totales!J37="1","8",IF(totales!E37="1"&amp;totales!H37="1"&amp;totales!I37="0"&amp;totales!J37="1","9"))))))))))))))))))))))))))))))))))))</f>
        <v>0</v>
      </c>
    </row>
    <row r="37" spans="2:22" ht="15">
      <c r="B37" s="1">
        <v>2</v>
      </c>
      <c r="C37">
        <v>1</v>
      </c>
      <c r="D37">
        <v>0</v>
      </c>
      <c r="E37">
        <v>1</v>
      </c>
      <c r="F37" t="s">
        <v>681</v>
      </c>
      <c r="G37" t="s">
        <v>682</v>
      </c>
      <c r="H37" t="s">
        <v>690</v>
      </c>
      <c r="I37">
        <f t="shared" si="0"/>
        <v>2</v>
      </c>
      <c r="J37" t="s">
        <v>683</v>
      </c>
      <c r="K37" t="s">
        <v>689</v>
      </c>
      <c r="L37">
        <f t="shared" si="1"/>
        <v>1</v>
      </c>
      <c r="M37" t="s">
        <v>683</v>
      </c>
      <c r="N37" t="s">
        <v>688</v>
      </c>
      <c r="O37">
        <f t="shared" si="2"/>
        <v>0</v>
      </c>
      <c r="P37" t="s">
        <v>683</v>
      </c>
      <c r="Q37" t="s">
        <v>684</v>
      </c>
      <c r="R37">
        <f t="shared" si="3"/>
        <v>1</v>
      </c>
      <c r="S37" t="s">
        <v>692</v>
      </c>
      <c r="V37" s="102" t="b">
        <f>IF(totales!E38="1"&amp;totales!H38="0"&amp;totales!I38="0"&amp;totales!J38="0","a",IF(totales!E38="2"&amp;totales!H38="0"&amp;totales!I38="0"&amp;totales!J38="0","b",IF(totales!E38="3"&amp;totales!H38="0"&amp;totales!I38="0"&amp;totales!J38="0","c",IF(totales!E38="4"&amp;totales!H38="0"&amp;totales!I38="0"&amp;totales!J38="0","d",IF(totales!E38="6"&amp;totales!H38="0"&amp;totales!I38="0"&amp;totales!J38="0","e",IF(totales!E38="1"&amp;totales!H38="1"&amp;totales!I38="0"&amp;totales!J38="0","f",IF(totales!E38="2"&amp;totales!H38="1"&amp;totales!I38="0"&amp;totales!J38="0","g",IF(totales!E38="3"&amp;totales!H38="1"&amp;totales!I38="0"&amp;totales!J38="0","h",IF(totales!E38="4"&amp;totales!H38="1"&amp;totales!I38="0"&amp;totales!J38="0","i",IF(totales!E38="6"&amp;totales!H38="1"&amp;totales!I38="0"&amp;totales!J38="0","j",IF(totales!E38="1"&amp;totales!H38="2"&amp;totales!I38="0"&amp;totales!J38="0","k",IF(totales!E38="2"&amp;totales!H38="2"&amp;totales!I38="0"&amp;totales!J38="0","l",IF(totales!E38="3"&amp;totales!H38="2"&amp;totales!I38="0"&amp;totales!J38="0","m",
IF(totales!E38="4"&amp;totales!H38="2"&amp;totales!I38="0"&amp;totales!J38="0","n",IF(totales!E38="6"&amp;totales!H38="2"&amp;totales!I38="0"&amp;totales!J38="0","o",IF(totales!E38="1"&amp;totales!H38="0"&amp;totales!I38="1"&amp;totales!J38="0","p",IF(totales!E38="2"&amp;totales!H38="0"&amp;totales!I38="1"&amp;totales!J38="0","q",IF(totales!E38="3"&amp;totales!H38="0"&amp;totales!I38="1"&amp;totales!J38="0","r",IF(totales!E38="4"&amp;totales!H38="0"&amp;totales!I38="1"&amp;totales!J38="0","s",IF(totales!E38="6"&amp;totales!H38="0"&amp;totales!I38="1"&amp;totales!J38="0","t",IF(totales!E38="1"&amp;totales!H38="2"&amp;totales!I38="1"&amp;totales!J38="0","u",IF(totales!E38="2"&amp;totales!H38="2"&amp;totales!I38="1"&amp;totales!J38="0","v",IF(totales!E38="3"&amp;totales!H38="2"&amp;totales!I38="1"&amp;totales!J38="0","w",IF(totales!E38="4"&amp;totales!H38="2"&amp;totales!I38="1"&amp;totales!J38="0","x",
IF(totales!E38="6"&amp;totales!H38="2"&amp;totales!I38="1"&amp;totales!J38="0","y",IF(totales!E38="1"&amp;totales!H38="1"&amp;totales!I38="1"&amp;totales!J38="0","z",IF(totales!E38="2"&amp;totales!H38="1"&amp;totales!I38="1"&amp;totales!J38="0","0",IF(totales!E38="3"&amp;totales!H38="1"&amp;totales!I38="1"&amp;totales!J38="0","1",IF(totales!E38="4"&amp;totales!H38="1"&amp;totales!I38="1"&amp;totales!J38="0","2",IF(totales!E38="6"&amp;totales!H38="1"&amp;totales!I38="1"&amp;totales!J38="0","3",IF(totales!E38="1"&amp;totales!H38="0"&amp;totales!I38="1"&amp;totales!J38="1","4",IF(totales!E38="2"&amp;totales!H38="0"&amp;totales!I38="1"&amp;totales!J38="1","5",IF(totales!E38="3"&amp;totales!H38="0"&amp;totales!I38="1"&amp;totales!J38="1","6",IF(totales!E38="4"&amp;totales!H38="0"&amp;totales!I38="1"&amp;totales!J38="1","7",IF(totales!E38="6"&amp;totales!H38="0"&amp;totales!I38="1"&amp;totales!J38="1","8",IF(totales!E38="1"&amp;totales!H38="1"&amp;totales!I38="0"&amp;totales!J38="1","9"))))))))))))))))))))))))))))))))))))</f>
        <v>0</v>
      </c>
    </row>
    <row r="38" spans="2:22" ht="15">
      <c r="B38" s="1">
        <v>3</v>
      </c>
      <c r="C38">
        <v>1</v>
      </c>
      <c r="D38">
        <v>0</v>
      </c>
      <c r="E38">
        <v>1</v>
      </c>
      <c r="F38" t="s">
        <v>681</v>
      </c>
      <c r="G38" t="s">
        <v>682</v>
      </c>
      <c r="H38" t="s">
        <v>690</v>
      </c>
      <c r="I38">
        <f t="shared" si="0"/>
        <v>3</v>
      </c>
      <c r="J38" t="s">
        <v>683</v>
      </c>
      <c r="K38" t="s">
        <v>689</v>
      </c>
      <c r="L38">
        <f t="shared" si="1"/>
        <v>1</v>
      </c>
      <c r="M38" t="s">
        <v>683</v>
      </c>
      <c r="N38" t="s">
        <v>688</v>
      </c>
      <c r="O38">
        <f t="shared" si="2"/>
        <v>0</v>
      </c>
      <c r="P38" t="s">
        <v>683</v>
      </c>
      <c r="Q38" t="s">
        <v>684</v>
      </c>
      <c r="R38">
        <f t="shared" si="3"/>
        <v>1</v>
      </c>
      <c r="S38" t="s">
        <v>693</v>
      </c>
      <c r="V38" s="102" t="b">
        <f>IF(totales!E39="1"&amp;totales!H39="0"&amp;totales!I39="0"&amp;totales!J39="0","a",IF(totales!E39="2"&amp;totales!H39="0"&amp;totales!I39="0"&amp;totales!J39="0","b",IF(totales!E39="3"&amp;totales!H39="0"&amp;totales!I39="0"&amp;totales!J39="0","c",IF(totales!E39="4"&amp;totales!H39="0"&amp;totales!I39="0"&amp;totales!J39="0","d",IF(totales!E39="6"&amp;totales!H39="0"&amp;totales!I39="0"&amp;totales!J39="0","e",IF(totales!E39="1"&amp;totales!H39="1"&amp;totales!I39="0"&amp;totales!J39="0","f",IF(totales!E39="2"&amp;totales!H39="1"&amp;totales!I39="0"&amp;totales!J39="0","g",IF(totales!E39="3"&amp;totales!H39="1"&amp;totales!I39="0"&amp;totales!J39="0","h",IF(totales!E39="4"&amp;totales!H39="1"&amp;totales!I39="0"&amp;totales!J39="0","i",IF(totales!E39="6"&amp;totales!H39="1"&amp;totales!I39="0"&amp;totales!J39="0","j",IF(totales!E39="1"&amp;totales!H39="2"&amp;totales!I39="0"&amp;totales!J39="0","k",IF(totales!E39="2"&amp;totales!H39="2"&amp;totales!I39="0"&amp;totales!J39="0","l",IF(totales!E39="3"&amp;totales!H39="2"&amp;totales!I39="0"&amp;totales!J39="0","m",
IF(totales!E39="4"&amp;totales!H39="2"&amp;totales!I39="0"&amp;totales!J39="0","n",IF(totales!E39="6"&amp;totales!H39="2"&amp;totales!I39="0"&amp;totales!J39="0","o",IF(totales!E39="1"&amp;totales!H39="0"&amp;totales!I39="1"&amp;totales!J39="0","p",IF(totales!E39="2"&amp;totales!H39="0"&amp;totales!I39="1"&amp;totales!J39="0","q",IF(totales!E39="3"&amp;totales!H39="0"&amp;totales!I39="1"&amp;totales!J39="0","r",IF(totales!E39="4"&amp;totales!H39="0"&amp;totales!I39="1"&amp;totales!J39="0","s",IF(totales!E39="6"&amp;totales!H39="0"&amp;totales!I39="1"&amp;totales!J39="0","t",IF(totales!E39="1"&amp;totales!H39="2"&amp;totales!I39="1"&amp;totales!J39="0","u",IF(totales!E39="2"&amp;totales!H39="2"&amp;totales!I39="1"&amp;totales!J39="0","v",IF(totales!E39="3"&amp;totales!H39="2"&amp;totales!I39="1"&amp;totales!J39="0","w",IF(totales!E39="4"&amp;totales!H39="2"&amp;totales!I39="1"&amp;totales!J39="0","x",
IF(totales!E39="6"&amp;totales!H39="2"&amp;totales!I39="1"&amp;totales!J39="0","y",IF(totales!E39="1"&amp;totales!H39="1"&amp;totales!I39="1"&amp;totales!J39="0","z",IF(totales!E39="2"&amp;totales!H39="1"&amp;totales!I39="1"&amp;totales!J39="0","0",IF(totales!E39="3"&amp;totales!H39="1"&amp;totales!I39="1"&amp;totales!J39="0","1",IF(totales!E39="4"&amp;totales!H39="1"&amp;totales!I39="1"&amp;totales!J39="0","2",IF(totales!E39="6"&amp;totales!H39="1"&amp;totales!I39="1"&amp;totales!J39="0","3",IF(totales!E39="1"&amp;totales!H39="0"&amp;totales!I39="1"&amp;totales!J39="1","4",IF(totales!E39="2"&amp;totales!H39="0"&amp;totales!I39="1"&amp;totales!J39="1","5",IF(totales!E39="3"&amp;totales!H39="0"&amp;totales!I39="1"&amp;totales!J39="1","6",IF(totales!E39="4"&amp;totales!H39="0"&amp;totales!I39="1"&amp;totales!J39="1","7",IF(totales!E39="6"&amp;totales!H39="0"&amp;totales!I39="1"&amp;totales!J39="1","8",IF(totales!E39="1"&amp;totales!H39="1"&amp;totales!I39="0"&amp;totales!J39="1","9"))))))))))))))))))))))))))))))))))))</f>
        <v>0</v>
      </c>
    </row>
    <row r="39" spans="2:22" ht="15">
      <c r="B39" s="1">
        <v>4</v>
      </c>
      <c r="C39">
        <v>1</v>
      </c>
      <c r="D39">
        <v>0</v>
      </c>
      <c r="E39">
        <v>1</v>
      </c>
      <c r="F39" t="s">
        <v>681</v>
      </c>
      <c r="G39" t="s">
        <v>682</v>
      </c>
      <c r="H39" t="s">
        <v>690</v>
      </c>
      <c r="I39">
        <f t="shared" si="0"/>
        <v>4</v>
      </c>
      <c r="J39" t="s">
        <v>683</v>
      </c>
      <c r="K39" t="s">
        <v>689</v>
      </c>
      <c r="L39">
        <f t="shared" si="1"/>
        <v>1</v>
      </c>
      <c r="M39" t="s">
        <v>683</v>
      </c>
      <c r="N39" t="s">
        <v>688</v>
      </c>
      <c r="O39">
        <f t="shared" si="2"/>
        <v>0</v>
      </c>
      <c r="P39" t="s">
        <v>683</v>
      </c>
      <c r="Q39" t="s">
        <v>684</v>
      </c>
      <c r="R39">
        <f t="shared" si="3"/>
        <v>1</v>
      </c>
      <c r="S39" t="s">
        <v>694</v>
      </c>
      <c r="V39" s="102" t="b">
        <f>IF(totales!E40="1"&amp;totales!H40="0"&amp;totales!I40="0"&amp;totales!J40="0","a",IF(totales!E40="2"&amp;totales!H40="0"&amp;totales!I40="0"&amp;totales!J40="0","b",IF(totales!E40="3"&amp;totales!H40="0"&amp;totales!I40="0"&amp;totales!J40="0","c",IF(totales!E40="4"&amp;totales!H40="0"&amp;totales!I40="0"&amp;totales!J40="0","d",IF(totales!E40="6"&amp;totales!H40="0"&amp;totales!I40="0"&amp;totales!J40="0","e",IF(totales!E40="1"&amp;totales!H40="1"&amp;totales!I40="0"&amp;totales!J40="0","f",IF(totales!E40="2"&amp;totales!H40="1"&amp;totales!I40="0"&amp;totales!J40="0","g",IF(totales!E40="3"&amp;totales!H40="1"&amp;totales!I40="0"&amp;totales!J40="0","h",IF(totales!E40="4"&amp;totales!H40="1"&amp;totales!I40="0"&amp;totales!J40="0","i",IF(totales!E40="6"&amp;totales!H40="1"&amp;totales!I40="0"&amp;totales!J40="0","j",IF(totales!E40="1"&amp;totales!H40="2"&amp;totales!I40="0"&amp;totales!J40="0","k",IF(totales!E40="2"&amp;totales!H40="2"&amp;totales!I40="0"&amp;totales!J40="0","l",IF(totales!E40="3"&amp;totales!H40="2"&amp;totales!I40="0"&amp;totales!J40="0","m",
IF(totales!E40="4"&amp;totales!H40="2"&amp;totales!I40="0"&amp;totales!J40="0","n",IF(totales!E40="6"&amp;totales!H40="2"&amp;totales!I40="0"&amp;totales!J40="0","o",IF(totales!E40="1"&amp;totales!H40="0"&amp;totales!I40="1"&amp;totales!J40="0","p",IF(totales!E40="2"&amp;totales!H40="0"&amp;totales!I40="1"&amp;totales!J40="0","q",IF(totales!E40="3"&amp;totales!H40="0"&amp;totales!I40="1"&amp;totales!J40="0","r",IF(totales!E40="4"&amp;totales!H40="0"&amp;totales!I40="1"&amp;totales!J40="0","s",IF(totales!E40="6"&amp;totales!H40="0"&amp;totales!I40="1"&amp;totales!J40="0","t",IF(totales!E40="1"&amp;totales!H40="2"&amp;totales!I40="1"&amp;totales!J40="0","u",IF(totales!E40="2"&amp;totales!H40="2"&amp;totales!I40="1"&amp;totales!J40="0","v",IF(totales!E40="3"&amp;totales!H40="2"&amp;totales!I40="1"&amp;totales!J40="0","w",IF(totales!E40="4"&amp;totales!H40="2"&amp;totales!I40="1"&amp;totales!J40="0","x",
IF(totales!E40="6"&amp;totales!H40="2"&amp;totales!I40="1"&amp;totales!J40="0","y",IF(totales!E40="1"&amp;totales!H40="1"&amp;totales!I40="1"&amp;totales!J40="0","z",IF(totales!E40="2"&amp;totales!H40="1"&amp;totales!I40="1"&amp;totales!J40="0","0",IF(totales!E40="3"&amp;totales!H40="1"&amp;totales!I40="1"&amp;totales!J40="0","1",IF(totales!E40="4"&amp;totales!H40="1"&amp;totales!I40="1"&amp;totales!J40="0","2",IF(totales!E40="6"&amp;totales!H40="1"&amp;totales!I40="1"&amp;totales!J40="0","3",IF(totales!E40="1"&amp;totales!H40="0"&amp;totales!I40="1"&amp;totales!J40="1","4",IF(totales!E40="2"&amp;totales!H40="0"&amp;totales!I40="1"&amp;totales!J40="1","5",IF(totales!E40="3"&amp;totales!H40="0"&amp;totales!I40="1"&amp;totales!J40="1","6",IF(totales!E40="4"&amp;totales!H40="0"&amp;totales!I40="1"&amp;totales!J40="1","7",IF(totales!E40="6"&amp;totales!H40="0"&amp;totales!I40="1"&amp;totales!J40="1","8",IF(totales!E40="1"&amp;totales!H40="1"&amp;totales!I40="0"&amp;totales!J40="1","9"))))))))))))))))))))))))))))))))))))</f>
        <v>0</v>
      </c>
    </row>
    <row r="40" spans="2:22" ht="15">
      <c r="B40" s="1">
        <v>6</v>
      </c>
      <c r="C40">
        <v>1</v>
      </c>
      <c r="D40">
        <v>0</v>
      </c>
      <c r="E40">
        <v>1</v>
      </c>
      <c r="F40" t="s">
        <v>681</v>
      </c>
      <c r="G40" t="s">
        <v>682</v>
      </c>
      <c r="H40" t="s">
        <v>690</v>
      </c>
      <c r="I40">
        <f t="shared" si="0"/>
        <v>6</v>
      </c>
      <c r="J40" t="s">
        <v>683</v>
      </c>
      <c r="K40" t="s">
        <v>689</v>
      </c>
      <c r="L40">
        <f t="shared" si="1"/>
        <v>1</v>
      </c>
      <c r="M40" t="s">
        <v>683</v>
      </c>
      <c r="N40" t="s">
        <v>688</v>
      </c>
      <c r="O40">
        <f t="shared" si="2"/>
        <v>0</v>
      </c>
      <c r="P40" t="s">
        <v>683</v>
      </c>
      <c r="Q40" t="s">
        <v>684</v>
      </c>
      <c r="R40">
        <f t="shared" si="3"/>
        <v>1</v>
      </c>
      <c r="S40" t="s">
        <v>692</v>
      </c>
      <c r="V40" s="102" t="b">
        <f>IF(totales!E41="1"&amp;totales!H41="0"&amp;totales!I41="0"&amp;totales!J41="0","a",IF(totales!E41="2"&amp;totales!H41="0"&amp;totales!I41="0"&amp;totales!J41="0","b",IF(totales!E41="3"&amp;totales!H41="0"&amp;totales!I41="0"&amp;totales!J41="0","c",IF(totales!E41="4"&amp;totales!H41="0"&amp;totales!I41="0"&amp;totales!J41="0","d",IF(totales!E41="6"&amp;totales!H41="0"&amp;totales!I41="0"&amp;totales!J41="0","e",IF(totales!E41="1"&amp;totales!H41="1"&amp;totales!I41="0"&amp;totales!J41="0","f",IF(totales!E41="2"&amp;totales!H41="1"&amp;totales!I41="0"&amp;totales!J41="0","g",IF(totales!E41="3"&amp;totales!H41="1"&amp;totales!I41="0"&amp;totales!J41="0","h",IF(totales!E41="4"&amp;totales!H41="1"&amp;totales!I41="0"&amp;totales!J41="0","i",IF(totales!E41="6"&amp;totales!H41="1"&amp;totales!I41="0"&amp;totales!J41="0","j",IF(totales!E41="1"&amp;totales!H41="2"&amp;totales!I41="0"&amp;totales!J41="0","k",IF(totales!E41="2"&amp;totales!H41="2"&amp;totales!I41="0"&amp;totales!J41="0","l",IF(totales!E41="3"&amp;totales!H41="2"&amp;totales!I41="0"&amp;totales!J41="0","m",
IF(totales!E41="4"&amp;totales!H41="2"&amp;totales!I41="0"&amp;totales!J41="0","n",IF(totales!E41="6"&amp;totales!H41="2"&amp;totales!I41="0"&amp;totales!J41="0","o",IF(totales!E41="1"&amp;totales!H41="0"&amp;totales!I41="1"&amp;totales!J41="0","p",IF(totales!E41="2"&amp;totales!H41="0"&amp;totales!I41="1"&amp;totales!J41="0","q",IF(totales!E41="3"&amp;totales!H41="0"&amp;totales!I41="1"&amp;totales!J41="0","r",IF(totales!E41="4"&amp;totales!H41="0"&amp;totales!I41="1"&amp;totales!J41="0","s",IF(totales!E41="6"&amp;totales!H41="0"&amp;totales!I41="1"&amp;totales!J41="0","t",IF(totales!E41="1"&amp;totales!H41="2"&amp;totales!I41="1"&amp;totales!J41="0","u",IF(totales!E41="2"&amp;totales!H41="2"&amp;totales!I41="1"&amp;totales!J41="0","v",IF(totales!E41="3"&amp;totales!H41="2"&amp;totales!I41="1"&amp;totales!J41="0","w",IF(totales!E41="4"&amp;totales!H41="2"&amp;totales!I41="1"&amp;totales!J41="0","x",
IF(totales!E41="6"&amp;totales!H41="2"&amp;totales!I41="1"&amp;totales!J41="0","y",IF(totales!E41="1"&amp;totales!H41="1"&amp;totales!I41="1"&amp;totales!J41="0","z",IF(totales!E41="2"&amp;totales!H41="1"&amp;totales!I41="1"&amp;totales!J41="0","0",IF(totales!E41="3"&amp;totales!H41="1"&amp;totales!I41="1"&amp;totales!J41="0","1",IF(totales!E41="4"&amp;totales!H41="1"&amp;totales!I41="1"&amp;totales!J41="0","2",IF(totales!E41="6"&amp;totales!H41="1"&amp;totales!I41="1"&amp;totales!J41="0","3",IF(totales!E41="1"&amp;totales!H41="0"&amp;totales!I41="1"&amp;totales!J41="1","4",IF(totales!E41="2"&amp;totales!H41="0"&amp;totales!I41="1"&amp;totales!J41="1","5",IF(totales!E41="3"&amp;totales!H41="0"&amp;totales!I41="1"&amp;totales!J41="1","6",IF(totales!E41="4"&amp;totales!H41="0"&amp;totales!I41="1"&amp;totales!J41="1","7",IF(totales!E41="6"&amp;totales!H41="0"&amp;totales!I41="1"&amp;totales!J41="1","8",IF(totales!E41="1"&amp;totales!H41="1"&amp;totales!I41="0"&amp;totales!J41="1","9"))))))))))))))))))))))))))))))))))))</f>
        <v>0</v>
      </c>
    </row>
    <row r="41" spans="2:22" ht="15">
      <c r="B41" s="1">
        <v>1</v>
      </c>
      <c r="C41">
        <v>1</v>
      </c>
      <c r="D41">
        <v>1</v>
      </c>
      <c r="E41">
        <v>1</v>
      </c>
      <c r="F41" t="s">
        <v>681</v>
      </c>
      <c r="G41" t="s">
        <v>682</v>
      </c>
      <c r="H41" t="s">
        <v>690</v>
      </c>
      <c r="I41">
        <f t="shared" si="0"/>
        <v>1</v>
      </c>
      <c r="J41" t="s">
        <v>683</v>
      </c>
      <c r="K41" t="s">
        <v>689</v>
      </c>
      <c r="L41">
        <f t="shared" si="1"/>
        <v>1</v>
      </c>
      <c r="M41" t="s">
        <v>683</v>
      </c>
      <c r="N41" t="s">
        <v>688</v>
      </c>
      <c r="O41">
        <f t="shared" si="2"/>
        <v>1</v>
      </c>
      <c r="P41" t="s">
        <v>683</v>
      </c>
      <c r="Q41" t="s">
        <v>684</v>
      </c>
      <c r="R41">
        <f t="shared" si="3"/>
        <v>1</v>
      </c>
      <c r="S41" t="s">
        <v>693</v>
      </c>
      <c r="V41" s="102" t="b">
        <f>IF(totales!E42="1"&amp;totales!H42="0"&amp;totales!I42="0"&amp;totales!J42="0","a",IF(totales!E42="2"&amp;totales!H42="0"&amp;totales!I42="0"&amp;totales!J42="0","b",IF(totales!E42="3"&amp;totales!H42="0"&amp;totales!I42="0"&amp;totales!J42="0","c",IF(totales!E42="4"&amp;totales!H42="0"&amp;totales!I42="0"&amp;totales!J42="0","d",IF(totales!E42="6"&amp;totales!H42="0"&amp;totales!I42="0"&amp;totales!J42="0","e",IF(totales!E42="1"&amp;totales!H42="1"&amp;totales!I42="0"&amp;totales!J42="0","f",IF(totales!E42="2"&amp;totales!H42="1"&amp;totales!I42="0"&amp;totales!J42="0","g",IF(totales!E42="3"&amp;totales!H42="1"&amp;totales!I42="0"&amp;totales!J42="0","h",IF(totales!E42="4"&amp;totales!H42="1"&amp;totales!I42="0"&amp;totales!J42="0","i",IF(totales!E42="6"&amp;totales!H42="1"&amp;totales!I42="0"&amp;totales!J42="0","j",IF(totales!E42="1"&amp;totales!H42="2"&amp;totales!I42="0"&amp;totales!J42="0","k",IF(totales!E42="2"&amp;totales!H42="2"&amp;totales!I42="0"&amp;totales!J42="0","l",IF(totales!E42="3"&amp;totales!H42="2"&amp;totales!I42="0"&amp;totales!J42="0","m",
IF(totales!E42="4"&amp;totales!H42="2"&amp;totales!I42="0"&amp;totales!J42="0","n",IF(totales!E42="6"&amp;totales!H42="2"&amp;totales!I42="0"&amp;totales!J42="0","o",IF(totales!E42="1"&amp;totales!H42="0"&amp;totales!I42="1"&amp;totales!J42="0","p",IF(totales!E42="2"&amp;totales!H42="0"&amp;totales!I42="1"&amp;totales!J42="0","q",IF(totales!E42="3"&amp;totales!H42="0"&amp;totales!I42="1"&amp;totales!J42="0","r",IF(totales!E42="4"&amp;totales!H42="0"&amp;totales!I42="1"&amp;totales!J42="0","s",IF(totales!E42="6"&amp;totales!H42="0"&amp;totales!I42="1"&amp;totales!J42="0","t",IF(totales!E42="1"&amp;totales!H42="2"&amp;totales!I42="1"&amp;totales!J42="0","u",IF(totales!E42="2"&amp;totales!H42="2"&amp;totales!I42="1"&amp;totales!J42="0","v",IF(totales!E42="3"&amp;totales!H42="2"&amp;totales!I42="1"&amp;totales!J42="0","w",IF(totales!E42="4"&amp;totales!H42="2"&amp;totales!I42="1"&amp;totales!J42="0","x",
IF(totales!E42="6"&amp;totales!H42="2"&amp;totales!I42="1"&amp;totales!J42="0","y",IF(totales!E42="1"&amp;totales!H42="1"&amp;totales!I42="1"&amp;totales!J42="0","z",IF(totales!E42="2"&amp;totales!H42="1"&amp;totales!I42="1"&amp;totales!J42="0","0",IF(totales!E42="3"&amp;totales!H42="1"&amp;totales!I42="1"&amp;totales!J42="0","1",IF(totales!E42="4"&amp;totales!H42="1"&amp;totales!I42="1"&amp;totales!J42="0","2",IF(totales!E42="6"&amp;totales!H42="1"&amp;totales!I42="1"&amp;totales!J42="0","3",IF(totales!E42="1"&amp;totales!H42="0"&amp;totales!I42="1"&amp;totales!J42="1","4",IF(totales!E42="2"&amp;totales!H42="0"&amp;totales!I42="1"&amp;totales!J42="1","5",IF(totales!E42="3"&amp;totales!H42="0"&amp;totales!I42="1"&amp;totales!J42="1","6",IF(totales!E42="4"&amp;totales!H42="0"&amp;totales!I42="1"&amp;totales!J42="1","7",IF(totales!E42="6"&amp;totales!H42="0"&amp;totales!I42="1"&amp;totales!J42="1","8",IF(totales!E42="1"&amp;totales!H42="1"&amp;totales!I42="0"&amp;totales!J42="1","9"))))))))))))))))))))))))))))))))))))</f>
        <v>0</v>
      </c>
    </row>
    <row r="42" spans="2:22" ht="15">
      <c r="B42" s="1">
        <v>2</v>
      </c>
      <c r="C42">
        <v>1</v>
      </c>
      <c r="D42">
        <v>1</v>
      </c>
      <c r="E42">
        <v>1</v>
      </c>
      <c r="F42" t="s">
        <v>681</v>
      </c>
      <c r="G42" t="s">
        <v>682</v>
      </c>
      <c r="H42" t="s">
        <v>690</v>
      </c>
      <c r="I42">
        <f t="shared" si="0"/>
        <v>2</v>
      </c>
      <c r="J42" t="s">
        <v>683</v>
      </c>
      <c r="K42" t="s">
        <v>689</v>
      </c>
      <c r="L42">
        <f t="shared" si="1"/>
        <v>1</v>
      </c>
      <c r="M42" t="s">
        <v>683</v>
      </c>
      <c r="N42" t="s">
        <v>688</v>
      </c>
      <c r="O42">
        <f t="shared" si="2"/>
        <v>1</v>
      </c>
      <c r="P42" t="s">
        <v>683</v>
      </c>
      <c r="Q42" t="s">
        <v>684</v>
      </c>
      <c r="R42">
        <f t="shared" si="3"/>
        <v>1</v>
      </c>
      <c r="S42" t="s">
        <v>694</v>
      </c>
      <c r="V42" s="102" t="b">
        <f>IF(totales!E43="1"&amp;totales!H43="0"&amp;totales!I43="0"&amp;totales!J43="0","a",IF(totales!E43="2"&amp;totales!H43="0"&amp;totales!I43="0"&amp;totales!J43="0","b",IF(totales!E43="3"&amp;totales!H43="0"&amp;totales!I43="0"&amp;totales!J43="0","c",IF(totales!E43="4"&amp;totales!H43="0"&amp;totales!I43="0"&amp;totales!J43="0","d",IF(totales!E43="6"&amp;totales!H43="0"&amp;totales!I43="0"&amp;totales!J43="0","e",IF(totales!E43="1"&amp;totales!H43="1"&amp;totales!I43="0"&amp;totales!J43="0","f",IF(totales!E43="2"&amp;totales!H43="1"&amp;totales!I43="0"&amp;totales!J43="0","g",IF(totales!E43="3"&amp;totales!H43="1"&amp;totales!I43="0"&amp;totales!J43="0","h",IF(totales!E43="4"&amp;totales!H43="1"&amp;totales!I43="0"&amp;totales!J43="0","i",IF(totales!E43="6"&amp;totales!H43="1"&amp;totales!I43="0"&amp;totales!J43="0","j",IF(totales!E43="1"&amp;totales!H43="2"&amp;totales!I43="0"&amp;totales!J43="0","k",IF(totales!E43="2"&amp;totales!H43="2"&amp;totales!I43="0"&amp;totales!J43="0","l",IF(totales!E43="3"&amp;totales!H43="2"&amp;totales!I43="0"&amp;totales!J43="0","m",
IF(totales!E43="4"&amp;totales!H43="2"&amp;totales!I43="0"&amp;totales!J43="0","n",IF(totales!E43="6"&amp;totales!H43="2"&amp;totales!I43="0"&amp;totales!J43="0","o",IF(totales!E43="1"&amp;totales!H43="0"&amp;totales!I43="1"&amp;totales!J43="0","p",IF(totales!E43="2"&amp;totales!H43="0"&amp;totales!I43="1"&amp;totales!J43="0","q",IF(totales!E43="3"&amp;totales!H43="0"&amp;totales!I43="1"&amp;totales!J43="0","r",IF(totales!E43="4"&amp;totales!H43="0"&amp;totales!I43="1"&amp;totales!J43="0","s",IF(totales!E43="6"&amp;totales!H43="0"&amp;totales!I43="1"&amp;totales!J43="0","t",IF(totales!E43="1"&amp;totales!H43="2"&amp;totales!I43="1"&amp;totales!J43="0","u",IF(totales!E43="2"&amp;totales!H43="2"&amp;totales!I43="1"&amp;totales!J43="0","v",IF(totales!E43="3"&amp;totales!H43="2"&amp;totales!I43="1"&amp;totales!J43="0","w",IF(totales!E43="4"&amp;totales!H43="2"&amp;totales!I43="1"&amp;totales!J43="0","x",
IF(totales!E43="6"&amp;totales!H43="2"&amp;totales!I43="1"&amp;totales!J43="0","y",IF(totales!E43="1"&amp;totales!H43="1"&amp;totales!I43="1"&amp;totales!J43="0","z",IF(totales!E43="2"&amp;totales!H43="1"&amp;totales!I43="1"&amp;totales!J43="0","0",IF(totales!E43="3"&amp;totales!H43="1"&amp;totales!I43="1"&amp;totales!J43="0","1",IF(totales!E43="4"&amp;totales!H43="1"&amp;totales!I43="1"&amp;totales!J43="0","2",IF(totales!E43="6"&amp;totales!H43="1"&amp;totales!I43="1"&amp;totales!J43="0","3",IF(totales!E43="1"&amp;totales!H43="0"&amp;totales!I43="1"&amp;totales!J43="1","4",IF(totales!E43="2"&amp;totales!H43="0"&amp;totales!I43="1"&amp;totales!J43="1","5",IF(totales!E43="3"&amp;totales!H43="0"&amp;totales!I43="1"&amp;totales!J43="1","6",IF(totales!E43="4"&amp;totales!H43="0"&amp;totales!I43="1"&amp;totales!J43="1","7",IF(totales!E43="6"&amp;totales!H43="0"&amp;totales!I43="1"&amp;totales!J43="1","8",IF(totales!E43="1"&amp;totales!H43="1"&amp;totales!I43="0"&amp;totales!J43="1","9"))))))))))))))))))))))))))))))))))))</f>
        <v>0</v>
      </c>
    </row>
    <row r="43" spans="2:22" ht="15">
      <c r="B43" s="1">
        <v>3</v>
      </c>
      <c r="C43">
        <v>1</v>
      </c>
      <c r="D43">
        <v>1</v>
      </c>
      <c r="E43">
        <v>1</v>
      </c>
      <c r="F43" t="s">
        <v>681</v>
      </c>
      <c r="G43" t="s">
        <v>682</v>
      </c>
      <c r="H43" t="s">
        <v>690</v>
      </c>
      <c r="I43">
        <f t="shared" si="0"/>
        <v>3</v>
      </c>
      <c r="J43" t="s">
        <v>683</v>
      </c>
      <c r="K43" t="s">
        <v>689</v>
      </c>
      <c r="L43">
        <f t="shared" si="1"/>
        <v>1</v>
      </c>
      <c r="M43" t="s">
        <v>683</v>
      </c>
      <c r="N43" t="s">
        <v>688</v>
      </c>
      <c r="O43">
        <f t="shared" si="2"/>
        <v>1</v>
      </c>
      <c r="P43" t="s">
        <v>683</v>
      </c>
      <c r="Q43" t="s">
        <v>684</v>
      </c>
      <c r="R43">
        <f t="shared" si="3"/>
        <v>1</v>
      </c>
      <c r="S43" t="s">
        <v>692</v>
      </c>
      <c r="V43" s="102" t="b">
        <f>IF(totales!E44="1"&amp;totales!H44="0"&amp;totales!I44="0"&amp;totales!J44="0","a",IF(totales!E44="2"&amp;totales!H44="0"&amp;totales!I44="0"&amp;totales!J44="0","b",IF(totales!E44="3"&amp;totales!H44="0"&amp;totales!I44="0"&amp;totales!J44="0","c",IF(totales!E44="4"&amp;totales!H44="0"&amp;totales!I44="0"&amp;totales!J44="0","d",IF(totales!E44="6"&amp;totales!H44="0"&amp;totales!I44="0"&amp;totales!J44="0","e",IF(totales!E44="1"&amp;totales!H44="1"&amp;totales!I44="0"&amp;totales!J44="0","f",IF(totales!E44="2"&amp;totales!H44="1"&amp;totales!I44="0"&amp;totales!J44="0","g",IF(totales!E44="3"&amp;totales!H44="1"&amp;totales!I44="0"&amp;totales!J44="0","h",IF(totales!E44="4"&amp;totales!H44="1"&amp;totales!I44="0"&amp;totales!J44="0","i",IF(totales!E44="6"&amp;totales!H44="1"&amp;totales!I44="0"&amp;totales!J44="0","j",IF(totales!E44="1"&amp;totales!H44="2"&amp;totales!I44="0"&amp;totales!J44="0","k",IF(totales!E44="2"&amp;totales!H44="2"&amp;totales!I44="0"&amp;totales!J44="0","l",IF(totales!E44="3"&amp;totales!H44="2"&amp;totales!I44="0"&amp;totales!J44="0","m",
IF(totales!E44="4"&amp;totales!H44="2"&amp;totales!I44="0"&amp;totales!J44="0","n",IF(totales!E44="6"&amp;totales!H44="2"&amp;totales!I44="0"&amp;totales!J44="0","o",IF(totales!E44="1"&amp;totales!H44="0"&amp;totales!I44="1"&amp;totales!J44="0","p",IF(totales!E44="2"&amp;totales!H44="0"&amp;totales!I44="1"&amp;totales!J44="0","q",IF(totales!E44="3"&amp;totales!H44="0"&amp;totales!I44="1"&amp;totales!J44="0","r",IF(totales!E44="4"&amp;totales!H44="0"&amp;totales!I44="1"&amp;totales!J44="0","s",IF(totales!E44="6"&amp;totales!H44="0"&amp;totales!I44="1"&amp;totales!J44="0","t",IF(totales!E44="1"&amp;totales!H44="2"&amp;totales!I44="1"&amp;totales!J44="0","u",IF(totales!E44="2"&amp;totales!H44="2"&amp;totales!I44="1"&amp;totales!J44="0","v",IF(totales!E44="3"&amp;totales!H44="2"&amp;totales!I44="1"&amp;totales!J44="0","w",IF(totales!E44="4"&amp;totales!H44="2"&amp;totales!I44="1"&amp;totales!J44="0","x",
IF(totales!E44="6"&amp;totales!H44="2"&amp;totales!I44="1"&amp;totales!J44="0","y",IF(totales!E44="1"&amp;totales!H44="1"&amp;totales!I44="1"&amp;totales!J44="0","z",IF(totales!E44="2"&amp;totales!H44="1"&amp;totales!I44="1"&amp;totales!J44="0","0",IF(totales!E44="3"&amp;totales!H44="1"&amp;totales!I44="1"&amp;totales!J44="0","1",IF(totales!E44="4"&amp;totales!H44="1"&amp;totales!I44="1"&amp;totales!J44="0","2",IF(totales!E44="6"&amp;totales!H44="1"&amp;totales!I44="1"&amp;totales!J44="0","3",IF(totales!E44="1"&amp;totales!H44="0"&amp;totales!I44="1"&amp;totales!J44="1","4",IF(totales!E44="2"&amp;totales!H44="0"&amp;totales!I44="1"&amp;totales!J44="1","5",IF(totales!E44="3"&amp;totales!H44="0"&amp;totales!I44="1"&amp;totales!J44="1","6",IF(totales!E44="4"&amp;totales!H44="0"&amp;totales!I44="1"&amp;totales!J44="1","7",IF(totales!E44="6"&amp;totales!H44="0"&amp;totales!I44="1"&amp;totales!J44="1","8",IF(totales!E44="1"&amp;totales!H44="1"&amp;totales!I44="0"&amp;totales!J44="1","9"))))))))))))))))))))))))))))))))))))</f>
        <v>0</v>
      </c>
    </row>
    <row r="44" spans="2:22" ht="15">
      <c r="B44" s="1">
        <v>4</v>
      </c>
      <c r="C44">
        <v>1</v>
      </c>
      <c r="D44">
        <v>1</v>
      </c>
      <c r="E44">
        <v>1</v>
      </c>
      <c r="F44" t="s">
        <v>681</v>
      </c>
      <c r="G44" t="s">
        <v>682</v>
      </c>
      <c r="H44" t="s">
        <v>690</v>
      </c>
      <c r="I44">
        <f t="shared" si="0"/>
        <v>4</v>
      </c>
      <c r="J44" t="s">
        <v>683</v>
      </c>
      <c r="K44" t="s">
        <v>689</v>
      </c>
      <c r="L44">
        <f t="shared" si="1"/>
        <v>1</v>
      </c>
      <c r="M44" t="s">
        <v>683</v>
      </c>
      <c r="N44" t="s">
        <v>688</v>
      </c>
      <c r="O44">
        <f t="shared" si="2"/>
        <v>1</v>
      </c>
      <c r="P44" t="s">
        <v>683</v>
      </c>
      <c r="Q44" t="s">
        <v>684</v>
      </c>
      <c r="R44">
        <f t="shared" si="3"/>
        <v>1</v>
      </c>
      <c r="S44" t="s">
        <v>693</v>
      </c>
      <c r="V44" s="102" t="b">
        <f>IF(totales!E45="1"&amp;totales!H45="0"&amp;totales!I45="0"&amp;totales!J45="0","a",IF(totales!E45="2"&amp;totales!H45="0"&amp;totales!I45="0"&amp;totales!J45="0","b",IF(totales!E45="3"&amp;totales!H45="0"&amp;totales!I45="0"&amp;totales!J45="0","c",IF(totales!E45="4"&amp;totales!H45="0"&amp;totales!I45="0"&amp;totales!J45="0","d",IF(totales!E45="6"&amp;totales!H45="0"&amp;totales!I45="0"&amp;totales!J45="0","e",IF(totales!E45="1"&amp;totales!H45="1"&amp;totales!I45="0"&amp;totales!J45="0","f",IF(totales!E45="2"&amp;totales!H45="1"&amp;totales!I45="0"&amp;totales!J45="0","g",IF(totales!E45="3"&amp;totales!H45="1"&amp;totales!I45="0"&amp;totales!J45="0","h",IF(totales!E45="4"&amp;totales!H45="1"&amp;totales!I45="0"&amp;totales!J45="0","i",IF(totales!E45="6"&amp;totales!H45="1"&amp;totales!I45="0"&amp;totales!J45="0","j",IF(totales!E45="1"&amp;totales!H45="2"&amp;totales!I45="0"&amp;totales!J45="0","k",IF(totales!E45="2"&amp;totales!H45="2"&amp;totales!I45="0"&amp;totales!J45="0","l",IF(totales!E45="3"&amp;totales!H45="2"&amp;totales!I45="0"&amp;totales!J45="0","m",
IF(totales!E45="4"&amp;totales!H45="2"&amp;totales!I45="0"&amp;totales!J45="0","n",IF(totales!E45="6"&amp;totales!H45="2"&amp;totales!I45="0"&amp;totales!J45="0","o",IF(totales!E45="1"&amp;totales!H45="0"&amp;totales!I45="1"&amp;totales!J45="0","p",IF(totales!E45="2"&amp;totales!H45="0"&amp;totales!I45="1"&amp;totales!J45="0","q",IF(totales!E45="3"&amp;totales!H45="0"&amp;totales!I45="1"&amp;totales!J45="0","r",IF(totales!E45="4"&amp;totales!H45="0"&amp;totales!I45="1"&amp;totales!J45="0","s",IF(totales!E45="6"&amp;totales!H45="0"&amp;totales!I45="1"&amp;totales!J45="0","t",IF(totales!E45="1"&amp;totales!H45="2"&amp;totales!I45="1"&amp;totales!J45="0","u",IF(totales!E45="2"&amp;totales!H45="2"&amp;totales!I45="1"&amp;totales!J45="0","v",IF(totales!E45="3"&amp;totales!H45="2"&amp;totales!I45="1"&amp;totales!J45="0","w",IF(totales!E45="4"&amp;totales!H45="2"&amp;totales!I45="1"&amp;totales!J45="0","x",
IF(totales!E45="6"&amp;totales!H45="2"&amp;totales!I45="1"&amp;totales!J45="0","y",IF(totales!E45="1"&amp;totales!H45="1"&amp;totales!I45="1"&amp;totales!J45="0","z",IF(totales!E45="2"&amp;totales!H45="1"&amp;totales!I45="1"&amp;totales!J45="0","0",IF(totales!E45="3"&amp;totales!H45="1"&amp;totales!I45="1"&amp;totales!J45="0","1",IF(totales!E45="4"&amp;totales!H45="1"&amp;totales!I45="1"&amp;totales!J45="0","2",IF(totales!E45="6"&amp;totales!H45="1"&amp;totales!I45="1"&amp;totales!J45="0","3",IF(totales!E45="1"&amp;totales!H45="0"&amp;totales!I45="1"&amp;totales!J45="1","4",IF(totales!E45="2"&amp;totales!H45="0"&amp;totales!I45="1"&amp;totales!J45="1","5",IF(totales!E45="3"&amp;totales!H45="0"&amp;totales!I45="1"&amp;totales!J45="1","6",IF(totales!E45="4"&amp;totales!H45="0"&amp;totales!I45="1"&amp;totales!J45="1","7",IF(totales!E45="6"&amp;totales!H45="0"&amp;totales!I45="1"&amp;totales!J45="1","8",IF(totales!E45="1"&amp;totales!H45="1"&amp;totales!I45="0"&amp;totales!J45="1","9"))))))))))))))))))))))))))))))))))))</f>
        <v>0</v>
      </c>
    </row>
    <row r="45" spans="2:22" ht="15">
      <c r="B45" s="1">
        <v>6</v>
      </c>
      <c r="C45">
        <v>1</v>
      </c>
      <c r="D45">
        <v>1</v>
      </c>
      <c r="E45">
        <v>1</v>
      </c>
      <c r="F45" t="s">
        <v>681</v>
      </c>
      <c r="G45" t="s">
        <v>682</v>
      </c>
      <c r="H45" t="s">
        <v>690</v>
      </c>
      <c r="I45">
        <f t="shared" si="0"/>
        <v>6</v>
      </c>
      <c r="J45" t="s">
        <v>683</v>
      </c>
      <c r="K45" t="s">
        <v>689</v>
      </c>
      <c r="L45">
        <f t="shared" si="1"/>
        <v>1</v>
      </c>
      <c r="M45" t="s">
        <v>683</v>
      </c>
      <c r="N45" t="s">
        <v>688</v>
      </c>
      <c r="O45">
        <f t="shared" si="2"/>
        <v>1</v>
      </c>
      <c r="P45" t="s">
        <v>683</v>
      </c>
      <c r="Q45" t="s">
        <v>684</v>
      </c>
      <c r="R45">
        <f t="shared" si="3"/>
        <v>1</v>
      </c>
      <c r="S45" t="s">
        <v>694</v>
      </c>
      <c r="V45" s="102" t="b">
        <f>IF(totales!E46="1"&amp;totales!H46="0"&amp;totales!I46="0"&amp;totales!J46="0","a",IF(totales!E46="2"&amp;totales!H46="0"&amp;totales!I46="0"&amp;totales!J46="0","b",IF(totales!E46="3"&amp;totales!H46="0"&amp;totales!I46="0"&amp;totales!J46="0","c",IF(totales!E46="4"&amp;totales!H46="0"&amp;totales!I46="0"&amp;totales!J46="0","d",IF(totales!E46="6"&amp;totales!H46="0"&amp;totales!I46="0"&amp;totales!J46="0","e",IF(totales!E46="1"&amp;totales!H46="1"&amp;totales!I46="0"&amp;totales!J46="0","f",IF(totales!E46="2"&amp;totales!H46="1"&amp;totales!I46="0"&amp;totales!J46="0","g",IF(totales!E46="3"&amp;totales!H46="1"&amp;totales!I46="0"&amp;totales!J46="0","h",IF(totales!E46="4"&amp;totales!H46="1"&amp;totales!I46="0"&amp;totales!J46="0","i",IF(totales!E46="6"&amp;totales!H46="1"&amp;totales!I46="0"&amp;totales!J46="0","j",IF(totales!E46="1"&amp;totales!H46="2"&amp;totales!I46="0"&amp;totales!J46="0","k",IF(totales!E46="2"&amp;totales!H46="2"&amp;totales!I46="0"&amp;totales!J46="0","l",IF(totales!E46="3"&amp;totales!H46="2"&amp;totales!I46="0"&amp;totales!J46="0","m",
IF(totales!E46="4"&amp;totales!H46="2"&amp;totales!I46="0"&amp;totales!J46="0","n",IF(totales!E46="6"&amp;totales!H46="2"&amp;totales!I46="0"&amp;totales!J46="0","o",IF(totales!E46="1"&amp;totales!H46="0"&amp;totales!I46="1"&amp;totales!J46="0","p",IF(totales!E46="2"&amp;totales!H46="0"&amp;totales!I46="1"&amp;totales!J46="0","q",IF(totales!E46="3"&amp;totales!H46="0"&amp;totales!I46="1"&amp;totales!J46="0","r",IF(totales!E46="4"&amp;totales!H46="0"&amp;totales!I46="1"&amp;totales!J46="0","s",IF(totales!E46="6"&amp;totales!H46="0"&amp;totales!I46="1"&amp;totales!J46="0","t",IF(totales!E46="1"&amp;totales!H46="2"&amp;totales!I46="1"&amp;totales!J46="0","u",IF(totales!E46="2"&amp;totales!H46="2"&amp;totales!I46="1"&amp;totales!J46="0","v",IF(totales!E46="3"&amp;totales!H46="2"&amp;totales!I46="1"&amp;totales!J46="0","w",IF(totales!E46="4"&amp;totales!H46="2"&amp;totales!I46="1"&amp;totales!J46="0","x",
IF(totales!E46="6"&amp;totales!H46="2"&amp;totales!I46="1"&amp;totales!J46="0","y",IF(totales!E46="1"&amp;totales!H46="1"&amp;totales!I46="1"&amp;totales!J46="0","z",IF(totales!E46="2"&amp;totales!H46="1"&amp;totales!I46="1"&amp;totales!J46="0","0",IF(totales!E46="3"&amp;totales!H46="1"&amp;totales!I46="1"&amp;totales!J46="0","1",IF(totales!E46="4"&amp;totales!H46="1"&amp;totales!I46="1"&amp;totales!J46="0","2",IF(totales!E46="6"&amp;totales!H46="1"&amp;totales!I46="1"&amp;totales!J46="0","3",IF(totales!E46="1"&amp;totales!H46="0"&amp;totales!I46="1"&amp;totales!J46="1","4",IF(totales!E46="2"&amp;totales!H46="0"&amp;totales!I46="1"&amp;totales!J46="1","5",IF(totales!E46="3"&amp;totales!H46="0"&amp;totales!I46="1"&amp;totales!J46="1","6",IF(totales!E46="4"&amp;totales!H46="0"&amp;totales!I46="1"&amp;totales!J46="1","7",IF(totales!E46="6"&amp;totales!H46="0"&amp;totales!I46="1"&amp;totales!J46="1","8",IF(totales!E46="1"&amp;totales!H46="1"&amp;totales!I46="0"&amp;totales!J46="1","9"))))))))))))))))))))))))))))))))))))</f>
        <v>0</v>
      </c>
    </row>
    <row r="46" spans="2:22" ht="15">
      <c r="B46" s="1">
        <v>1</v>
      </c>
      <c r="C46">
        <v>0</v>
      </c>
      <c r="D46">
        <v>0</v>
      </c>
      <c r="E46">
        <v>1</v>
      </c>
      <c r="F46" t="s">
        <v>681</v>
      </c>
      <c r="G46" t="s">
        <v>682</v>
      </c>
      <c r="H46" t="s">
        <v>690</v>
      </c>
      <c r="I46">
        <f t="shared" si="0"/>
        <v>1</v>
      </c>
      <c r="J46" t="s">
        <v>683</v>
      </c>
      <c r="K46" t="s">
        <v>689</v>
      </c>
      <c r="L46">
        <f t="shared" si="1"/>
        <v>0</v>
      </c>
      <c r="M46" t="s">
        <v>683</v>
      </c>
      <c r="N46" t="s">
        <v>688</v>
      </c>
      <c r="O46">
        <f t="shared" si="2"/>
        <v>0</v>
      </c>
      <c r="P46" t="s">
        <v>683</v>
      </c>
      <c r="Q46" t="s">
        <v>684</v>
      </c>
      <c r="R46">
        <f t="shared" si="3"/>
        <v>1</v>
      </c>
      <c r="S46" t="s">
        <v>692</v>
      </c>
      <c r="V46" s="102" t="b">
        <f>IF(totales!E47="1"&amp;totales!H47="0"&amp;totales!I47="0"&amp;totales!J47="0","a",IF(totales!E47="2"&amp;totales!H47="0"&amp;totales!I47="0"&amp;totales!J47="0","b",IF(totales!E47="3"&amp;totales!H47="0"&amp;totales!I47="0"&amp;totales!J47="0","c",IF(totales!E47="4"&amp;totales!H47="0"&amp;totales!I47="0"&amp;totales!J47="0","d",IF(totales!E47="6"&amp;totales!H47="0"&amp;totales!I47="0"&amp;totales!J47="0","e",IF(totales!E47="1"&amp;totales!H47="1"&amp;totales!I47="0"&amp;totales!J47="0","f",IF(totales!E47="2"&amp;totales!H47="1"&amp;totales!I47="0"&amp;totales!J47="0","g",IF(totales!E47="3"&amp;totales!H47="1"&amp;totales!I47="0"&amp;totales!J47="0","h",IF(totales!E47="4"&amp;totales!H47="1"&amp;totales!I47="0"&amp;totales!J47="0","i",IF(totales!E47="6"&amp;totales!H47="1"&amp;totales!I47="0"&amp;totales!J47="0","j",IF(totales!E47="1"&amp;totales!H47="2"&amp;totales!I47="0"&amp;totales!J47="0","k",IF(totales!E47="2"&amp;totales!H47="2"&amp;totales!I47="0"&amp;totales!J47="0","l",IF(totales!E47="3"&amp;totales!H47="2"&amp;totales!I47="0"&amp;totales!J47="0","m",
IF(totales!E47="4"&amp;totales!H47="2"&amp;totales!I47="0"&amp;totales!J47="0","n",IF(totales!E47="6"&amp;totales!H47="2"&amp;totales!I47="0"&amp;totales!J47="0","o",IF(totales!E47="1"&amp;totales!H47="0"&amp;totales!I47="1"&amp;totales!J47="0","p",IF(totales!E47="2"&amp;totales!H47="0"&amp;totales!I47="1"&amp;totales!J47="0","q",IF(totales!E47="3"&amp;totales!H47="0"&amp;totales!I47="1"&amp;totales!J47="0","r",IF(totales!E47="4"&amp;totales!H47="0"&amp;totales!I47="1"&amp;totales!J47="0","s",IF(totales!E47="6"&amp;totales!H47="0"&amp;totales!I47="1"&amp;totales!J47="0","t",IF(totales!E47="1"&amp;totales!H47="2"&amp;totales!I47="1"&amp;totales!J47="0","u",IF(totales!E47="2"&amp;totales!H47="2"&amp;totales!I47="1"&amp;totales!J47="0","v",IF(totales!E47="3"&amp;totales!H47="2"&amp;totales!I47="1"&amp;totales!J47="0","w",IF(totales!E47="4"&amp;totales!H47="2"&amp;totales!I47="1"&amp;totales!J47="0","x",
IF(totales!E47="6"&amp;totales!H47="2"&amp;totales!I47="1"&amp;totales!J47="0","y",IF(totales!E47="1"&amp;totales!H47="1"&amp;totales!I47="1"&amp;totales!J47="0","z",IF(totales!E47="2"&amp;totales!H47="1"&amp;totales!I47="1"&amp;totales!J47="0","0",IF(totales!E47="3"&amp;totales!H47="1"&amp;totales!I47="1"&amp;totales!J47="0","1",IF(totales!E47="4"&amp;totales!H47="1"&amp;totales!I47="1"&amp;totales!J47="0","2",IF(totales!E47="6"&amp;totales!H47="1"&amp;totales!I47="1"&amp;totales!J47="0","3",IF(totales!E47="1"&amp;totales!H47="0"&amp;totales!I47="1"&amp;totales!J47="1","4",IF(totales!E47="2"&amp;totales!H47="0"&amp;totales!I47="1"&amp;totales!J47="1","5",IF(totales!E47="3"&amp;totales!H47="0"&amp;totales!I47="1"&amp;totales!J47="1","6",IF(totales!E47="4"&amp;totales!H47="0"&amp;totales!I47="1"&amp;totales!J47="1","7",IF(totales!E47="6"&amp;totales!H47="0"&amp;totales!I47="1"&amp;totales!J47="1","8",IF(totales!E47="1"&amp;totales!H47="1"&amp;totales!I47="0"&amp;totales!J47="1","9"))))))))))))))))))))))))))))))))))))</f>
        <v>0</v>
      </c>
    </row>
    <row r="47" spans="2:22" ht="15">
      <c r="B47" s="1">
        <v>2</v>
      </c>
      <c r="C47">
        <v>0</v>
      </c>
      <c r="D47">
        <v>0</v>
      </c>
      <c r="E47">
        <v>1</v>
      </c>
      <c r="F47" t="s">
        <v>681</v>
      </c>
      <c r="G47" t="s">
        <v>682</v>
      </c>
      <c r="H47" t="s">
        <v>690</v>
      </c>
      <c r="I47">
        <f t="shared" si="0"/>
        <v>2</v>
      </c>
      <c r="J47" t="s">
        <v>683</v>
      </c>
      <c r="K47" t="s">
        <v>689</v>
      </c>
      <c r="L47">
        <f t="shared" si="1"/>
        <v>0</v>
      </c>
      <c r="M47" t="s">
        <v>683</v>
      </c>
      <c r="N47" t="s">
        <v>688</v>
      </c>
      <c r="O47">
        <f t="shared" si="2"/>
        <v>0</v>
      </c>
      <c r="P47" t="s">
        <v>683</v>
      </c>
      <c r="Q47" t="s">
        <v>684</v>
      </c>
      <c r="R47">
        <f t="shared" si="3"/>
        <v>1</v>
      </c>
      <c r="S47" t="s">
        <v>693</v>
      </c>
      <c r="V47" s="102" t="b">
        <f>IF(totales!E48="1"&amp;totales!H48="0"&amp;totales!I48="0"&amp;totales!J48="0","a",IF(totales!E48="2"&amp;totales!H48="0"&amp;totales!I48="0"&amp;totales!J48="0","b",IF(totales!E48="3"&amp;totales!H48="0"&amp;totales!I48="0"&amp;totales!J48="0","c",IF(totales!E48="4"&amp;totales!H48="0"&amp;totales!I48="0"&amp;totales!J48="0","d",IF(totales!E48="6"&amp;totales!H48="0"&amp;totales!I48="0"&amp;totales!J48="0","e",IF(totales!E48="1"&amp;totales!H48="1"&amp;totales!I48="0"&amp;totales!J48="0","f",IF(totales!E48="2"&amp;totales!H48="1"&amp;totales!I48="0"&amp;totales!J48="0","g",IF(totales!E48="3"&amp;totales!H48="1"&amp;totales!I48="0"&amp;totales!J48="0","h",IF(totales!E48="4"&amp;totales!H48="1"&amp;totales!I48="0"&amp;totales!J48="0","i",IF(totales!E48="6"&amp;totales!H48="1"&amp;totales!I48="0"&amp;totales!J48="0","j",IF(totales!E48="1"&amp;totales!H48="2"&amp;totales!I48="0"&amp;totales!J48="0","k",IF(totales!E48="2"&amp;totales!H48="2"&amp;totales!I48="0"&amp;totales!J48="0","l",IF(totales!E48="3"&amp;totales!H48="2"&amp;totales!I48="0"&amp;totales!J48="0","m",
IF(totales!E48="4"&amp;totales!H48="2"&amp;totales!I48="0"&amp;totales!J48="0","n",IF(totales!E48="6"&amp;totales!H48="2"&amp;totales!I48="0"&amp;totales!J48="0","o",IF(totales!E48="1"&amp;totales!H48="0"&amp;totales!I48="1"&amp;totales!J48="0","p",IF(totales!E48="2"&amp;totales!H48="0"&amp;totales!I48="1"&amp;totales!J48="0","q",IF(totales!E48="3"&amp;totales!H48="0"&amp;totales!I48="1"&amp;totales!J48="0","r",IF(totales!E48="4"&amp;totales!H48="0"&amp;totales!I48="1"&amp;totales!J48="0","s",IF(totales!E48="6"&amp;totales!H48="0"&amp;totales!I48="1"&amp;totales!J48="0","t",IF(totales!E48="1"&amp;totales!H48="2"&amp;totales!I48="1"&amp;totales!J48="0","u",IF(totales!E48="2"&amp;totales!H48="2"&amp;totales!I48="1"&amp;totales!J48="0","v",IF(totales!E48="3"&amp;totales!H48="2"&amp;totales!I48="1"&amp;totales!J48="0","w",IF(totales!E48="4"&amp;totales!H48="2"&amp;totales!I48="1"&amp;totales!J48="0","x",
IF(totales!E48="6"&amp;totales!H48="2"&amp;totales!I48="1"&amp;totales!J48="0","y",IF(totales!E48="1"&amp;totales!H48="1"&amp;totales!I48="1"&amp;totales!J48="0","z",IF(totales!E48="2"&amp;totales!H48="1"&amp;totales!I48="1"&amp;totales!J48="0","0",IF(totales!E48="3"&amp;totales!H48="1"&amp;totales!I48="1"&amp;totales!J48="0","1",IF(totales!E48="4"&amp;totales!H48="1"&amp;totales!I48="1"&amp;totales!J48="0","2",IF(totales!E48="6"&amp;totales!H48="1"&amp;totales!I48="1"&amp;totales!J48="0","3",IF(totales!E48="1"&amp;totales!H48="0"&amp;totales!I48="1"&amp;totales!J48="1","4",IF(totales!E48="2"&amp;totales!H48="0"&amp;totales!I48="1"&amp;totales!J48="1","5",IF(totales!E48="3"&amp;totales!H48="0"&amp;totales!I48="1"&amp;totales!J48="1","6",IF(totales!E48="4"&amp;totales!H48="0"&amp;totales!I48="1"&amp;totales!J48="1","7",IF(totales!E48="6"&amp;totales!H48="0"&amp;totales!I48="1"&amp;totales!J48="1","8",IF(totales!E48="1"&amp;totales!H48="1"&amp;totales!I48="0"&amp;totales!J48="1","9"))))))))))))))))))))))))))))))))))))</f>
        <v>0</v>
      </c>
    </row>
    <row r="48" spans="2:22" ht="15">
      <c r="B48" s="1">
        <v>3</v>
      </c>
      <c r="C48">
        <v>0</v>
      </c>
      <c r="D48">
        <v>0</v>
      </c>
      <c r="E48">
        <v>1</v>
      </c>
      <c r="F48" t="s">
        <v>681</v>
      </c>
      <c r="G48" t="s">
        <v>682</v>
      </c>
      <c r="H48" t="s">
        <v>690</v>
      </c>
      <c r="I48">
        <f t="shared" si="0"/>
        <v>3</v>
      </c>
      <c r="J48" t="s">
        <v>683</v>
      </c>
      <c r="K48" t="s">
        <v>689</v>
      </c>
      <c r="L48">
        <f t="shared" si="1"/>
        <v>0</v>
      </c>
      <c r="M48" t="s">
        <v>683</v>
      </c>
      <c r="N48" t="s">
        <v>688</v>
      </c>
      <c r="O48">
        <f t="shared" si="2"/>
        <v>0</v>
      </c>
      <c r="P48" t="s">
        <v>683</v>
      </c>
      <c r="Q48" t="s">
        <v>684</v>
      </c>
      <c r="R48">
        <f t="shared" si="3"/>
        <v>1</v>
      </c>
      <c r="S48" t="s">
        <v>694</v>
      </c>
      <c r="V48" s="102" t="b">
        <f>IF(totales!E49="1"&amp;totales!H49="0"&amp;totales!I49="0"&amp;totales!J49="0","a",IF(totales!E49="2"&amp;totales!H49="0"&amp;totales!I49="0"&amp;totales!J49="0","b",IF(totales!E49="3"&amp;totales!H49="0"&amp;totales!I49="0"&amp;totales!J49="0","c",IF(totales!E49="4"&amp;totales!H49="0"&amp;totales!I49="0"&amp;totales!J49="0","d",IF(totales!E49="6"&amp;totales!H49="0"&amp;totales!I49="0"&amp;totales!J49="0","e",IF(totales!E49="1"&amp;totales!H49="1"&amp;totales!I49="0"&amp;totales!J49="0","f",IF(totales!E49="2"&amp;totales!H49="1"&amp;totales!I49="0"&amp;totales!J49="0","g",IF(totales!E49="3"&amp;totales!H49="1"&amp;totales!I49="0"&amp;totales!J49="0","h",IF(totales!E49="4"&amp;totales!H49="1"&amp;totales!I49="0"&amp;totales!J49="0","i",IF(totales!E49="6"&amp;totales!H49="1"&amp;totales!I49="0"&amp;totales!J49="0","j",IF(totales!E49="1"&amp;totales!H49="2"&amp;totales!I49="0"&amp;totales!J49="0","k",IF(totales!E49="2"&amp;totales!H49="2"&amp;totales!I49="0"&amp;totales!J49="0","l",IF(totales!E49="3"&amp;totales!H49="2"&amp;totales!I49="0"&amp;totales!J49="0","m",
IF(totales!E49="4"&amp;totales!H49="2"&amp;totales!I49="0"&amp;totales!J49="0","n",IF(totales!E49="6"&amp;totales!H49="2"&amp;totales!I49="0"&amp;totales!J49="0","o",IF(totales!E49="1"&amp;totales!H49="0"&amp;totales!I49="1"&amp;totales!J49="0","p",IF(totales!E49="2"&amp;totales!H49="0"&amp;totales!I49="1"&amp;totales!J49="0","q",IF(totales!E49="3"&amp;totales!H49="0"&amp;totales!I49="1"&amp;totales!J49="0","r",IF(totales!E49="4"&amp;totales!H49="0"&amp;totales!I49="1"&amp;totales!J49="0","s",IF(totales!E49="6"&amp;totales!H49="0"&amp;totales!I49="1"&amp;totales!J49="0","t",IF(totales!E49="1"&amp;totales!H49="2"&amp;totales!I49="1"&amp;totales!J49="0","u",IF(totales!E49="2"&amp;totales!H49="2"&amp;totales!I49="1"&amp;totales!J49="0","v",IF(totales!E49="3"&amp;totales!H49="2"&amp;totales!I49="1"&amp;totales!J49="0","w",IF(totales!E49="4"&amp;totales!H49="2"&amp;totales!I49="1"&amp;totales!J49="0","x",
IF(totales!E49="6"&amp;totales!H49="2"&amp;totales!I49="1"&amp;totales!J49="0","y",IF(totales!E49="1"&amp;totales!H49="1"&amp;totales!I49="1"&amp;totales!J49="0","z",IF(totales!E49="2"&amp;totales!H49="1"&amp;totales!I49="1"&amp;totales!J49="0","0",IF(totales!E49="3"&amp;totales!H49="1"&amp;totales!I49="1"&amp;totales!J49="0","1",IF(totales!E49="4"&amp;totales!H49="1"&amp;totales!I49="1"&amp;totales!J49="0","2",IF(totales!E49="6"&amp;totales!H49="1"&amp;totales!I49="1"&amp;totales!J49="0","3",IF(totales!E49="1"&amp;totales!H49="0"&amp;totales!I49="1"&amp;totales!J49="1","4",IF(totales!E49="2"&amp;totales!H49="0"&amp;totales!I49="1"&amp;totales!J49="1","5",IF(totales!E49="3"&amp;totales!H49="0"&amp;totales!I49="1"&amp;totales!J49="1","6",IF(totales!E49="4"&amp;totales!H49="0"&amp;totales!I49="1"&amp;totales!J49="1","7",IF(totales!E49="6"&amp;totales!H49="0"&amp;totales!I49="1"&amp;totales!J49="1","8",IF(totales!E49="1"&amp;totales!H49="1"&amp;totales!I49="0"&amp;totales!J49="1","9"))))))))))))))))))))))))))))))))))))</f>
        <v>0</v>
      </c>
    </row>
    <row r="49" spans="2:22" ht="15">
      <c r="B49" s="1">
        <v>4</v>
      </c>
      <c r="C49">
        <v>0</v>
      </c>
      <c r="D49">
        <v>0</v>
      </c>
      <c r="E49">
        <v>1</v>
      </c>
      <c r="F49" t="s">
        <v>681</v>
      </c>
      <c r="G49" t="s">
        <v>682</v>
      </c>
      <c r="H49" t="s">
        <v>690</v>
      </c>
      <c r="I49">
        <f t="shared" si="0"/>
        <v>4</v>
      </c>
      <c r="J49" t="s">
        <v>683</v>
      </c>
      <c r="K49" t="s">
        <v>689</v>
      </c>
      <c r="L49">
        <f t="shared" si="1"/>
        <v>0</v>
      </c>
      <c r="M49" t="s">
        <v>683</v>
      </c>
      <c r="N49" t="s">
        <v>688</v>
      </c>
      <c r="O49">
        <f t="shared" si="2"/>
        <v>0</v>
      </c>
      <c r="P49" t="s">
        <v>683</v>
      </c>
      <c r="Q49" t="s">
        <v>684</v>
      </c>
      <c r="R49">
        <f t="shared" si="3"/>
        <v>1</v>
      </c>
      <c r="S49" t="s">
        <v>692</v>
      </c>
      <c r="V49" s="102" t="b">
        <f>IF(totales!E50="1"&amp;totales!H50="0"&amp;totales!I50="0"&amp;totales!J50="0","a",IF(totales!E50="2"&amp;totales!H50="0"&amp;totales!I50="0"&amp;totales!J50="0","b",IF(totales!E50="3"&amp;totales!H50="0"&amp;totales!I50="0"&amp;totales!J50="0","c",IF(totales!E50="4"&amp;totales!H50="0"&amp;totales!I50="0"&amp;totales!J50="0","d",IF(totales!E50="6"&amp;totales!H50="0"&amp;totales!I50="0"&amp;totales!J50="0","e",IF(totales!E50="1"&amp;totales!H50="1"&amp;totales!I50="0"&amp;totales!J50="0","f",IF(totales!E50="2"&amp;totales!H50="1"&amp;totales!I50="0"&amp;totales!J50="0","g",IF(totales!E50="3"&amp;totales!H50="1"&amp;totales!I50="0"&amp;totales!J50="0","h",IF(totales!E50="4"&amp;totales!H50="1"&amp;totales!I50="0"&amp;totales!J50="0","i",IF(totales!E50="6"&amp;totales!H50="1"&amp;totales!I50="0"&amp;totales!J50="0","j",IF(totales!E50="1"&amp;totales!H50="2"&amp;totales!I50="0"&amp;totales!J50="0","k",IF(totales!E50="2"&amp;totales!H50="2"&amp;totales!I50="0"&amp;totales!J50="0","l",IF(totales!E50="3"&amp;totales!H50="2"&amp;totales!I50="0"&amp;totales!J50="0","m",
IF(totales!E50="4"&amp;totales!H50="2"&amp;totales!I50="0"&amp;totales!J50="0","n",IF(totales!E50="6"&amp;totales!H50="2"&amp;totales!I50="0"&amp;totales!J50="0","o",IF(totales!E50="1"&amp;totales!H50="0"&amp;totales!I50="1"&amp;totales!J50="0","p",IF(totales!E50="2"&amp;totales!H50="0"&amp;totales!I50="1"&amp;totales!J50="0","q",IF(totales!E50="3"&amp;totales!H50="0"&amp;totales!I50="1"&amp;totales!J50="0","r",IF(totales!E50="4"&amp;totales!H50="0"&amp;totales!I50="1"&amp;totales!J50="0","s",IF(totales!E50="6"&amp;totales!H50="0"&amp;totales!I50="1"&amp;totales!J50="0","t",IF(totales!E50="1"&amp;totales!H50="2"&amp;totales!I50="1"&amp;totales!J50="0","u",IF(totales!E50="2"&amp;totales!H50="2"&amp;totales!I50="1"&amp;totales!J50="0","v",IF(totales!E50="3"&amp;totales!H50="2"&amp;totales!I50="1"&amp;totales!J50="0","w",IF(totales!E50="4"&amp;totales!H50="2"&amp;totales!I50="1"&amp;totales!J50="0","x",
IF(totales!E50="6"&amp;totales!H50="2"&amp;totales!I50="1"&amp;totales!J50="0","y",IF(totales!E50="1"&amp;totales!H50="1"&amp;totales!I50="1"&amp;totales!J50="0","z",IF(totales!E50="2"&amp;totales!H50="1"&amp;totales!I50="1"&amp;totales!J50="0","0",IF(totales!E50="3"&amp;totales!H50="1"&amp;totales!I50="1"&amp;totales!J50="0","1",IF(totales!E50="4"&amp;totales!H50="1"&amp;totales!I50="1"&amp;totales!J50="0","2",IF(totales!E50="6"&amp;totales!H50="1"&amp;totales!I50="1"&amp;totales!J50="0","3",IF(totales!E50="1"&amp;totales!H50="0"&amp;totales!I50="1"&amp;totales!J50="1","4",IF(totales!E50="2"&amp;totales!H50="0"&amp;totales!I50="1"&amp;totales!J50="1","5",IF(totales!E50="3"&amp;totales!H50="0"&amp;totales!I50="1"&amp;totales!J50="1","6",IF(totales!E50="4"&amp;totales!H50="0"&amp;totales!I50="1"&amp;totales!J50="1","7",IF(totales!E50="6"&amp;totales!H50="0"&amp;totales!I50="1"&amp;totales!J50="1","8",IF(totales!E50="1"&amp;totales!H50="1"&amp;totales!I50="0"&amp;totales!J50="1","9"))))))))))))))))))))))))))))))))))))</f>
        <v>0</v>
      </c>
    </row>
    <row r="50" spans="2:22" ht="15">
      <c r="B50" s="1">
        <v>6</v>
      </c>
      <c r="C50">
        <v>0</v>
      </c>
      <c r="D50">
        <v>0</v>
      </c>
      <c r="E50">
        <v>1</v>
      </c>
      <c r="F50" t="s">
        <v>681</v>
      </c>
      <c r="G50" t="s">
        <v>682</v>
      </c>
      <c r="H50" t="s">
        <v>690</v>
      </c>
      <c r="I50">
        <f t="shared" si="0"/>
        <v>6</v>
      </c>
      <c r="J50" t="s">
        <v>683</v>
      </c>
      <c r="K50" t="s">
        <v>689</v>
      </c>
      <c r="L50">
        <f t="shared" si="1"/>
        <v>0</v>
      </c>
      <c r="M50" t="s">
        <v>683</v>
      </c>
      <c r="N50" t="s">
        <v>688</v>
      </c>
      <c r="O50">
        <f t="shared" si="2"/>
        <v>0</v>
      </c>
      <c r="P50" t="s">
        <v>683</v>
      </c>
      <c r="Q50" t="s">
        <v>684</v>
      </c>
      <c r="R50">
        <f t="shared" si="3"/>
        <v>1</v>
      </c>
      <c r="S50" t="s">
        <v>693</v>
      </c>
      <c r="V50" s="102" t="b">
        <f>IF(totales!E51="1"&amp;totales!H51="0"&amp;totales!I51="0"&amp;totales!J51="0","a",IF(totales!E51="2"&amp;totales!H51="0"&amp;totales!I51="0"&amp;totales!J51="0","b",IF(totales!E51="3"&amp;totales!H51="0"&amp;totales!I51="0"&amp;totales!J51="0","c",IF(totales!E51="4"&amp;totales!H51="0"&amp;totales!I51="0"&amp;totales!J51="0","d",IF(totales!E51="6"&amp;totales!H51="0"&amp;totales!I51="0"&amp;totales!J51="0","e",IF(totales!E51="1"&amp;totales!H51="1"&amp;totales!I51="0"&amp;totales!J51="0","f",IF(totales!E51="2"&amp;totales!H51="1"&amp;totales!I51="0"&amp;totales!J51="0","g",IF(totales!E51="3"&amp;totales!H51="1"&amp;totales!I51="0"&amp;totales!J51="0","h",IF(totales!E51="4"&amp;totales!H51="1"&amp;totales!I51="0"&amp;totales!J51="0","i",IF(totales!E51="6"&amp;totales!H51="1"&amp;totales!I51="0"&amp;totales!J51="0","j",IF(totales!E51="1"&amp;totales!H51="2"&amp;totales!I51="0"&amp;totales!J51="0","k",IF(totales!E51="2"&amp;totales!H51="2"&amp;totales!I51="0"&amp;totales!J51="0","l",IF(totales!E51="3"&amp;totales!H51="2"&amp;totales!I51="0"&amp;totales!J51="0","m",
IF(totales!E51="4"&amp;totales!H51="2"&amp;totales!I51="0"&amp;totales!J51="0","n",IF(totales!E51="6"&amp;totales!H51="2"&amp;totales!I51="0"&amp;totales!J51="0","o",IF(totales!E51="1"&amp;totales!H51="0"&amp;totales!I51="1"&amp;totales!J51="0","p",IF(totales!E51="2"&amp;totales!H51="0"&amp;totales!I51="1"&amp;totales!J51="0","q",IF(totales!E51="3"&amp;totales!H51="0"&amp;totales!I51="1"&amp;totales!J51="0","r",IF(totales!E51="4"&amp;totales!H51="0"&amp;totales!I51="1"&amp;totales!J51="0","s",IF(totales!E51="6"&amp;totales!H51="0"&amp;totales!I51="1"&amp;totales!J51="0","t",IF(totales!E51="1"&amp;totales!H51="2"&amp;totales!I51="1"&amp;totales!J51="0","u",IF(totales!E51="2"&amp;totales!H51="2"&amp;totales!I51="1"&amp;totales!J51="0","v",IF(totales!E51="3"&amp;totales!H51="2"&amp;totales!I51="1"&amp;totales!J51="0","w",IF(totales!E51="4"&amp;totales!H51="2"&amp;totales!I51="1"&amp;totales!J51="0","x",
IF(totales!E51="6"&amp;totales!H51="2"&amp;totales!I51="1"&amp;totales!J51="0","y",IF(totales!E51="1"&amp;totales!H51="1"&amp;totales!I51="1"&amp;totales!J51="0","z",IF(totales!E51="2"&amp;totales!H51="1"&amp;totales!I51="1"&amp;totales!J51="0","0",IF(totales!E51="3"&amp;totales!H51="1"&amp;totales!I51="1"&amp;totales!J51="0","1",IF(totales!E51="4"&amp;totales!H51="1"&amp;totales!I51="1"&amp;totales!J51="0","2",IF(totales!E51="6"&amp;totales!H51="1"&amp;totales!I51="1"&amp;totales!J51="0","3",IF(totales!E51="1"&amp;totales!H51="0"&amp;totales!I51="1"&amp;totales!J51="1","4",IF(totales!E51="2"&amp;totales!H51="0"&amp;totales!I51="1"&amp;totales!J51="1","5",IF(totales!E51="3"&amp;totales!H51="0"&amp;totales!I51="1"&amp;totales!J51="1","6",IF(totales!E51="4"&amp;totales!H51="0"&amp;totales!I51="1"&amp;totales!J51="1","7",IF(totales!E51="6"&amp;totales!H51="0"&amp;totales!I51="1"&amp;totales!J51="1","8",IF(totales!E51="1"&amp;totales!H51="1"&amp;totales!I51="0"&amp;totales!J51="1","9"))))))))))))))))))))))))))))))))))))</f>
        <v>0</v>
      </c>
    </row>
    <row r="51" spans="2:22" ht="15">
      <c r="B51" s="1">
        <v>1</v>
      </c>
      <c r="C51">
        <v>2</v>
      </c>
      <c r="D51">
        <v>0</v>
      </c>
      <c r="E51">
        <v>1</v>
      </c>
      <c r="F51" t="s">
        <v>681</v>
      </c>
      <c r="G51" t="s">
        <v>682</v>
      </c>
      <c r="H51" t="s">
        <v>690</v>
      </c>
      <c r="I51">
        <f t="shared" si="0"/>
        <v>1</v>
      </c>
      <c r="J51" t="s">
        <v>683</v>
      </c>
      <c r="K51" t="s">
        <v>689</v>
      </c>
      <c r="L51">
        <f t="shared" si="1"/>
        <v>2</v>
      </c>
      <c r="M51" t="s">
        <v>683</v>
      </c>
      <c r="N51" t="s">
        <v>688</v>
      </c>
      <c r="O51">
        <f t="shared" si="2"/>
        <v>0</v>
      </c>
      <c r="P51" t="s">
        <v>683</v>
      </c>
      <c r="Q51" t="s">
        <v>684</v>
      </c>
      <c r="R51">
        <f t="shared" si="3"/>
        <v>1</v>
      </c>
      <c r="S51" t="s">
        <v>694</v>
      </c>
      <c r="V51" s="102" t="b">
        <f>IF(totales!E52="1"&amp;totales!H52="0"&amp;totales!I52="0"&amp;totales!J52="0","a",IF(totales!E52="2"&amp;totales!H52="0"&amp;totales!I52="0"&amp;totales!J52="0","b",IF(totales!E52="3"&amp;totales!H52="0"&amp;totales!I52="0"&amp;totales!J52="0","c",IF(totales!E52="4"&amp;totales!H52="0"&amp;totales!I52="0"&amp;totales!J52="0","d",IF(totales!E52="6"&amp;totales!H52="0"&amp;totales!I52="0"&amp;totales!J52="0","e",IF(totales!E52="1"&amp;totales!H52="1"&amp;totales!I52="0"&amp;totales!J52="0","f",IF(totales!E52="2"&amp;totales!H52="1"&amp;totales!I52="0"&amp;totales!J52="0","g",IF(totales!E52="3"&amp;totales!H52="1"&amp;totales!I52="0"&amp;totales!J52="0","h",IF(totales!E52="4"&amp;totales!H52="1"&amp;totales!I52="0"&amp;totales!J52="0","i",IF(totales!E52="6"&amp;totales!H52="1"&amp;totales!I52="0"&amp;totales!J52="0","j",IF(totales!E52="1"&amp;totales!H52="2"&amp;totales!I52="0"&amp;totales!J52="0","k",IF(totales!E52="2"&amp;totales!H52="2"&amp;totales!I52="0"&amp;totales!J52="0","l",IF(totales!E52="3"&amp;totales!H52="2"&amp;totales!I52="0"&amp;totales!J52="0","m",
IF(totales!E52="4"&amp;totales!H52="2"&amp;totales!I52="0"&amp;totales!J52="0","n",IF(totales!E52="6"&amp;totales!H52="2"&amp;totales!I52="0"&amp;totales!J52="0","o",IF(totales!E52="1"&amp;totales!H52="0"&amp;totales!I52="1"&amp;totales!J52="0","p",IF(totales!E52="2"&amp;totales!H52="0"&amp;totales!I52="1"&amp;totales!J52="0","q",IF(totales!E52="3"&amp;totales!H52="0"&amp;totales!I52="1"&amp;totales!J52="0","r",IF(totales!E52="4"&amp;totales!H52="0"&amp;totales!I52="1"&amp;totales!J52="0","s",IF(totales!E52="6"&amp;totales!H52="0"&amp;totales!I52="1"&amp;totales!J52="0","t",IF(totales!E52="1"&amp;totales!H52="2"&amp;totales!I52="1"&amp;totales!J52="0","u",IF(totales!E52="2"&amp;totales!H52="2"&amp;totales!I52="1"&amp;totales!J52="0","v",IF(totales!E52="3"&amp;totales!H52="2"&amp;totales!I52="1"&amp;totales!J52="0","w",IF(totales!E52="4"&amp;totales!H52="2"&amp;totales!I52="1"&amp;totales!J52="0","x",
IF(totales!E52="6"&amp;totales!H52="2"&amp;totales!I52="1"&amp;totales!J52="0","y",IF(totales!E52="1"&amp;totales!H52="1"&amp;totales!I52="1"&amp;totales!J52="0","z",IF(totales!E52="2"&amp;totales!H52="1"&amp;totales!I52="1"&amp;totales!J52="0","0",IF(totales!E52="3"&amp;totales!H52="1"&amp;totales!I52="1"&amp;totales!J52="0","1",IF(totales!E52="4"&amp;totales!H52="1"&amp;totales!I52="1"&amp;totales!J52="0","2",IF(totales!E52="6"&amp;totales!H52="1"&amp;totales!I52="1"&amp;totales!J52="0","3",IF(totales!E52="1"&amp;totales!H52="0"&amp;totales!I52="1"&amp;totales!J52="1","4",IF(totales!E52="2"&amp;totales!H52="0"&amp;totales!I52="1"&amp;totales!J52="1","5",IF(totales!E52="3"&amp;totales!H52="0"&amp;totales!I52="1"&amp;totales!J52="1","6",IF(totales!E52="4"&amp;totales!H52="0"&amp;totales!I52="1"&amp;totales!J52="1","7",IF(totales!E52="6"&amp;totales!H52="0"&amp;totales!I52="1"&amp;totales!J52="1","8",IF(totales!E52="1"&amp;totales!H52="1"&amp;totales!I52="0"&amp;totales!J52="1","9"))))))))))))))))))))))))))))))))))))</f>
        <v>0</v>
      </c>
    </row>
    <row r="52" spans="2:22" ht="15">
      <c r="B52" s="1">
        <v>2</v>
      </c>
      <c r="C52">
        <v>2</v>
      </c>
      <c r="D52">
        <v>0</v>
      </c>
      <c r="E52">
        <v>1</v>
      </c>
      <c r="F52" t="s">
        <v>681</v>
      </c>
      <c r="G52" t="s">
        <v>682</v>
      </c>
      <c r="H52" t="s">
        <v>690</v>
      </c>
      <c r="I52">
        <f t="shared" si="0"/>
        <v>2</v>
      </c>
      <c r="J52" t="s">
        <v>683</v>
      </c>
      <c r="K52" t="s">
        <v>689</v>
      </c>
      <c r="L52">
        <f t="shared" si="1"/>
        <v>2</v>
      </c>
      <c r="M52" t="s">
        <v>683</v>
      </c>
      <c r="N52" t="s">
        <v>688</v>
      </c>
      <c r="O52">
        <f t="shared" si="2"/>
        <v>0</v>
      </c>
      <c r="P52" t="s">
        <v>683</v>
      </c>
      <c r="Q52" t="s">
        <v>684</v>
      </c>
      <c r="R52">
        <f t="shared" si="3"/>
        <v>1</v>
      </c>
      <c r="S52" t="s">
        <v>692</v>
      </c>
      <c r="V52" s="102" t="b">
        <f>IF(totales!E53="1"&amp;totales!H53="0"&amp;totales!I53="0"&amp;totales!J53="0","a",IF(totales!E53="2"&amp;totales!H53="0"&amp;totales!I53="0"&amp;totales!J53="0","b",IF(totales!E53="3"&amp;totales!H53="0"&amp;totales!I53="0"&amp;totales!J53="0","c",IF(totales!E53="4"&amp;totales!H53="0"&amp;totales!I53="0"&amp;totales!J53="0","d",IF(totales!E53="6"&amp;totales!H53="0"&amp;totales!I53="0"&amp;totales!J53="0","e",IF(totales!E53="1"&amp;totales!H53="1"&amp;totales!I53="0"&amp;totales!J53="0","f",IF(totales!E53="2"&amp;totales!H53="1"&amp;totales!I53="0"&amp;totales!J53="0","g",IF(totales!E53="3"&amp;totales!H53="1"&amp;totales!I53="0"&amp;totales!J53="0","h",IF(totales!E53="4"&amp;totales!H53="1"&amp;totales!I53="0"&amp;totales!J53="0","i",IF(totales!E53="6"&amp;totales!H53="1"&amp;totales!I53="0"&amp;totales!J53="0","j",IF(totales!E53="1"&amp;totales!H53="2"&amp;totales!I53="0"&amp;totales!J53="0","k",IF(totales!E53="2"&amp;totales!H53="2"&amp;totales!I53="0"&amp;totales!J53="0","l",IF(totales!E53="3"&amp;totales!H53="2"&amp;totales!I53="0"&amp;totales!J53="0","m",
IF(totales!E53="4"&amp;totales!H53="2"&amp;totales!I53="0"&amp;totales!J53="0","n",IF(totales!E53="6"&amp;totales!H53="2"&amp;totales!I53="0"&amp;totales!J53="0","o",IF(totales!E53="1"&amp;totales!H53="0"&amp;totales!I53="1"&amp;totales!J53="0","p",IF(totales!E53="2"&amp;totales!H53="0"&amp;totales!I53="1"&amp;totales!J53="0","q",IF(totales!E53="3"&amp;totales!H53="0"&amp;totales!I53="1"&amp;totales!J53="0","r",IF(totales!E53="4"&amp;totales!H53="0"&amp;totales!I53="1"&amp;totales!J53="0","s",IF(totales!E53="6"&amp;totales!H53="0"&amp;totales!I53="1"&amp;totales!J53="0","t",IF(totales!E53="1"&amp;totales!H53="2"&amp;totales!I53="1"&amp;totales!J53="0","u",IF(totales!E53="2"&amp;totales!H53="2"&amp;totales!I53="1"&amp;totales!J53="0","v",IF(totales!E53="3"&amp;totales!H53="2"&amp;totales!I53="1"&amp;totales!J53="0","w",IF(totales!E53="4"&amp;totales!H53="2"&amp;totales!I53="1"&amp;totales!J53="0","x",
IF(totales!E53="6"&amp;totales!H53="2"&amp;totales!I53="1"&amp;totales!J53="0","y",IF(totales!E53="1"&amp;totales!H53="1"&amp;totales!I53="1"&amp;totales!J53="0","z",IF(totales!E53="2"&amp;totales!H53="1"&amp;totales!I53="1"&amp;totales!J53="0","0",IF(totales!E53="3"&amp;totales!H53="1"&amp;totales!I53="1"&amp;totales!J53="0","1",IF(totales!E53="4"&amp;totales!H53="1"&amp;totales!I53="1"&amp;totales!J53="0","2",IF(totales!E53="6"&amp;totales!H53="1"&amp;totales!I53="1"&amp;totales!J53="0","3",IF(totales!E53="1"&amp;totales!H53="0"&amp;totales!I53="1"&amp;totales!J53="1","4",IF(totales!E53="2"&amp;totales!H53="0"&amp;totales!I53="1"&amp;totales!J53="1","5",IF(totales!E53="3"&amp;totales!H53="0"&amp;totales!I53="1"&amp;totales!J53="1","6",IF(totales!E53="4"&amp;totales!H53="0"&amp;totales!I53="1"&amp;totales!J53="1","7",IF(totales!E53="6"&amp;totales!H53="0"&amp;totales!I53="1"&amp;totales!J53="1","8",IF(totales!E53="1"&amp;totales!H53="1"&amp;totales!I53="0"&amp;totales!J53="1","9"))))))))))))))))))))))))))))))))))))</f>
        <v>0</v>
      </c>
    </row>
    <row r="53" spans="2:22" ht="15">
      <c r="B53" s="1">
        <v>3</v>
      </c>
      <c r="C53">
        <v>2</v>
      </c>
      <c r="D53">
        <v>0</v>
      </c>
      <c r="E53">
        <v>1</v>
      </c>
      <c r="F53" t="s">
        <v>681</v>
      </c>
      <c r="G53" t="s">
        <v>682</v>
      </c>
      <c r="H53" t="s">
        <v>690</v>
      </c>
      <c r="I53">
        <f t="shared" si="0"/>
        <v>3</v>
      </c>
      <c r="J53" t="s">
        <v>683</v>
      </c>
      <c r="K53" t="s">
        <v>689</v>
      </c>
      <c r="L53">
        <f t="shared" si="1"/>
        <v>2</v>
      </c>
      <c r="M53" t="s">
        <v>683</v>
      </c>
      <c r="N53" t="s">
        <v>688</v>
      </c>
      <c r="O53">
        <f t="shared" si="2"/>
        <v>0</v>
      </c>
      <c r="P53" t="s">
        <v>683</v>
      </c>
      <c r="Q53" t="s">
        <v>684</v>
      </c>
      <c r="R53">
        <f t="shared" si="3"/>
        <v>1</v>
      </c>
      <c r="S53" t="s">
        <v>693</v>
      </c>
      <c r="V53" s="102" t="b">
        <f>IF(totales!E54="1"&amp;totales!H54="0"&amp;totales!I54="0"&amp;totales!J54="0","a",IF(totales!E54="2"&amp;totales!H54="0"&amp;totales!I54="0"&amp;totales!J54="0","b",IF(totales!E54="3"&amp;totales!H54="0"&amp;totales!I54="0"&amp;totales!J54="0","c",IF(totales!E54="4"&amp;totales!H54="0"&amp;totales!I54="0"&amp;totales!J54="0","d",IF(totales!E54="6"&amp;totales!H54="0"&amp;totales!I54="0"&amp;totales!J54="0","e",IF(totales!E54="1"&amp;totales!H54="1"&amp;totales!I54="0"&amp;totales!J54="0","f",IF(totales!E54="2"&amp;totales!H54="1"&amp;totales!I54="0"&amp;totales!J54="0","g",IF(totales!E54="3"&amp;totales!H54="1"&amp;totales!I54="0"&amp;totales!J54="0","h",IF(totales!E54="4"&amp;totales!H54="1"&amp;totales!I54="0"&amp;totales!J54="0","i",IF(totales!E54="6"&amp;totales!H54="1"&amp;totales!I54="0"&amp;totales!J54="0","j",IF(totales!E54="1"&amp;totales!H54="2"&amp;totales!I54="0"&amp;totales!J54="0","k",IF(totales!E54="2"&amp;totales!H54="2"&amp;totales!I54="0"&amp;totales!J54="0","l",IF(totales!E54="3"&amp;totales!H54="2"&amp;totales!I54="0"&amp;totales!J54="0","m",
IF(totales!E54="4"&amp;totales!H54="2"&amp;totales!I54="0"&amp;totales!J54="0","n",IF(totales!E54="6"&amp;totales!H54="2"&amp;totales!I54="0"&amp;totales!J54="0","o",IF(totales!E54="1"&amp;totales!H54="0"&amp;totales!I54="1"&amp;totales!J54="0","p",IF(totales!E54="2"&amp;totales!H54="0"&amp;totales!I54="1"&amp;totales!J54="0","q",IF(totales!E54="3"&amp;totales!H54="0"&amp;totales!I54="1"&amp;totales!J54="0","r",IF(totales!E54="4"&amp;totales!H54="0"&amp;totales!I54="1"&amp;totales!J54="0","s",IF(totales!E54="6"&amp;totales!H54="0"&amp;totales!I54="1"&amp;totales!J54="0","t",IF(totales!E54="1"&amp;totales!H54="2"&amp;totales!I54="1"&amp;totales!J54="0","u",IF(totales!E54="2"&amp;totales!H54="2"&amp;totales!I54="1"&amp;totales!J54="0","v",IF(totales!E54="3"&amp;totales!H54="2"&amp;totales!I54="1"&amp;totales!J54="0","w",IF(totales!E54="4"&amp;totales!H54="2"&amp;totales!I54="1"&amp;totales!J54="0","x",
IF(totales!E54="6"&amp;totales!H54="2"&amp;totales!I54="1"&amp;totales!J54="0","y",IF(totales!E54="1"&amp;totales!H54="1"&amp;totales!I54="1"&amp;totales!J54="0","z",IF(totales!E54="2"&amp;totales!H54="1"&amp;totales!I54="1"&amp;totales!J54="0","0",IF(totales!E54="3"&amp;totales!H54="1"&amp;totales!I54="1"&amp;totales!J54="0","1",IF(totales!E54="4"&amp;totales!H54="1"&amp;totales!I54="1"&amp;totales!J54="0","2",IF(totales!E54="6"&amp;totales!H54="1"&amp;totales!I54="1"&amp;totales!J54="0","3",IF(totales!E54="1"&amp;totales!H54="0"&amp;totales!I54="1"&amp;totales!J54="1","4",IF(totales!E54="2"&amp;totales!H54="0"&amp;totales!I54="1"&amp;totales!J54="1","5",IF(totales!E54="3"&amp;totales!H54="0"&amp;totales!I54="1"&amp;totales!J54="1","6",IF(totales!E54="4"&amp;totales!H54="0"&amp;totales!I54="1"&amp;totales!J54="1","7",IF(totales!E54="6"&amp;totales!H54="0"&amp;totales!I54="1"&amp;totales!J54="1","8",IF(totales!E54="1"&amp;totales!H54="1"&amp;totales!I54="0"&amp;totales!J54="1","9"))))))))))))))))))))))))))))))))))))</f>
        <v>0</v>
      </c>
    </row>
    <row r="54" spans="2:22" ht="15">
      <c r="B54" s="1">
        <v>4</v>
      </c>
      <c r="C54">
        <v>2</v>
      </c>
      <c r="D54">
        <v>0</v>
      </c>
      <c r="E54">
        <v>1</v>
      </c>
      <c r="F54" t="s">
        <v>681</v>
      </c>
      <c r="G54" t="s">
        <v>682</v>
      </c>
      <c r="H54" t="s">
        <v>690</v>
      </c>
      <c r="I54">
        <f t="shared" si="0"/>
        <v>4</v>
      </c>
      <c r="J54" t="s">
        <v>683</v>
      </c>
      <c r="K54" t="s">
        <v>689</v>
      </c>
      <c r="L54">
        <f t="shared" si="1"/>
        <v>2</v>
      </c>
      <c r="M54" t="s">
        <v>683</v>
      </c>
      <c r="N54" t="s">
        <v>688</v>
      </c>
      <c r="O54">
        <f t="shared" si="2"/>
        <v>0</v>
      </c>
      <c r="P54" t="s">
        <v>683</v>
      </c>
      <c r="Q54" t="s">
        <v>684</v>
      </c>
      <c r="R54">
        <f t="shared" si="3"/>
        <v>1</v>
      </c>
      <c r="S54" t="s">
        <v>694</v>
      </c>
      <c r="V54" s="102" t="b">
        <f>IF(totales!E55="1"&amp;totales!H55="0"&amp;totales!I55="0"&amp;totales!J55="0","a",IF(totales!E55="2"&amp;totales!H55="0"&amp;totales!I55="0"&amp;totales!J55="0","b",IF(totales!E55="3"&amp;totales!H55="0"&amp;totales!I55="0"&amp;totales!J55="0","c",IF(totales!E55="4"&amp;totales!H55="0"&amp;totales!I55="0"&amp;totales!J55="0","d",IF(totales!E55="6"&amp;totales!H55="0"&amp;totales!I55="0"&amp;totales!J55="0","e",IF(totales!E55="1"&amp;totales!H55="1"&amp;totales!I55="0"&amp;totales!J55="0","f",IF(totales!E55="2"&amp;totales!H55="1"&amp;totales!I55="0"&amp;totales!J55="0","g",IF(totales!E55="3"&amp;totales!H55="1"&amp;totales!I55="0"&amp;totales!J55="0","h",IF(totales!E55="4"&amp;totales!H55="1"&amp;totales!I55="0"&amp;totales!J55="0","i",IF(totales!E55="6"&amp;totales!H55="1"&amp;totales!I55="0"&amp;totales!J55="0","j",IF(totales!E55="1"&amp;totales!H55="2"&amp;totales!I55="0"&amp;totales!J55="0","k",IF(totales!E55="2"&amp;totales!H55="2"&amp;totales!I55="0"&amp;totales!J55="0","l",IF(totales!E55="3"&amp;totales!H55="2"&amp;totales!I55="0"&amp;totales!J55="0","m",
IF(totales!E55="4"&amp;totales!H55="2"&amp;totales!I55="0"&amp;totales!J55="0","n",IF(totales!E55="6"&amp;totales!H55="2"&amp;totales!I55="0"&amp;totales!J55="0","o",IF(totales!E55="1"&amp;totales!H55="0"&amp;totales!I55="1"&amp;totales!J55="0","p",IF(totales!E55="2"&amp;totales!H55="0"&amp;totales!I55="1"&amp;totales!J55="0","q",IF(totales!E55="3"&amp;totales!H55="0"&amp;totales!I55="1"&amp;totales!J55="0","r",IF(totales!E55="4"&amp;totales!H55="0"&amp;totales!I55="1"&amp;totales!J55="0","s",IF(totales!E55="6"&amp;totales!H55="0"&amp;totales!I55="1"&amp;totales!J55="0","t",IF(totales!E55="1"&amp;totales!H55="2"&amp;totales!I55="1"&amp;totales!J55="0","u",IF(totales!E55="2"&amp;totales!H55="2"&amp;totales!I55="1"&amp;totales!J55="0","v",IF(totales!E55="3"&amp;totales!H55="2"&amp;totales!I55="1"&amp;totales!J55="0","w",IF(totales!E55="4"&amp;totales!H55="2"&amp;totales!I55="1"&amp;totales!J55="0","x",
IF(totales!E55="6"&amp;totales!H55="2"&amp;totales!I55="1"&amp;totales!J55="0","y",IF(totales!E55="1"&amp;totales!H55="1"&amp;totales!I55="1"&amp;totales!J55="0","z",IF(totales!E55="2"&amp;totales!H55="1"&amp;totales!I55="1"&amp;totales!J55="0","0",IF(totales!E55="3"&amp;totales!H55="1"&amp;totales!I55="1"&amp;totales!J55="0","1",IF(totales!E55="4"&amp;totales!H55="1"&amp;totales!I55="1"&amp;totales!J55="0","2",IF(totales!E55="6"&amp;totales!H55="1"&amp;totales!I55="1"&amp;totales!J55="0","3",IF(totales!E55="1"&amp;totales!H55="0"&amp;totales!I55="1"&amp;totales!J55="1","4",IF(totales!E55="2"&amp;totales!H55="0"&amp;totales!I55="1"&amp;totales!J55="1","5",IF(totales!E55="3"&amp;totales!H55="0"&amp;totales!I55="1"&amp;totales!J55="1","6",IF(totales!E55="4"&amp;totales!H55="0"&amp;totales!I55="1"&amp;totales!J55="1","7",IF(totales!E55="6"&amp;totales!H55="0"&amp;totales!I55="1"&amp;totales!J55="1","8",IF(totales!E55="1"&amp;totales!H55="1"&amp;totales!I55="0"&amp;totales!J55="1","9"))))))))))))))))))))))))))))))))))))</f>
        <v>0</v>
      </c>
    </row>
    <row r="55" spans="2:22" ht="15">
      <c r="B55" s="1">
        <v>6</v>
      </c>
      <c r="C55">
        <v>2</v>
      </c>
      <c r="D55">
        <v>0</v>
      </c>
      <c r="E55">
        <v>1</v>
      </c>
      <c r="F55" t="s">
        <v>681</v>
      </c>
      <c r="G55" t="s">
        <v>682</v>
      </c>
      <c r="H55" t="s">
        <v>690</v>
      </c>
      <c r="I55">
        <f t="shared" si="0"/>
        <v>6</v>
      </c>
      <c r="J55" t="s">
        <v>683</v>
      </c>
      <c r="K55" t="s">
        <v>689</v>
      </c>
      <c r="L55">
        <f t="shared" si="1"/>
        <v>2</v>
      </c>
      <c r="M55" t="s">
        <v>683</v>
      </c>
      <c r="N55" t="s">
        <v>688</v>
      </c>
      <c r="O55">
        <f t="shared" si="2"/>
        <v>0</v>
      </c>
      <c r="P55" t="s">
        <v>683</v>
      </c>
      <c r="Q55" t="s">
        <v>684</v>
      </c>
      <c r="R55">
        <f t="shared" si="3"/>
        <v>1</v>
      </c>
      <c r="S55" t="s">
        <v>692</v>
      </c>
      <c r="V55" s="102" t="b">
        <f>IF(totales!E56="1"&amp;totales!H56="0"&amp;totales!I56="0"&amp;totales!J56="0","a",IF(totales!E56="2"&amp;totales!H56="0"&amp;totales!I56="0"&amp;totales!J56="0","b",IF(totales!E56="3"&amp;totales!H56="0"&amp;totales!I56="0"&amp;totales!J56="0","c",IF(totales!E56="4"&amp;totales!H56="0"&amp;totales!I56="0"&amp;totales!J56="0","d",IF(totales!E56="6"&amp;totales!H56="0"&amp;totales!I56="0"&amp;totales!J56="0","e",IF(totales!E56="1"&amp;totales!H56="1"&amp;totales!I56="0"&amp;totales!J56="0","f",IF(totales!E56="2"&amp;totales!H56="1"&amp;totales!I56="0"&amp;totales!J56="0","g",IF(totales!E56="3"&amp;totales!H56="1"&amp;totales!I56="0"&amp;totales!J56="0","h",IF(totales!E56="4"&amp;totales!H56="1"&amp;totales!I56="0"&amp;totales!J56="0","i",IF(totales!E56="6"&amp;totales!H56="1"&amp;totales!I56="0"&amp;totales!J56="0","j",IF(totales!E56="1"&amp;totales!H56="2"&amp;totales!I56="0"&amp;totales!J56="0","k",IF(totales!E56="2"&amp;totales!H56="2"&amp;totales!I56="0"&amp;totales!J56="0","l",IF(totales!E56="3"&amp;totales!H56="2"&amp;totales!I56="0"&amp;totales!J56="0","m",
IF(totales!E56="4"&amp;totales!H56="2"&amp;totales!I56="0"&amp;totales!J56="0","n",IF(totales!E56="6"&amp;totales!H56="2"&amp;totales!I56="0"&amp;totales!J56="0","o",IF(totales!E56="1"&amp;totales!H56="0"&amp;totales!I56="1"&amp;totales!J56="0","p",IF(totales!E56="2"&amp;totales!H56="0"&amp;totales!I56="1"&amp;totales!J56="0","q",IF(totales!E56="3"&amp;totales!H56="0"&amp;totales!I56="1"&amp;totales!J56="0","r",IF(totales!E56="4"&amp;totales!H56="0"&amp;totales!I56="1"&amp;totales!J56="0","s",IF(totales!E56="6"&amp;totales!H56="0"&amp;totales!I56="1"&amp;totales!J56="0","t",IF(totales!E56="1"&amp;totales!H56="2"&amp;totales!I56="1"&amp;totales!J56="0","u",IF(totales!E56="2"&amp;totales!H56="2"&amp;totales!I56="1"&amp;totales!J56="0","v",IF(totales!E56="3"&amp;totales!H56="2"&amp;totales!I56="1"&amp;totales!J56="0","w",IF(totales!E56="4"&amp;totales!H56="2"&amp;totales!I56="1"&amp;totales!J56="0","x",
IF(totales!E56="6"&amp;totales!H56="2"&amp;totales!I56="1"&amp;totales!J56="0","y",IF(totales!E56="1"&amp;totales!H56="1"&amp;totales!I56="1"&amp;totales!J56="0","z",IF(totales!E56="2"&amp;totales!H56="1"&amp;totales!I56="1"&amp;totales!J56="0","0",IF(totales!E56="3"&amp;totales!H56="1"&amp;totales!I56="1"&amp;totales!J56="0","1",IF(totales!E56="4"&amp;totales!H56="1"&amp;totales!I56="1"&amp;totales!J56="0","2",IF(totales!E56="6"&amp;totales!H56="1"&amp;totales!I56="1"&amp;totales!J56="0","3",IF(totales!E56="1"&amp;totales!H56="0"&amp;totales!I56="1"&amp;totales!J56="1","4",IF(totales!E56="2"&amp;totales!H56="0"&amp;totales!I56="1"&amp;totales!J56="1","5",IF(totales!E56="3"&amp;totales!H56="0"&amp;totales!I56="1"&amp;totales!J56="1","6",IF(totales!E56="4"&amp;totales!H56="0"&amp;totales!I56="1"&amp;totales!J56="1","7",IF(totales!E56="6"&amp;totales!H56="0"&amp;totales!I56="1"&amp;totales!J56="1","8",IF(totales!E56="1"&amp;totales!H56="1"&amp;totales!I56="0"&amp;totales!J56="1","9"))))))))))))))))))))))))))))))))))))</f>
        <v>0</v>
      </c>
    </row>
    <row r="56" spans="2:22" ht="15">
      <c r="B56" s="1">
        <v>1</v>
      </c>
      <c r="C56">
        <v>2</v>
      </c>
      <c r="D56">
        <v>1</v>
      </c>
      <c r="E56">
        <v>1</v>
      </c>
      <c r="F56" t="s">
        <v>681</v>
      </c>
      <c r="G56" t="s">
        <v>682</v>
      </c>
      <c r="H56" t="s">
        <v>690</v>
      </c>
      <c r="I56">
        <f t="shared" si="0"/>
        <v>1</v>
      </c>
      <c r="J56" t="s">
        <v>683</v>
      </c>
      <c r="K56" t="s">
        <v>689</v>
      </c>
      <c r="L56">
        <f t="shared" si="1"/>
        <v>2</v>
      </c>
      <c r="M56" t="s">
        <v>683</v>
      </c>
      <c r="N56" t="s">
        <v>688</v>
      </c>
      <c r="O56">
        <f t="shared" si="2"/>
        <v>1</v>
      </c>
      <c r="P56" t="s">
        <v>683</v>
      </c>
      <c r="Q56" t="s">
        <v>684</v>
      </c>
      <c r="R56">
        <f t="shared" si="3"/>
        <v>1</v>
      </c>
      <c r="S56" t="s">
        <v>693</v>
      </c>
      <c r="V56" s="102" t="b">
        <f>IF(totales!E57="1"&amp;totales!H57="0"&amp;totales!I57="0"&amp;totales!J57="0","a",IF(totales!E57="2"&amp;totales!H57="0"&amp;totales!I57="0"&amp;totales!J57="0","b",IF(totales!E57="3"&amp;totales!H57="0"&amp;totales!I57="0"&amp;totales!J57="0","c",IF(totales!E57="4"&amp;totales!H57="0"&amp;totales!I57="0"&amp;totales!J57="0","d",IF(totales!E57="6"&amp;totales!H57="0"&amp;totales!I57="0"&amp;totales!J57="0","e",IF(totales!E57="1"&amp;totales!H57="1"&amp;totales!I57="0"&amp;totales!J57="0","f",IF(totales!E57="2"&amp;totales!H57="1"&amp;totales!I57="0"&amp;totales!J57="0","g",IF(totales!E57="3"&amp;totales!H57="1"&amp;totales!I57="0"&amp;totales!J57="0","h",IF(totales!E57="4"&amp;totales!H57="1"&amp;totales!I57="0"&amp;totales!J57="0","i",IF(totales!E57="6"&amp;totales!H57="1"&amp;totales!I57="0"&amp;totales!J57="0","j",IF(totales!E57="1"&amp;totales!H57="2"&amp;totales!I57="0"&amp;totales!J57="0","k",IF(totales!E57="2"&amp;totales!H57="2"&amp;totales!I57="0"&amp;totales!J57="0","l",IF(totales!E57="3"&amp;totales!H57="2"&amp;totales!I57="0"&amp;totales!J57="0","m",
IF(totales!E57="4"&amp;totales!H57="2"&amp;totales!I57="0"&amp;totales!J57="0","n",IF(totales!E57="6"&amp;totales!H57="2"&amp;totales!I57="0"&amp;totales!J57="0","o",IF(totales!E57="1"&amp;totales!H57="0"&amp;totales!I57="1"&amp;totales!J57="0","p",IF(totales!E57="2"&amp;totales!H57="0"&amp;totales!I57="1"&amp;totales!J57="0","q",IF(totales!E57="3"&amp;totales!H57="0"&amp;totales!I57="1"&amp;totales!J57="0","r",IF(totales!E57="4"&amp;totales!H57="0"&amp;totales!I57="1"&amp;totales!J57="0","s",IF(totales!E57="6"&amp;totales!H57="0"&amp;totales!I57="1"&amp;totales!J57="0","t",IF(totales!E57="1"&amp;totales!H57="2"&amp;totales!I57="1"&amp;totales!J57="0","u",IF(totales!E57="2"&amp;totales!H57="2"&amp;totales!I57="1"&amp;totales!J57="0","v",IF(totales!E57="3"&amp;totales!H57="2"&amp;totales!I57="1"&amp;totales!J57="0","w",IF(totales!E57="4"&amp;totales!H57="2"&amp;totales!I57="1"&amp;totales!J57="0","x",
IF(totales!E57="6"&amp;totales!H57="2"&amp;totales!I57="1"&amp;totales!J57="0","y",IF(totales!E57="1"&amp;totales!H57="1"&amp;totales!I57="1"&amp;totales!J57="0","z",IF(totales!E57="2"&amp;totales!H57="1"&amp;totales!I57="1"&amp;totales!J57="0","0",IF(totales!E57="3"&amp;totales!H57="1"&amp;totales!I57="1"&amp;totales!J57="0","1",IF(totales!E57="4"&amp;totales!H57="1"&amp;totales!I57="1"&amp;totales!J57="0","2",IF(totales!E57="6"&amp;totales!H57="1"&amp;totales!I57="1"&amp;totales!J57="0","3",IF(totales!E57="1"&amp;totales!H57="0"&amp;totales!I57="1"&amp;totales!J57="1","4",IF(totales!E57="2"&amp;totales!H57="0"&amp;totales!I57="1"&amp;totales!J57="1","5",IF(totales!E57="3"&amp;totales!H57="0"&amp;totales!I57="1"&amp;totales!J57="1","6",IF(totales!E57="4"&amp;totales!H57="0"&amp;totales!I57="1"&amp;totales!J57="1","7",IF(totales!E57="6"&amp;totales!H57="0"&amp;totales!I57="1"&amp;totales!J57="1","8",IF(totales!E57="1"&amp;totales!H57="1"&amp;totales!I57="0"&amp;totales!J57="1","9"))))))))))))))))))))))))))))))))))))</f>
        <v>0</v>
      </c>
    </row>
    <row r="57" spans="2:22" ht="15">
      <c r="B57" s="1">
        <v>2</v>
      </c>
      <c r="C57">
        <v>2</v>
      </c>
      <c r="D57">
        <v>1</v>
      </c>
      <c r="E57">
        <v>1</v>
      </c>
      <c r="F57" t="s">
        <v>681</v>
      </c>
      <c r="G57" t="s">
        <v>682</v>
      </c>
      <c r="H57" t="s">
        <v>690</v>
      </c>
      <c r="I57">
        <f t="shared" si="0"/>
        <v>2</v>
      </c>
      <c r="J57" t="s">
        <v>683</v>
      </c>
      <c r="K57" t="s">
        <v>689</v>
      </c>
      <c r="L57">
        <f t="shared" si="1"/>
        <v>2</v>
      </c>
      <c r="M57" t="s">
        <v>683</v>
      </c>
      <c r="N57" t="s">
        <v>688</v>
      </c>
      <c r="O57">
        <f t="shared" si="2"/>
        <v>1</v>
      </c>
      <c r="P57" t="s">
        <v>683</v>
      </c>
      <c r="Q57" t="s">
        <v>684</v>
      </c>
      <c r="R57">
        <f t="shared" si="3"/>
        <v>1</v>
      </c>
      <c r="S57" t="s">
        <v>694</v>
      </c>
      <c r="V57" s="102" t="b">
        <f>IF(totales!E58="1"&amp;totales!H58="0"&amp;totales!I58="0"&amp;totales!J58="0","a",IF(totales!E58="2"&amp;totales!H58="0"&amp;totales!I58="0"&amp;totales!J58="0","b",IF(totales!E58="3"&amp;totales!H58="0"&amp;totales!I58="0"&amp;totales!J58="0","c",IF(totales!E58="4"&amp;totales!H58="0"&amp;totales!I58="0"&amp;totales!J58="0","d",IF(totales!E58="6"&amp;totales!H58="0"&amp;totales!I58="0"&amp;totales!J58="0","e",IF(totales!E58="1"&amp;totales!H58="1"&amp;totales!I58="0"&amp;totales!J58="0","f",IF(totales!E58="2"&amp;totales!H58="1"&amp;totales!I58="0"&amp;totales!J58="0","g",IF(totales!E58="3"&amp;totales!H58="1"&amp;totales!I58="0"&amp;totales!J58="0","h",IF(totales!E58="4"&amp;totales!H58="1"&amp;totales!I58="0"&amp;totales!J58="0","i",IF(totales!E58="6"&amp;totales!H58="1"&amp;totales!I58="0"&amp;totales!J58="0","j",IF(totales!E58="1"&amp;totales!H58="2"&amp;totales!I58="0"&amp;totales!J58="0","k",IF(totales!E58="2"&amp;totales!H58="2"&amp;totales!I58="0"&amp;totales!J58="0","l",IF(totales!E58="3"&amp;totales!H58="2"&amp;totales!I58="0"&amp;totales!J58="0","m",
IF(totales!E58="4"&amp;totales!H58="2"&amp;totales!I58="0"&amp;totales!J58="0","n",IF(totales!E58="6"&amp;totales!H58="2"&amp;totales!I58="0"&amp;totales!J58="0","o",IF(totales!E58="1"&amp;totales!H58="0"&amp;totales!I58="1"&amp;totales!J58="0","p",IF(totales!E58="2"&amp;totales!H58="0"&amp;totales!I58="1"&amp;totales!J58="0","q",IF(totales!E58="3"&amp;totales!H58="0"&amp;totales!I58="1"&amp;totales!J58="0","r",IF(totales!E58="4"&amp;totales!H58="0"&amp;totales!I58="1"&amp;totales!J58="0","s",IF(totales!E58="6"&amp;totales!H58="0"&amp;totales!I58="1"&amp;totales!J58="0","t",IF(totales!E58="1"&amp;totales!H58="2"&amp;totales!I58="1"&amp;totales!J58="0","u",IF(totales!E58="2"&amp;totales!H58="2"&amp;totales!I58="1"&amp;totales!J58="0","v",IF(totales!E58="3"&amp;totales!H58="2"&amp;totales!I58="1"&amp;totales!J58="0","w",IF(totales!E58="4"&amp;totales!H58="2"&amp;totales!I58="1"&amp;totales!J58="0","x",
IF(totales!E58="6"&amp;totales!H58="2"&amp;totales!I58="1"&amp;totales!J58="0","y",IF(totales!E58="1"&amp;totales!H58="1"&amp;totales!I58="1"&amp;totales!J58="0","z",IF(totales!E58="2"&amp;totales!H58="1"&amp;totales!I58="1"&amp;totales!J58="0","0",IF(totales!E58="3"&amp;totales!H58="1"&amp;totales!I58="1"&amp;totales!J58="0","1",IF(totales!E58="4"&amp;totales!H58="1"&amp;totales!I58="1"&amp;totales!J58="0","2",IF(totales!E58="6"&amp;totales!H58="1"&amp;totales!I58="1"&amp;totales!J58="0","3",IF(totales!E58="1"&amp;totales!H58="0"&amp;totales!I58="1"&amp;totales!J58="1","4",IF(totales!E58="2"&amp;totales!H58="0"&amp;totales!I58="1"&amp;totales!J58="1","5",IF(totales!E58="3"&amp;totales!H58="0"&amp;totales!I58="1"&amp;totales!J58="1","6",IF(totales!E58="4"&amp;totales!H58="0"&amp;totales!I58="1"&amp;totales!J58="1","7",IF(totales!E58="6"&amp;totales!H58="0"&amp;totales!I58="1"&amp;totales!J58="1","8",IF(totales!E58="1"&amp;totales!H58="1"&amp;totales!I58="0"&amp;totales!J58="1","9"))))))))))))))))))))))))))))))))))))</f>
        <v>0</v>
      </c>
    </row>
    <row r="58" spans="2:22" ht="15">
      <c r="B58" s="1">
        <v>3</v>
      </c>
      <c r="C58">
        <v>2</v>
      </c>
      <c r="D58">
        <v>1</v>
      </c>
      <c r="E58">
        <v>1</v>
      </c>
      <c r="F58" t="s">
        <v>681</v>
      </c>
      <c r="G58" t="s">
        <v>682</v>
      </c>
      <c r="H58" t="s">
        <v>690</v>
      </c>
      <c r="I58">
        <f t="shared" si="0"/>
        <v>3</v>
      </c>
      <c r="J58" t="s">
        <v>683</v>
      </c>
      <c r="K58" t="s">
        <v>689</v>
      </c>
      <c r="L58">
        <f t="shared" si="1"/>
        <v>2</v>
      </c>
      <c r="M58" t="s">
        <v>683</v>
      </c>
      <c r="N58" t="s">
        <v>688</v>
      </c>
      <c r="O58">
        <f t="shared" si="2"/>
        <v>1</v>
      </c>
      <c r="P58" t="s">
        <v>683</v>
      </c>
      <c r="Q58" t="s">
        <v>684</v>
      </c>
      <c r="R58">
        <f t="shared" si="3"/>
        <v>1</v>
      </c>
      <c r="S58" t="s">
        <v>692</v>
      </c>
      <c r="V58" s="102" t="b">
        <f>IF(totales!E59="1"&amp;totales!H59="0"&amp;totales!I59="0"&amp;totales!J59="0","a",IF(totales!E59="2"&amp;totales!H59="0"&amp;totales!I59="0"&amp;totales!J59="0","b",IF(totales!E59="3"&amp;totales!H59="0"&amp;totales!I59="0"&amp;totales!J59="0","c",IF(totales!E59="4"&amp;totales!H59="0"&amp;totales!I59="0"&amp;totales!J59="0","d",IF(totales!E59="6"&amp;totales!H59="0"&amp;totales!I59="0"&amp;totales!J59="0","e",IF(totales!E59="1"&amp;totales!H59="1"&amp;totales!I59="0"&amp;totales!J59="0","f",IF(totales!E59="2"&amp;totales!H59="1"&amp;totales!I59="0"&amp;totales!J59="0","g",IF(totales!E59="3"&amp;totales!H59="1"&amp;totales!I59="0"&amp;totales!J59="0","h",IF(totales!E59="4"&amp;totales!H59="1"&amp;totales!I59="0"&amp;totales!J59="0","i",IF(totales!E59="6"&amp;totales!H59="1"&amp;totales!I59="0"&amp;totales!J59="0","j",IF(totales!E59="1"&amp;totales!H59="2"&amp;totales!I59="0"&amp;totales!J59="0","k",IF(totales!E59="2"&amp;totales!H59="2"&amp;totales!I59="0"&amp;totales!J59="0","l",IF(totales!E59="3"&amp;totales!H59="2"&amp;totales!I59="0"&amp;totales!J59="0","m",
IF(totales!E59="4"&amp;totales!H59="2"&amp;totales!I59="0"&amp;totales!J59="0","n",IF(totales!E59="6"&amp;totales!H59="2"&amp;totales!I59="0"&amp;totales!J59="0","o",IF(totales!E59="1"&amp;totales!H59="0"&amp;totales!I59="1"&amp;totales!J59="0","p",IF(totales!E59="2"&amp;totales!H59="0"&amp;totales!I59="1"&amp;totales!J59="0","q",IF(totales!E59="3"&amp;totales!H59="0"&amp;totales!I59="1"&amp;totales!J59="0","r",IF(totales!E59="4"&amp;totales!H59="0"&amp;totales!I59="1"&amp;totales!J59="0","s",IF(totales!E59="6"&amp;totales!H59="0"&amp;totales!I59="1"&amp;totales!J59="0","t",IF(totales!E59="1"&amp;totales!H59="2"&amp;totales!I59="1"&amp;totales!J59="0","u",IF(totales!E59="2"&amp;totales!H59="2"&amp;totales!I59="1"&amp;totales!J59="0","v",IF(totales!E59="3"&amp;totales!H59="2"&amp;totales!I59="1"&amp;totales!J59="0","w",IF(totales!E59="4"&amp;totales!H59="2"&amp;totales!I59="1"&amp;totales!J59="0","x",
IF(totales!E59="6"&amp;totales!H59="2"&amp;totales!I59="1"&amp;totales!J59="0","y",IF(totales!E59="1"&amp;totales!H59="1"&amp;totales!I59="1"&amp;totales!J59="0","z",IF(totales!E59="2"&amp;totales!H59="1"&amp;totales!I59="1"&amp;totales!J59="0","0",IF(totales!E59="3"&amp;totales!H59="1"&amp;totales!I59="1"&amp;totales!J59="0","1",IF(totales!E59="4"&amp;totales!H59="1"&amp;totales!I59="1"&amp;totales!J59="0","2",IF(totales!E59="6"&amp;totales!H59="1"&amp;totales!I59="1"&amp;totales!J59="0","3",IF(totales!E59="1"&amp;totales!H59="0"&amp;totales!I59="1"&amp;totales!J59="1","4",IF(totales!E59="2"&amp;totales!H59="0"&amp;totales!I59="1"&amp;totales!J59="1","5",IF(totales!E59="3"&amp;totales!H59="0"&amp;totales!I59="1"&amp;totales!J59="1","6",IF(totales!E59="4"&amp;totales!H59="0"&amp;totales!I59="1"&amp;totales!J59="1","7",IF(totales!E59="6"&amp;totales!H59="0"&amp;totales!I59="1"&amp;totales!J59="1","8",IF(totales!E59="1"&amp;totales!H59="1"&amp;totales!I59="0"&amp;totales!J59="1","9"))))))))))))))))))))))))))))))))))))</f>
        <v>0</v>
      </c>
    </row>
    <row r="59" spans="2:22" ht="15">
      <c r="B59" s="1">
        <v>4</v>
      </c>
      <c r="C59">
        <v>2</v>
      </c>
      <c r="D59">
        <v>1</v>
      </c>
      <c r="E59">
        <v>1</v>
      </c>
      <c r="F59" t="s">
        <v>681</v>
      </c>
      <c r="G59" t="s">
        <v>682</v>
      </c>
      <c r="H59" t="s">
        <v>690</v>
      </c>
      <c r="I59">
        <f t="shared" si="0"/>
        <v>4</v>
      </c>
      <c r="J59" t="s">
        <v>683</v>
      </c>
      <c r="K59" t="s">
        <v>689</v>
      </c>
      <c r="L59">
        <f t="shared" si="1"/>
        <v>2</v>
      </c>
      <c r="M59" t="s">
        <v>683</v>
      </c>
      <c r="N59" t="s">
        <v>688</v>
      </c>
      <c r="O59">
        <f t="shared" si="2"/>
        <v>1</v>
      </c>
      <c r="P59" t="s">
        <v>683</v>
      </c>
      <c r="Q59" t="s">
        <v>684</v>
      </c>
      <c r="R59">
        <f t="shared" si="3"/>
        <v>1</v>
      </c>
      <c r="S59" t="s">
        <v>693</v>
      </c>
      <c r="V59" s="102" t="b">
        <f>IF(totales!E60="1"&amp;totales!H60="0"&amp;totales!I60="0"&amp;totales!J60="0","a",IF(totales!E60="2"&amp;totales!H60="0"&amp;totales!I60="0"&amp;totales!J60="0","b",IF(totales!E60="3"&amp;totales!H60="0"&amp;totales!I60="0"&amp;totales!J60="0","c",IF(totales!E60="4"&amp;totales!H60="0"&amp;totales!I60="0"&amp;totales!J60="0","d",IF(totales!E60="6"&amp;totales!H60="0"&amp;totales!I60="0"&amp;totales!J60="0","e",IF(totales!E60="1"&amp;totales!H60="1"&amp;totales!I60="0"&amp;totales!J60="0","f",IF(totales!E60="2"&amp;totales!H60="1"&amp;totales!I60="0"&amp;totales!J60="0","g",IF(totales!E60="3"&amp;totales!H60="1"&amp;totales!I60="0"&amp;totales!J60="0","h",IF(totales!E60="4"&amp;totales!H60="1"&amp;totales!I60="0"&amp;totales!J60="0","i",IF(totales!E60="6"&amp;totales!H60="1"&amp;totales!I60="0"&amp;totales!J60="0","j",IF(totales!E60="1"&amp;totales!H60="2"&amp;totales!I60="0"&amp;totales!J60="0","k",IF(totales!E60="2"&amp;totales!H60="2"&amp;totales!I60="0"&amp;totales!J60="0","l",IF(totales!E60="3"&amp;totales!H60="2"&amp;totales!I60="0"&amp;totales!J60="0","m",
IF(totales!E60="4"&amp;totales!H60="2"&amp;totales!I60="0"&amp;totales!J60="0","n",IF(totales!E60="6"&amp;totales!H60="2"&amp;totales!I60="0"&amp;totales!J60="0","o",IF(totales!E60="1"&amp;totales!H60="0"&amp;totales!I60="1"&amp;totales!J60="0","p",IF(totales!E60="2"&amp;totales!H60="0"&amp;totales!I60="1"&amp;totales!J60="0","q",IF(totales!E60="3"&amp;totales!H60="0"&amp;totales!I60="1"&amp;totales!J60="0","r",IF(totales!E60="4"&amp;totales!H60="0"&amp;totales!I60="1"&amp;totales!J60="0","s",IF(totales!E60="6"&amp;totales!H60="0"&amp;totales!I60="1"&amp;totales!J60="0","t",IF(totales!E60="1"&amp;totales!H60="2"&amp;totales!I60="1"&amp;totales!J60="0","u",IF(totales!E60="2"&amp;totales!H60="2"&amp;totales!I60="1"&amp;totales!J60="0","v",IF(totales!E60="3"&amp;totales!H60="2"&amp;totales!I60="1"&amp;totales!J60="0","w",IF(totales!E60="4"&amp;totales!H60="2"&amp;totales!I60="1"&amp;totales!J60="0","x",
IF(totales!E60="6"&amp;totales!H60="2"&amp;totales!I60="1"&amp;totales!J60="0","y",IF(totales!E60="1"&amp;totales!H60="1"&amp;totales!I60="1"&amp;totales!J60="0","z",IF(totales!E60="2"&amp;totales!H60="1"&amp;totales!I60="1"&amp;totales!J60="0","0",IF(totales!E60="3"&amp;totales!H60="1"&amp;totales!I60="1"&amp;totales!J60="0","1",IF(totales!E60="4"&amp;totales!H60="1"&amp;totales!I60="1"&amp;totales!J60="0","2",IF(totales!E60="6"&amp;totales!H60="1"&amp;totales!I60="1"&amp;totales!J60="0","3",IF(totales!E60="1"&amp;totales!H60="0"&amp;totales!I60="1"&amp;totales!J60="1","4",IF(totales!E60="2"&amp;totales!H60="0"&amp;totales!I60="1"&amp;totales!J60="1","5",IF(totales!E60="3"&amp;totales!H60="0"&amp;totales!I60="1"&amp;totales!J60="1","6",IF(totales!E60="4"&amp;totales!H60="0"&amp;totales!I60="1"&amp;totales!J60="1","7",IF(totales!E60="6"&amp;totales!H60="0"&amp;totales!I60="1"&amp;totales!J60="1","8",IF(totales!E60="1"&amp;totales!H60="1"&amp;totales!I60="0"&amp;totales!J60="1","9"))))))))))))))))))))))))))))))))))))</f>
        <v>0</v>
      </c>
    </row>
    <row r="60" spans="2:22" ht="15">
      <c r="B60" s="1">
        <v>6</v>
      </c>
      <c r="C60">
        <v>2</v>
      </c>
      <c r="D60">
        <v>1</v>
      </c>
      <c r="E60">
        <v>1</v>
      </c>
      <c r="F60" t="s">
        <v>681</v>
      </c>
      <c r="G60" t="s">
        <v>682</v>
      </c>
      <c r="H60" t="s">
        <v>690</v>
      </c>
      <c r="I60">
        <f t="shared" si="0"/>
        <v>6</v>
      </c>
      <c r="J60" t="s">
        <v>683</v>
      </c>
      <c r="K60" t="s">
        <v>689</v>
      </c>
      <c r="L60">
        <f t="shared" si="1"/>
        <v>2</v>
      </c>
      <c r="M60" t="s">
        <v>683</v>
      </c>
      <c r="N60" t="s">
        <v>688</v>
      </c>
      <c r="O60">
        <f t="shared" si="2"/>
        <v>1</v>
      </c>
      <c r="P60" t="s">
        <v>683</v>
      </c>
      <c r="Q60" t="s">
        <v>684</v>
      </c>
      <c r="R60">
        <f t="shared" si="3"/>
        <v>1</v>
      </c>
      <c r="S60" t="s">
        <v>694</v>
      </c>
      <c r="V60" s="102" t="b">
        <f>IF(totales!E61="1"&amp;totales!H61="0"&amp;totales!I61="0"&amp;totales!J61="0","a",IF(totales!E61="2"&amp;totales!H61="0"&amp;totales!I61="0"&amp;totales!J61="0","b",IF(totales!E61="3"&amp;totales!H61="0"&amp;totales!I61="0"&amp;totales!J61="0","c",IF(totales!E61="4"&amp;totales!H61="0"&amp;totales!I61="0"&amp;totales!J61="0","d",IF(totales!E61="6"&amp;totales!H61="0"&amp;totales!I61="0"&amp;totales!J61="0","e",IF(totales!E61="1"&amp;totales!H61="1"&amp;totales!I61="0"&amp;totales!J61="0","f",IF(totales!E61="2"&amp;totales!H61="1"&amp;totales!I61="0"&amp;totales!J61="0","g",IF(totales!E61="3"&amp;totales!H61="1"&amp;totales!I61="0"&amp;totales!J61="0","h",IF(totales!E61="4"&amp;totales!H61="1"&amp;totales!I61="0"&amp;totales!J61="0","i",IF(totales!E61="6"&amp;totales!H61="1"&amp;totales!I61="0"&amp;totales!J61="0","j",IF(totales!E61="1"&amp;totales!H61="2"&amp;totales!I61="0"&amp;totales!J61="0","k",IF(totales!E61="2"&amp;totales!H61="2"&amp;totales!I61="0"&amp;totales!J61="0","l",IF(totales!E61="3"&amp;totales!H61="2"&amp;totales!I61="0"&amp;totales!J61="0","m",
IF(totales!E61="4"&amp;totales!H61="2"&amp;totales!I61="0"&amp;totales!J61="0","n",IF(totales!E61="6"&amp;totales!H61="2"&amp;totales!I61="0"&amp;totales!J61="0","o",IF(totales!E61="1"&amp;totales!H61="0"&amp;totales!I61="1"&amp;totales!J61="0","p",IF(totales!E61="2"&amp;totales!H61="0"&amp;totales!I61="1"&amp;totales!J61="0","q",IF(totales!E61="3"&amp;totales!H61="0"&amp;totales!I61="1"&amp;totales!J61="0","r",IF(totales!E61="4"&amp;totales!H61="0"&amp;totales!I61="1"&amp;totales!J61="0","s",IF(totales!E61="6"&amp;totales!H61="0"&amp;totales!I61="1"&amp;totales!J61="0","t",IF(totales!E61="1"&amp;totales!H61="2"&amp;totales!I61="1"&amp;totales!J61="0","u",IF(totales!E61="2"&amp;totales!H61="2"&amp;totales!I61="1"&amp;totales!J61="0","v",IF(totales!E61="3"&amp;totales!H61="2"&amp;totales!I61="1"&amp;totales!J61="0","w",IF(totales!E61="4"&amp;totales!H61="2"&amp;totales!I61="1"&amp;totales!J61="0","x",
IF(totales!E61="6"&amp;totales!H61="2"&amp;totales!I61="1"&amp;totales!J61="0","y",IF(totales!E61="1"&amp;totales!H61="1"&amp;totales!I61="1"&amp;totales!J61="0","z",IF(totales!E61="2"&amp;totales!H61="1"&amp;totales!I61="1"&amp;totales!J61="0","0",IF(totales!E61="3"&amp;totales!H61="1"&amp;totales!I61="1"&amp;totales!J61="0","1",IF(totales!E61="4"&amp;totales!H61="1"&amp;totales!I61="1"&amp;totales!J61="0","2",IF(totales!E61="6"&amp;totales!H61="1"&amp;totales!I61="1"&amp;totales!J61="0","3",IF(totales!E61="1"&amp;totales!H61="0"&amp;totales!I61="1"&amp;totales!J61="1","4",IF(totales!E61="2"&amp;totales!H61="0"&amp;totales!I61="1"&amp;totales!J61="1","5",IF(totales!E61="3"&amp;totales!H61="0"&amp;totales!I61="1"&amp;totales!J61="1","6",IF(totales!E61="4"&amp;totales!H61="0"&amp;totales!I61="1"&amp;totales!J61="1","7",IF(totales!E61="6"&amp;totales!H61="0"&amp;totales!I61="1"&amp;totales!J61="1","8",IF(totales!E61="1"&amp;totales!H61="1"&amp;totales!I61="0"&amp;totales!J61="1","9"))))))))))))))))))))))))))))))))))))</f>
        <v>0</v>
      </c>
    </row>
    <row r="61" spans="2:22">
      <c r="V61" s="102" t="b">
        <f>IF(totales!E62="1"&amp;totales!H62="0"&amp;totales!I62="0"&amp;totales!J62="0","a",IF(totales!E62="2"&amp;totales!H62="0"&amp;totales!I62="0"&amp;totales!J62="0","b",IF(totales!E62="3"&amp;totales!H62="0"&amp;totales!I62="0"&amp;totales!J62="0","c",IF(totales!E62="4"&amp;totales!H62="0"&amp;totales!I62="0"&amp;totales!J62="0","d",IF(totales!E62="6"&amp;totales!H62="0"&amp;totales!I62="0"&amp;totales!J62="0","e",IF(totales!E62="1"&amp;totales!H62="1"&amp;totales!I62="0"&amp;totales!J62="0","f",IF(totales!E62="2"&amp;totales!H62="1"&amp;totales!I62="0"&amp;totales!J62="0","g",IF(totales!E62="3"&amp;totales!H62="1"&amp;totales!I62="0"&amp;totales!J62="0","h",IF(totales!E62="4"&amp;totales!H62="1"&amp;totales!I62="0"&amp;totales!J62="0","i",IF(totales!E62="6"&amp;totales!H62="1"&amp;totales!I62="0"&amp;totales!J62="0","j",IF(totales!E62="1"&amp;totales!H62="2"&amp;totales!I62="0"&amp;totales!J62="0","k",IF(totales!E62="2"&amp;totales!H62="2"&amp;totales!I62="0"&amp;totales!J62="0","l",IF(totales!E62="3"&amp;totales!H62="2"&amp;totales!I62="0"&amp;totales!J62="0","m",
IF(totales!E62="4"&amp;totales!H62="2"&amp;totales!I62="0"&amp;totales!J62="0","n",IF(totales!E62="6"&amp;totales!H62="2"&amp;totales!I62="0"&amp;totales!J62="0","o",IF(totales!E62="1"&amp;totales!H62="0"&amp;totales!I62="1"&amp;totales!J62="0","p",IF(totales!E62="2"&amp;totales!H62="0"&amp;totales!I62="1"&amp;totales!J62="0","q",IF(totales!E62="3"&amp;totales!H62="0"&amp;totales!I62="1"&amp;totales!J62="0","r",IF(totales!E62="4"&amp;totales!H62="0"&amp;totales!I62="1"&amp;totales!J62="0","s",IF(totales!E62="6"&amp;totales!H62="0"&amp;totales!I62="1"&amp;totales!J62="0","t",IF(totales!E62="1"&amp;totales!H62="2"&amp;totales!I62="1"&amp;totales!J62="0","u",IF(totales!E62="2"&amp;totales!H62="2"&amp;totales!I62="1"&amp;totales!J62="0","v",IF(totales!E62="3"&amp;totales!H62="2"&amp;totales!I62="1"&amp;totales!J62="0","w",IF(totales!E62="4"&amp;totales!H62="2"&amp;totales!I62="1"&amp;totales!J62="0","x",
IF(totales!E62="6"&amp;totales!H62="2"&amp;totales!I62="1"&amp;totales!J62="0","y",IF(totales!E62="1"&amp;totales!H62="1"&amp;totales!I62="1"&amp;totales!J62="0","z",IF(totales!E62="2"&amp;totales!H62="1"&amp;totales!I62="1"&amp;totales!J62="0","0",IF(totales!E62="3"&amp;totales!H62="1"&amp;totales!I62="1"&amp;totales!J62="0","1",IF(totales!E62="4"&amp;totales!H62="1"&amp;totales!I62="1"&amp;totales!J62="0","2",IF(totales!E62="6"&amp;totales!H62="1"&amp;totales!I62="1"&amp;totales!J62="0","3",IF(totales!E62="1"&amp;totales!H62="0"&amp;totales!I62="1"&amp;totales!J62="1","4",IF(totales!E62="2"&amp;totales!H62="0"&amp;totales!I62="1"&amp;totales!J62="1","5",IF(totales!E62="3"&amp;totales!H62="0"&amp;totales!I62="1"&amp;totales!J62="1","6",IF(totales!E62="4"&amp;totales!H62="0"&amp;totales!I62="1"&amp;totales!J62="1","7",IF(totales!E62="6"&amp;totales!H62="0"&amp;totales!I62="1"&amp;totales!J62="1","8",IF(totales!E62="1"&amp;totales!H62="1"&amp;totales!I62="0"&amp;totales!J62="1","9"))))))))))))))))))))))))))))))))))))</f>
        <v>0</v>
      </c>
    </row>
    <row r="62" spans="2:22">
      <c r="V62" s="102" t="b">
        <f>IF(totales!E63="1"&amp;totales!H63="0"&amp;totales!I63="0"&amp;totales!J63="0","a",IF(totales!E63="2"&amp;totales!H63="0"&amp;totales!I63="0"&amp;totales!J63="0","b",IF(totales!E63="3"&amp;totales!H63="0"&amp;totales!I63="0"&amp;totales!J63="0","c",IF(totales!E63="4"&amp;totales!H63="0"&amp;totales!I63="0"&amp;totales!J63="0","d",IF(totales!E63="6"&amp;totales!H63="0"&amp;totales!I63="0"&amp;totales!J63="0","e",IF(totales!E63="1"&amp;totales!H63="1"&amp;totales!I63="0"&amp;totales!J63="0","f",IF(totales!E63="2"&amp;totales!H63="1"&amp;totales!I63="0"&amp;totales!J63="0","g",IF(totales!E63="3"&amp;totales!H63="1"&amp;totales!I63="0"&amp;totales!J63="0","h",IF(totales!E63="4"&amp;totales!H63="1"&amp;totales!I63="0"&amp;totales!J63="0","i",IF(totales!E63="6"&amp;totales!H63="1"&amp;totales!I63="0"&amp;totales!J63="0","j",IF(totales!E63="1"&amp;totales!H63="2"&amp;totales!I63="0"&amp;totales!J63="0","k",IF(totales!E63="2"&amp;totales!H63="2"&amp;totales!I63="0"&amp;totales!J63="0","l",IF(totales!E63="3"&amp;totales!H63="2"&amp;totales!I63="0"&amp;totales!J63="0","m",
IF(totales!E63="4"&amp;totales!H63="2"&amp;totales!I63="0"&amp;totales!J63="0","n",IF(totales!E63="6"&amp;totales!H63="2"&amp;totales!I63="0"&amp;totales!J63="0","o",IF(totales!E63="1"&amp;totales!H63="0"&amp;totales!I63="1"&amp;totales!J63="0","p",IF(totales!E63="2"&amp;totales!H63="0"&amp;totales!I63="1"&amp;totales!J63="0","q",IF(totales!E63="3"&amp;totales!H63="0"&amp;totales!I63="1"&amp;totales!J63="0","r",IF(totales!E63="4"&amp;totales!H63="0"&amp;totales!I63="1"&amp;totales!J63="0","s",IF(totales!E63="6"&amp;totales!H63="0"&amp;totales!I63="1"&amp;totales!J63="0","t",IF(totales!E63="1"&amp;totales!H63="2"&amp;totales!I63="1"&amp;totales!J63="0","u",IF(totales!E63="2"&amp;totales!H63="2"&amp;totales!I63="1"&amp;totales!J63="0","v",IF(totales!E63="3"&amp;totales!H63="2"&amp;totales!I63="1"&amp;totales!J63="0","w",IF(totales!E63="4"&amp;totales!H63="2"&amp;totales!I63="1"&amp;totales!J63="0","x",
IF(totales!E63="6"&amp;totales!H63="2"&amp;totales!I63="1"&amp;totales!J63="0","y",IF(totales!E63="1"&amp;totales!H63="1"&amp;totales!I63="1"&amp;totales!J63="0","z",IF(totales!E63="2"&amp;totales!H63="1"&amp;totales!I63="1"&amp;totales!J63="0","0",IF(totales!E63="3"&amp;totales!H63="1"&amp;totales!I63="1"&amp;totales!J63="0","1",IF(totales!E63="4"&amp;totales!H63="1"&amp;totales!I63="1"&amp;totales!J63="0","2",IF(totales!E63="6"&amp;totales!H63="1"&amp;totales!I63="1"&amp;totales!J63="0","3",IF(totales!E63="1"&amp;totales!H63="0"&amp;totales!I63="1"&amp;totales!J63="1","4",IF(totales!E63="2"&amp;totales!H63="0"&amp;totales!I63="1"&amp;totales!J63="1","5",IF(totales!E63="3"&amp;totales!H63="0"&amp;totales!I63="1"&amp;totales!J63="1","6",IF(totales!E63="4"&amp;totales!H63="0"&amp;totales!I63="1"&amp;totales!J63="1","7",IF(totales!E63="6"&amp;totales!H63="0"&amp;totales!I63="1"&amp;totales!J63="1","8",IF(totales!E63="1"&amp;totales!H63="1"&amp;totales!I63="0"&amp;totales!J63="1","9"))))))))))))))))))))))))))))))))))))</f>
        <v>0</v>
      </c>
    </row>
    <row r="63" spans="2:22">
      <c r="V63" s="102" t="b">
        <f>IF(totales!E64="1"&amp;totales!H64="0"&amp;totales!I64="0"&amp;totales!J64="0","a",IF(totales!E64="2"&amp;totales!H64="0"&amp;totales!I64="0"&amp;totales!J64="0","b",IF(totales!E64="3"&amp;totales!H64="0"&amp;totales!I64="0"&amp;totales!J64="0","c",IF(totales!E64="4"&amp;totales!H64="0"&amp;totales!I64="0"&amp;totales!J64="0","d",IF(totales!E64="6"&amp;totales!H64="0"&amp;totales!I64="0"&amp;totales!J64="0","e",IF(totales!E64="1"&amp;totales!H64="1"&amp;totales!I64="0"&amp;totales!J64="0","f",IF(totales!E64="2"&amp;totales!H64="1"&amp;totales!I64="0"&amp;totales!J64="0","g",IF(totales!E64="3"&amp;totales!H64="1"&amp;totales!I64="0"&amp;totales!J64="0","h",IF(totales!E64="4"&amp;totales!H64="1"&amp;totales!I64="0"&amp;totales!J64="0","i",IF(totales!E64="6"&amp;totales!H64="1"&amp;totales!I64="0"&amp;totales!J64="0","j",IF(totales!E64="1"&amp;totales!H64="2"&amp;totales!I64="0"&amp;totales!J64="0","k",IF(totales!E64="2"&amp;totales!H64="2"&amp;totales!I64="0"&amp;totales!J64="0","l",IF(totales!E64="3"&amp;totales!H64="2"&amp;totales!I64="0"&amp;totales!J64="0","m",
IF(totales!E64="4"&amp;totales!H64="2"&amp;totales!I64="0"&amp;totales!J64="0","n",IF(totales!E64="6"&amp;totales!H64="2"&amp;totales!I64="0"&amp;totales!J64="0","o",IF(totales!E64="1"&amp;totales!H64="0"&amp;totales!I64="1"&amp;totales!J64="0","p",IF(totales!E64="2"&amp;totales!H64="0"&amp;totales!I64="1"&amp;totales!J64="0","q",IF(totales!E64="3"&amp;totales!H64="0"&amp;totales!I64="1"&amp;totales!J64="0","r",IF(totales!E64="4"&amp;totales!H64="0"&amp;totales!I64="1"&amp;totales!J64="0","s",IF(totales!E64="6"&amp;totales!H64="0"&amp;totales!I64="1"&amp;totales!J64="0","t",IF(totales!E64="1"&amp;totales!H64="2"&amp;totales!I64="1"&amp;totales!J64="0","u",IF(totales!E64="2"&amp;totales!H64="2"&amp;totales!I64="1"&amp;totales!J64="0","v",IF(totales!E64="3"&amp;totales!H64="2"&amp;totales!I64="1"&amp;totales!J64="0","w",IF(totales!E64="4"&amp;totales!H64="2"&amp;totales!I64="1"&amp;totales!J64="0","x",
IF(totales!E64="6"&amp;totales!H64="2"&amp;totales!I64="1"&amp;totales!J64="0","y",IF(totales!E64="1"&amp;totales!H64="1"&amp;totales!I64="1"&amp;totales!J64="0","z",IF(totales!E64="2"&amp;totales!H64="1"&amp;totales!I64="1"&amp;totales!J64="0","0",IF(totales!E64="3"&amp;totales!H64="1"&amp;totales!I64="1"&amp;totales!J64="0","1",IF(totales!E64="4"&amp;totales!H64="1"&amp;totales!I64="1"&amp;totales!J64="0","2",IF(totales!E64="6"&amp;totales!H64="1"&amp;totales!I64="1"&amp;totales!J64="0","3",IF(totales!E64="1"&amp;totales!H64="0"&amp;totales!I64="1"&amp;totales!J64="1","4",IF(totales!E64="2"&amp;totales!H64="0"&amp;totales!I64="1"&amp;totales!J64="1","5",IF(totales!E64="3"&amp;totales!H64="0"&amp;totales!I64="1"&amp;totales!J64="1","6",IF(totales!E64="4"&amp;totales!H64="0"&amp;totales!I64="1"&amp;totales!J64="1","7",IF(totales!E64="6"&amp;totales!H64="0"&amp;totales!I64="1"&amp;totales!J64="1","8",IF(totales!E64="1"&amp;totales!H64="1"&amp;totales!I64="0"&amp;totales!J64="1","9"))))))))))))))))))))))))))))))))))))</f>
        <v>0</v>
      </c>
    </row>
    <row r="64" spans="2:22">
      <c r="V64" s="102" t="b">
        <f>IF(totales!E65="1"&amp;totales!H65="0"&amp;totales!I65="0"&amp;totales!J65="0","a",IF(totales!E65="2"&amp;totales!H65="0"&amp;totales!I65="0"&amp;totales!J65="0","b",IF(totales!E65="3"&amp;totales!H65="0"&amp;totales!I65="0"&amp;totales!J65="0","c",IF(totales!E65="4"&amp;totales!H65="0"&amp;totales!I65="0"&amp;totales!J65="0","d",IF(totales!E65="6"&amp;totales!H65="0"&amp;totales!I65="0"&amp;totales!J65="0","e",IF(totales!E65="1"&amp;totales!H65="1"&amp;totales!I65="0"&amp;totales!J65="0","f",IF(totales!E65="2"&amp;totales!H65="1"&amp;totales!I65="0"&amp;totales!J65="0","g",IF(totales!E65="3"&amp;totales!H65="1"&amp;totales!I65="0"&amp;totales!J65="0","h",IF(totales!E65="4"&amp;totales!H65="1"&amp;totales!I65="0"&amp;totales!J65="0","i",IF(totales!E65="6"&amp;totales!H65="1"&amp;totales!I65="0"&amp;totales!J65="0","j",IF(totales!E65="1"&amp;totales!H65="2"&amp;totales!I65="0"&amp;totales!J65="0","k",IF(totales!E65="2"&amp;totales!H65="2"&amp;totales!I65="0"&amp;totales!J65="0","l",IF(totales!E65="3"&amp;totales!H65="2"&amp;totales!I65="0"&amp;totales!J65="0","m",
IF(totales!E65="4"&amp;totales!H65="2"&amp;totales!I65="0"&amp;totales!J65="0","n",IF(totales!E65="6"&amp;totales!H65="2"&amp;totales!I65="0"&amp;totales!J65="0","o",IF(totales!E65="1"&amp;totales!H65="0"&amp;totales!I65="1"&amp;totales!J65="0","p",IF(totales!E65="2"&amp;totales!H65="0"&amp;totales!I65="1"&amp;totales!J65="0","q",IF(totales!E65="3"&amp;totales!H65="0"&amp;totales!I65="1"&amp;totales!J65="0","r",IF(totales!E65="4"&amp;totales!H65="0"&amp;totales!I65="1"&amp;totales!J65="0","s",IF(totales!E65="6"&amp;totales!H65="0"&amp;totales!I65="1"&amp;totales!J65="0","t",IF(totales!E65="1"&amp;totales!H65="2"&amp;totales!I65="1"&amp;totales!J65="0","u",IF(totales!E65="2"&amp;totales!H65="2"&amp;totales!I65="1"&amp;totales!J65="0","v",IF(totales!E65="3"&amp;totales!H65="2"&amp;totales!I65="1"&amp;totales!J65="0","w",IF(totales!E65="4"&amp;totales!H65="2"&amp;totales!I65="1"&amp;totales!J65="0","x",
IF(totales!E65="6"&amp;totales!H65="2"&amp;totales!I65="1"&amp;totales!J65="0","y",IF(totales!E65="1"&amp;totales!H65="1"&amp;totales!I65="1"&amp;totales!J65="0","z",IF(totales!E65="2"&amp;totales!H65="1"&amp;totales!I65="1"&amp;totales!J65="0","0",IF(totales!E65="3"&amp;totales!H65="1"&amp;totales!I65="1"&amp;totales!J65="0","1",IF(totales!E65="4"&amp;totales!H65="1"&amp;totales!I65="1"&amp;totales!J65="0","2",IF(totales!E65="6"&amp;totales!H65="1"&amp;totales!I65="1"&amp;totales!J65="0","3",IF(totales!E65="1"&amp;totales!H65="0"&amp;totales!I65="1"&amp;totales!J65="1","4",IF(totales!E65="2"&amp;totales!H65="0"&amp;totales!I65="1"&amp;totales!J65="1","5",IF(totales!E65="3"&amp;totales!H65="0"&amp;totales!I65="1"&amp;totales!J65="1","6",IF(totales!E65="4"&amp;totales!H65="0"&amp;totales!I65="1"&amp;totales!J65="1","7",IF(totales!E65="6"&amp;totales!H65="0"&amp;totales!I65="1"&amp;totales!J65="1","8",IF(totales!E65="1"&amp;totales!H65="1"&amp;totales!I65="0"&amp;totales!J65="1","9"))))))))))))))))))))))))))))))))))))</f>
        <v>0</v>
      </c>
    </row>
    <row r="65" spans="22:22">
      <c r="V65" s="102" t="b">
        <f>IF(totales!E66="1"&amp;totales!H66="0"&amp;totales!I66="0"&amp;totales!J66="0","a",IF(totales!E66="2"&amp;totales!H66="0"&amp;totales!I66="0"&amp;totales!J66="0","b",IF(totales!E66="3"&amp;totales!H66="0"&amp;totales!I66="0"&amp;totales!J66="0","c",IF(totales!E66="4"&amp;totales!H66="0"&amp;totales!I66="0"&amp;totales!J66="0","d",IF(totales!E66="6"&amp;totales!H66="0"&amp;totales!I66="0"&amp;totales!J66="0","e",IF(totales!E66="1"&amp;totales!H66="1"&amp;totales!I66="0"&amp;totales!J66="0","f",IF(totales!E66="2"&amp;totales!H66="1"&amp;totales!I66="0"&amp;totales!J66="0","g",IF(totales!E66="3"&amp;totales!H66="1"&amp;totales!I66="0"&amp;totales!J66="0","h",IF(totales!E66="4"&amp;totales!H66="1"&amp;totales!I66="0"&amp;totales!J66="0","i",IF(totales!E66="6"&amp;totales!H66="1"&amp;totales!I66="0"&amp;totales!J66="0","j",IF(totales!E66="1"&amp;totales!H66="2"&amp;totales!I66="0"&amp;totales!J66="0","k",IF(totales!E66="2"&amp;totales!H66="2"&amp;totales!I66="0"&amp;totales!J66="0","l",IF(totales!E66="3"&amp;totales!H66="2"&amp;totales!I66="0"&amp;totales!J66="0","m",
IF(totales!E66="4"&amp;totales!H66="2"&amp;totales!I66="0"&amp;totales!J66="0","n",IF(totales!E66="6"&amp;totales!H66="2"&amp;totales!I66="0"&amp;totales!J66="0","o",IF(totales!E66="1"&amp;totales!H66="0"&amp;totales!I66="1"&amp;totales!J66="0","p",IF(totales!E66="2"&amp;totales!H66="0"&amp;totales!I66="1"&amp;totales!J66="0","q",IF(totales!E66="3"&amp;totales!H66="0"&amp;totales!I66="1"&amp;totales!J66="0","r",IF(totales!E66="4"&amp;totales!H66="0"&amp;totales!I66="1"&amp;totales!J66="0","s",IF(totales!E66="6"&amp;totales!H66="0"&amp;totales!I66="1"&amp;totales!J66="0","t",IF(totales!E66="1"&amp;totales!H66="2"&amp;totales!I66="1"&amp;totales!J66="0","u",IF(totales!E66="2"&amp;totales!H66="2"&amp;totales!I66="1"&amp;totales!J66="0","v",IF(totales!E66="3"&amp;totales!H66="2"&amp;totales!I66="1"&amp;totales!J66="0","w",IF(totales!E66="4"&amp;totales!H66="2"&amp;totales!I66="1"&amp;totales!J66="0","x",
IF(totales!E66="6"&amp;totales!H66="2"&amp;totales!I66="1"&amp;totales!J66="0","y",IF(totales!E66="1"&amp;totales!H66="1"&amp;totales!I66="1"&amp;totales!J66="0","z",IF(totales!E66="2"&amp;totales!H66="1"&amp;totales!I66="1"&amp;totales!J66="0","0",IF(totales!E66="3"&amp;totales!H66="1"&amp;totales!I66="1"&amp;totales!J66="0","1",IF(totales!E66="4"&amp;totales!H66="1"&amp;totales!I66="1"&amp;totales!J66="0","2",IF(totales!E66="6"&amp;totales!H66="1"&amp;totales!I66="1"&amp;totales!J66="0","3",IF(totales!E66="1"&amp;totales!H66="0"&amp;totales!I66="1"&amp;totales!J66="1","4",IF(totales!E66="2"&amp;totales!H66="0"&amp;totales!I66="1"&amp;totales!J66="1","5",IF(totales!E66="3"&amp;totales!H66="0"&amp;totales!I66="1"&amp;totales!J66="1","6",IF(totales!E66="4"&amp;totales!H66="0"&amp;totales!I66="1"&amp;totales!J66="1","7",IF(totales!E66="6"&amp;totales!H66="0"&amp;totales!I66="1"&amp;totales!J66="1","8",IF(totales!E66="1"&amp;totales!H66="1"&amp;totales!I66="0"&amp;totales!J66="1","9"))))))))))))))))))))))))))))))))))))</f>
        <v>0</v>
      </c>
    </row>
    <row r="66" spans="22:22">
      <c r="V66" s="102" t="b">
        <f>IF(totales!E67="1"&amp;totales!H67="0"&amp;totales!I67="0"&amp;totales!J67="0","a",IF(totales!E67="2"&amp;totales!H67="0"&amp;totales!I67="0"&amp;totales!J67="0","b",IF(totales!E67="3"&amp;totales!H67="0"&amp;totales!I67="0"&amp;totales!J67="0","c",IF(totales!E67="4"&amp;totales!H67="0"&amp;totales!I67="0"&amp;totales!J67="0","d",IF(totales!E67="6"&amp;totales!H67="0"&amp;totales!I67="0"&amp;totales!J67="0","e",IF(totales!E67="1"&amp;totales!H67="1"&amp;totales!I67="0"&amp;totales!J67="0","f",IF(totales!E67="2"&amp;totales!H67="1"&amp;totales!I67="0"&amp;totales!J67="0","g",IF(totales!E67="3"&amp;totales!H67="1"&amp;totales!I67="0"&amp;totales!J67="0","h",IF(totales!E67="4"&amp;totales!H67="1"&amp;totales!I67="0"&amp;totales!J67="0","i",IF(totales!E67="6"&amp;totales!H67="1"&amp;totales!I67="0"&amp;totales!J67="0","j",IF(totales!E67="1"&amp;totales!H67="2"&amp;totales!I67="0"&amp;totales!J67="0","k",IF(totales!E67="2"&amp;totales!H67="2"&amp;totales!I67="0"&amp;totales!J67="0","l",IF(totales!E67="3"&amp;totales!H67="2"&amp;totales!I67="0"&amp;totales!J67="0","m",
IF(totales!E67="4"&amp;totales!H67="2"&amp;totales!I67="0"&amp;totales!J67="0","n",IF(totales!E67="6"&amp;totales!H67="2"&amp;totales!I67="0"&amp;totales!J67="0","o",IF(totales!E67="1"&amp;totales!H67="0"&amp;totales!I67="1"&amp;totales!J67="0","p",IF(totales!E67="2"&amp;totales!H67="0"&amp;totales!I67="1"&amp;totales!J67="0","q",IF(totales!E67="3"&amp;totales!H67="0"&amp;totales!I67="1"&amp;totales!J67="0","r",IF(totales!E67="4"&amp;totales!H67="0"&amp;totales!I67="1"&amp;totales!J67="0","s",IF(totales!E67="6"&amp;totales!H67="0"&amp;totales!I67="1"&amp;totales!J67="0","t",IF(totales!E67="1"&amp;totales!H67="2"&amp;totales!I67="1"&amp;totales!J67="0","u",IF(totales!E67="2"&amp;totales!H67="2"&amp;totales!I67="1"&amp;totales!J67="0","v",IF(totales!E67="3"&amp;totales!H67="2"&amp;totales!I67="1"&amp;totales!J67="0","w",IF(totales!E67="4"&amp;totales!H67="2"&amp;totales!I67="1"&amp;totales!J67="0","x",
IF(totales!E67="6"&amp;totales!H67="2"&amp;totales!I67="1"&amp;totales!J67="0","y",IF(totales!E67="1"&amp;totales!H67="1"&amp;totales!I67="1"&amp;totales!J67="0","z",IF(totales!E67="2"&amp;totales!H67="1"&amp;totales!I67="1"&amp;totales!J67="0","0",IF(totales!E67="3"&amp;totales!H67="1"&amp;totales!I67="1"&amp;totales!J67="0","1",IF(totales!E67="4"&amp;totales!H67="1"&amp;totales!I67="1"&amp;totales!J67="0","2",IF(totales!E67="6"&amp;totales!H67="1"&amp;totales!I67="1"&amp;totales!J67="0","3",IF(totales!E67="1"&amp;totales!H67="0"&amp;totales!I67="1"&amp;totales!J67="1","4",IF(totales!E67="2"&amp;totales!H67="0"&amp;totales!I67="1"&amp;totales!J67="1","5",IF(totales!E67="3"&amp;totales!H67="0"&amp;totales!I67="1"&amp;totales!J67="1","6",IF(totales!E67="4"&amp;totales!H67="0"&amp;totales!I67="1"&amp;totales!J67="1","7",IF(totales!E67="6"&amp;totales!H67="0"&amp;totales!I67="1"&amp;totales!J67="1","8",IF(totales!E67="1"&amp;totales!H67="1"&amp;totales!I67="0"&amp;totales!J67="1","9"))))))))))))))))))))))))))))))))))))</f>
        <v>0</v>
      </c>
    </row>
    <row r="67" spans="22:22">
      <c r="V67" s="102" t="b">
        <f>IF(totales!E68="1"&amp;totales!H68="0"&amp;totales!I68="0"&amp;totales!J68="0","a",IF(totales!E68="2"&amp;totales!H68="0"&amp;totales!I68="0"&amp;totales!J68="0","b",IF(totales!E68="3"&amp;totales!H68="0"&amp;totales!I68="0"&amp;totales!J68="0","c",IF(totales!E68="4"&amp;totales!H68="0"&amp;totales!I68="0"&amp;totales!J68="0","d",IF(totales!E68="6"&amp;totales!H68="0"&amp;totales!I68="0"&amp;totales!J68="0","e",IF(totales!E68="1"&amp;totales!H68="1"&amp;totales!I68="0"&amp;totales!J68="0","f",IF(totales!E68="2"&amp;totales!H68="1"&amp;totales!I68="0"&amp;totales!J68="0","g",IF(totales!E68="3"&amp;totales!H68="1"&amp;totales!I68="0"&amp;totales!J68="0","h",IF(totales!E68="4"&amp;totales!H68="1"&amp;totales!I68="0"&amp;totales!J68="0","i",IF(totales!E68="6"&amp;totales!H68="1"&amp;totales!I68="0"&amp;totales!J68="0","j",IF(totales!E68="1"&amp;totales!H68="2"&amp;totales!I68="0"&amp;totales!J68="0","k",IF(totales!E68="2"&amp;totales!H68="2"&amp;totales!I68="0"&amp;totales!J68="0","l",IF(totales!E68="3"&amp;totales!H68="2"&amp;totales!I68="0"&amp;totales!J68="0","m",
IF(totales!E68="4"&amp;totales!H68="2"&amp;totales!I68="0"&amp;totales!J68="0","n",IF(totales!E68="6"&amp;totales!H68="2"&amp;totales!I68="0"&amp;totales!J68="0","o",IF(totales!E68="1"&amp;totales!H68="0"&amp;totales!I68="1"&amp;totales!J68="0","p",IF(totales!E68="2"&amp;totales!H68="0"&amp;totales!I68="1"&amp;totales!J68="0","q",IF(totales!E68="3"&amp;totales!H68="0"&amp;totales!I68="1"&amp;totales!J68="0","r",IF(totales!E68="4"&amp;totales!H68="0"&amp;totales!I68="1"&amp;totales!J68="0","s",IF(totales!E68="6"&amp;totales!H68="0"&amp;totales!I68="1"&amp;totales!J68="0","t",IF(totales!E68="1"&amp;totales!H68="2"&amp;totales!I68="1"&amp;totales!J68="0","u",IF(totales!E68="2"&amp;totales!H68="2"&amp;totales!I68="1"&amp;totales!J68="0","v",IF(totales!E68="3"&amp;totales!H68="2"&amp;totales!I68="1"&amp;totales!J68="0","w",IF(totales!E68="4"&amp;totales!H68="2"&amp;totales!I68="1"&amp;totales!J68="0","x",
IF(totales!E68="6"&amp;totales!H68="2"&amp;totales!I68="1"&amp;totales!J68="0","y",IF(totales!E68="1"&amp;totales!H68="1"&amp;totales!I68="1"&amp;totales!J68="0","z",IF(totales!E68="2"&amp;totales!H68="1"&amp;totales!I68="1"&amp;totales!J68="0","0",IF(totales!E68="3"&amp;totales!H68="1"&amp;totales!I68="1"&amp;totales!J68="0","1",IF(totales!E68="4"&amp;totales!H68="1"&amp;totales!I68="1"&amp;totales!J68="0","2",IF(totales!E68="6"&amp;totales!H68="1"&amp;totales!I68="1"&amp;totales!J68="0","3",IF(totales!E68="1"&amp;totales!H68="0"&amp;totales!I68="1"&amp;totales!J68="1","4",IF(totales!E68="2"&amp;totales!H68="0"&amp;totales!I68="1"&amp;totales!J68="1","5",IF(totales!E68="3"&amp;totales!H68="0"&amp;totales!I68="1"&amp;totales!J68="1","6",IF(totales!E68="4"&amp;totales!H68="0"&amp;totales!I68="1"&amp;totales!J68="1","7",IF(totales!E68="6"&amp;totales!H68="0"&amp;totales!I68="1"&amp;totales!J68="1","8",IF(totales!E68="1"&amp;totales!H68="1"&amp;totales!I68="0"&amp;totales!J68="1","9"))))))))))))))))))))))))))))))))))))</f>
        <v>0</v>
      </c>
    </row>
    <row r="68" spans="22:22">
      <c r="V68" s="102" t="b">
        <f>IF(totales!E69="1"&amp;totales!H69="0"&amp;totales!I69="0"&amp;totales!J69="0","a",IF(totales!E69="2"&amp;totales!H69="0"&amp;totales!I69="0"&amp;totales!J69="0","b",IF(totales!E69="3"&amp;totales!H69="0"&amp;totales!I69="0"&amp;totales!J69="0","c",IF(totales!E69="4"&amp;totales!H69="0"&amp;totales!I69="0"&amp;totales!J69="0","d",IF(totales!E69="6"&amp;totales!H69="0"&amp;totales!I69="0"&amp;totales!J69="0","e",IF(totales!E69="1"&amp;totales!H69="1"&amp;totales!I69="0"&amp;totales!J69="0","f",IF(totales!E69="2"&amp;totales!H69="1"&amp;totales!I69="0"&amp;totales!J69="0","g",IF(totales!E69="3"&amp;totales!H69="1"&amp;totales!I69="0"&amp;totales!J69="0","h",IF(totales!E69="4"&amp;totales!H69="1"&amp;totales!I69="0"&amp;totales!J69="0","i",IF(totales!E69="6"&amp;totales!H69="1"&amp;totales!I69="0"&amp;totales!J69="0","j",IF(totales!E69="1"&amp;totales!H69="2"&amp;totales!I69="0"&amp;totales!J69="0","k",IF(totales!E69="2"&amp;totales!H69="2"&amp;totales!I69="0"&amp;totales!J69="0","l",IF(totales!E69="3"&amp;totales!H69="2"&amp;totales!I69="0"&amp;totales!J69="0","m",
IF(totales!E69="4"&amp;totales!H69="2"&amp;totales!I69="0"&amp;totales!J69="0","n",IF(totales!E69="6"&amp;totales!H69="2"&amp;totales!I69="0"&amp;totales!J69="0","o",IF(totales!E69="1"&amp;totales!H69="0"&amp;totales!I69="1"&amp;totales!J69="0","p",IF(totales!E69="2"&amp;totales!H69="0"&amp;totales!I69="1"&amp;totales!J69="0","q",IF(totales!E69="3"&amp;totales!H69="0"&amp;totales!I69="1"&amp;totales!J69="0","r",IF(totales!E69="4"&amp;totales!H69="0"&amp;totales!I69="1"&amp;totales!J69="0","s",IF(totales!E69="6"&amp;totales!H69="0"&amp;totales!I69="1"&amp;totales!J69="0","t",IF(totales!E69="1"&amp;totales!H69="2"&amp;totales!I69="1"&amp;totales!J69="0","u",IF(totales!E69="2"&amp;totales!H69="2"&amp;totales!I69="1"&amp;totales!J69="0","v",IF(totales!E69="3"&amp;totales!H69="2"&amp;totales!I69="1"&amp;totales!J69="0","w",IF(totales!E69="4"&amp;totales!H69="2"&amp;totales!I69="1"&amp;totales!J69="0","x",
IF(totales!E69="6"&amp;totales!H69="2"&amp;totales!I69="1"&amp;totales!J69="0","y",IF(totales!E69="1"&amp;totales!H69="1"&amp;totales!I69="1"&amp;totales!J69="0","z",IF(totales!E69="2"&amp;totales!H69="1"&amp;totales!I69="1"&amp;totales!J69="0","0",IF(totales!E69="3"&amp;totales!H69="1"&amp;totales!I69="1"&amp;totales!J69="0","1",IF(totales!E69="4"&amp;totales!H69="1"&amp;totales!I69="1"&amp;totales!J69="0","2",IF(totales!E69="6"&amp;totales!H69="1"&amp;totales!I69="1"&amp;totales!J69="0","3",IF(totales!E69="1"&amp;totales!H69="0"&amp;totales!I69="1"&amp;totales!J69="1","4",IF(totales!E69="2"&amp;totales!H69="0"&amp;totales!I69="1"&amp;totales!J69="1","5",IF(totales!E69="3"&amp;totales!H69="0"&amp;totales!I69="1"&amp;totales!J69="1","6",IF(totales!E69="4"&amp;totales!H69="0"&amp;totales!I69="1"&amp;totales!J69="1","7",IF(totales!E69="6"&amp;totales!H69="0"&amp;totales!I69="1"&amp;totales!J69="1","8",IF(totales!E69="1"&amp;totales!H69="1"&amp;totales!I69="0"&amp;totales!J69="1","9"))))))))))))))))))))))))))))))))))))</f>
        <v>0</v>
      </c>
    </row>
    <row r="69" spans="22:22">
      <c r="V69" s="102" t="b">
        <f>IF(totales!E70="1"&amp;totales!H70="0"&amp;totales!I70="0"&amp;totales!J70="0","a",IF(totales!E70="2"&amp;totales!H70="0"&amp;totales!I70="0"&amp;totales!J70="0","b",IF(totales!E70="3"&amp;totales!H70="0"&amp;totales!I70="0"&amp;totales!J70="0","c",IF(totales!E70="4"&amp;totales!H70="0"&amp;totales!I70="0"&amp;totales!J70="0","d",IF(totales!E70="6"&amp;totales!H70="0"&amp;totales!I70="0"&amp;totales!J70="0","e",IF(totales!E70="1"&amp;totales!H70="1"&amp;totales!I70="0"&amp;totales!J70="0","f",IF(totales!E70="2"&amp;totales!H70="1"&amp;totales!I70="0"&amp;totales!J70="0","g",IF(totales!E70="3"&amp;totales!H70="1"&amp;totales!I70="0"&amp;totales!J70="0","h",IF(totales!E70="4"&amp;totales!H70="1"&amp;totales!I70="0"&amp;totales!J70="0","i",IF(totales!E70="6"&amp;totales!H70="1"&amp;totales!I70="0"&amp;totales!J70="0","j",IF(totales!E70="1"&amp;totales!H70="2"&amp;totales!I70="0"&amp;totales!J70="0","k",IF(totales!E70="2"&amp;totales!H70="2"&amp;totales!I70="0"&amp;totales!J70="0","l",IF(totales!E70="3"&amp;totales!H70="2"&amp;totales!I70="0"&amp;totales!J70="0","m",
IF(totales!E70="4"&amp;totales!H70="2"&amp;totales!I70="0"&amp;totales!J70="0","n",IF(totales!E70="6"&amp;totales!H70="2"&amp;totales!I70="0"&amp;totales!J70="0","o",IF(totales!E70="1"&amp;totales!H70="0"&amp;totales!I70="1"&amp;totales!J70="0","p",IF(totales!E70="2"&amp;totales!H70="0"&amp;totales!I70="1"&amp;totales!J70="0","q",IF(totales!E70="3"&amp;totales!H70="0"&amp;totales!I70="1"&amp;totales!J70="0","r",IF(totales!E70="4"&amp;totales!H70="0"&amp;totales!I70="1"&amp;totales!J70="0","s",IF(totales!E70="6"&amp;totales!H70="0"&amp;totales!I70="1"&amp;totales!J70="0","t",IF(totales!E70="1"&amp;totales!H70="2"&amp;totales!I70="1"&amp;totales!J70="0","u",IF(totales!E70="2"&amp;totales!H70="2"&amp;totales!I70="1"&amp;totales!J70="0","v",IF(totales!E70="3"&amp;totales!H70="2"&amp;totales!I70="1"&amp;totales!J70="0","w",IF(totales!E70="4"&amp;totales!H70="2"&amp;totales!I70="1"&amp;totales!J70="0","x",
IF(totales!E70="6"&amp;totales!H70="2"&amp;totales!I70="1"&amp;totales!J70="0","y",IF(totales!E70="1"&amp;totales!H70="1"&amp;totales!I70="1"&amp;totales!J70="0","z",IF(totales!E70="2"&amp;totales!H70="1"&amp;totales!I70="1"&amp;totales!J70="0","0",IF(totales!E70="3"&amp;totales!H70="1"&amp;totales!I70="1"&amp;totales!J70="0","1",IF(totales!E70="4"&amp;totales!H70="1"&amp;totales!I70="1"&amp;totales!J70="0","2",IF(totales!E70="6"&amp;totales!H70="1"&amp;totales!I70="1"&amp;totales!J70="0","3",IF(totales!E70="1"&amp;totales!H70="0"&amp;totales!I70="1"&amp;totales!J70="1","4",IF(totales!E70="2"&amp;totales!H70="0"&amp;totales!I70="1"&amp;totales!J70="1","5",IF(totales!E70="3"&amp;totales!H70="0"&amp;totales!I70="1"&amp;totales!J70="1","6",IF(totales!E70="4"&amp;totales!H70="0"&amp;totales!I70="1"&amp;totales!J70="1","7",IF(totales!E70="6"&amp;totales!H70="0"&amp;totales!I70="1"&amp;totales!J70="1","8",IF(totales!E70="1"&amp;totales!H70="1"&amp;totales!I70="0"&amp;totales!J70="1","9"))))))))))))))))))))))))))))))))))))</f>
        <v>0</v>
      </c>
    </row>
    <row r="70" spans="22:22">
      <c r="V70" s="102" t="b">
        <f>IF(totales!E71="1"&amp;totales!H71="0"&amp;totales!I71="0"&amp;totales!J71="0","a",IF(totales!E71="2"&amp;totales!H71="0"&amp;totales!I71="0"&amp;totales!J71="0","b",IF(totales!E71="3"&amp;totales!H71="0"&amp;totales!I71="0"&amp;totales!J71="0","c",IF(totales!E71="4"&amp;totales!H71="0"&amp;totales!I71="0"&amp;totales!J71="0","d",IF(totales!E71="6"&amp;totales!H71="0"&amp;totales!I71="0"&amp;totales!J71="0","e",IF(totales!E71="1"&amp;totales!H71="1"&amp;totales!I71="0"&amp;totales!J71="0","f",IF(totales!E71="2"&amp;totales!H71="1"&amp;totales!I71="0"&amp;totales!J71="0","g",IF(totales!E71="3"&amp;totales!H71="1"&amp;totales!I71="0"&amp;totales!J71="0","h",IF(totales!E71="4"&amp;totales!H71="1"&amp;totales!I71="0"&amp;totales!J71="0","i",IF(totales!E71="6"&amp;totales!H71="1"&amp;totales!I71="0"&amp;totales!J71="0","j",IF(totales!E71="1"&amp;totales!H71="2"&amp;totales!I71="0"&amp;totales!J71="0","k",IF(totales!E71="2"&amp;totales!H71="2"&amp;totales!I71="0"&amp;totales!J71="0","l",IF(totales!E71="3"&amp;totales!H71="2"&amp;totales!I71="0"&amp;totales!J71="0","m",
IF(totales!E71="4"&amp;totales!H71="2"&amp;totales!I71="0"&amp;totales!J71="0","n",IF(totales!E71="6"&amp;totales!H71="2"&amp;totales!I71="0"&amp;totales!J71="0","o",IF(totales!E71="1"&amp;totales!H71="0"&amp;totales!I71="1"&amp;totales!J71="0","p",IF(totales!E71="2"&amp;totales!H71="0"&amp;totales!I71="1"&amp;totales!J71="0","q",IF(totales!E71="3"&amp;totales!H71="0"&amp;totales!I71="1"&amp;totales!J71="0","r",IF(totales!E71="4"&amp;totales!H71="0"&amp;totales!I71="1"&amp;totales!J71="0","s",IF(totales!E71="6"&amp;totales!H71="0"&amp;totales!I71="1"&amp;totales!J71="0","t",IF(totales!E71="1"&amp;totales!H71="2"&amp;totales!I71="1"&amp;totales!J71="0","u",IF(totales!E71="2"&amp;totales!H71="2"&amp;totales!I71="1"&amp;totales!J71="0","v",IF(totales!E71="3"&amp;totales!H71="2"&amp;totales!I71="1"&amp;totales!J71="0","w",IF(totales!E71="4"&amp;totales!H71="2"&amp;totales!I71="1"&amp;totales!J71="0","x",
IF(totales!E71="6"&amp;totales!H71="2"&amp;totales!I71="1"&amp;totales!J71="0","y",IF(totales!E71="1"&amp;totales!H71="1"&amp;totales!I71="1"&amp;totales!J71="0","z",IF(totales!E71="2"&amp;totales!H71="1"&amp;totales!I71="1"&amp;totales!J71="0","0",IF(totales!E71="3"&amp;totales!H71="1"&amp;totales!I71="1"&amp;totales!J71="0","1",IF(totales!E71="4"&amp;totales!H71="1"&amp;totales!I71="1"&amp;totales!J71="0","2",IF(totales!E71="6"&amp;totales!H71="1"&amp;totales!I71="1"&amp;totales!J71="0","3",IF(totales!E71="1"&amp;totales!H71="0"&amp;totales!I71="1"&amp;totales!J71="1","4",IF(totales!E71="2"&amp;totales!H71="0"&amp;totales!I71="1"&amp;totales!J71="1","5",IF(totales!E71="3"&amp;totales!H71="0"&amp;totales!I71="1"&amp;totales!J71="1","6",IF(totales!E71="4"&amp;totales!H71="0"&amp;totales!I71="1"&amp;totales!J71="1","7",IF(totales!E71="6"&amp;totales!H71="0"&amp;totales!I71="1"&amp;totales!J71="1","8",IF(totales!E71="1"&amp;totales!H71="1"&amp;totales!I71="0"&amp;totales!J71="1","9"))))))))))))))))))))))))))))))))))))</f>
        <v>0</v>
      </c>
    </row>
    <row r="71" spans="22:22">
      <c r="V71" s="102" t="b">
        <f>IF(totales!E72="1"&amp;totales!H72="0"&amp;totales!I72="0"&amp;totales!J72="0","a",IF(totales!E72="2"&amp;totales!H72="0"&amp;totales!I72="0"&amp;totales!J72="0","b",IF(totales!E72="3"&amp;totales!H72="0"&amp;totales!I72="0"&amp;totales!J72="0","c",IF(totales!E72="4"&amp;totales!H72="0"&amp;totales!I72="0"&amp;totales!J72="0","d",IF(totales!E72="6"&amp;totales!H72="0"&amp;totales!I72="0"&amp;totales!J72="0","e",IF(totales!E72="1"&amp;totales!H72="1"&amp;totales!I72="0"&amp;totales!J72="0","f",IF(totales!E72="2"&amp;totales!H72="1"&amp;totales!I72="0"&amp;totales!J72="0","g",IF(totales!E72="3"&amp;totales!H72="1"&amp;totales!I72="0"&amp;totales!J72="0","h",IF(totales!E72="4"&amp;totales!H72="1"&amp;totales!I72="0"&amp;totales!J72="0","i",IF(totales!E72="6"&amp;totales!H72="1"&amp;totales!I72="0"&amp;totales!J72="0","j",IF(totales!E72="1"&amp;totales!H72="2"&amp;totales!I72="0"&amp;totales!J72="0","k",IF(totales!E72="2"&amp;totales!H72="2"&amp;totales!I72="0"&amp;totales!J72="0","l",IF(totales!E72="3"&amp;totales!H72="2"&amp;totales!I72="0"&amp;totales!J72="0","m",
IF(totales!E72="4"&amp;totales!H72="2"&amp;totales!I72="0"&amp;totales!J72="0","n",IF(totales!E72="6"&amp;totales!H72="2"&amp;totales!I72="0"&amp;totales!J72="0","o",IF(totales!E72="1"&amp;totales!H72="0"&amp;totales!I72="1"&amp;totales!J72="0","p",IF(totales!E72="2"&amp;totales!H72="0"&amp;totales!I72="1"&amp;totales!J72="0","q",IF(totales!E72="3"&amp;totales!H72="0"&amp;totales!I72="1"&amp;totales!J72="0","r",IF(totales!E72="4"&amp;totales!H72="0"&amp;totales!I72="1"&amp;totales!J72="0","s",IF(totales!E72="6"&amp;totales!H72="0"&amp;totales!I72="1"&amp;totales!J72="0","t",IF(totales!E72="1"&amp;totales!H72="2"&amp;totales!I72="1"&amp;totales!J72="0","u",IF(totales!E72="2"&amp;totales!H72="2"&amp;totales!I72="1"&amp;totales!J72="0","v",IF(totales!E72="3"&amp;totales!H72="2"&amp;totales!I72="1"&amp;totales!J72="0","w",IF(totales!E72="4"&amp;totales!H72="2"&amp;totales!I72="1"&amp;totales!J72="0","x",
IF(totales!E72="6"&amp;totales!H72="2"&amp;totales!I72="1"&amp;totales!J72="0","y",IF(totales!E72="1"&amp;totales!H72="1"&amp;totales!I72="1"&amp;totales!J72="0","z",IF(totales!E72="2"&amp;totales!H72="1"&amp;totales!I72="1"&amp;totales!J72="0","0",IF(totales!E72="3"&amp;totales!H72="1"&amp;totales!I72="1"&amp;totales!J72="0","1",IF(totales!E72="4"&amp;totales!H72="1"&amp;totales!I72="1"&amp;totales!J72="0","2",IF(totales!E72="6"&amp;totales!H72="1"&amp;totales!I72="1"&amp;totales!J72="0","3",IF(totales!E72="1"&amp;totales!H72="0"&amp;totales!I72="1"&amp;totales!J72="1","4",IF(totales!E72="2"&amp;totales!H72="0"&amp;totales!I72="1"&amp;totales!J72="1","5",IF(totales!E72="3"&amp;totales!H72="0"&amp;totales!I72="1"&amp;totales!J72="1","6",IF(totales!E72="4"&amp;totales!H72="0"&amp;totales!I72="1"&amp;totales!J72="1","7",IF(totales!E72="6"&amp;totales!H72="0"&amp;totales!I72="1"&amp;totales!J72="1","8",IF(totales!E72="1"&amp;totales!H72="1"&amp;totales!I72="0"&amp;totales!J72="1","9"))))))))))))))))))))))))))))))))))))</f>
        <v>0</v>
      </c>
    </row>
    <row r="72" spans="22:22">
      <c r="V72" s="102" t="b">
        <f>IF(totales!E73="1"&amp;totales!H73="0"&amp;totales!I73="0"&amp;totales!J73="0","a",IF(totales!E73="2"&amp;totales!H73="0"&amp;totales!I73="0"&amp;totales!J73="0","b",IF(totales!E73="3"&amp;totales!H73="0"&amp;totales!I73="0"&amp;totales!J73="0","c",IF(totales!E73="4"&amp;totales!H73="0"&amp;totales!I73="0"&amp;totales!J73="0","d",IF(totales!E73="6"&amp;totales!H73="0"&amp;totales!I73="0"&amp;totales!J73="0","e",IF(totales!E73="1"&amp;totales!H73="1"&amp;totales!I73="0"&amp;totales!J73="0","f",IF(totales!E73="2"&amp;totales!H73="1"&amp;totales!I73="0"&amp;totales!J73="0","g",IF(totales!E73="3"&amp;totales!H73="1"&amp;totales!I73="0"&amp;totales!J73="0","h",IF(totales!E73="4"&amp;totales!H73="1"&amp;totales!I73="0"&amp;totales!J73="0","i",IF(totales!E73="6"&amp;totales!H73="1"&amp;totales!I73="0"&amp;totales!J73="0","j",IF(totales!E73="1"&amp;totales!H73="2"&amp;totales!I73="0"&amp;totales!J73="0","k",IF(totales!E73="2"&amp;totales!H73="2"&amp;totales!I73="0"&amp;totales!J73="0","l",IF(totales!E73="3"&amp;totales!H73="2"&amp;totales!I73="0"&amp;totales!J73="0","m",
IF(totales!E73="4"&amp;totales!H73="2"&amp;totales!I73="0"&amp;totales!J73="0","n",IF(totales!E73="6"&amp;totales!H73="2"&amp;totales!I73="0"&amp;totales!J73="0","o",IF(totales!E73="1"&amp;totales!H73="0"&amp;totales!I73="1"&amp;totales!J73="0","p",IF(totales!E73="2"&amp;totales!H73="0"&amp;totales!I73="1"&amp;totales!J73="0","q",IF(totales!E73="3"&amp;totales!H73="0"&amp;totales!I73="1"&amp;totales!J73="0","r",IF(totales!E73="4"&amp;totales!H73="0"&amp;totales!I73="1"&amp;totales!J73="0","s",IF(totales!E73="6"&amp;totales!H73="0"&amp;totales!I73="1"&amp;totales!J73="0","t",IF(totales!E73="1"&amp;totales!H73="2"&amp;totales!I73="1"&amp;totales!J73="0","u",IF(totales!E73="2"&amp;totales!H73="2"&amp;totales!I73="1"&amp;totales!J73="0","v",IF(totales!E73="3"&amp;totales!H73="2"&amp;totales!I73="1"&amp;totales!J73="0","w",IF(totales!E73="4"&amp;totales!H73="2"&amp;totales!I73="1"&amp;totales!J73="0","x",
IF(totales!E73="6"&amp;totales!H73="2"&amp;totales!I73="1"&amp;totales!J73="0","y",IF(totales!E73="1"&amp;totales!H73="1"&amp;totales!I73="1"&amp;totales!J73="0","z",IF(totales!E73="2"&amp;totales!H73="1"&amp;totales!I73="1"&amp;totales!J73="0","0",IF(totales!E73="3"&amp;totales!H73="1"&amp;totales!I73="1"&amp;totales!J73="0","1",IF(totales!E73="4"&amp;totales!H73="1"&amp;totales!I73="1"&amp;totales!J73="0","2",IF(totales!E73="6"&amp;totales!H73="1"&amp;totales!I73="1"&amp;totales!J73="0","3",IF(totales!E73="1"&amp;totales!H73="0"&amp;totales!I73="1"&amp;totales!J73="1","4",IF(totales!E73="2"&amp;totales!H73="0"&amp;totales!I73="1"&amp;totales!J73="1","5",IF(totales!E73="3"&amp;totales!H73="0"&amp;totales!I73="1"&amp;totales!J73="1","6",IF(totales!E73="4"&amp;totales!H73="0"&amp;totales!I73="1"&amp;totales!J73="1","7",IF(totales!E73="6"&amp;totales!H73="0"&amp;totales!I73="1"&amp;totales!J73="1","8",IF(totales!E73="1"&amp;totales!H73="1"&amp;totales!I73="0"&amp;totales!J73="1","9"))))))))))))))))))))))))))))))))))))</f>
        <v>0</v>
      </c>
    </row>
    <row r="73" spans="22:22">
      <c r="V73" s="102" t="b">
        <f>IF(totales!E74="1"&amp;totales!H74="0"&amp;totales!I74="0"&amp;totales!J74="0","a",IF(totales!E74="2"&amp;totales!H74="0"&amp;totales!I74="0"&amp;totales!J74="0","b",IF(totales!E74="3"&amp;totales!H74="0"&amp;totales!I74="0"&amp;totales!J74="0","c",IF(totales!E74="4"&amp;totales!H74="0"&amp;totales!I74="0"&amp;totales!J74="0","d",IF(totales!E74="6"&amp;totales!H74="0"&amp;totales!I74="0"&amp;totales!J74="0","e",IF(totales!E74="1"&amp;totales!H74="1"&amp;totales!I74="0"&amp;totales!J74="0","f",IF(totales!E74="2"&amp;totales!H74="1"&amp;totales!I74="0"&amp;totales!J74="0","g",IF(totales!E74="3"&amp;totales!H74="1"&amp;totales!I74="0"&amp;totales!J74="0","h",IF(totales!E74="4"&amp;totales!H74="1"&amp;totales!I74="0"&amp;totales!J74="0","i",IF(totales!E74="6"&amp;totales!H74="1"&amp;totales!I74="0"&amp;totales!J74="0","j",IF(totales!E74="1"&amp;totales!H74="2"&amp;totales!I74="0"&amp;totales!J74="0","k",IF(totales!E74="2"&amp;totales!H74="2"&amp;totales!I74="0"&amp;totales!J74="0","l",IF(totales!E74="3"&amp;totales!H74="2"&amp;totales!I74="0"&amp;totales!J74="0","m",
IF(totales!E74="4"&amp;totales!H74="2"&amp;totales!I74="0"&amp;totales!J74="0","n",IF(totales!E74="6"&amp;totales!H74="2"&amp;totales!I74="0"&amp;totales!J74="0","o",IF(totales!E74="1"&amp;totales!H74="0"&amp;totales!I74="1"&amp;totales!J74="0","p",IF(totales!E74="2"&amp;totales!H74="0"&amp;totales!I74="1"&amp;totales!J74="0","q",IF(totales!E74="3"&amp;totales!H74="0"&amp;totales!I74="1"&amp;totales!J74="0","r",IF(totales!E74="4"&amp;totales!H74="0"&amp;totales!I74="1"&amp;totales!J74="0","s",IF(totales!E74="6"&amp;totales!H74="0"&amp;totales!I74="1"&amp;totales!J74="0","t",IF(totales!E74="1"&amp;totales!H74="2"&amp;totales!I74="1"&amp;totales!J74="0","u",IF(totales!E74="2"&amp;totales!H74="2"&amp;totales!I74="1"&amp;totales!J74="0","v",IF(totales!E74="3"&amp;totales!H74="2"&amp;totales!I74="1"&amp;totales!J74="0","w",IF(totales!E74="4"&amp;totales!H74="2"&amp;totales!I74="1"&amp;totales!J74="0","x",
IF(totales!E74="6"&amp;totales!H74="2"&amp;totales!I74="1"&amp;totales!J74="0","y",IF(totales!E74="1"&amp;totales!H74="1"&amp;totales!I74="1"&amp;totales!J74="0","z",IF(totales!E74="2"&amp;totales!H74="1"&amp;totales!I74="1"&amp;totales!J74="0","0",IF(totales!E74="3"&amp;totales!H74="1"&amp;totales!I74="1"&amp;totales!J74="0","1",IF(totales!E74="4"&amp;totales!H74="1"&amp;totales!I74="1"&amp;totales!J74="0","2",IF(totales!E74="6"&amp;totales!H74="1"&amp;totales!I74="1"&amp;totales!J74="0","3",IF(totales!E74="1"&amp;totales!H74="0"&amp;totales!I74="1"&amp;totales!J74="1","4",IF(totales!E74="2"&amp;totales!H74="0"&amp;totales!I74="1"&amp;totales!J74="1","5",IF(totales!E74="3"&amp;totales!H74="0"&amp;totales!I74="1"&amp;totales!J74="1","6",IF(totales!E74="4"&amp;totales!H74="0"&amp;totales!I74="1"&amp;totales!J74="1","7",IF(totales!E74="6"&amp;totales!H74="0"&amp;totales!I74="1"&amp;totales!J74="1","8",IF(totales!E74="1"&amp;totales!H74="1"&amp;totales!I74="0"&amp;totales!J74="1","9"))))))))))))))))))))))))))))))))))))</f>
        <v>0</v>
      </c>
    </row>
    <row r="74" spans="22:22">
      <c r="V74" s="102" t="b">
        <f>IF(totales!E75="1"&amp;totales!H75="0"&amp;totales!I75="0"&amp;totales!J75="0","a",IF(totales!E75="2"&amp;totales!H75="0"&amp;totales!I75="0"&amp;totales!J75="0","b",IF(totales!E75="3"&amp;totales!H75="0"&amp;totales!I75="0"&amp;totales!J75="0","c",IF(totales!E75="4"&amp;totales!H75="0"&amp;totales!I75="0"&amp;totales!J75="0","d",IF(totales!E75="6"&amp;totales!H75="0"&amp;totales!I75="0"&amp;totales!J75="0","e",IF(totales!E75="1"&amp;totales!H75="1"&amp;totales!I75="0"&amp;totales!J75="0","f",IF(totales!E75="2"&amp;totales!H75="1"&amp;totales!I75="0"&amp;totales!J75="0","g",IF(totales!E75="3"&amp;totales!H75="1"&amp;totales!I75="0"&amp;totales!J75="0","h",IF(totales!E75="4"&amp;totales!H75="1"&amp;totales!I75="0"&amp;totales!J75="0","i",IF(totales!E75="6"&amp;totales!H75="1"&amp;totales!I75="0"&amp;totales!J75="0","j",IF(totales!E75="1"&amp;totales!H75="2"&amp;totales!I75="0"&amp;totales!J75="0","k",IF(totales!E75="2"&amp;totales!H75="2"&amp;totales!I75="0"&amp;totales!J75="0","l",IF(totales!E75="3"&amp;totales!H75="2"&amp;totales!I75="0"&amp;totales!J75="0","m",
IF(totales!E75="4"&amp;totales!H75="2"&amp;totales!I75="0"&amp;totales!J75="0","n",IF(totales!E75="6"&amp;totales!H75="2"&amp;totales!I75="0"&amp;totales!J75="0","o",IF(totales!E75="1"&amp;totales!H75="0"&amp;totales!I75="1"&amp;totales!J75="0","p",IF(totales!E75="2"&amp;totales!H75="0"&amp;totales!I75="1"&amp;totales!J75="0","q",IF(totales!E75="3"&amp;totales!H75="0"&amp;totales!I75="1"&amp;totales!J75="0","r",IF(totales!E75="4"&amp;totales!H75="0"&amp;totales!I75="1"&amp;totales!J75="0","s",IF(totales!E75="6"&amp;totales!H75="0"&amp;totales!I75="1"&amp;totales!J75="0","t",IF(totales!E75="1"&amp;totales!H75="2"&amp;totales!I75="1"&amp;totales!J75="0","u",IF(totales!E75="2"&amp;totales!H75="2"&amp;totales!I75="1"&amp;totales!J75="0","v",IF(totales!E75="3"&amp;totales!H75="2"&amp;totales!I75="1"&amp;totales!J75="0","w",IF(totales!E75="4"&amp;totales!H75="2"&amp;totales!I75="1"&amp;totales!J75="0","x",
IF(totales!E75="6"&amp;totales!H75="2"&amp;totales!I75="1"&amp;totales!J75="0","y",IF(totales!E75="1"&amp;totales!H75="1"&amp;totales!I75="1"&amp;totales!J75="0","z",IF(totales!E75="2"&amp;totales!H75="1"&amp;totales!I75="1"&amp;totales!J75="0","0",IF(totales!E75="3"&amp;totales!H75="1"&amp;totales!I75="1"&amp;totales!J75="0","1",IF(totales!E75="4"&amp;totales!H75="1"&amp;totales!I75="1"&amp;totales!J75="0","2",IF(totales!E75="6"&amp;totales!H75="1"&amp;totales!I75="1"&amp;totales!J75="0","3",IF(totales!E75="1"&amp;totales!H75="0"&amp;totales!I75="1"&amp;totales!J75="1","4",IF(totales!E75="2"&amp;totales!H75="0"&amp;totales!I75="1"&amp;totales!J75="1","5",IF(totales!E75="3"&amp;totales!H75="0"&amp;totales!I75="1"&amp;totales!J75="1","6",IF(totales!E75="4"&amp;totales!H75="0"&amp;totales!I75="1"&amp;totales!J75="1","7",IF(totales!E75="6"&amp;totales!H75="0"&amp;totales!I75="1"&amp;totales!J75="1","8",IF(totales!E75="1"&amp;totales!H75="1"&amp;totales!I75="0"&amp;totales!J75="1","9"))))))))))))))))))))))))))))))))))))</f>
        <v>0</v>
      </c>
    </row>
    <row r="75" spans="22:22">
      <c r="V75" s="102" t="b">
        <f>IF(totales!E76="1"&amp;totales!H76="0"&amp;totales!I76="0"&amp;totales!J76="0","a",IF(totales!E76="2"&amp;totales!H76="0"&amp;totales!I76="0"&amp;totales!J76="0","b",IF(totales!E76="3"&amp;totales!H76="0"&amp;totales!I76="0"&amp;totales!J76="0","c",IF(totales!E76="4"&amp;totales!H76="0"&amp;totales!I76="0"&amp;totales!J76="0","d",IF(totales!E76="6"&amp;totales!H76="0"&amp;totales!I76="0"&amp;totales!J76="0","e",IF(totales!E76="1"&amp;totales!H76="1"&amp;totales!I76="0"&amp;totales!J76="0","f",IF(totales!E76="2"&amp;totales!H76="1"&amp;totales!I76="0"&amp;totales!J76="0","g",IF(totales!E76="3"&amp;totales!H76="1"&amp;totales!I76="0"&amp;totales!J76="0","h",IF(totales!E76="4"&amp;totales!H76="1"&amp;totales!I76="0"&amp;totales!J76="0","i",IF(totales!E76="6"&amp;totales!H76="1"&amp;totales!I76="0"&amp;totales!J76="0","j",IF(totales!E76="1"&amp;totales!H76="2"&amp;totales!I76="0"&amp;totales!J76="0","k",IF(totales!E76="2"&amp;totales!H76="2"&amp;totales!I76="0"&amp;totales!J76="0","l",IF(totales!E76="3"&amp;totales!H76="2"&amp;totales!I76="0"&amp;totales!J76="0","m",
IF(totales!E76="4"&amp;totales!H76="2"&amp;totales!I76="0"&amp;totales!J76="0","n",IF(totales!E76="6"&amp;totales!H76="2"&amp;totales!I76="0"&amp;totales!J76="0","o",IF(totales!E76="1"&amp;totales!H76="0"&amp;totales!I76="1"&amp;totales!J76="0","p",IF(totales!E76="2"&amp;totales!H76="0"&amp;totales!I76="1"&amp;totales!J76="0","q",IF(totales!E76="3"&amp;totales!H76="0"&amp;totales!I76="1"&amp;totales!J76="0","r",IF(totales!E76="4"&amp;totales!H76="0"&amp;totales!I76="1"&amp;totales!J76="0","s",IF(totales!E76="6"&amp;totales!H76="0"&amp;totales!I76="1"&amp;totales!J76="0","t",IF(totales!E76="1"&amp;totales!H76="2"&amp;totales!I76="1"&amp;totales!J76="0","u",IF(totales!E76="2"&amp;totales!H76="2"&amp;totales!I76="1"&amp;totales!J76="0","v",IF(totales!E76="3"&amp;totales!H76="2"&amp;totales!I76="1"&amp;totales!J76="0","w",IF(totales!E76="4"&amp;totales!H76="2"&amp;totales!I76="1"&amp;totales!J76="0","x",
IF(totales!E76="6"&amp;totales!H76="2"&amp;totales!I76="1"&amp;totales!J76="0","y",IF(totales!E76="1"&amp;totales!H76="1"&amp;totales!I76="1"&amp;totales!J76="0","z",IF(totales!E76="2"&amp;totales!H76="1"&amp;totales!I76="1"&amp;totales!J76="0","0",IF(totales!E76="3"&amp;totales!H76="1"&amp;totales!I76="1"&amp;totales!J76="0","1",IF(totales!E76="4"&amp;totales!H76="1"&amp;totales!I76="1"&amp;totales!J76="0","2",IF(totales!E76="6"&amp;totales!H76="1"&amp;totales!I76="1"&amp;totales!J76="0","3",IF(totales!E76="1"&amp;totales!H76="0"&amp;totales!I76="1"&amp;totales!J76="1","4",IF(totales!E76="2"&amp;totales!H76="0"&amp;totales!I76="1"&amp;totales!J76="1","5",IF(totales!E76="3"&amp;totales!H76="0"&amp;totales!I76="1"&amp;totales!J76="1","6",IF(totales!E76="4"&amp;totales!H76="0"&amp;totales!I76="1"&amp;totales!J76="1","7",IF(totales!E76="6"&amp;totales!H76="0"&amp;totales!I76="1"&amp;totales!J76="1","8",IF(totales!E76="1"&amp;totales!H76="1"&amp;totales!I76="0"&amp;totales!J76="1","9"))))))))))))))))))))))))))))))))))))</f>
        <v>0</v>
      </c>
    </row>
    <row r="76" spans="22:22">
      <c r="V76" s="102" t="b">
        <f>IF(totales!E77="1"&amp;totales!H77="0"&amp;totales!I77="0"&amp;totales!J77="0","a",IF(totales!E77="2"&amp;totales!H77="0"&amp;totales!I77="0"&amp;totales!J77="0","b",IF(totales!E77="3"&amp;totales!H77="0"&amp;totales!I77="0"&amp;totales!J77="0","c",IF(totales!E77="4"&amp;totales!H77="0"&amp;totales!I77="0"&amp;totales!J77="0","d",IF(totales!E77="6"&amp;totales!H77="0"&amp;totales!I77="0"&amp;totales!J77="0","e",IF(totales!E77="1"&amp;totales!H77="1"&amp;totales!I77="0"&amp;totales!J77="0","f",IF(totales!E77="2"&amp;totales!H77="1"&amp;totales!I77="0"&amp;totales!J77="0","g",IF(totales!E77="3"&amp;totales!H77="1"&amp;totales!I77="0"&amp;totales!J77="0","h",IF(totales!E77="4"&amp;totales!H77="1"&amp;totales!I77="0"&amp;totales!J77="0","i",IF(totales!E77="6"&amp;totales!H77="1"&amp;totales!I77="0"&amp;totales!J77="0","j",IF(totales!E77="1"&amp;totales!H77="2"&amp;totales!I77="0"&amp;totales!J77="0","k",IF(totales!E77="2"&amp;totales!H77="2"&amp;totales!I77="0"&amp;totales!J77="0","l",IF(totales!E77="3"&amp;totales!H77="2"&amp;totales!I77="0"&amp;totales!J77="0","m",
IF(totales!E77="4"&amp;totales!H77="2"&amp;totales!I77="0"&amp;totales!J77="0","n",IF(totales!E77="6"&amp;totales!H77="2"&amp;totales!I77="0"&amp;totales!J77="0","o",IF(totales!E77="1"&amp;totales!H77="0"&amp;totales!I77="1"&amp;totales!J77="0","p",IF(totales!E77="2"&amp;totales!H77="0"&amp;totales!I77="1"&amp;totales!J77="0","q",IF(totales!E77="3"&amp;totales!H77="0"&amp;totales!I77="1"&amp;totales!J77="0","r",IF(totales!E77="4"&amp;totales!H77="0"&amp;totales!I77="1"&amp;totales!J77="0","s",IF(totales!E77="6"&amp;totales!H77="0"&amp;totales!I77="1"&amp;totales!J77="0","t",IF(totales!E77="1"&amp;totales!H77="2"&amp;totales!I77="1"&amp;totales!J77="0","u",IF(totales!E77="2"&amp;totales!H77="2"&amp;totales!I77="1"&amp;totales!J77="0","v",IF(totales!E77="3"&amp;totales!H77="2"&amp;totales!I77="1"&amp;totales!J77="0","w",IF(totales!E77="4"&amp;totales!H77="2"&amp;totales!I77="1"&amp;totales!J77="0","x",
IF(totales!E77="6"&amp;totales!H77="2"&amp;totales!I77="1"&amp;totales!J77="0","y",IF(totales!E77="1"&amp;totales!H77="1"&amp;totales!I77="1"&amp;totales!J77="0","z",IF(totales!E77="2"&amp;totales!H77="1"&amp;totales!I77="1"&amp;totales!J77="0","0",IF(totales!E77="3"&amp;totales!H77="1"&amp;totales!I77="1"&amp;totales!J77="0","1",IF(totales!E77="4"&amp;totales!H77="1"&amp;totales!I77="1"&amp;totales!J77="0","2",IF(totales!E77="6"&amp;totales!H77="1"&amp;totales!I77="1"&amp;totales!J77="0","3",IF(totales!E77="1"&amp;totales!H77="0"&amp;totales!I77="1"&amp;totales!J77="1","4",IF(totales!E77="2"&amp;totales!H77="0"&amp;totales!I77="1"&amp;totales!J77="1","5",IF(totales!E77="3"&amp;totales!H77="0"&amp;totales!I77="1"&amp;totales!J77="1","6",IF(totales!E77="4"&amp;totales!H77="0"&amp;totales!I77="1"&amp;totales!J77="1","7",IF(totales!E77="6"&amp;totales!H77="0"&amp;totales!I77="1"&amp;totales!J77="1","8",IF(totales!E77="1"&amp;totales!H77="1"&amp;totales!I77="0"&amp;totales!J77="1","9"))))))))))))))))))))))))))))))))))))</f>
        <v>0</v>
      </c>
    </row>
    <row r="77" spans="22:22">
      <c r="V77" s="102" t="b">
        <f>IF(totales!E78="1"&amp;totales!H78="0"&amp;totales!I78="0"&amp;totales!J78="0","a",IF(totales!E78="2"&amp;totales!H78="0"&amp;totales!I78="0"&amp;totales!J78="0","b",IF(totales!E78="3"&amp;totales!H78="0"&amp;totales!I78="0"&amp;totales!J78="0","c",IF(totales!E78="4"&amp;totales!H78="0"&amp;totales!I78="0"&amp;totales!J78="0","d",IF(totales!E78="6"&amp;totales!H78="0"&amp;totales!I78="0"&amp;totales!J78="0","e",IF(totales!E78="1"&amp;totales!H78="1"&amp;totales!I78="0"&amp;totales!J78="0","f",IF(totales!E78="2"&amp;totales!H78="1"&amp;totales!I78="0"&amp;totales!J78="0","g",IF(totales!E78="3"&amp;totales!H78="1"&amp;totales!I78="0"&amp;totales!J78="0","h",IF(totales!E78="4"&amp;totales!H78="1"&amp;totales!I78="0"&amp;totales!J78="0","i",IF(totales!E78="6"&amp;totales!H78="1"&amp;totales!I78="0"&amp;totales!J78="0","j",IF(totales!E78="1"&amp;totales!H78="2"&amp;totales!I78="0"&amp;totales!J78="0","k",IF(totales!E78="2"&amp;totales!H78="2"&amp;totales!I78="0"&amp;totales!J78="0","l",IF(totales!E78="3"&amp;totales!H78="2"&amp;totales!I78="0"&amp;totales!J78="0","m",
IF(totales!E78="4"&amp;totales!H78="2"&amp;totales!I78="0"&amp;totales!J78="0","n",IF(totales!E78="6"&amp;totales!H78="2"&amp;totales!I78="0"&amp;totales!J78="0","o",IF(totales!E78="1"&amp;totales!H78="0"&amp;totales!I78="1"&amp;totales!J78="0","p",IF(totales!E78="2"&amp;totales!H78="0"&amp;totales!I78="1"&amp;totales!J78="0","q",IF(totales!E78="3"&amp;totales!H78="0"&amp;totales!I78="1"&amp;totales!J78="0","r",IF(totales!E78="4"&amp;totales!H78="0"&amp;totales!I78="1"&amp;totales!J78="0","s",IF(totales!E78="6"&amp;totales!H78="0"&amp;totales!I78="1"&amp;totales!J78="0","t",IF(totales!E78="1"&amp;totales!H78="2"&amp;totales!I78="1"&amp;totales!J78="0","u",IF(totales!E78="2"&amp;totales!H78="2"&amp;totales!I78="1"&amp;totales!J78="0","v",IF(totales!E78="3"&amp;totales!H78="2"&amp;totales!I78="1"&amp;totales!J78="0","w",IF(totales!E78="4"&amp;totales!H78="2"&amp;totales!I78="1"&amp;totales!J78="0","x",
IF(totales!E78="6"&amp;totales!H78="2"&amp;totales!I78="1"&amp;totales!J78="0","y",IF(totales!E78="1"&amp;totales!H78="1"&amp;totales!I78="1"&amp;totales!J78="0","z",IF(totales!E78="2"&amp;totales!H78="1"&amp;totales!I78="1"&amp;totales!J78="0","0",IF(totales!E78="3"&amp;totales!H78="1"&amp;totales!I78="1"&amp;totales!J78="0","1",IF(totales!E78="4"&amp;totales!H78="1"&amp;totales!I78="1"&amp;totales!J78="0","2",IF(totales!E78="6"&amp;totales!H78="1"&amp;totales!I78="1"&amp;totales!J78="0","3",IF(totales!E78="1"&amp;totales!H78="0"&amp;totales!I78="1"&amp;totales!J78="1","4",IF(totales!E78="2"&amp;totales!H78="0"&amp;totales!I78="1"&amp;totales!J78="1","5",IF(totales!E78="3"&amp;totales!H78="0"&amp;totales!I78="1"&amp;totales!J78="1","6",IF(totales!E78="4"&amp;totales!H78="0"&amp;totales!I78="1"&amp;totales!J78="1","7",IF(totales!E78="6"&amp;totales!H78="0"&amp;totales!I78="1"&amp;totales!J78="1","8",IF(totales!E78="1"&amp;totales!H78="1"&amp;totales!I78="0"&amp;totales!J78="1","9"))))))))))))))))))))))))))))))))))))</f>
        <v>0</v>
      </c>
    </row>
    <row r="78" spans="22:22">
      <c r="V78" s="102" t="b">
        <f>IF(totales!E79="1"&amp;totales!H79="0"&amp;totales!I79="0"&amp;totales!J79="0","a",IF(totales!E79="2"&amp;totales!H79="0"&amp;totales!I79="0"&amp;totales!J79="0","b",IF(totales!E79="3"&amp;totales!H79="0"&amp;totales!I79="0"&amp;totales!J79="0","c",IF(totales!E79="4"&amp;totales!H79="0"&amp;totales!I79="0"&amp;totales!J79="0","d",IF(totales!E79="6"&amp;totales!H79="0"&amp;totales!I79="0"&amp;totales!J79="0","e",IF(totales!E79="1"&amp;totales!H79="1"&amp;totales!I79="0"&amp;totales!J79="0","f",IF(totales!E79="2"&amp;totales!H79="1"&amp;totales!I79="0"&amp;totales!J79="0","g",IF(totales!E79="3"&amp;totales!H79="1"&amp;totales!I79="0"&amp;totales!J79="0","h",IF(totales!E79="4"&amp;totales!H79="1"&amp;totales!I79="0"&amp;totales!J79="0","i",IF(totales!E79="6"&amp;totales!H79="1"&amp;totales!I79="0"&amp;totales!J79="0","j",IF(totales!E79="1"&amp;totales!H79="2"&amp;totales!I79="0"&amp;totales!J79="0","k",IF(totales!E79="2"&amp;totales!H79="2"&amp;totales!I79="0"&amp;totales!J79="0","l",IF(totales!E79="3"&amp;totales!H79="2"&amp;totales!I79="0"&amp;totales!J79="0","m",
IF(totales!E79="4"&amp;totales!H79="2"&amp;totales!I79="0"&amp;totales!J79="0","n",IF(totales!E79="6"&amp;totales!H79="2"&amp;totales!I79="0"&amp;totales!J79="0","o",IF(totales!E79="1"&amp;totales!H79="0"&amp;totales!I79="1"&amp;totales!J79="0","p",IF(totales!E79="2"&amp;totales!H79="0"&amp;totales!I79="1"&amp;totales!J79="0","q",IF(totales!E79="3"&amp;totales!H79="0"&amp;totales!I79="1"&amp;totales!J79="0","r",IF(totales!E79="4"&amp;totales!H79="0"&amp;totales!I79="1"&amp;totales!J79="0","s",IF(totales!E79="6"&amp;totales!H79="0"&amp;totales!I79="1"&amp;totales!J79="0","t",IF(totales!E79="1"&amp;totales!H79="2"&amp;totales!I79="1"&amp;totales!J79="0","u",IF(totales!E79="2"&amp;totales!H79="2"&amp;totales!I79="1"&amp;totales!J79="0","v",IF(totales!E79="3"&amp;totales!H79="2"&amp;totales!I79="1"&amp;totales!J79="0","w",IF(totales!E79="4"&amp;totales!H79="2"&amp;totales!I79="1"&amp;totales!J79="0","x",
IF(totales!E79="6"&amp;totales!H79="2"&amp;totales!I79="1"&amp;totales!J79="0","y",IF(totales!E79="1"&amp;totales!H79="1"&amp;totales!I79="1"&amp;totales!J79="0","z",IF(totales!E79="2"&amp;totales!H79="1"&amp;totales!I79="1"&amp;totales!J79="0","0",IF(totales!E79="3"&amp;totales!H79="1"&amp;totales!I79="1"&amp;totales!J79="0","1",IF(totales!E79="4"&amp;totales!H79="1"&amp;totales!I79="1"&amp;totales!J79="0","2",IF(totales!E79="6"&amp;totales!H79="1"&amp;totales!I79="1"&amp;totales!J79="0","3",IF(totales!E79="1"&amp;totales!H79="0"&amp;totales!I79="1"&amp;totales!J79="1","4",IF(totales!E79="2"&amp;totales!H79="0"&amp;totales!I79="1"&amp;totales!J79="1","5",IF(totales!E79="3"&amp;totales!H79="0"&amp;totales!I79="1"&amp;totales!J79="1","6",IF(totales!E79="4"&amp;totales!H79="0"&amp;totales!I79="1"&amp;totales!J79="1","7",IF(totales!E79="6"&amp;totales!H79="0"&amp;totales!I79="1"&amp;totales!J79="1","8",IF(totales!E79="1"&amp;totales!H79="1"&amp;totales!I79="0"&amp;totales!J79="1","9"))))))))))))))))))))))))))))))))))))</f>
        <v>0</v>
      </c>
    </row>
    <row r="79" spans="22:22">
      <c r="V79" s="102" t="b">
        <f>IF(totales!E80="1"&amp;totales!H80="0"&amp;totales!I80="0"&amp;totales!J80="0","a",IF(totales!E80="2"&amp;totales!H80="0"&amp;totales!I80="0"&amp;totales!J80="0","b",IF(totales!E80="3"&amp;totales!H80="0"&amp;totales!I80="0"&amp;totales!J80="0","c",IF(totales!E80="4"&amp;totales!H80="0"&amp;totales!I80="0"&amp;totales!J80="0","d",IF(totales!E80="6"&amp;totales!H80="0"&amp;totales!I80="0"&amp;totales!J80="0","e",IF(totales!E80="1"&amp;totales!H80="1"&amp;totales!I80="0"&amp;totales!J80="0","f",IF(totales!E80="2"&amp;totales!H80="1"&amp;totales!I80="0"&amp;totales!J80="0","g",IF(totales!E80="3"&amp;totales!H80="1"&amp;totales!I80="0"&amp;totales!J80="0","h",IF(totales!E80="4"&amp;totales!H80="1"&amp;totales!I80="0"&amp;totales!J80="0","i",IF(totales!E80="6"&amp;totales!H80="1"&amp;totales!I80="0"&amp;totales!J80="0","j",IF(totales!E80="1"&amp;totales!H80="2"&amp;totales!I80="0"&amp;totales!J80="0","k",IF(totales!E80="2"&amp;totales!H80="2"&amp;totales!I80="0"&amp;totales!J80="0","l",IF(totales!E80="3"&amp;totales!H80="2"&amp;totales!I80="0"&amp;totales!J80="0","m",
IF(totales!E80="4"&amp;totales!H80="2"&amp;totales!I80="0"&amp;totales!J80="0","n",IF(totales!E80="6"&amp;totales!H80="2"&amp;totales!I80="0"&amp;totales!J80="0","o",IF(totales!E80="1"&amp;totales!H80="0"&amp;totales!I80="1"&amp;totales!J80="0","p",IF(totales!E80="2"&amp;totales!H80="0"&amp;totales!I80="1"&amp;totales!J80="0","q",IF(totales!E80="3"&amp;totales!H80="0"&amp;totales!I80="1"&amp;totales!J80="0","r",IF(totales!E80="4"&amp;totales!H80="0"&amp;totales!I80="1"&amp;totales!J80="0","s",IF(totales!E80="6"&amp;totales!H80="0"&amp;totales!I80="1"&amp;totales!J80="0","t",IF(totales!E80="1"&amp;totales!H80="2"&amp;totales!I80="1"&amp;totales!J80="0","u",IF(totales!E80="2"&amp;totales!H80="2"&amp;totales!I80="1"&amp;totales!J80="0","v",IF(totales!E80="3"&amp;totales!H80="2"&amp;totales!I80="1"&amp;totales!J80="0","w",IF(totales!E80="4"&amp;totales!H80="2"&amp;totales!I80="1"&amp;totales!J80="0","x",
IF(totales!E80="6"&amp;totales!H80="2"&amp;totales!I80="1"&amp;totales!J80="0","y",IF(totales!E80="1"&amp;totales!H80="1"&amp;totales!I80="1"&amp;totales!J80="0","z",IF(totales!E80="2"&amp;totales!H80="1"&amp;totales!I80="1"&amp;totales!J80="0","0",IF(totales!E80="3"&amp;totales!H80="1"&amp;totales!I80="1"&amp;totales!J80="0","1",IF(totales!E80="4"&amp;totales!H80="1"&amp;totales!I80="1"&amp;totales!J80="0","2",IF(totales!E80="6"&amp;totales!H80="1"&amp;totales!I80="1"&amp;totales!J80="0","3",IF(totales!E80="1"&amp;totales!H80="0"&amp;totales!I80="1"&amp;totales!J80="1","4",IF(totales!E80="2"&amp;totales!H80="0"&amp;totales!I80="1"&amp;totales!J80="1","5",IF(totales!E80="3"&amp;totales!H80="0"&amp;totales!I80="1"&amp;totales!J80="1","6",IF(totales!E80="4"&amp;totales!H80="0"&amp;totales!I80="1"&amp;totales!J80="1","7",IF(totales!E80="6"&amp;totales!H80="0"&amp;totales!I80="1"&amp;totales!J80="1","8",IF(totales!E80="1"&amp;totales!H80="1"&amp;totales!I80="0"&amp;totales!J80="1","9"))))))))))))))))))))))))))))))))))))</f>
        <v>0</v>
      </c>
    </row>
    <row r="80" spans="22:22">
      <c r="V80" s="102" t="b">
        <f>IF(totales!E81="1"&amp;totales!H81="0"&amp;totales!I81="0"&amp;totales!J81="0","a",IF(totales!E81="2"&amp;totales!H81="0"&amp;totales!I81="0"&amp;totales!J81="0","b",IF(totales!E81="3"&amp;totales!H81="0"&amp;totales!I81="0"&amp;totales!J81="0","c",IF(totales!E81="4"&amp;totales!H81="0"&amp;totales!I81="0"&amp;totales!J81="0","d",IF(totales!E81="6"&amp;totales!H81="0"&amp;totales!I81="0"&amp;totales!J81="0","e",IF(totales!E81="1"&amp;totales!H81="1"&amp;totales!I81="0"&amp;totales!J81="0","f",IF(totales!E81="2"&amp;totales!H81="1"&amp;totales!I81="0"&amp;totales!J81="0","g",IF(totales!E81="3"&amp;totales!H81="1"&amp;totales!I81="0"&amp;totales!J81="0","h",IF(totales!E81="4"&amp;totales!H81="1"&amp;totales!I81="0"&amp;totales!J81="0","i",IF(totales!E81="6"&amp;totales!H81="1"&amp;totales!I81="0"&amp;totales!J81="0","j",IF(totales!E81="1"&amp;totales!H81="2"&amp;totales!I81="0"&amp;totales!J81="0","k",IF(totales!E81="2"&amp;totales!H81="2"&amp;totales!I81="0"&amp;totales!J81="0","l",IF(totales!E81="3"&amp;totales!H81="2"&amp;totales!I81="0"&amp;totales!J81="0","m",
IF(totales!E81="4"&amp;totales!H81="2"&amp;totales!I81="0"&amp;totales!J81="0","n",IF(totales!E81="6"&amp;totales!H81="2"&amp;totales!I81="0"&amp;totales!J81="0","o",IF(totales!E81="1"&amp;totales!H81="0"&amp;totales!I81="1"&amp;totales!J81="0","p",IF(totales!E81="2"&amp;totales!H81="0"&amp;totales!I81="1"&amp;totales!J81="0","q",IF(totales!E81="3"&amp;totales!H81="0"&amp;totales!I81="1"&amp;totales!J81="0","r",IF(totales!E81="4"&amp;totales!H81="0"&amp;totales!I81="1"&amp;totales!J81="0","s",IF(totales!E81="6"&amp;totales!H81="0"&amp;totales!I81="1"&amp;totales!J81="0","t",IF(totales!E81="1"&amp;totales!H81="2"&amp;totales!I81="1"&amp;totales!J81="0","u",IF(totales!E81="2"&amp;totales!H81="2"&amp;totales!I81="1"&amp;totales!J81="0","v",IF(totales!E81="3"&amp;totales!H81="2"&amp;totales!I81="1"&amp;totales!J81="0","w",IF(totales!E81="4"&amp;totales!H81="2"&amp;totales!I81="1"&amp;totales!J81="0","x",
IF(totales!E81="6"&amp;totales!H81="2"&amp;totales!I81="1"&amp;totales!J81="0","y",IF(totales!E81="1"&amp;totales!H81="1"&amp;totales!I81="1"&amp;totales!J81="0","z",IF(totales!E81="2"&amp;totales!H81="1"&amp;totales!I81="1"&amp;totales!J81="0","0",IF(totales!E81="3"&amp;totales!H81="1"&amp;totales!I81="1"&amp;totales!J81="0","1",IF(totales!E81="4"&amp;totales!H81="1"&amp;totales!I81="1"&amp;totales!J81="0","2",IF(totales!E81="6"&amp;totales!H81="1"&amp;totales!I81="1"&amp;totales!J81="0","3",IF(totales!E81="1"&amp;totales!H81="0"&amp;totales!I81="1"&amp;totales!J81="1","4",IF(totales!E81="2"&amp;totales!H81="0"&amp;totales!I81="1"&amp;totales!J81="1","5",IF(totales!E81="3"&amp;totales!H81="0"&amp;totales!I81="1"&amp;totales!J81="1","6",IF(totales!E81="4"&amp;totales!H81="0"&amp;totales!I81="1"&amp;totales!J81="1","7",IF(totales!E81="6"&amp;totales!H81="0"&amp;totales!I81="1"&amp;totales!J81="1","8",IF(totales!E81="1"&amp;totales!H81="1"&amp;totales!I81="0"&amp;totales!J81="1","9"))))))))))))))))))))))))))))))))))))</f>
        <v>0</v>
      </c>
    </row>
    <row r="81" spans="22:22">
      <c r="V81" s="102" t="b">
        <f>IF(totales!E82="1"&amp;totales!H82="0"&amp;totales!I82="0"&amp;totales!J82="0","a",IF(totales!E82="2"&amp;totales!H82="0"&amp;totales!I82="0"&amp;totales!J82="0","b",IF(totales!E82="3"&amp;totales!H82="0"&amp;totales!I82="0"&amp;totales!J82="0","c",IF(totales!E82="4"&amp;totales!H82="0"&amp;totales!I82="0"&amp;totales!J82="0","d",IF(totales!E82="6"&amp;totales!H82="0"&amp;totales!I82="0"&amp;totales!J82="0","e",IF(totales!E82="1"&amp;totales!H82="1"&amp;totales!I82="0"&amp;totales!J82="0","f",IF(totales!E82="2"&amp;totales!H82="1"&amp;totales!I82="0"&amp;totales!J82="0","g",IF(totales!E82="3"&amp;totales!H82="1"&amp;totales!I82="0"&amp;totales!J82="0","h",IF(totales!E82="4"&amp;totales!H82="1"&amp;totales!I82="0"&amp;totales!J82="0","i",IF(totales!E82="6"&amp;totales!H82="1"&amp;totales!I82="0"&amp;totales!J82="0","j",IF(totales!E82="1"&amp;totales!H82="2"&amp;totales!I82="0"&amp;totales!J82="0","k",IF(totales!E82="2"&amp;totales!H82="2"&amp;totales!I82="0"&amp;totales!J82="0","l",IF(totales!E82="3"&amp;totales!H82="2"&amp;totales!I82="0"&amp;totales!J82="0","m",
IF(totales!E82="4"&amp;totales!H82="2"&amp;totales!I82="0"&amp;totales!J82="0","n",IF(totales!E82="6"&amp;totales!H82="2"&amp;totales!I82="0"&amp;totales!J82="0","o",IF(totales!E82="1"&amp;totales!H82="0"&amp;totales!I82="1"&amp;totales!J82="0","p",IF(totales!E82="2"&amp;totales!H82="0"&amp;totales!I82="1"&amp;totales!J82="0","q",IF(totales!E82="3"&amp;totales!H82="0"&amp;totales!I82="1"&amp;totales!J82="0","r",IF(totales!E82="4"&amp;totales!H82="0"&amp;totales!I82="1"&amp;totales!J82="0","s",IF(totales!E82="6"&amp;totales!H82="0"&amp;totales!I82="1"&amp;totales!J82="0","t",IF(totales!E82="1"&amp;totales!H82="2"&amp;totales!I82="1"&amp;totales!J82="0","u",IF(totales!E82="2"&amp;totales!H82="2"&amp;totales!I82="1"&amp;totales!J82="0","v",IF(totales!E82="3"&amp;totales!H82="2"&amp;totales!I82="1"&amp;totales!J82="0","w",IF(totales!E82="4"&amp;totales!H82="2"&amp;totales!I82="1"&amp;totales!J82="0","x",
IF(totales!E82="6"&amp;totales!H82="2"&amp;totales!I82="1"&amp;totales!J82="0","y",IF(totales!E82="1"&amp;totales!H82="1"&amp;totales!I82="1"&amp;totales!J82="0","z",IF(totales!E82="2"&amp;totales!H82="1"&amp;totales!I82="1"&amp;totales!J82="0","0",IF(totales!E82="3"&amp;totales!H82="1"&amp;totales!I82="1"&amp;totales!J82="0","1",IF(totales!E82="4"&amp;totales!H82="1"&amp;totales!I82="1"&amp;totales!J82="0","2",IF(totales!E82="6"&amp;totales!H82="1"&amp;totales!I82="1"&amp;totales!J82="0","3",IF(totales!E82="1"&amp;totales!H82="0"&amp;totales!I82="1"&amp;totales!J82="1","4",IF(totales!E82="2"&amp;totales!H82="0"&amp;totales!I82="1"&amp;totales!J82="1","5",IF(totales!E82="3"&amp;totales!H82="0"&amp;totales!I82="1"&amp;totales!J82="1","6",IF(totales!E82="4"&amp;totales!H82="0"&amp;totales!I82="1"&amp;totales!J82="1","7",IF(totales!E82="6"&amp;totales!H82="0"&amp;totales!I82="1"&amp;totales!J82="1","8",IF(totales!E82="1"&amp;totales!H82="1"&amp;totales!I82="0"&amp;totales!J82="1","9"))))))))))))))))))))))))))))))))))))</f>
        <v>0</v>
      </c>
    </row>
    <row r="82" spans="22:22">
      <c r="V82" s="102" t="b">
        <f>IF(totales!E83="1"&amp;totales!H83="0"&amp;totales!I83="0"&amp;totales!J83="0","a",IF(totales!E83="2"&amp;totales!H83="0"&amp;totales!I83="0"&amp;totales!J83="0","b",IF(totales!E83="3"&amp;totales!H83="0"&amp;totales!I83="0"&amp;totales!J83="0","c",IF(totales!E83="4"&amp;totales!H83="0"&amp;totales!I83="0"&amp;totales!J83="0","d",IF(totales!E83="6"&amp;totales!H83="0"&amp;totales!I83="0"&amp;totales!J83="0","e",IF(totales!E83="1"&amp;totales!H83="1"&amp;totales!I83="0"&amp;totales!J83="0","f",IF(totales!E83="2"&amp;totales!H83="1"&amp;totales!I83="0"&amp;totales!J83="0","g",IF(totales!E83="3"&amp;totales!H83="1"&amp;totales!I83="0"&amp;totales!J83="0","h",IF(totales!E83="4"&amp;totales!H83="1"&amp;totales!I83="0"&amp;totales!J83="0","i",IF(totales!E83="6"&amp;totales!H83="1"&amp;totales!I83="0"&amp;totales!J83="0","j",IF(totales!E83="1"&amp;totales!H83="2"&amp;totales!I83="0"&amp;totales!J83="0","k",IF(totales!E83="2"&amp;totales!H83="2"&amp;totales!I83="0"&amp;totales!J83="0","l",IF(totales!E83="3"&amp;totales!H83="2"&amp;totales!I83="0"&amp;totales!J83="0","m",
IF(totales!E83="4"&amp;totales!H83="2"&amp;totales!I83="0"&amp;totales!J83="0","n",IF(totales!E83="6"&amp;totales!H83="2"&amp;totales!I83="0"&amp;totales!J83="0","o",IF(totales!E83="1"&amp;totales!H83="0"&amp;totales!I83="1"&amp;totales!J83="0","p",IF(totales!E83="2"&amp;totales!H83="0"&amp;totales!I83="1"&amp;totales!J83="0","q",IF(totales!E83="3"&amp;totales!H83="0"&amp;totales!I83="1"&amp;totales!J83="0","r",IF(totales!E83="4"&amp;totales!H83="0"&amp;totales!I83="1"&amp;totales!J83="0","s",IF(totales!E83="6"&amp;totales!H83="0"&amp;totales!I83="1"&amp;totales!J83="0","t",IF(totales!E83="1"&amp;totales!H83="2"&amp;totales!I83="1"&amp;totales!J83="0","u",IF(totales!E83="2"&amp;totales!H83="2"&amp;totales!I83="1"&amp;totales!J83="0","v",IF(totales!E83="3"&amp;totales!H83="2"&amp;totales!I83="1"&amp;totales!J83="0","w",IF(totales!E83="4"&amp;totales!H83="2"&amp;totales!I83="1"&amp;totales!J83="0","x",
IF(totales!E83="6"&amp;totales!H83="2"&amp;totales!I83="1"&amp;totales!J83="0","y",IF(totales!E83="1"&amp;totales!H83="1"&amp;totales!I83="1"&amp;totales!J83="0","z",IF(totales!E83="2"&amp;totales!H83="1"&amp;totales!I83="1"&amp;totales!J83="0","0",IF(totales!E83="3"&amp;totales!H83="1"&amp;totales!I83="1"&amp;totales!J83="0","1",IF(totales!E83="4"&amp;totales!H83="1"&amp;totales!I83="1"&amp;totales!J83="0","2",IF(totales!E83="6"&amp;totales!H83="1"&amp;totales!I83="1"&amp;totales!J83="0","3",IF(totales!E83="1"&amp;totales!H83="0"&amp;totales!I83="1"&amp;totales!J83="1","4",IF(totales!E83="2"&amp;totales!H83="0"&amp;totales!I83="1"&amp;totales!J83="1","5",IF(totales!E83="3"&amp;totales!H83="0"&amp;totales!I83="1"&amp;totales!J83="1","6",IF(totales!E83="4"&amp;totales!H83="0"&amp;totales!I83="1"&amp;totales!J83="1","7",IF(totales!E83="6"&amp;totales!H83="0"&amp;totales!I83="1"&amp;totales!J83="1","8",IF(totales!E83="1"&amp;totales!H83="1"&amp;totales!I83="0"&amp;totales!J83="1","9"))))))))))))))))))))))))))))))))))))</f>
        <v>0</v>
      </c>
    </row>
    <row r="83" spans="22:22">
      <c r="V83" s="102" t="b">
        <f>IF(totales!E84="1"&amp;totales!H84="0"&amp;totales!I84="0"&amp;totales!J84="0","a",IF(totales!E84="2"&amp;totales!H84="0"&amp;totales!I84="0"&amp;totales!J84="0","b",IF(totales!E84="3"&amp;totales!H84="0"&amp;totales!I84="0"&amp;totales!J84="0","c",IF(totales!E84="4"&amp;totales!H84="0"&amp;totales!I84="0"&amp;totales!J84="0","d",IF(totales!E84="6"&amp;totales!H84="0"&amp;totales!I84="0"&amp;totales!J84="0","e",IF(totales!E84="1"&amp;totales!H84="1"&amp;totales!I84="0"&amp;totales!J84="0","f",IF(totales!E84="2"&amp;totales!H84="1"&amp;totales!I84="0"&amp;totales!J84="0","g",IF(totales!E84="3"&amp;totales!H84="1"&amp;totales!I84="0"&amp;totales!J84="0","h",IF(totales!E84="4"&amp;totales!H84="1"&amp;totales!I84="0"&amp;totales!J84="0","i",IF(totales!E84="6"&amp;totales!H84="1"&amp;totales!I84="0"&amp;totales!J84="0","j",IF(totales!E84="1"&amp;totales!H84="2"&amp;totales!I84="0"&amp;totales!J84="0","k",IF(totales!E84="2"&amp;totales!H84="2"&amp;totales!I84="0"&amp;totales!J84="0","l",IF(totales!E84="3"&amp;totales!H84="2"&amp;totales!I84="0"&amp;totales!J84="0","m",
IF(totales!E84="4"&amp;totales!H84="2"&amp;totales!I84="0"&amp;totales!J84="0","n",IF(totales!E84="6"&amp;totales!H84="2"&amp;totales!I84="0"&amp;totales!J84="0","o",IF(totales!E84="1"&amp;totales!H84="0"&amp;totales!I84="1"&amp;totales!J84="0","p",IF(totales!E84="2"&amp;totales!H84="0"&amp;totales!I84="1"&amp;totales!J84="0","q",IF(totales!E84="3"&amp;totales!H84="0"&amp;totales!I84="1"&amp;totales!J84="0","r",IF(totales!E84="4"&amp;totales!H84="0"&amp;totales!I84="1"&amp;totales!J84="0","s",IF(totales!E84="6"&amp;totales!H84="0"&amp;totales!I84="1"&amp;totales!J84="0","t",IF(totales!E84="1"&amp;totales!H84="2"&amp;totales!I84="1"&amp;totales!J84="0","u",IF(totales!E84="2"&amp;totales!H84="2"&amp;totales!I84="1"&amp;totales!J84="0","v",IF(totales!E84="3"&amp;totales!H84="2"&amp;totales!I84="1"&amp;totales!J84="0","w",IF(totales!E84="4"&amp;totales!H84="2"&amp;totales!I84="1"&amp;totales!J84="0","x",
IF(totales!E84="6"&amp;totales!H84="2"&amp;totales!I84="1"&amp;totales!J84="0","y",IF(totales!E84="1"&amp;totales!H84="1"&amp;totales!I84="1"&amp;totales!J84="0","z",IF(totales!E84="2"&amp;totales!H84="1"&amp;totales!I84="1"&amp;totales!J84="0","0",IF(totales!E84="3"&amp;totales!H84="1"&amp;totales!I84="1"&amp;totales!J84="0","1",IF(totales!E84="4"&amp;totales!H84="1"&amp;totales!I84="1"&amp;totales!J84="0","2",IF(totales!E84="6"&amp;totales!H84="1"&amp;totales!I84="1"&amp;totales!J84="0","3",IF(totales!E84="1"&amp;totales!H84="0"&amp;totales!I84="1"&amp;totales!J84="1","4",IF(totales!E84="2"&amp;totales!H84="0"&amp;totales!I84="1"&amp;totales!J84="1","5",IF(totales!E84="3"&amp;totales!H84="0"&amp;totales!I84="1"&amp;totales!J84="1","6",IF(totales!E84="4"&amp;totales!H84="0"&amp;totales!I84="1"&amp;totales!J84="1","7",IF(totales!E84="6"&amp;totales!H84="0"&amp;totales!I84="1"&amp;totales!J84="1","8",IF(totales!E84="1"&amp;totales!H84="1"&amp;totales!I84="0"&amp;totales!J84="1","9"))))))))))))))))))))))))))))))))))))</f>
        <v>0</v>
      </c>
    </row>
    <row r="84" spans="22:22">
      <c r="V84" s="102" t="b">
        <f>IF(totales!E85="1"&amp;totales!H85="0"&amp;totales!I85="0"&amp;totales!J85="0","a",IF(totales!E85="2"&amp;totales!H85="0"&amp;totales!I85="0"&amp;totales!J85="0","b",IF(totales!E85="3"&amp;totales!H85="0"&amp;totales!I85="0"&amp;totales!J85="0","c",IF(totales!E85="4"&amp;totales!H85="0"&amp;totales!I85="0"&amp;totales!J85="0","d",IF(totales!E85="6"&amp;totales!H85="0"&amp;totales!I85="0"&amp;totales!J85="0","e",IF(totales!E85="1"&amp;totales!H85="1"&amp;totales!I85="0"&amp;totales!J85="0","f",IF(totales!E85="2"&amp;totales!H85="1"&amp;totales!I85="0"&amp;totales!J85="0","g",IF(totales!E85="3"&amp;totales!H85="1"&amp;totales!I85="0"&amp;totales!J85="0","h",IF(totales!E85="4"&amp;totales!H85="1"&amp;totales!I85="0"&amp;totales!J85="0","i",IF(totales!E85="6"&amp;totales!H85="1"&amp;totales!I85="0"&amp;totales!J85="0","j",IF(totales!E85="1"&amp;totales!H85="2"&amp;totales!I85="0"&amp;totales!J85="0","k",IF(totales!E85="2"&amp;totales!H85="2"&amp;totales!I85="0"&amp;totales!J85="0","l",IF(totales!E85="3"&amp;totales!H85="2"&amp;totales!I85="0"&amp;totales!J85="0","m",
IF(totales!E85="4"&amp;totales!H85="2"&amp;totales!I85="0"&amp;totales!J85="0","n",IF(totales!E85="6"&amp;totales!H85="2"&amp;totales!I85="0"&amp;totales!J85="0","o",IF(totales!E85="1"&amp;totales!H85="0"&amp;totales!I85="1"&amp;totales!J85="0","p",IF(totales!E85="2"&amp;totales!H85="0"&amp;totales!I85="1"&amp;totales!J85="0","q",IF(totales!E85="3"&amp;totales!H85="0"&amp;totales!I85="1"&amp;totales!J85="0","r",IF(totales!E85="4"&amp;totales!H85="0"&amp;totales!I85="1"&amp;totales!J85="0","s",IF(totales!E85="6"&amp;totales!H85="0"&amp;totales!I85="1"&amp;totales!J85="0","t",IF(totales!E85="1"&amp;totales!H85="2"&amp;totales!I85="1"&amp;totales!J85="0","u",IF(totales!E85="2"&amp;totales!H85="2"&amp;totales!I85="1"&amp;totales!J85="0","v",IF(totales!E85="3"&amp;totales!H85="2"&amp;totales!I85="1"&amp;totales!J85="0","w",IF(totales!E85="4"&amp;totales!H85="2"&amp;totales!I85="1"&amp;totales!J85="0","x",
IF(totales!E85="6"&amp;totales!H85="2"&amp;totales!I85="1"&amp;totales!J85="0","y",IF(totales!E85="1"&amp;totales!H85="1"&amp;totales!I85="1"&amp;totales!J85="0","z",IF(totales!E85="2"&amp;totales!H85="1"&amp;totales!I85="1"&amp;totales!J85="0","0",IF(totales!E85="3"&amp;totales!H85="1"&amp;totales!I85="1"&amp;totales!J85="0","1",IF(totales!E85="4"&amp;totales!H85="1"&amp;totales!I85="1"&amp;totales!J85="0","2",IF(totales!E85="6"&amp;totales!H85="1"&amp;totales!I85="1"&amp;totales!J85="0","3",IF(totales!E85="1"&amp;totales!H85="0"&amp;totales!I85="1"&amp;totales!J85="1","4",IF(totales!E85="2"&amp;totales!H85="0"&amp;totales!I85="1"&amp;totales!J85="1","5",IF(totales!E85="3"&amp;totales!H85="0"&amp;totales!I85="1"&amp;totales!J85="1","6",IF(totales!E85="4"&amp;totales!H85="0"&amp;totales!I85="1"&amp;totales!J85="1","7",IF(totales!E85="6"&amp;totales!H85="0"&amp;totales!I85="1"&amp;totales!J85="1","8",IF(totales!E85="1"&amp;totales!H85="1"&amp;totales!I85="0"&amp;totales!J85="1","9"))))))))))))))))))))))))))))))))))))</f>
        <v>0</v>
      </c>
    </row>
    <row r="85" spans="22:22">
      <c r="V85" s="102" t="b">
        <f>IF(totales!E86="1"&amp;totales!H86="0"&amp;totales!I86="0"&amp;totales!J86="0","a",IF(totales!E86="2"&amp;totales!H86="0"&amp;totales!I86="0"&amp;totales!J86="0","b",IF(totales!E86="3"&amp;totales!H86="0"&amp;totales!I86="0"&amp;totales!J86="0","c",IF(totales!E86="4"&amp;totales!H86="0"&amp;totales!I86="0"&amp;totales!J86="0","d",IF(totales!E86="6"&amp;totales!H86="0"&amp;totales!I86="0"&amp;totales!J86="0","e",IF(totales!E86="1"&amp;totales!H86="1"&amp;totales!I86="0"&amp;totales!J86="0","f",IF(totales!E86="2"&amp;totales!H86="1"&amp;totales!I86="0"&amp;totales!J86="0","g",IF(totales!E86="3"&amp;totales!H86="1"&amp;totales!I86="0"&amp;totales!J86="0","h",IF(totales!E86="4"&amp;totales!H86="1"&amp;totales!I86="0"&amp;totales!J86="0","i",IF(totales!E86="6"&amp;totales!H86="1"&amp;totales!I86="0"&amp;totales!J86="0","j",IF(totales!E86="1"&amp;totales!H86="2"&amp;totales!I86="0"&amp;totales!J86="0","k",IF(totales!E86="2"&amp;totales!H86="2"&amp;totales!I86="0"&amp;totales!J86="0","l",IF(totales!E86="3"&amp;totales!H86="2"&amp;totales!I86="0"&amp;totales!J86="0","m",
IF(totales!E86="4"&amp;totales!H86="2"&amp;totales!I86="0"&amp;totales!J86="0","n",IF(totales!E86="6"&amp;totales!H86="2"&amp;totales!I86="0"&amp;totales!J86="0","o",IF(totales!E86="1"&amp;totales!H86="0"&amp;totales!I86="1"&amp;totales!J86="0","p",IF(totales!E86="2"&amp;totales!H86="0"&amp;totales!I86="1"&amp;totales!J86="0","q",IF(totales!E86="3"&amp;totales!H86="0"&amp;totales!I86="1"&amp;totales!J86="0","r",IF(totales!E86="4"&amp;totales!H86="0"&amp;totales!I86="1"&amp;totales!J86="0","s",IF(totales!E86="6"&amp;totales!H86="0"&amp;totales!I86="1"&amp;totales!J86="0","t",IF(totales!E86="1"&amp;totales!H86="2"&amp;totales!I86="1"&amp;totales!J86="0","u",IF(totales!E86="2"&amp;totales!H86="2"&amp;totales!I86="1"&amp;totales!J86="0","v",IF(totales!E86="3"&amp;totales!H86="2"&amp;totales!I86="1"&amp;totales!J86="0","w",IF(totales!E86="4"&amp;totales!H86="2"&amp;totales!I86="1"&amp;totales!J86="0","x",
IF(totales!E86="6"&amp;totales!H86="2"&amp;totales!I86="1"&amp;totales!J86="0","y",IF(totales!E86="1"&amp;totales!H86="1"&amp;totales!I86="1"&amp;totales!J86="0","z",IF(totales!E86="2"&amp;totales!H86="1"&amp;totales!I86="1"&amp;totales!J86="0","0",IF(totales!E86="3"&amp;totales!H86="1"&amp;totales!I86="1"&amp;totales!J86="0","1",IF(totales!E86="4"&amp;totales!H86="1"&amp;totales!I86="1"&amp;totales!J86="0","2",IF(totales!E86="6"&amp;totales!H86="1"&amp;totales!I86="1"&amp;totales!J86="0","3",IF(totales!E86="1"&amp;totales!H86="0"&amp;totales!I86="1"&amp;totales!J86="1","4",IF(totales!E86="2"&amp;totales!H86="0"&amp;totales!I86="1"&amp;totales!J86="1","5",IF(totales!E86="3"&amp;totales!H86="0"&amp;totales!I86="1"&amp;totales!J86="1","6",IF(totales!E86="4"&amp;totales!H86="0"&amp;totales!I86="1"&amp;totales!J86="1","7",IF(totales!E86="6"&amp;totales!H86="0"&amp;totales!I86="1"&amp;totales!J86="1","8",IF(totales!E86="1"&amp;totales!H86="1"&amp;totales!I86="0"&amp;totales!J86="1","9"))))))))))))))))))))))))))))))))))))</f>
        <v>0</v>
      </c>
    </row>
    <row r="86" spans="22:22">
      <c r="V86" s="102" t="b">
        <f>IF(totales!E87="1"&amp;totales!H87="0"&amp;totales!I87="0"&amp;totales!J87="0","a",IF(totales!E87="2"&amp;totales!H87="0"&amp;totales!I87="0"&amp;totales!J87="0","b",IF(totales!E87="3"&amp;totales!H87="0"&amp;totales!I87="0"&amp;totales!J87="0","c",IF(totales!E87="4"&amp;totales!H87="0"&amp;totales!I87="0"&amp;totales!J87="0","d",IF(totales!E87="6"&amp;totales!H87="0"&amp;totales!I87="0"&amp;totales!J87="0","e",IF(totales!E87="1"&amp;totales!H87="1"&amp;totales!I87="0"&amp;totales!J87="0","f",IF(totales!E87="2"&amp;totales!H87="1"&amp;totales!I87="0"&amp;totales!J87="0","g",IF(totales!E87="3"&amp;totales!H87="1"&amp;totales!I87="0"&amp;totales!J87="0","h",IF(totales!E87="4"&amp;totales!H87="1"&amp;totales!I87="0"&amp;totales!J87="0","i",IF(totales!E87="6"&amp;totales!H87="1"&amp;totales!I87="0"&amp;totales!J87="0","j",IF(totales!E87="1"&amp;totales!H87="2"&amp;totales!I87="0"&amp;totales!J87="0","k",IF(totales!E87="2"&amp;totales!H87="2"&amp;totales!I87="0"&amp;totales!J87="0","l",IF(totales!E87="3"&amp;totales!H87="2"&amp;totales!I87="0"&amp;totales!J87="0","m",
IF(totales!E87="4"&amp;totales!H87="2"&amp;totales!I87="0"&amp;totales!J87="0","n",IF(totales!E87="6"&amp;totales!H87="2"&amp;totales!I87="0"&amp;totales!J87="0","o",IF(totales!E87="1"&amp;totales!H87="0"&amp;totales!I87="1"&amp;totales!J87="0","p",IF(totales!E87="2"&amp;totales!H87="0"&amp;totales!I87="1"&amp;totales!J87="0","q",IF(totales!E87="3"&amp;totales!H87="0"&amp;totales!I87="1"&amp;totales!J87="0","r",IF(totales!E87="4"&amp;totales!H87="0"&amp;totales!I87="1"&amp;totales!J87="0","s",IF(totales!E87="6"&amp;totales!H87="0"&amp;totales!I87="1"&amp;totales!J87="0","t",IF(totales!E87="1"&amp;totales!H87="2"&amp;totales!I87="1"&amp;totales!J87="0","u",IF(totales!E87="2"&amp;totales!H87="2"&amp;totales!I87="1"&amp;totales!J87="0","v",IF(totales!E87="3"&amp;totales!H87="2"&amp;totales!I87="1"&amp;totales!J87="0","w",IF(totales!E87="4"&amp;totales!H87="2"&amp;totales!I87="1"&amp;totales!J87="0","x",
IF(totales!E87="6"&amp;totales!H87="2"&amp;totales!I87="1"&amp;totales!J87="0","y",IF(totales!E87="1"&amp;totales!H87="1"&amp;totales!I87="1"&amp;totales!J87="0","z",IF(totales!E87="2"&amp;totales!H87="1"&amp;totales!I87="1"&amp;totales!J87="0","0",IF(totales!E87="3"&amp;totales!H87="1"&amp;totales!I87="1"&amp;totales!J87="0","1",IF(totales!E87="4"&amp;totales!H87="1"&amp;totales!I87="1"&amp;totales!J87="0","2",IF(totales!E87="6"&amp;totales!H87="1"&amp;totales!I87="1"&amp;totales!J87="0","3",IF(totales!E87="1"&amp;totales!H87="0"&amp;totales!I87="1"&amp;totales!J87="1","4",IF(totales!E87="2"&amp;totales!H87="0"&amp;totales!I87="1"&amp;totales!J87="1","5",IF(totales!E87="3"&amp;totales!H87="0"&amp;totales!I87="1"&amp;totales!J87="1","6",IF(totales!E87="4"&amp;totales!H87="0"&amp;totales!I87="1"&amp;totales!J87="1","7",IF(totales!E87="6"&amp;totales!H87="0"&amp;totales!I87="1"&amp;totales!J87="1","8",IF(totales!E87="1"&amp;totales!H87="1"&amp;totales!I87="0"&amp;totales!J87="1","9"))))))))))))))))))))))))))))))))))))</f>
        <v>0</v>
      </c>
    </row>
    <row r="87" spans="22:22">
      <c r="V87" s="102" t="b">
        <f>IF(totales!E88="1"&amp;totales!H88="0"&amp;totales!I88="0"&amp;totales!J88="0","a",IF(totales!E88="2"&amp;totales!H88="0"&amp;totales!I88="0"&amp;totales!J88="0","b",IF(totales!E88="3"&amp;totales!H88="0"&amp;totales!I88="0"&amp;totales!J88="0","c",IF(totales!E88="4"&amp;totales!H88="0"&amp;totales!I88="0"&amp;totales!J88="0","d",IF(totales!E88="6"&amp;totales!H88="0"&amp;totales!I88="0"&amp;totales!J88="0","e",IF(totales!E88="1"&amp;totales!H88="1"&amp;totales!I88="0"&amp;totales!J88="0","f",IF(totales!E88="2"&amp;totales!H88="1"&amp;totales!I88="0"&amp;totales!J88="0","g",IF(totales!E88="3"&amp;totales!H88="1"&amp;totales!I88="0"&amp;totales!J88="0","h",IF(totales!E88="4"&amp;totales!H88="1"&amp;totales!I88="0"&amp;totales!J88="0","i",IF(totales!E88="6"&amp;totales!H88="1"&amp;totales!I88="0"&amp;totales!J88="0","j",IF(totales!E88="1"&amp;totales!H88="2"&amp;totales!I88="0"&amp;totales!J88="0","k",IF(totales!E88="2"&amp;totales!H88="2"&amp;totales!I88="0"&amp;totales!J88="0","l",IF(totales!E88="3"&amp;totales!H88="2"&amp;totales!I88="0"&amp;totales!J88="0","m",
IF(totales!E88="4"&amp;totales!H88="2"&amp;totales!I88="0"&amp;totales!J88="0","n",IF(totales!E88="6"&amp;totales!H88="2"&amp;totales!I88="0"&amp;totales!J88="0","o",IF(totales!E88="1"&amp;totales!H88="0"&amp;totales!I88="1"&amp;totales!J88="0","p",IF(totales!E88="2"&amp;totales!H88="0"&amp;totales!I88="1"&amp;totales!J88="0","q",IF(totales!E88="3"&amp;totales!H88="0"&amp;totales!I88="1"&amp;totales!J88="0","r",IF(totales!E88="4"&amp;totales!H88="0"&amp;totales!I88="1"&amp;totales!J88="0","s",IF(totales!E88="6"&amp;totales!H88="0"&amp;totales!I88="1"&amp;totales!J88="0","t",IF(totales!E88="1"&amp;totales!H88="2"&amp;totales!I88="1"&amp;totales!J88="0","u",IF(totales!E88="2"&amp;totales!H88="2"&amp;totales!I88="1"&amp;totales!J88="0","v",IF(totales!E88="3"&amp;totales!H88="2"&amp;totales!I88="1"&amp;totales!J88="0","w",IF(totales!E88="4"&amp;totales!H88="2"&amp;totales!I88="1"&amp;totales!J88="0","x",
IF(totales!E88="6"&amp;totales!H88="2"&amp;totales!I88="1"&amp;totales!J88="0","y",IF(totales!E88="1"&amp;totales!H88="1"&amp;totales!I88="1"&amp;totales!J88="0","z",IF(totales!E88="2"&amp;totales!H88="1"&amp;totales!I88="1"&amp;totales!J88="0","0",IF(totales!E88="3"&amp;totales!H88="1"&amp;totales!I88="1"&amp;totales!J88="0","1",IF(totales!E88="4"&amp;totales!H88="1"&amp;totales!I88="1"&amp;totales!J88="0","2",IF(totales!E88="6"&amp;totales!H88="1"&amp;totales!I88="1"&amp;totales!J88="0","3",IF(totales!E88="1"&amp;totales!H88="0"&amp;totales!I88="1"&amp;totales!J88="1","4",IF(totales!E88="2"&amp;totales!H88="0"&amp;totales!I88="1"&amp;totales!J88="1","5",IF(totales!E88="3"&amp;totales!H88="0"&amp;totales!I88="1"&amp;totales!J88="1","6",IF(totales!E88="4"&amp;totales!H88="0"&amp;totales!I88="1"&amp;totales!J88="1","7",IF(totales!E88="6"&amp;totales!H88="0"&amp;totales!I88="1"&amp;totales!J88="1","8",IF(totales!E88="1"&amp;totales!H88="1"&amp;totales!I88="0"&amp;totales!J88="1","9"))))))))))))))))))))))))))))))))))))</f>
        <v>0</v>
      </c>
    </row>
    <row r="88" spans="22:22">
      <c r="V88" s="102" t="b">
        <f>IF(totales!E89="1"&amp;totales!H89="0"&amp;totales!I89="0"&amp;totales!J89="0","a",IF(totales!E89="2"&amp;totales!H89="0"&amp;totales!I89="0"&amp;totales!J89="0","b",IF(totales!E89="3"&amp;totales!H89="0"&amp;totales!I89="0"&amp;totales!J89="0","c",IF(totales!E89="4"&amp;totales!H89="0"&amp;totales!I89="0"&amp;totales!J89="0","d",IF(totales!E89="6"&amp;totales!H89="0"&amp;totales!I89="0"&amp;totales!J89="0","e",IF(totales!E89="1"&amp;totales!H89="1"&amp;totales!I89="0"&amp;totales!J89="0","f",IF(totales!E89="2"&amp;totales!H89="1"&amp;totales!I89="0"&amp;totales!J89="0","g",IF(totales!E89="3"&amp;totales!H89="1"&amp;totales!I89="0"&amp;totales!J89="0","h",IF(totales!E89="4"&amp;totales!H89="1"&amp;totales!I89="0"&amp;totales!J89="0","i",IF(totales!E89="6"&amp;totales!H89="1"&amp;totales!I89="0"&amp;totales!J89="0","j",IF(totales!E89="1"&amp;totales!H89="2"&amp;totales!I89="0"&amp;totales!J89="0","k",IF(totales!E89="2"&amp;totales!H89="2"&amp;totales!I89="0"&amp;totales!J89="0","l",IF(totales!E89="3"&amp;totales!H89="2"&amp;totales!I89="0"&amp;totales!J89="0","m",
IF(totales!E89="4"&amp;totales!H89="2"&amp;totales!I89="0"&amp;totales!J89="0","n",IF(totales!E89="6"&amp;totales!H89="2"&amp;totales!I89="0"&amp;totales!J89="0","o",IF(totales!E89="1"&amp;totales!H89="0"&amp;totales!I89="1"&amp;totales!J89="0","p",IF(totales!E89="2"&amp;totales!H89="0"&amp;totales!I89="1"&amp;totales!J89="0","q",IF(totales!E89="3"&amp;totales!H89="0"&amp;totales!I89="1"&amp;totales!J89="0","r",IF(totales!E89="4"&amp;totales!H89="0"&amp;totales!I89="1"&amp;totales!J89="0","s",IF(totales!E89="6"&amp;totales!H89="0"&amp;totales!I89="1"&amp;totales!J89="0","t",IF(totales!E89="1"&amp;totales!H89="2"&amp;totales!I89="1"&amp;totales!J89="0","u",IF(totales!E89="2"&amp;totales!H89="2"&amp;totales!I89="1"&amp;totales!J89="0","v",IF(totales!E89="3"&amp;totales!H89="2"&amp;totales!I89="1"&amp;totales!J89="0","w",IF(totales!E89="4"&amp;totales!H89="2"&amp;totales!I89="1"&amp;totales!J89="0","x",
IF(totales!E89="6"&amp;totales!H89="2"&amp;totales!I89="1"&amp;totales!J89="0","y",IF(totales!E89="1"&amp;totales!H89="1"&amp;totales!I89="1"&amp;totales!J89="0","z",IF(totales!E89="2"&amp;totales!H89="1"&amp;totales!I89="1"&amp;totales!J89="0","0",IF(totales!E89="3"&amp;totales!H89="1"&amp;totales!I89="1"&amp;totales!J89="0","1",IF(totales!E89="4"&amp;totales!H89="1"&amp;totales!I89="1"&amp;totales!J89="0","2",IF(totales!E89="6"&amp;totales!H89="1"&amp;totales!I89="1"&amp;totales!J89="0","3",IF(totales!E89="1"&amp;totales!H89="0"&amp;totales!I89="1"&amp;totales!J89="1","4",IF(totales!E89="2"&amp;totales!H89="0"&amp;totales!I89="1"&amp;totales!J89="1","5",IF(totales!E89="3"&amp;totales!H89="0"&amp;totales!I89="1"&amp;totales!J89="1","6",IF(totales!E89="4"&amp;totales!H89="0"&amp;totales!I89="1"&amp;totales!J89="1","7",IF(totales!E89="6"&amp;totales!H89="0"&amp;totales!I89="1"&amp;totales!J89="1","8",IF(totales!E89="1"&amp;totales!H89="1"&amp;totales!I89="0"&amp;totales!J89="1","9"))))))))))))))))))))))))))))))))))))</f>
        <v>0</v>
      </c>
    </row>
    <row r="89" spans="22:22">
      <c r="V89" s="102" t="b">
        <f>IF(totales!E90="1"&amp;totales!H90="0"&amp;totales!I90="0"&amp;totales!J90="0","a",IF(totales!E90="2"&amp;totales!H90="0"&amp;totales!I90="0"&amp;totales!J90="0","b",IF(totales!E90="3"&amp;totales!H90="0"&amp;totales!I90="0"&amp;totales!J90="0","c",IF(totales!E90="4"&amp;totales!H90="0"&amp;totales!I90="0"&amp;totales!J90="0","d",IF(totales!E90="6"&amp;totales!H90="0"&amp;totales!I90="0"&amp;totales!J90="0","e",IF(totales!E90="1"&amp;totales!H90="1"&amp;totales!I90="0"&amp;totales!J90="0","f",IF(totales!E90="2"&amp;totales!H90="1"&amp;totales!I90="0"&amp;totales!J90="0","g",IF(totales!E90="3"&amp;totales!H90="1"&amp;totales!I90="0"&amp;totales!J90="0","h",IF(totales!E90="4"&amp;totales!H90="1"&amp;totales!I90="0"&amp;totales!J90="0","i",IF(totales!E90="6"&amp;totales!H90="1"&amp;totales!I90="0"&amp;totales!J90="0","j",IF(totales!E90="1"&amp;totales!H90="2"&amp;totales!I90="0"&amp;totales!J90="0","k",IF(totales!E90="2"&amp;totales!H90="2"&amp;totales!I90="0"&amp;totales!J90="0","l",IF(totales!E90="3"&amp;totales!H90="2"&amp;totales!I90="0"&amp;totales!J90="0","m",
IF(totales!E90="4"&amp;totales!H90="2"&amp;totales!I90="0"&amp;totales!J90="0","n",IF(totales!E90="6"&amp;totales!H90="2"&amp;totales!I90="0"&amp;totales!J90="0","o",IF(totales!E90="1"&amp;totales!H90="0"&amp;totales!I90="1"&amp;totales!J90="0","p",IF(totales!E90="2"&amp;totales!H90="0"&amp;totales!I90="1"&amp;totales!J90="0","q",IF(totales!E90="3"&amp;totales!H90="0"&amp;totales!I90="1"&amp;totales!J90="0","r",IF(totales!E90="4"&amp;totales!H90="0"&amp;totales!I90="1"&amp;totales!J90="0","s",IF(totales!E90="6"&amp;totales!H90="0"&amp;totales!I90="1"&amp;totales!J90="0","t",IF(totales!E90="1"&amp;totales!H90="2"&amp;totales!I90="1"&amp;totales!J90="0","u",IF(totales!E90="2"&amp;totales!H90="2"&amp;totales!I90="1"&amp;totales!J90="0","v",IF(totales!E90="3"&amp;totales!H90="2"&amp;totales!I90="1"&amp;totales!J90="0","w",IF(totales!E90="4"&amp;totales!H90="2"&amp;totales!I90="1"&amp;totales!J90="0","x",
IF(totales!E90="6"&amp;totales!H90="2"&amp;totales!I90="1"&amp;totales!J90="0","y",IF(totales!E90="1"&amp;totales!H90="1"&amp;totales!I90="1"&amp;totales!J90="0","z",IF(totales!E90="2"&amp;totales!H90="1"&amp;totales!I90="1"&amp;totales!J90="0","0",IF(totales!E90="3"&amp;totales!H90="1"&amp;totales!I90="1"&amp;totales!J90="0","1",IF(totales!E90="4"&amp;totales!H90="1"&amp;totales!I90="1"&amp;totales!J90="0","2",IF(totales!E90="6"&amp;totales!H90="1"&amp;totales!I90="1"&amp;totales!J90="0","3",IF(totales!E90="1"&amp;totales!H90="0"&amp;totales!I90="1"&amp;totales!J90="1","4",IF(totales!E90="2"&amp;totales!H90="0"&amp;totales!I90="1"&amp;totales!J90="1","5",IF(totales!E90="3"&amp;totales!H90="0"&amp;totales!I90="1"&amp;totales!J90="1","6",IF(totales!E90="4"&amp;totales!H90="0"&amp;totales!I90="1"&amp;totales!J90="1","7",IF(totales!E90="6"&amp;totales!H90="0"&amp;totales!I90="1"&amp;totales!J90="1","8",IF(totales!E90="1"&amp;totales!H90="1"&amp;totales!I90="0"&amp;totales!J90="1","9"))))))))))))))))))))))))))))))))))))</f>
        <v>0</v>
      </c>
    </row>
    <row r="90" spans="22:22">
      <c r="V90" s="102" t="b">
        <f>IF(totales!E91="1"&amp;totales!H91="0"&amp;totales!I91="0"&amp;totales!J91="0","a",IF(totales!E91="2"&amp;totales!H91="0"&amp;totales!I91="0"&amp;totales!J91="0","b",IF(totales!E91="3"&amp;totales!H91="0"&amp;totales!I91="0"&amp;totales!J91="0","c",IF(totales!E91="4"&amp;totales!H91="0"&amp;totales!I91="0"&amp;totales!J91="0","d",IF(totales!E91="6"&amp;totales!H91="0"&amp;totales!I91="0"&amp;totales!J91="0","e",IF(totales!E91="1"&amp;totales!H91="1"&amp;totales!I91="0"&amp;totales!J91="0","f",IF(totales!E91="2"&amp;totales!H91="1"&amp;totales!I91="0"&amp;totales!J91="0","g",IF(totales!E91="3"&amp;totales!H91="1"&amp;totales!I91="0"&amp;totales!J91="0","h",IF(totales!E91="4"&amp;totales!H91="1"&amp;totales!I91="0"&amp;totales!J91="0","i",IF(totales!E91="6"&amp;totales!H91="1"&amp;totales!I91="0"&amp;totales!J91="0","j",IF(totales!E91="1"&amp;totales!H91="2"&amp;totales!I91="0"&amp;totales!J91="0","k",IF(totales!E91="2"&amp;totales!H91="2"&amp;totales!I91="0"&amp;totales!J91="0","l",IF(totales!E91="3"&amp;totales!H91="2"&amp;totales!I91="0"&amp;totales!J91="0","m",
IF(totales!E91="4"&amp;totales!H91="2"&amp;totales!I91="0"&amp;totales!J91="0","n",IF(totales!E91="6"&amp;totales!H91="2"&amp;totales!I91="0"&amp;totales!J91="0","o",IF(totales!E91="1"&amp;totales!H91="0"&amp;totales!I91="1"&amp;totales!J91="0","p",IF(totales!E91="2"&amp;totales!H91="0"&amp;totales!I91="1"&amp;totales!J91="0","q",IF(totales!E91="3"&amp;totales!H91="0"&amp;totales!I91="1"&amp;totales!J91="0","r",IF(totales!E91="4"&amp;totales!H91="0"&amp;totales!I91="1"&amp;totales!J91="0","s",IF(totales!E91="6"&amp;totales!H91="0"&amp;totales!I91="1"&amp;totales!J91="0","t",IF(totales!E91="1"&amp;totales!H91="2"&amp;totales!I91="1"&amp;totales!J91="0","u",IF(totales!E91="2"&amp;totales!H91="2"&amp;totales!I91="1"&amp;totales!J91="0","v",IF(totales!E91="3"&amp;totales!H91="2"&amp;totales!I91="1"&amp;totales!J91="0","w",IF(totales!E91="4"&amp;totales!H91="2"&amp;totales!I91="1"&amp;totales!J91="0","x",
IF(totales!E91="6"&amp;totales!H91="2"&amp;totales!I91="1"&amp;totales!J91="0","y",IF(totales!E91="1"&amp;totales!H91="1"&amp;totales!I91="1"&amp;totales!J91="0","z",IF(totales!E91="2"&amp;totales!H91="1"&amp;totales!I91="1"&amp;totales!J91="0","0",IF(totales!E91="3"&amp;totales!H91="1"&amp;totales!I91="1"&amp;totales!J91="0","1",IF(totales!E91="4"&amp;totales!H91="1"&amp;totales!I91="1"&amp;totales!J91="0","2",IF(totales!E91="6"&amp;totales!H91="1"&amp;totales!I91="1"&amp;totales!J91="0","3",IF(totales!E91="1"&amp;totales!H91="0"&amp;totales!I91="1"&amp;totales!J91="1","4",IF(totales!E91="2"&amp;totales!H91="0"&amp;totales!I91="1"&amp;totales!J91="1","5",IF(totales!E91="3"&amp;totales!H91="0"&amp;totales!I91="1"&amp;totales!J91="1","6",IF(totales!E91="4"&amp;totales!H91="0"&amp;totales!I91="1"&amp;totales!J91="1","7",IF(totales!E91="6"&amp;totales!H91="0"&amp;totales!I91="1"&amp;totales!J91="1","8",IF(totales!E91="1"&amp;totales!H91="1"&amp;totales!I91="0"&amp;totales!J91="1","9"))))))))))))))))))))))))))))))))))))</f>
        <v>0</v>
      </c>
    </row>
    <row r="91" spans="22:22">
      <c r="V91" s="102" t="b">
        <f>IF(totales!E92="1"&amp;totales!H92="0"&amp;totales!I92="0"&amp;totales!J92="0","a",IF(totales!E92="2"&amp;totales!H92="0"&amp;totales!I92="0"&amp;totales!J92="0","b",IF(totales!E92="3"&amp;totales!H92="0"&amp;totales!I92="0"&amp;totales!J92="0","c",IF(totales!E92="4"&amp;totales!H92="0"&amp;totales!I92="0"&amp;totales!J92="0","d",IF(totales!E92="6"&amp;totales!H92="0"&amp;totales!I92="0"&amp;totales!J92="0","e",IF(totales!E92="1"&amp;totales!H92="1"&amp;totales!I92="0"&amp;totales!J92="0","f",IF(totales!E92="2"&amp;totales!H92="1"&amp;totales!I92="0"&amp;totales!J92="0","g",IF(totales!E92="3"&amp;totales!H92="1"&amp;totales!I92="0"&amp;totales!J92="0","h",IF(totales!E92="4"&amp;totales!H92="1"&amp;totales!I92="0"&amp;totales!J92="0","i",IF(totales!E92="6"&amp;totales!H92="1"&amp;totales!I92="0"&amp;totales!J92="0","j",IF(totales!E92="1"&amp;totales!H92="2"&amp;totales!I92="0"&amp;totales!J92="0","k",IF(totales!E92="2"&amp;totales!H92="2"&amp;totales!I92="0"&amp;totales!J92="0","l",IF(totales!E92="3"&amp;totales!H92="2"&amp;totales!I92="0"&amp;totales!J92="0","m",
IF(totales!E92="4"&amp;totales!H92="2"&amp;totales!I92="0"&amp;totales!J92="0","n",IF(totales!E92="6"&amp;totales!H92="2"&amp;totales!I92="0"&amp;totales!J92="0","o",IF(totales!E92="1"&amp;totales!H92="0"&amp;totales!I92="1"&amp;totales!J92="0","p",IF(totales!E92="2"&amp;totales!H92="0"&amp;totales!I92="1"&amp;totales!J92="0","q",IF(totales!E92="3"&amp;totales!H92="0"&amp;totales!I92="1"&amp;totales!J92="0","r",IF(totales!E92="4"&amp;totales!H92="0"&amp;totales!I92="1"&amp;totales!J92="0","s",IF(totales!E92="6"&amp;totales!H92="0"&amp;totales!I92="1"&amp;totales!J92="0","t",IF(totales!E92="1"&amp;totales!H92="2"&amp;totales!I92="1"&amp;totales!J92="0","u",IF(totales!E92="2"&amp;totales!H92="2"&amp;totales!I92="1"&amp;totales!J92="0","v",IF(totales!E92="3"&amp;totales!H92="2"&amp;totales!I92="1"&amp;totales!J92="0","w",IF(totales!E92="4"&amp;totales!H92="2"&amp;totales!I92="1"&amp;totales!J92="0","x",
IF(totales!E92="6"&amp;totales!H92="2"&amp;totales!I92="1"&amp;totales!J92="0","y",IF(totales!E92="1"&amp;totales!H92="1"&amp;totales!I92="1"&amp;totales!J92="0","z",IF(totales!E92="2"&amp;totales!H92="1"&amp;totales!I92="1"&amp;totales!J92="0","0",IF(totales!E92="3"&amp;totales!H92="1"&amp;totales!I92="1"&amp;totales!J92="0","1",IF(totales!E92="4"&amp;totales!H92="1"&amp;totales!I92="1"&amp;totales!J92="0","2",IF(totales!E92="6"&amp;totales!H92="1"&amp;totales!I92="1"&amp;totales!J92="0","3",IF(totales!E92="1"&amp;totales!H92="0"&amp;totales!I92="1"&amp;totales!J92="1","4",IF(totales!E92="2"&amp;totales!H92="0"&amp;totales!I92="1"&amp;totales!J92="1","5",IF(totales!E92="3"&amp;totales!H92="0"&amp;totales!I92="1"&amp;totales!J92="1","6",IF(totales!E92="4"&amp;totales!H92="0"&amp;totales!I92="1"&amp;totales!J92="1","7",IF(totales!E92="6"&amp;totales!H92="0"&amp;totales!I92="1"&amp;totales!J92="1","8",IF(totales!E92="1"&amp;totales!H92="1"&amp;totales!I92="0"&amp;totales!J92="1","9"))))))))))))))))))))))))))))))))))))</f>
        <v>0</v>
      </c>
    </row>
    <row r="92" spans="22:22">
      <c r="V92" s="102" t="b">
        <f>IF(totales!E93="1"&amp;totales!H93="0"&amp;totales!I93="0"&amp;totales!J93="0","a",IF(totales!E93="2"&amp;totales!H93="0"&amp;totales!I93="0"&amp;totales!J93="0","b",IF(totales!E93="3"&amp;totales!H93="0"&amp;totales!I93="0"&amp;totales!J93="0","c",IF(totales!E93="4"&amp;totales!H93="0"&amp;totales!I93="0"&amp;totales!J93="0","d",IF(totales!E93="6"&amp;totales!H93="0"&amp;totales!I93="0"&amp;totales!J93="0","e",IF(totales!E93="1"&amp;totales!H93="1"&amp;totales!I93="0"&amp;totales!J93="0","f",IF(totales!E93="2"&amp;totales!H93="1"&amp;totales!I93="0"&amp;totales!J93="0","g",IF(totales!E93="3"&amp;totales!H93="1"&amp;totales!I93="0"&amp;totales!J93="0","h",IF(totales!E93="4"&amp;totales!H93="1"&amp;totales!I93="0"&amp;totales!J93="0","i",IF(totales!E93="6"&amp;totales!H93="1"&amp;totales!I93="0"&amp;totales!J93="0","j",IF(totales!E93="1"&amp;totales!H93="2"&amp;totales!I93="0"&amp;totales!J93="0","k",IF(totales!E93="2"&amp;totales!H93="2"&amp;totales!I93="0"&amp;totales!J93="0","l",IF(totales!E93="3"&amp;totales!H93="2"&amp;totales!I93="0"&amp;totales!J93="0","m",
IF(totales!E93="4"&amp;totales!H93="2"&amp;totales!I93="0"&amp;totales!J93="0","n",IF(totales!E93="6"&amp;totales!H93="2"&amp;totales!I93="0"&amp;totales!J93="0","o",IF(totales!E93="1"&amp;totales!H93="0"&amp;totales!I93="1"&amp;totales!J93="0","p",IF(totales!E93="2"&amp;totales!H93="0"&amp;totales!I93="1"&amp;totales!J93="0","q",IF(totales!E93="3"&amp;totales!H93="0"&amp;totales!I93="1"&amp;totales!J93="0","r",IF(totales!E93="4"&amp;totales!H93="0"&amp;totales!I93="1"&amp;totales!J93="0","s",IF(totales!E93="6"&amp;totales!H93="0"&amp;totales!I93="1"&amp;totales!J93="0","t",IF(totales!E93="1"&amp;totales!H93="2"&amp;totales!I93="1"&amp;totales!J93="0","u",IF(totales!E93="2"&amp;totales!H93="2"&amp;totales!I93="1"&amp;totales!J93="0","v",IF(totales!E93="3"&amp;totales!H93="2"&amp;totales!I93="1"&amp;totales!J93="0","w",IF(totales!E93="4"&amp;totales!H93="2"&amp;totales!I93="1"&amp;totales!J93="0","x",
IF(totales!E93="6"&amp;totales!H93="2"&amp;totales!I93="1"&amp;totales!J93="0","y",IF(totales!E93="1"&amp;totales!H93="1"&amp;totales!I93="1"&amp;totales!J93="0","z",IF(totales!E93="2"&amp;totales!H93="1"&amp;totales!I93="1"&amp;totales!J93="0","0",IF(totales!E93="3"&amp;totales!H93="1"&amp;totales!I93="1"&amp;totales!J93="0","1",IF(totales!E93="4"&amp;totales!H93="1"&amp;totales!I93="1"&amp;totales!J93="0","2",IF(totales!E93="6"&amp;totales!H93="1"&amp;totales!I93="1"&amp;totales!J93="0","3",IF(totales!E93="1"&amp;totales!H93="0"&amp;totales!I93="1"&amp;totales!J93="1","4",IF(totales!E93="2"&amp;totales!H93="0"&amp;totales!I93="1"&amp;totales!J93="1","5",IF(totales!E93="3"&amp;totales!H93="0"&amp;totales!I93="1"&amp;totales!J93="1","6",IF(totales!E93="4"&amp;totales!H93="0"&amp;totales!I93="1"&amp;totales!J93="1","7",IF(totales!E93="6"&amp;totales!H93="0"&amp;totales!I93="1"&amp;totales!J93="1","8",IF(totales!E93="1"&amp;totales!H93="1"&amp;totales!I93="0"&amp;totales!J93="1","9"))))))))))))))))))))))))))))))))))))</f>
        <v>0</v>
      </c>
    </row>
    <row r="93" spans="22:22">
      <c r="V93" s="102" t="b">
        <f>IF(totales!E94="1"&amp;totales!H94="0"&amp;totales!I94="0"&amp;totales!J94="0","a",IF(totales!E94="2"&amp;totales!H94="0"&amp;totales!I94="0"&amp;totales!J94="0","b",IF(totales!E94="3"&amp;totales!H94="0"&amp;totales!I94="0"&amp;totales!J94="0","c",IF(totales!E94="4"&amp;totales!H94="0"&amp;totales!I94="0"&amp;totales!J94="0","d",IF(totales!E94="6"&amp;totales!H94="0"&amp;totales!I94="0"&amp;totales!J94="0","e",IF(totales!E94="1"&amp;totales!H94="1"&amp;totales!I94="0"&amp;totales!J94="0","f",IF(totales!E94="2"&amp;totales!H94="1"&amp;totales!I94="0"&amp;totales!J94="0","g",IF(totales!E94="3"&amp;totales!H94="1"&amp;totales!I94="0"&amp;totales!J94="0","h",IF(totales!E94="4"&amp;totales!H94="1"&amp;totales!I94="0"&amp;totales!J94="0","i",IF(totales!E94="6"&amp;totales!H94="1"&amp;totales!I94="0"&amp;totales!J94="0","j",IF(totales!E94="1"&amp;totales!H94="2"&amp;totales!I94="0"&amp;totales!J94="0","k",IF(totales!E94="2"&amp;totales!H94="2"&amp;totales!I94="0"&amp;totales!J94="0","l",IF(totales!E94="3"&amp;totales!H94="2"&amp;totales!I94="0"&amp;totales!J94="0","m",
IF(totales!E94="4"&amp;totales!H94="2"&amp;totales!I94="0"&amp;totales!J94="0","n",IF(totales!E94="6"&amp;totales!H94="2"&amp;totales!I94="0"&amp;totales!J94="0","o",IF(totales!E94="1"&amp;totales!H94="0"&amp;totales!I94="1"&amp;totales!J94="0","p",IF(totales!E94="2"&amp;totales!H94="0"&amp;totales!I94="1"&amp;totales!J94="0","q",IF(totales!E94="3"&amp;totales!H94="0"&amp;totales!I94="1"&amp;totales!J94="0","r",IF(totales!E94="4"&amp;totales!H94="0"&amp;totales!I94="1"&amp;totales!J94="0","s",IF(totales!E94="6"&amp;totales!H94="0"&amp;totales!I94="1"&amp;totales!J94="0","t",IF(totales!E94="1"&amp;totales!H94="2"&amp;totales!I94="1"&amp;totales!J94="0","u",IF(totales!E94="2"&amp;totales!H94="2"&amp;totales!I94="1"&amp;totales!J94="0","v",IF(totales!E94="3"&amp;totales!H94="2"&amp;totales!I94="1"&amp;totales!J94="0","w",IF(totales!E94="4"&amp;totales!H94="2"&amp;totales!I94="1"&amp;totales!J94="0","x",
IF(totales!E94="6"&amp;totales!H94="2"&amp;totales!I94="1"&amp;totales!J94="0","y",IF(totales!E94="1"&amp;totales!H94="1"&amp;totales!I94="1"&amp;totales!J94="0","z",IF(totales!E94="2"&amp;totales!H94="1"&amp;totales!I94="1"&amp;totales!J94="0","0",IF(totales!E94="3"&amp;totales!H94="1"&amp;totales!I94="1"&amp;totales!J94="0","1",IF(totales!E94="4"&amp;totales!H94="1"&amp;totales!I94="1"&amp;totales!J94="0","2",IF(totales!E94="6"&amp;totales!H94="1"&amp;totales!I94="1"&amp;totales!J94="0","3",IF(totales!E94="1"&amp;totales!H94="0"&amp;totales!I94="1"&amp;totales!J94="1","4",IF(totales!E94="2"&amp;totales!H94="0"&amp;totales!I94="1"&amp;totales!J94="1","5",IF(totales!E94="3"&amp;totales!H94="0"&amp;totales!I94="1"&amp;totales!J94="1","6",IF(totales!E94="4"&amp;totales!H94="0"&amp;totales!I94="1"&amp;totales!J94="1","7",IF(totales!E94="6"&amp;totales!H94="0"&amp;totales!I94="1"&amp;totales!J94="1","8",IF(totales!E94="1"&amp;totales!H94="1"&amp;totales!I94="0"&amp;totales!J94="1","9"))))))))))))))))))))))))))))))))))))</f>
        <v>0</v>
      </c>
    </row>
    <row r="94" spans="22:22">
      <c r="V94" s="102" t="b">
        <f>IF(totales!E95="1"&amp;totales!H95="0"&amp;totales!I95="0"&amp;totales!J95="0","a",IF(totales!E95="2"&amp;totales!H95="0"&amp;totales!I95="0"&amp;totales!J95="0","b",IF(totales!E95="3"&amp;totales!H95="0"&amp;totales!I95="0"&amp;totales!J95="0","c",IF(totales!E95="4"&amp;totales!H95="0"&amp;totales!I95="0"&amp;totales!J95="0","d",IF(totales!E95="6"&amp;totales!H95="0"&amp;totales!I95="0"&amp;totales!J95="0","e",IF(totales!E95="1"&amp;totales!H95="1"&amp;totales!I95="0"&amp;totales!J95="0","f",IF(totales!E95="2"&amp;totales!H95="1"&amp;totales!I95="0"&amp;totales!J95="0","g",IF(totales!E95="3"&amp;totales!H95="1"&amp;totales!I95="0"&amp;totales!J95="0","h",IF(totales!E95="4"&amp;totales!H95="1"&amp;totales!I95="0"&amp;totales!J95="0","i",IF(totales!E95="6"&amp;totales!H95="1"&amp;totales!I95="0"&amp;totales!J95="0","j",IF(totales!E95="1"&amp;totales!H95="2"&amp;totales!I95="0"&amp;totales!J95="0","k",IF(totales!E95="2"&amp;totales!H95="2"&amp;totales!I95="0"&amp;totales!J95="0","l",IF(totales!E95="3"&amp;totales!H95="2"&amp;totales!I95="0"&amp;totales!J95="0","m",
IF(totales!E95="4"&amp;totales!H95="2"&amp;totales!I95="0"&amp;totales!J95="0","n",IF(totales!E95="6"&amp;totales!H95="2"&amp;totales!I95="0"&amp;totales!J95="0","o",IF(totales!E95="1"&amp;totales!H95="0"&amp;totales!I95="1"&amp;totales!J95="0","p",IF(totales!E95="2"&amp;totales!H95="0"&amp;totales!I95="1"&amp;totales!J95="0","q",IF(totales!E95="3"&amp;totales!H95="0"&amp;totales!I95="1"&amp;totales!J95="0","r",IF(totales!E95="4"&amp;totales!H95="0"&amp;totales!I95="1"&amp;totales!J95="0","s",IF(totales!E95="6"&amp;totales!H95="0"&amp;totales!I95="1"&amp;totales!J95="0","t",IF(totales!E95="1"&amp;totales!H95="2"&amp;totales!I95="1"&amp;totales!J95="0","u",IF(totales!E95="2"&amp;totales!H95="2"&amp;totales!I95="1"&amp;totales!J95="0","v",IF(totales!E95="3"&amp;totales!H95="2"&amp;totales!I95="1"&amp;totales!J95="0","w",IF(totales!E95="4"&amp;totales!H95="2"&amp;totales!I95="1"&amp;totales!J95="0","x",
IF(totales!E95="6"&amp;totales!H95="2"&amp;totales!I95="1"&amp;totales!J95="0","y",IF(totales!E95="1"&amp;totales!H95="1"&amp;totales!I95="1"&amp;totales!J95="0","z",IF(totales!E95="2"&amp;totales!H95="1"&amp;totales!I95="1"&amp;totales!J95="0","0",IF(totales!E95="3"&amp;totales!H95="1"&amp;totales!I95="1"&amp;totales!J95="0","1",IF(totales!E95="4"&amp;totales!H95="1"&amp;totales!I95="1"&amp;totales!J95="0","2",IF(totales!E95="6"&amp;totales!H95="1"&amp;totales!I95="1"&amp;totales!J95="0","3",IF(totales!E95="1"&amp;totales!H95="0"&amp;totales!I95="1"&amp;totales!J95="1","4",IF(totales!E95="2"&amp;totales!H95="0"&amp;totales!I95="1"&amp;totales!J95="1","5",IF(totales!E95="3"&amp;totales!H95="0"&amp;totales!I95="1"&amp;totales!J95="1","6",IF(totales!E95="4"&amp;totales!H95="0"&amp;totales!I95="1"&amp;totales!J95="1","7",IF(totales!E95="6"&amp;totales!H95="0"&amp;totales!I95="1"&amp;totales!J95="1","8",IF(totales!E95="1"&amp;totales!H95="1"&amp;totales!I95="0"&amp;totales!J95="1","9"))))))))))))))))))))))))))))))))))))</f>
        <v>0</v>
      </c>
    </row>
    <row r="95" spans="22:22">
      <c r="V95" s="102" t="b">
        <f>IF(totales!E96="1"&amp;totales!H96="0"&amp;totales!I96="0"&amp;totales!J96="0","a",IF(totales!E96="2"&amp;totales!H96="0"&amp;totales!I96="0"&amp;totales!J96="0","b",IF(totales!E96="3"&amp;totales!H96="0"&amp;totales!I96="0"&amp;totales!J96="0","c",IF(totales!E96="4"&amp;totales!H96="0"&amp;totales!I96="0"&amp;totales!J96="0","d",IF(totales!E96="6"&amp;totales!H96="0"&amp;totales!I96="0"&amp;totales!J96="0","e",IF(totales!E96="1"&amp;totales!H96="1"&amp;totales!I96="0"&amp;totales!J96="0","f",IF(totales!E96="2"&amp;totales!H96="1"&amp;totales!I96="0"&amp;totales!J96="0","g",IF(totales!E96="3"&amp;totales!H96="1"&amp;totales!I96="0"&amp;totales!J96="0","h",IF(totales!E96="4"&amp;totales!H96="1"&amp;totales!I96="0"&amp;totales!J96="0","i",IF(totales!E96="6"&amp;totales!H96="1"&amp;totales!I96="0"&amp;totales!J96="0","j",IF(totales!E96="1"&amp;totales!H96="2"&amp;totales!I96="0"&amp;totales!J96="0","k",IF(totales!E96="2"&amp;totales!H96="2"&amp;totales!I96="0"&amp;totales!J96="0","l",IF(totales!E96="3"&amp;totales!H96="2"&amp;totales!I96="0"&amp;totales!J96="0","m",
IF(totales!E96="4"&amp;totales!H96="2"&amp;totales!I96="0"&amp;totales!J96="0","n",IF(totales!E96="6"&amp;totales!H96="2"&amp;totales!I96="0"&amp;totales!J96="0","o",IF(totales!E96="1"&amp;totales!H96="0"&amp;totales!I96="1"&amp;totales!J96="0","p",IF(totales!E96="2"&amp;totales!H96="0"&amp;totales!I96="1"&amp;totales!J96="0","q",IF(totales!E96="3"&amp;totales!H96="0"&amp;totales!I96="1"&amp;totales!J96="0","r",IF(totales!E96="4"&amp;totales!H96="0"&amp;totales!I96="1"&amp;totales!J96="0","s",IF(totales!E96="6"&amp;totales!H96="0"&amp;totales!I96="1"&amp;totales!J96="0","t",IF(totales!E96="1"&amp;totales!H96="2"&amp;totales!I96="1"&amp;totales!J96="0","u",IF(totales!E96="2"&amp;totales!H96="2"&amp;totales!I96="1"&amp;totales!J96="0","v",IF(totales!E96="3"&amp;totales!H96="2"&amp;totales!I96="1"&amp;totales!J96="0","w",IF(totales!E96="4"&amp;totales!H96="2"&amp;totales!I96="1"&amp;totales!J96="0","x",
IF(totales!E96="6"&amp;totales!H96="2"&amp;totales!I96="1"&amp;totales!J96="0","y",IF(totales!E96="1"&amp;totales!H96="1"&amp;totales!I96="1"&amp;totales!J96="0","z",IF(totales!E96="2"&amp;totales!H96="1"&amp;totales!I96="1"&amp;totales!J96="0","0",IF(totales!E96="3"&amp;totales!H96="1"&amp;totales!I96="1"&amp;totales!J96="0","1",IF(totales!E96="4"&amp;totales!H96="1"&amp;totales!I96="1"&amp;totales!J96="0","2",IF(totales!E96="6"&amp;totales!H96="1"&amp;totales!I96="1"&amp;totales!J96="0","3",IF(totales!E96="1"&amp;totales!H96="0"&amp;totales!I96="1"&amp;totales!J96="1","4",IF(totales!E96="2"&amp;totales!H96="0"&amp;totales!I96="1"&amp;totales!J96="1","5",IF(totales!E96="3"&amp;totales!H96="0"&amp;totales!I96="1"&amp;totales!J96="1","6",IF(totales!E96="4"&amp;totales!H96="0"&amp;totales!I96="1"&amp;totales!J96="1","7",IF(totales!E96="6"&amp;totales!H96="0"&amp;totales!I96="1"&amp;totales!J96="1","8",IF(totales!E96="1"&amp;totales!H96="1"&amp;totales!I96="0"&amp;totales!J96="1","9"))))))))))))))))))))))))))))))))))))</f>
        <v>0</v>
      </c>
    </row>
    <row r="96" spans="22:22">
      <c r="V96" s="102" t="b">
        <f>IF(totales!E97="1"&amp;totales!H97="0"&amp;totales!I97="0"&amp;totales!J97="0","a",IF(totales!E97="2"&amp;totales!H97="0"&amp;totales!I97="0"&amp;totales!J97="0","b",IF(totales!E97="3"&amp;totales!H97="0"&amp;totales!I97="0"&amp;totales!J97="0","c",IF(totales!E97="4"&amp;totales!H97="0"&amp;totales!I97="0"&amp;totales!J97="0","d",IF(totales!E97="6"&amp;totales!H97="0"&amp;totales!I97="0"&amp;totales!J97="0","e",IF(totales!E97="1"&amp;totales!H97="1"&amp;totales!I97="0"&amp;totales!J97="0","f",IF(totales!E97="2"&amp;totales!H97="1"&amp;totales!I97="0"&amp;totales!J97="0","g",IF(totales!E97="3"&amp;totales!H97="1"&amp;totales!I97="0"&amp;totales!J97="0","h",IF(totales!E97="4"&amp;totales!H97="1"&amp;totales!I97="0"&amp;totales!J97="0","i",IF(totales!E97="6"&amp;totales!H97="1"&amp;totales!I97="0"&amp;totales!J97="0","j",IF(totales!E97="1"&amp;totales!H97="2"&amp;totales!I97="0"&amp;totales!J97="0","k",IF(totales!E97="2"&amp;totales!H97="2"&amp;totales!I97="0"&amp;totales!J97="0","l",IF(totales!E97="3"&amp;totales!H97="2"&amp;totales!I97="0"&amp;totales!J97="0","m",
IF(totales!E97="4"&amp;totales!H97="2"&amp;totales!I97="0"&amp;totales!J97="0","n",IF(totales!E97="6"&amp;totales!H97="2"&amp;totales!I97="0"&amp;totales!J97="0","o",IF(totales!E97="1"&amp;totales!H97="0"&amp;totales!I97="1"&amp;totales!J97="0","p",IF(totales!E97="2"&amp;totales!H97="0"&amp;totales!I97="1"&amp;totales!J97="0","q",IF(totales!E97="3"&amp;totales!H97="0"&amp;totales!I97="1"&amp;totales!J97="0","r",IF(totales!E97="4"&amp;totales!H97="0"&amp;totales!I97="1"&amp;totales!J97="0","s",IF(totales!E97="6"&amp;totales!H97="0"&amp;totales!I97="1"&amp;totales!J97="0","t",IF(totales!E97="1"&amp;totales!H97="2"&amp;totales!I97="1"&amp;totales!J97="0","u",IF(totales!E97="2"&amp;totales!H97="2"&amp;totales!I97="1"&amp;totales!J97="0","v",IF(totales!E97="3"&amp;totales!H97="2"&amp;totales!I97="1"&amp;totales!J97="0","w",IF(totales!E97="4"&amp;totales!H97="2"&amp;totales!I97="1"&amp;totales!J97="0","x",
IF(totales!E97="6"&amp;totales!H97="2"&amp;totales!I97="1"&amp;totales!J97="0","y",IF(totales!E97="1"&amp;totales!H97="1"&amp;totales!I97="1"&amp;totales!J97="0","z",IF(totales!E97="2"&amp;totales!H97="1"&amp;totales!I97="1"&amp;totales!J97="0","0",IF(totales!E97="3"&amp;totales!H97="1"&amp;totales!I97="1"&amp;totales!J97="0","1",IF(totales!E97="4"&amp;totales!H97="1"&amp;totales!I97="1"&amp;totales!J97="0","2",IF(totales!E97="6"&amp;totales!H97="1"&amp;totales!I97="1"&amp;totales!J97="0","3",IF(totales!E97="1"&amp;totales!H97="0"&amp;totales!I97="1"&amp;totales!J97="1","4",IF(totales!E97="2"&amp;totales!H97="0"&amp;totales!I97="1"&amp;totales!J97="1","5",IF(totales!E97="3"&amp;totales!H97="0"&amp;totales!I97="1"&amp;totales!J97="1","6",IF(totales!E97="4"&amp;totales!H97="0"&amp;totales!I97="1"&amp;totales!J97="1","7",IF(totales!E97="6"&amp;totales!H97="0"&amp;totales!I97="1"&amp;totales!J97="1","8",IF(totales!E97="1"&amp;totales!H97="1"&amp;totales!I97="0"&amp;totales!J97="1","9"))))))))))))))))))))))))))))))))))))</f>
        <v>0</v>
      </c>
    </row>
    <row r="97" spans="22:22">
      <c r="V97" s="102" t="b">
        <f>IF(totales!E98="1"&amp;totales!H98="0"&amp;totales!I98="0"&amp;totales!J98="0","a",IF(totales!E98="2"&amp;totales!H98="0"&amp;totales!I98="0"&amp;totales!J98="0","b",IF(totales!E98="3"&amp;totales!H98="0"&amp;totales!I98="0"&amp;totales!J98="0","c",IF(totales!E98="4"&amp;totales!H98="0"&amp;totales!I98="0"&amp;totales!J98="0","d",IF(totales!E98="6"&amp;totales!H98="0"&amp;totales!I98="0"&amp;totales!J98="0","e",IF(totales!E98="1"&amp;totales!H98="1"&amp;totales!I98="0"&amp;totales!J98="0","f",IF(totales!E98="2"&amp;totales!H98="1"&amp;totales!I98="0"&amp;totales!J98="0","g",IF(totales!E98="3"&amp;totales!H98="1"&amp;totales!I98="0"&amp;totales!J98="0","h",IF(totales!E98="4"&amp;totales!H98="1"&amp;totales!I98="0"&amp;totales!J98="0","i",IF(totales!E98="6"&amp;totales!H98="1"&amp;totales!I98="0"&amp;totales!J98="0","j",IF(totales!E98="1"&amp;totales!H98="2"&amp;totales!I98="0"&amp;totales!J98="0","k",IF(totales!E98="2"&amp;totales!H98="2"&amp;totales!I98="0"&amp;totales!J98="0","l",IF(totales!E98="3"&amp;totales!H98="2"&amp;totales!I98="0"&amp;totales!J98="0","m",
IF(totales!E98="4"&amp;totales!H98="2"&amp;totales!I98="0"&amp;totales!J98="0","n",IF(totales!E98="6"&amp;totales!H98="2"&amp;totales!I98="0"&amp;totales!J98="0","o",IF(totales!E98="1"&amp;totales!H98="0"&amp;totales!I98="1"&amp;totales!J98="0","p",IF(totales!E98="2"&amp;totales!H98="0"&amp;totales!I98="1"&amp;totales!J98="0","q",IF(totales!E98="3"&amp;totales!H98="0"&amp;totales!I98="1"&amp;totales!J98="0","r",IF(totales!E98="4"&amp;totales!H98="0"&amp;totales!I98="1"&amp;totales!J98="0","s",IF(totales!E98="6"&amp;totales!H98="0"&amp;totales!I98="1"&amp;totales!J98="0","t",IF(totales!E98="1"&amp;totales!H98="2"&amp;totales!I98="1"&amp;totales!J98="0","u",IF(totales!E98="2"&amp;totales!H98="2"&amp;totales!I98="1"&amp;totales!J98="0","v",IF(totales!E98="3"&amp;totales!H98="2"&amp;totales!I98="1"&amp;totales!J98="0","w",IF(totales!E98="4"&amp;totales!H98="2"&amp;totales!I98="1"&amp;totales!J98="0","x",
IF(totales!E98="6"&amp;totales!H98="2"&amp;totales!I98="1"&amp;totales!J98="0","y",IF(totales!E98="1"&amp;totales!H98="1"&amp;totales!I98="1"&amp;totales!J98="0","z",IF(totales!E98="2"&amp;totales!H98="1"&amp;totales!I98="1"&amp;totales!J98="0","0",IF(totales!E98="3"&amp;totales!H98="1"&amp;totales!I98="1"&amp;totales!J98="0","1",IF(totales!E98="4"&amp;totales!H98="1"&amp;totales!I98="1"&amp;totales!J98="0","2",IF(totales!E98="6"&amp;totales!H98="1"&amp;totales!I98="1"&amp;totales!J98="0","3",IF(totales!E98="1"&amp;totales!H98="0"&amp;totales!I98="1"&amp;totales!J98="1","4",IF(totales!E98="2"&amp;totales!H98="0"&amp;totales!I98="1"&amp;totales!J98="1","5",IF(totales!E98="3"&amp;totales!H98="0"&amp;totales!I98="1"&amp;totales!J98="1","6",IF(totales!E98="4"&amp;totales!H98="0"&amp;totales!I98="1"&amp;totales!J98="1","7",IF(totales!E98="6"&amp;totales!H98="0"&amp;totales!I98="1"&amp;totales!J98="1","8",IF(totales!E98="1"&amp;totales!H98="1"&amp;totales!I98="0"&amp;totales!J98="1","9"))))))))))))))))))))))))))))))))))))</f>
        <v>0</v>
      </c>
    </row>
    <row r="98" spans="22:22">
      <c r="V98" s="102" t="b">
        <f>IF(totales!E99="1"&amp;totales!H99="0"&amp;totales!I99="0"&amp;totales!J99="0","a",IF(totales!E99="2"&amp;totales!H99="0"&amp;totales!I99="0"&amp;totales!J99="0","b",IF(totales!E99="3"&amp;totales!H99="0"&amp;totales!I99="0"&amp;totales!J99="0","c",IF(totales!E99="4"&amp;totales!H99="0"&amp;totales!I99="0"&amp;totales!J99="0","d",IF(totales!E99="6"&amp;totales!H99="0"&amp;totales!I99="0"&amp;totales!J99="0","e",IF(totales!E99="1"&amp;totales!H99="1"&amp;totales!I99="0"&amp;totales!J99="0","f",IF(totales!E99="2"&amp;totales!H99="1"&amp;totales!I99="0"&amp;totales!J99="0","g",IF(totales!E99="3"&amp;totales!H99="1"&amp;totales!I99="0"&amp;totales!J99="0","h",IF(totales!E99="4"&amp;totales!H99="1"&amp;totales!I99="0"&amp;totales!J99="0","i",IF(totales!E99="6"&amp;totales!H99="1"&amp;totales!I99="0"&amp;totales!J99="0","j",IF(totales!E99="1"&amp;totales!H99="2"&amp;totales!I99="0"&amp;totales!J99="0","k",IF(totales!E99="2"&amp;totales!H99="2"&amp;totales!I99="0"&amp;totales!J99="0","l",IF(totales!E99="3"&amp;totales!H99="2"&amp;totales!I99="0"&amp;totales!J99="0","m",
IF(totales!E99="4"&amp;totales!H99="2"&amp;totales!I99="0"&amp;totales!J99="0","n",IF(totales!E99="6"&amp;totales!H99="2"&amp;totales!I99="0"&amp;totales!J99="0","o",IF(totales!E99="1"&amp;totales!H99="0"&amp;totales!I99="1"&amp;totales!J99="0","p",IF(totales!E99="2"&amp;totales!H99="0"&amp;totales!I99="1"&amp;totales!J99="0","q",IF(totales!E99="3"&amp;totales!H99="0"&amp;totales!I99="1"&amp;totales!J99="0","r",IF(totales!E99="4"&amp;totales!H99="0"&amp;totales!I99="1"&amp;totales!J99="0","s",IF(totales!E99="6"&amp;totales!H99="0"&amp;totales!I99="1"&amp;totales!J99="0","t",IF(totales!E99="1"&amp;totales!H99="2"&amp;totales!I99="1"&amp;totales!J99="0","u",IF(totales!E99="2"&amp;totales!H99="2"&amp;totales!I99="1"&amp;totales!J99="0","v",IF(totales!E99="3"&amp;totales!H99="2"&amp;totales!I99="1"&amp;totales!J99="0","w",IF(totales!E99="4"&amp;totales!H99="2"&amp;totales!I99="1"&amp;totales!J99="0","x",
IF(totales!E99="6"&amp;totales!H99="2"&amp;totales!I99="1"&amp;totales!J99="0","y",IF(totales!E99="1"&amp;totales!H99="1"&amp;totales!I99="1"&amp;totales!J99="0","z",IF(totales!E99="2"&amp;totales!H99="1"&amp;totales!I99="1"&amp;totales!J99="0","0",IF(totales!E99="3"&amp;totales!H99="1"&amp;totales!I99="1"&amp;totales!J99="0","1",IF(totales!E99="4"&amp;totales!H99="1"&amp;totales!I99="1"&amp;totales!J99="0","2",IF(totales!E99="6"&amp;totales!H99="1"&amp;totales!I99="1"&amp;totales!J99="0","3",IF(totales!E99="1"&amp;totales!H99="0"&amp;totales!I99="1"&amp;totales!J99="1","4",IF(totales!E99="2"&amp;totales!H99="0"&amp;totales!I99="1"&amp;totales!J99="1","5",IF(totales!E99="3"&amp;totales!H99="0"&amp;totales!I99="1"&amp;totales!J99="1","6",IF(totales!E99="4"&amp;totales!H99="0"&amp;totales!I99="1"&amp;totales!J99="1","7",IF(totales!E99="6"&amp;totales!H99="0"&amp;totales!I99="1"&amp;totales!J99="1","8",IF(totales!E99="1"&amp;totales!H99="1"&amp;totales!I99="0"&amp;totales!J99="1","9"))))))))))))))))))))))))))))))))))))</f>
        <v>0</v>
      </c>
    </row>
    <row r="99" spans="22:22">
      <c r="V99" s="102" t="b">
        <f>IF(totales!E100="1"&amp;totales!H100="0"&amp;totales!I100="0"&amp;totales!J100="0","a",IF(totales!E100="2"&amp;totales!H100="0"&amp;totales!I100="0"&amp;totales!J100="0","b",IF(totales!E100="3"&amp;totales!H100="0"&amp;totales!I100="0"&amp;totales!J100="0","c",IF(totales!E100="4"&amp;totales!H100="0"&amp;totales!I100="0"&amp;totales!J100="0","d",IF(totales!E100="6"&amp;totales!H100="0"&amp;totales!I100="0"&amp;totales!J100="0","e",IF(totales!E100="1"&amp;totales!H100="1"&amp;totales!I100="0"&amp;totales!J100="0","f",IF(totales!E100="2"&amp;totales!H100="1"&amp;totales!I100="0"&amp;totales!J100="0","g",IF(totales!E100="3"&amp;totales!H100="1"&amp;totales!I100="0"&amp;totales!J100="0","h",IF(totales!E100="4"&amp;totales!H100="1"&amp;totales!I100="0"&amp;totales!J100="0","i",IF(totales!E100="6"&amp;totales!H100="1"&amp;totales!I100="0"&amp;totales!J100="0","j",IF(totales!E100="1"&amp;totales!H100="2"&amp;totales!I100="0"&amp;totales!J100="0","k",IF(totales!E100="2"&amp;totales!H100="2"&amp;totales!I100="0"&amp;totales!J100="0","l",IF(totales!E100="3"&amp;totales!H100="2"&amp;totales!I100="0"&amp;totales!J100="0","m",
IF(totales!E100="4"&amp;totales!H100="2"&amp;totales!I100="0"&amp;totales!J100="0","n",IF(totales!E100="6"&amp;totales!H100="2"&amp;totales!I100="0"&amp;totales!J100="0","o",IF(totales!E100="1"&amp;totales!H100="0"&amp;totales!I100="1"&amp;totales!J100="0","p",IF(totales!E100="2"&amp;totales!H100="0"&amp;totales!I100="1"&amp;totales!J100="0","q",IF(totales!E100="3"&amp;totales!H100="0"&amp;totales!I100="1"&amp;totales!J100="0","r",IF(totales!E100="4"&amp;totales!H100="0"&amp;totales!I100="1"&amp;totales!J100="0","s",IF(totales!E100="6"&amp;totales!H100="0"&amp;totales!I100="1"&amp;totales!J100="0","t",IF(totales!E100="1"&amp;totales!H100="2"&amp;totales!I100="1"&amp;totales!J100="0","u",IF(totales!E100="2"&amp;totales!H100="2"&amp;totales!I100="1"&amp;totales!J100="0","v",IF(totales!E100="3"&amp;totales!H100="2"&amp;totales!I100="1"&amp;totales!J100="0","w",IF(totales!E100="4"&amp;totales!H100="2"&amp;totales!I100="1"&amp;totales!J100="0","x",
IF(totales!E100="6"&amp;totales!H100="2"&amp;totales!I100="1"&amp;totales!J100="0","y",IF(totales!E100="1"&amp;totales!H100="1"&amp;totales!I100="1"&amp;totales!J100="0","z",IF(totales!E100="2"&amp;totales!H100="1"&amp;totales!I100="1"&amp;totales!J100="0","0",IF(totales!E100="3"&amp;totales!H100="1"&amp;totales!I100="1"&amp;totales!J100="0","1",IF(totales!E100="4"&amp;totales!H100="1"&amp;totales!I100="1"&amp;totales!J100="0","2",IF(totales!E100="6"&amp;totales!H100="1"&amp;totales!I100="1"&amp;totales!J100="0","3",IF(totales!E100="1"&amp;totales!H100="0"&amp;totales!I100="1"&amp;totales!J100="1","4",IF(totales!E100="2"&amp;totales!H100="0"&amp;totales!I100="1"&amp;totales!J100="1","5",IF(totales!E100="3"&amp;totales!H100="0"&amp;totales!I100="1"&amp;totales!J100="1","6",IF(totales!E100="4"&amp;totales!H100="0"&amp;totales!I100="1"&amp;totales!J100="1","7",IF(totales!E100="6"&amp;totales!H100="0"&amp;totales!I100="1"&amp;totales!J100="1","8",IF(totales!E100="1"&amp;totales!H100="1"&amp;totales!I100="0"&amp;totales!J100="1","9"))))))))))))))))))))))))))))))))))))</f>
        <v>0</v>
      </c>
    </row>
    <row r="100" spans="22:22">
      <c r="V100" s="102" t="b">
        <f>IF(totales!E101="1"&amp;totales!H101="0"&amp;totales!I101="0"&amp;totales!J101="0","a",IF(totales!E101="2"&amp;totales!H101="0"&amp;totales!I101="0"&amp;totales!J101="0","b",IF(totales!E101="3"&amp;totales!H101="0"&amp;totales!I101="0"&amp;totales!J101="0","c",IF(totales!E101="4"&amp;totales!H101="0"&amp;totales!I101="0"&amp;totales!J101="0","d",IF(totales!E101="6"&amp;totales!H101="0"&amp;totales!I101="0"&amp;totales!J101="0","e",IF(totales!E101="1"&amp;totales!H101="1"&amp;totales!I101="0"&amp;totales!J101="0","f",IF(totales!E101="2"&amp;totales!H101="1"&amp;totales!I101="0"&amp;totales!J101="0","g",IF(totales!E101="3"&amp;totales!H101="1"&amp;totales!I101="0"&amp;totales!J101="0","h",IF(totales!E101="4"&amp;totales!H101="1"&amp;totales!I101="0"&amp;totales!J101="0","i",IF(totales!E101="6"&amp;totales!H101="1"&amp;totales!I101="0"&amp;totales!J101="0","j",IF(totales!E101="1"&amp;totales!H101="2"&amp;totales!I101="0"&amp;totales!J101="0","k",IF(totales!E101="2"&amp;totales!H101="2"&amp;totales!I101="0"&amp;totales!J101="0","l",IF(totales!E101="3"&amp;totales!H101="2"&amp;totales!I101="0"&amp;totales!J101="0","m",
IF(totales!E101="4"&amp;totales!H101="2"&amp;totales!I101="0"&amp;totales!J101="0","n",IF(totales!E101="6"&amp;totales!H101="2"&amp;totales!I101="0"&amp;totales!J101="0","o",IF(totales!E101="1"&amp;totales!H101="0"&amp;totales!I101="1"&amp;totales!J101="0","p",IF(totales!E101="2"&amp;totales!H101="0"&amp;totales!I101="1"&amp;totales!J101="0","q",IF(totales!E101="3"&amp;totales!H101="0"&amp;totales!I101="1"&amp;totales!J101="0","r",IF(totales!E101="4"&amp;totales!H101="0"&amp;totales!I101="1"&amp;totales!J101="0","s",IF(totales!E101="6"&amp;totales!H101="0"&amp;totales!I101="1"&amp;totales!J101="0","t",IF(totales!E101="1"&amp;totales!H101="2"&amp;totales!I101="1"&amp;totales!J101="0","u",IF(totales!E101="2"&amp;totales!H101="2"&amp;totales!I101="1"&amp;totales!J101="0","v",IF(totales!E101="3"&amp;totales!H101="2"&amp;totales!I101="1"&amp;totales!J101="0","w",IF(totales!E101="4"&amp;totales!H101="2"&amp;totales!I101="1"&amp;totales!J101="0","x",
IF(totales!E101="6"&amp;totales!H101="2"&amp;totales!I101="1"&amp;totales!J101="0","y",IF(totales!E101="1"&amp;totales!H101="1"&amp;totales!I101="1"&amp;totales!J101="0","z",IF(totales!E101="2"&amp;totales!H101="1"&amp;totales!I101="1"&amp;totales!J101="0","0",IF(totales!E101="3"&amp;totales!H101="1"&amp;totales!I101="1"&amp;totales!J101="0","1",IF(totales!E101="4"&amp;totales!H101="1"&amp;totales!I101="1"&amp;totales!J101="0","2",IF(totales!E101="6"&amp;totales!H101="1"&amp;totales!I101="1"&amp;totales!J101="0","3",IF(totales!E101="1"&amp;totales!H101="0"&amp;totales!I101="1"&amp;totales!J101="1","4",IF(totales!E101="2"&amp;totales!H101="0"&amp;totales!I101="1"&amp;totales!J101="1","5",IF(totales!E101="3"&amp;totales!H101="0"&amp;totales!I101="1"&amp;totales!J101="1","6",IF(totales!E101="4"&amp;totales!H101="0"&amp;totales!I101="1"&amp;totales!J101="1","7",IF(totales!E101="6"&amp;totales!H101="0"&amp;totales!I101="1"&amp;totales!J101="1","8",IF(totales!E101="1"&amp;totales!H101="1"&amp;totales!I101="0"&amp;totales!J101="1","9"))))))))))))))))))))))))))))))))))))</f>
        <v>0</v>
      </c>
    </row>
    <row r="101" spans="22:22">
      <c r="V101" s="102" t="b">
        <f>IF(totales!E102="1"&amp;totales!H102="0"&amp;totales!I102="0"&amp;totales!J102="0","a",IF(totales!E102="2"&amp;totales!H102="0"&amp;totales!I102="0"&amp;totales!J102="0","b",IF(totales!E102="3"&amp;totales!H102="0"&amp;totales!I102="0"&amp;totales!J102="0","c",IF(totales!E102="4"&amp;totales!H102="0"&amp;totales!I102="0"&amp;totales!J102="0","d",IF(totales!E102="6"&amp;totales!H102="0"&amp;totales!I102="0"&amp;totales!J102="0","e",IF(totales!E102="1"&amp;totales!H102="1"&amp;totales!I102="0"&amp;totales!J102="0","f",IF(totales!E102="2"&amp;totales!H102="1"&amp;totales!I102="0"&amp;totales!J102="0","g",IF(totales!E102="3"&amp;totales!H102="1"&amp;totales!I102="0"&amp;totales!J102="0","h",IF(totales!E102="4"&amp;totales!H102="1"&amp;totales!I102="0"&amp;totales!J102="0","i",IF(totales!E102="6"&amp;totales!H102="1"&amp;totales!I102="0"&amp;totales!J102="0","j",IF(totales!E102="1"&amp;totales!H102="2"&amp;totales!I102="0"&amp;totales!J102="0","k",IF(totales!E102="2"&amp;totales!H102="2"&amp;totales!I102="0"&amp;totales!J102="0","l",IF(totales!E102="3"&amp;totales!H102="2"&amp;totales!I102="0"&amp;totales!J102="0","m",
IF(totales!E102="4"&amp;totales!H102="2"&amp;totales!I102="0"&amp;totales!J102="0","n",IF(totales!E102="6"&amp;totales!H102="2"&amp;totales!I102="0"&amp;totales!J102="0","o",IF(totales!E102="1"&amp;totales!H102="0"&amp;totales!I102="1"&amp;totales!J102="0","p",IF(totales!E102="2"&amp;totales!H102="0"&amp;totales!I102="1"&amp;totales!J102="0","q",IF(totales!E102="3"&amp;totales!H102="0"&amp;totales!I102="1"&amp;totales!J102="0","r",IF(totales!E102="4"&amp;totales!H102="0"&amp;totales!I102="1"&amp;totales!J102="0","s",IF(totales!E102="6"&amp;totales!H102="0"&amp;totales!I102="1"&amp;totales!J102="0","t",IF(totales!E102="1"&amp;totales!H102="2"&amp;totales!I102="1"&amp;totales!J102="0","u",IF(totales!E102="2"&amp;totales!H102="2"&amp;totales!I102="1"&amp;totales!J102="0","v",IF(totales!E102="3"&amp;totales!H102="2"&amp;totales!I102="1"&amp;totales!J102="0","w",IF(totales!E102="4"&amp;totales!H102="2"&amp;totales!I102="1"&amp;totales!J102="0","x",
IF(totales!E102="6"&amp;totales!H102="2"&amp;totales!I102="1"&amp;totales!J102="0","y",IF(totales!E102="1"&amp;totales!H102="1"&amp;totales!I102="1"&amp;totales!J102="0","z",IF(totales!E102="2"&amp;totales!H102="1"&amp;totales!I102="1"&amp;totales!J102="0","0",IF(totales!E102="3"&amp;totales!H102="1"&amp;totales!I102="1"&amp;totales!J102="0","1",IF(totales!E102="4"&amp;totales!H102="1"&amp;totales!I102="1"&amp;totales!J102="0","2",IF(totales!E102="6"&amp;totales!H102="1"&amp;totales!I102="1"&amp;totales!J102="0","3",IF(totales!E102="1"&amp;totales!H102="0"&amp;totales!I102="1"&amp;totales!J102="1","4",IF(totales!E102="2"&amp;totales!H102="0"&amp;totales!I102="1"&amp;totales!J102="1","5",IF(totales!E102="3"&amp;totales!H102="0"&amp;totales!I102="1"&amp;totales!J102="1","6",IF(totales!E102="4"&amp;totales!H102="0"&amp;totales!I102="1"&amp;totales!J102="1","7",IF(totales!E102="6"&amp;totales!H102="0"&amp;totales!I102="1"&amp;totales!J102="1","8",IF(totales!E102="1"&amp;totales!H102="1"&amp;totales!I102="0"&amp;totales!J102="1","9"))))))))))))))))))))))))))))))))))))</f>
        <v>0</v>
      </c>
    </row>
    <row r="102" spans="22:22">
      <c r="V102" s="102" t="b">
        <f>IF(totales!E103="1"&amp;totales!H103="0"&amp;totales!I103="0"&amp;totales!J103="0","a",IF(totales!E103="2"&amp;totales!H103="0"&amp;totales!I103="0"&amp;totales!J103="0","b",IF(totales!E103="3"&amp;totales!H103="0"&amp;totales!I103="0"&amp;totales!J103="0","c",IF(totales!E103="4"&amp;totales!H103="0"&amp;totales!I103="0"&amp;totales!J103="0","d",IF(totales!E103="6"&amp;totales!H103="0"&amp;totales!I103="0"&amp;totales!J103="0","e",IF(totales!E103="1"&amp;totales!H103="1"&amp;totales!I103="0"&amp;totales!J103="0","f",IF(totales!E103="2"&amp;totales!H103="1"&amp;totales!I103="0"&amp;totales!J103="0","g",IF(totales!E103="3"&amp;totales!H103="1"&amp;totales!I103="0"&amp;totales!J103="0","h",IF(totales!E103="4"&amp;totales!H103="1"&amp;totales!I103="0"&amp;totales!J103="0","i",IF(totales!E103="6"&amp;totales!H103="1"&amp;totales!I103="0"&amp;totales!J103="0","j",IF(totales!E103="1"&amp;totales!H103="2"&amp;totales!I103="0"&amp;totales!J103="0","k",IF(totales!E103="2"&amp;totales!H103="2"&amp;totales!I103="0"&amp;totales!J103="0","l",IF(totales!E103="3"&amp;totales!H103="2"&amp;totales!I103="0"&amp;totales!J103="0","m",
IF(totales!E103="4"&amp;totales!H103="2"&amp;totales!I103="0"&amp;totales!J103="0","n",IF(totales!E103="6"&amp;totales!H103="2"&amp;totales!I103="0"&amp;totales!J103="0","o",IF(totales!E103="1"&amp;totales!H103="0"&amp;totales!I103="1"&amp;totales!J103="0","p",IF(totales!E103="2"&amp;totales!H103="0"&amp;totales!I103="1"&amp;totales!J103="0","q",IF(totales!E103="3"&amp;totales!H103="0"&amp;totales!I103="1"&amp;totales!J103="0","r",IF(totales!E103="4"&amp;totales!H103="0"&amp;totales!I103="1"&amp;totales!J103="0","s",IF(totales!E103="6"&amp;totales!H103="0"&amp;totales!I103="1"&amp;totales!J103="0","t",IF(totales!E103="1"&amp;totales!H103="2"&amp;totales!I103="1"&amp;totales!J103="0","u",IF(totales!E103="2"&amp;totales!H103="2"&amp;totales!I103="1"&amp;totales!J103="0","v",IF(totales!E103="3"&amp;totales!H103="2"&amp;totales!I103="1"&amp;totales!J103="0","w",IF(totales!E103="4"&amp;totales!H103="2"&amp;totales!I103="1"&amp;totales!J103="0","x",
IF(totales!E103="6"&amp;totales!H103="2"&amp;totales!I103="1"&amp;totales!J103="0","y",IF(totales!E103="1"&amp;totales!H103="1"&amp;totales!I103="1"&amp;totales!J103="0","z",IF(totales!E103="2"&amp;totales!H103="1"&amp;totales!I103="1"&amp;totales!J103="0","0",IF(totales!E103="3"&amp;totales!H103="1"&amp;totales!I103="1"&amp;totales!J103="0","1",IF(totales!E103="4"&amp;totales!H103="1"&amp;totales!I103="1"&amp;totales!J103="0","2",IF(totales!E103="6"&amp;totales!H103="1"&amp;totales!I103="1"&amp;totales!J103="0","3",IF(totales!E103="1"&amp;totales!H103="0"&amp;totales!I103="1"&amp;totales!J103="1","4",IF(totales!E103="2"&amp;totales!H103="0"&amp;totales!I103="1"&amp;totales!J103="1","5",IF(totales!E103="3"&amp;totales!H103="0"&amp;totales!I103="1"&amp;totales!J103="1","6",IF(totales!E103="4"&amp;totales!H103="0"&amp;totales!I103="1"&amp;totales!J103="1","7",IF(totales!E103="6"&amp;totales!H103="0"&amp;totales!I103="1"&amp;totales!J103="1","8",IF(totales!E103="1"&amp;totales!H103="1"&amp;totales!I103="0"&amp;totales!J103="1","9"))))))))))))))))))))))))))))))))))))</f>
        <v>0</v>
      </c>
    </row>
    <row r="103" spans="22:22">
      <c r="V103" s="102" t="b">
        <f>IF(totales!E104="1"&amp;totales!H104="0"&amp;totales!I104="0"&amp;totales!J104="0","a",IF(totales!E104="2"&amp;totales!H104="0"&amp;totales!I104="0"&amp;totales!J104="0","b",IF(totales!E104="3"&amp;totales!H104="0"&amp;totales!I104="0"&amp;totales!J104="0","c",IF(totales!E104="4"&amp;totales!H104="0"&amp;totales!I104="0"&amp;totales!J104="0","d",IF(totales!E104="6"&amp;totales!H104="0"&amp;totales!I104="0"&amp;totales!J104="0","e",IF(totales!E104="1"&amp;totales!H104="1"&amp;totales!I104="0"&amp;totales!J104="0","f",IF(totales!E104="2"&amp;totales!H104="1"&amp;totales!I104="0"&amp;totales!J104="0","g",IF(totales!E104="3"&amp;totales!H104="1"&amp;totales!I104="0"&amp;totales!J104="0","h",IF(totales!E104="4"&amp;totales!H104="1"&amp;totales!I104="0"&amp;totales!J104="0","i",IF(totales!E104="6"&amp;totales!H104="1"&amp;totales!I104="0"&amp;totales!J104="0","j",IF(totales!E104="1"&amp;totales!H104="2"&amp;totales!I104="0"&amp;totales!J104="0","k",IF(totales!E104="2"&amp;totales!H104="2"&amp;totales!I104="0"&amp;totales!J104="0","l",IF(totales!E104="3"&amp;totales!H104="2"&amp;totales!I104="0"&amp;totales!J104="0","m",
IF(totales!E104="4"&amp;totales!H104="2"&amp;totales!I104="0"&amp;totales!J104="0","n",IF(totales!E104="6"&amp;totales!H104="2"&amp;totales!I104="0"&amp;totales!J104="0","o",IF(totales!E104="1"&amp;totales!H104="0"&amp;totales!I104="1"&amp;totales!J104="0","p",IF(totales!E104="2"&amp;totales!H104="0"&amp;totales!I104="1"&amp;totales!J104="0","q",IF(totales!E104="3"&amp;totales!H104="0"&amp;totales!I104="1"&amp;totales!J104="0","r",IF(totales!E104="4"&amp;totales!H104="0"&amp;totales!I104="1"&amp;totales!J104="0","s",IF(totales!E104="6"&amp;totales!H104="0"&amp;totales!I104="1"&amp;totales!J104="0","t",IF(totales!E104="1"&amp;totales!H104="2"&amp;totales!I104="1"&amp;totales!J104="0","u",IF(totales!E104="2"&amp;totales!H104="2"&amp;totales!I104="1"&amp;totales!J104="0","v",IF(totales!E104="3"&amp;totales!H104="2"&amp;totales!I104="1"&amp;totales!J104="0","w",IF(totales!E104="4"&amp;totales!H104="2"&amp;totales!I104="1"&amp;totales!J104="0","x",
IF(totales!E104="6"&amp;totales!H104="2"&amp;totales!I104="1"&amp;totales!J104="0","y",IF(totales!E104="1"&amp;totales!H104="1"&amp;totales!I104="1"&amp;totales!J104="0","z",IF(totales!E104="2"&amp;totales!H104="1"&amp;totales!I104="1"&amp;totales!J104="0","0",IF(totales!E104="3"&amp;totales!H104="1"&amp;totales!I104="1"&amp;totales!J104="0","1",IF(totales!E104="4"&amp;totales!H104="1"&amp;totales!I104="1"&amp;totales!J104="0","2",IF(totales!E104="6"&amp;totales!H104="1"&amp;totales!I104="1"&amp;totales!J104="0","3",IF(totales!E104="1"&amp;totales!H104="0"&amp;totales!I104="1"&amp;totales!J104="1","4",IF(totales!E104="2"&amp;totales!H104="0"&amp;totales!I104="1"&amp;totales!J104="1","5",IF(totales!E104="3"&amp;totales!H104="0"&amp;totales!I104="1"&amp;totales!J104="1","6",IF(totales!E104="4"&amp;totales!H104="0"&amp;totales!I104="1"&amp;totales!J104="1","7",IF(totales!E104="6"&amp;totales!H104="0"&amp;totales!I104="1"&amp;totales!J104="1","8",IF(totales!E104="1"&amp;totales!H104="1"&amp;totales!I104="0"&amp;totales!J104="1","9"))))))))))))))))))))))))))))))))))))</f>
        <v>0</v>
      </c>
    </row>
    <row r="104" spans="22:22">
      <c r="V104" s="102" t="b">
        <f>IF(totales!E105="1"&amp;totales!H105="0"&amp;totales!I105="0"&amp;totales!J105="0","a",IF(totales!E105="2"&amp;totales!H105="0"&amp;totales!I105="0"&amp;totales!J105="0","b",IF(totales!E105="3"&amp;totales!H105="0"&amp;totales!I105="0"&amp;totales!J105="0","c",IF(totales!E105="4"&amp;totales!H105="0"&amp;totales!I105="0"&amp;totales!J105="0","d",IF(totales!E105="6"&amp;totales!H105="0"&amp;totales!I105="0"&amp;totales!J105="0","e",IF(totales!E105="1"&amp;totales!H105="1"&amp;totales!I105="0"&amp;totales!J105="0","f",IF(totales!E105="2"&amp;totales!H105="1"&amp;totales!I105="0"&amp;totales!J105="0","g",IF(totales!E105="3"&amp;totales!H105="1"&amp;totales!I105="0"&amp;totales!J105="0","h",IF(totales!E105="4"&amp;totales!H105="1"&amp;totales!I105="0"&amp;totales!J105="0","i",IF(totales!E105="6"&amp;totales!H105="1"&amp;totales!I105="0"&amp;totales!J105="0","j",IF(totales!E105="1"&amp;totales!H105="2"&amp;totales!I105="0"&amp;totales!J105="0","k",IF(totales!E105="2"&amp;totales!H105="2"&amp;totales!I105="0"&amp;totales!J105="0","l",IF(totales!E105="3"&amp;totales!H105="2"&amp;totales!I105="0"&amp;totales!J105="0","m",
IF(totales!E105="4"&amp;totales!H105="2"&amp;totales!I105="0"&amp;totales!J105="0","n",IF(totales!E105="6"&amp;totales!H105="2"&amp;totales!I105="0"&amp;totales!J105="0","o",IF(totales!E105="1"&amp;totales!H105="0"&amp;totales!I105="1"&amp;totales!J105="0","p",IF(totales!E105="2"&amp;totales!H105="0"&amp;totales!I105="1"&amp;totales!J105="0","q",IF(totales!E105="3"&amp;totales!H105="0"&amp;totales!I105="1"&amp;totales!J105="0","r",IF(totales!E105="4"&amp;totales!H105="0"&amp;totales!I105="1"&amp;totales!J105="0","s",IF(totales!E105="6"&amp;totales!H105="0"&amp;totales!I105="1"&amp;totales!J105="0","t",IF(totales!E105="1"&amp;totales!H105="2"&amp;totales!I105="1"&amp;totales!J105="0","u",IF(totales!E105="2"&amp;totales!H105="2"&amp;totales!I105="1"&amp;totales!J105="0","v",IF(totales!E105="3"&amp;totales!H105="2"&amp;totales!I105="1"&amp;totales!J105="0","w",IF(totales!E105="4"&amp;totales!H105="2"&amp;totales!I105="1"&amp;totales!J105="0","x",
IF(totales!E105="6"&amp;totales!H105="2"&amp;totales!I105="1"&amp;totales!J105="0","y",IF(totales!E105="1"&amp;totales!H105="1"&amp;totales!I105="1"&amp;totales!J105="0","z",IF(totales!E105="2"&amp;totales!H105="1"&amp;totales!I105="1"&amp;totales!J105="0","0",IF(totales!E105="3"&amp;totales!H105="1"&amp;totales!I105="1"&amp;totales!J105="0","1",IF(totales!E105="4"&amp;totales!H105="1"&amp;totales!I105="1"&amp;totales!J105="0","2",IF(totales!E105="6"&amp;totales!H105="1"&amp;totales!I105="1"&amp;totales!J105="0","3",IF(totales!E105="1"&amp;totales!H105="0"&amp;totales!I105="1"&amp;totales!J105="1","4",IF(totales!E105="2"&amp;totales!H105="0"&amp;totales!I105="1"&amp;totales!J105="1","5",IF(totales!E105="3"&amp;totales!H105="0"&amp;totales!I105="1"&amp;totales!J105="1","6",IF(totales!E105="4"&amp;totales!H105="0"&amp;totales!I105="1"&amp;totales!J105="1","7",IF(totales!E105="6"&amp;totales!H105="0"&amp;totales!I105="1"&amp;totales!J105="1","8",IF(totales!E105="1"&amp;totales!H105="1"&amp;totales!I105="0"&amp;totales!J105="1","9"))))))))))))))))))))))))))))))))))))</f>
        <v>0</v>
      </c>
    </row>
    <row r="105" spans="22:22">
      <c r="V105" s="102" t="b">
        <f>IF(totales!E106="1"&amp;totales!H106="0"&amp;totales!I106="0"&amp;totales!J106="0","a",IF(totales!E106="2"&amp;totales!H106="0"&amp;totales!I106="0"&amp;totales!J106="0","b",IF(totales!E106="3"&amp;totales!H106="0"&amp;totales!I106="0"&amp;totales!J106="0","c",IF(totales!E106="4"&amp;totales!H106="0"&amp;totales!I106="0"&amp;totales!J106="0","d",IF(totales!E106="6"&amp;totales!H106="0"&amp;totales!I106="0"&amp;totales!J106="0","e",IF(totales!E106="1"&amp;totales!H106="1"&amp;totales!I106="0"&amp;totales!J106="0","f",IF(totales!E106="2"&amp;totales!H106="1"&amp;totales!I106="0"&amp;totales!J106="0","g",IF(totales!E106="3"&amp;totales!H106="1"&amp;totales!I106="0"&amp;totales!J106="0","h",IF(totales!E106="4"&amp;totales!H106="1"&amp;totales!I106="0"&amp;totales!J106="0","i",IF(totales!E106="6"&amp;totales!H106="1"&amp;totales!I106="0"&amp;totales!J106="0","j",IF(totales!E106="1"&amp;totales!H106="2"&amp;totales!I106="0"&amp;totales!J106="0","k",IF(totales!E106="2"&amp;totales!H106="2"&amp;totales!I106="0"&amp;totales!J106="0","l",IF(totales!E106="3"&amp;totales!H106="2"&amp;totales!I106="0"&amp;totales!J106="0","m",
IF(totales!E106="4"&amp;totales!H106="2"&amp;totales!I106="0"&amp;totales!J106="0","n",IF(totales!E106="6"&amp;totales!H106="2"&amp;totales!I106="0"&amp;totales!J106="0","o",IF(totales!E106="1"&amp;totales!H106="0"&amp;totales!I106="1"&amp;totales!J106="0","p",IF(totales!E106="2"&amp;totales!H106="0"&amp;totales!I106="1"&amp;totales!J106="0","q",IF(totales!E106="3"&amp;totales!H106="0"&amp;totales!I106="1"&amp;totales!J106="0","r",IF(totales!E106="4"&amp;totales!H106="0"&amp;totales!I106="1"&amp;totales!J106="0","s",IF(totales!E106="6"&amp;totales!H106="0"&amp;totales!I106="1"&amp;totales!J106="0","t",IF(totales!E106="1"&amp;totales!H106="2"&amp;totales!I106="1"&amp;totales!J106="0","u",IF(totales!E106="2"&amp;totales!H106="2"&amp;totales!I106="1"&amp;totales!J106="0","v",IF(totales!E106="3"&amp;totales!H106="2"&amp;totales!I106="1"&amp;totales!J106="0","w",IF(totales!E106="4"&amp;totales!H106="2"&amp;totales!I106="1"&amp;totales!J106="0","x",
IF(totales!E106="6"&amp;totales!H106="2"&amp;totales!I106="1"&amp;totales!J106="0","y",IF(totales!E106="1"&amp;totales!H106="1"&amp;totales!I106="1"&amp;totales!J106="0","z",IF(totales!E106="2"&amp;totales!H106="1"&amp;totales!I106="1"&amp;totales!J106="0","0",IF(totales!E106="3"&amp;totales!H106="1"&amp;totales!I106="1"&amp;totales!J106="0","1",IF(totales!E106="4"&amp;totales!H106="1"&amp;totales!I106="1"&amp;totales!J106="0","2",IF(totales!E106="6"&amp;totales!H106="1"&amp;totales!I106="1"&amp;totales!J106="0","3",IF(totales!E106="1"&amp;totales!H106="0"&amp;totales!I106="1"&amp;totales!J106="1","4",IF(totales!E106="2"&amp;totales!H106="0"&amp;totales!I106="1"&amp;totales!J106="1","5",IF(totales!E106="3"&amp;totales!H106="0"&amp;totales!I106="1"&amp;totales!J106="1","6",IF(totales!E106="4"&amp;totales!H106="0"&amp;totales!I106="1"&amp;totales!J106="1","7",IF(totales!E106="6"&amp;totales!H106="0"&amp;totales!I106="1"&amp;totales!J106="1","8",IF(totales!E106="1"&amp;totales!H106="1"&amp;totales!I106="0"&amp;totales!J106="1","9"))))))))))))))))))))))))))))))))))))</f>
        <v>0</v>
      </c>
    </row>
    <row r="106" spans="22:22">
      <c r="V106" s="102" t="b">
        <f>IF(totales!E107="1"&amp;totales!H107="0"&amp;totales!I107="0"&amp;totales!J107="0","a",IF(totales!E107="2"&amp;totales!H107="0"&amp;totales!I107="0"&amp;totales!J107="0","b",IF(totales!E107="3"&amp;totales!H107="0"&amp;totales!I107="0"&amp;totales!J107="0","c",IF(totales!E107="4"&amp;totales!H107="0"&amp;totales!I107="0"&amp;totales!J107="0","d",IF(totales!E107="6"&amp;totales!H107="0"&amp;totales!I107="0"&amp;totales!J107="0","e",IF(totales!E107="1"&amp;totales!H107="1"&amp;totales!I107="0"&amp;totales!J107="0","f",IF(totales!E107="2"&amp;totales!H107="1"&amp;totales!I107="0"&amp;totales!J107="0","g",IF(totales!E107="3"&amp;totales!H107="1"&amp;totales!I107="0"&amp;totales!J107="0","h",IF(totales!E107="4"&amp;totales!H107="1"&amp;totales!I107="0"&amp;totales!J107="0","i",IF(totales!E107="6"&amp;totales!H107="1"&amp;totales!I107="0"&amp;totales!J107="0","j",IF(totales!E107="1"&amp;totales!H107="2"&amp;totales!I107="0"&amp;totales!J107="0","k",IF(totales!E107="2"&amp;totales!H107="2"&amp;totales!I107="0"&amp;totales!J107="0","l",IF(totales!E107="3"&amp;totales!H107="2"&amp;totales!I107="0"&amp;totales!J107="0","m",
IF(totales!E107="4"&amp;totales!H107="2"&amp;totales!I107="0"&amp;totales!J107="0","n",IF(totales!E107="6"&amp;totales!H107="2"&amp;totales!I107="0"&amp;totales!J107="0","o",IF(totales!E107="1"&amp;totales!H107="0"&amp;totales!I107="1"&amp;totales!J107="0","p",IF(totales!E107="2"&amp;totales!H107="0"&amp;totales!I107="1"&amp;totales!J107="0","q",IF(totales!E107="3"&amp;totales!H107="0"&amp;totales!I107="1"&amp;totales!J107="0","r",IF(totales!E107="4"&amp;totales!H107="0"&amp;totales!I107="1"&amp;totales!J107="0","s",IF(totales!E107="6"&amp;totales!H107="0"&amp;totales!I107="1"&amp;totales!J107="0","t",IF(totales!E107="1"&amp;totales!H107="2"&amp;totales!I107="1"&amp;totales!J107="0","u",IF(totales!E107="2"&amp;totales!H107="2"&amp;totales!I107="1"&amp;totales!J107="0","v",IF(totales!E107="3"&amp;totales!H107="2"&amp;totales!I107="1"&amp;totales!J107="0","w",IF(totales!E107="4"&amp;totales!H107="2"&amp;totales!I107="1"&amp;totales!J107="0","x",
IF(totales!E107="6"&amp;totales!H107="2"&amp;totales!I107="1"&amp;totales!J107="0","y",IF(totales!E107="1"&amp;totales!H107="1"&amp;totales!I107="1"&amp;totales!J107="0","z",IF(totales!E107="2"&amp;totales!H107="1"&amp;totales!I107="1"&amp;totales!J107="0","0",IF(totales!E107="3"&amp;totales!H107="1"&amp;totales!I107="1"&amp;totales!J107="0","1",IF(totales!E107="4"&amp;totales!H107="1"&amp;totales!I107="1"&amp;totales!J107="0","2",IF(totales!E107="6"&amp;totales!H107="1"&amp;totales!I107="1"&amp;totales!J107="0","3",IF(totales!E107="1"&amp;totales!H107="0"&amp;totales!I107="1"&amp;totales!J107="1","4",IF(totales!E107="2"&amp;totales!H107="0"&amp;totales!I107="1"&amp;totales!J107="1","5",IF(totales!E107="3"&amp;totales!H107="0"&amp;totales!I107="1"&amp;totales!J107="1","6",IF(totales!E107="4"&amp;totales!H107="0"&amp;totales!I107="1"&amp;totales!J107="1","7",IF(totales!E107="6"&amp;totales!H107="0"&amp;totales!I107="1"&amp;totales!J107="1","8",IF(totales!E107="1"&amp;totales!H107="1"&amp;totales!I107="0"&amp;totales!J107="1","9"))))))))))))))))))))))))))))))))))))</f>
        <v>0</v>
      </c>
    </row>
    <row r="107" spans="22:22">
      <c r="V107" s="102" t="b">
        <f>IF(totales!E108="1"&amp;totales!H108="0"&amp;totales!I108="0"&amp;totales!J108="0","a",IF(totales!E108="2"&amp;totales!H108="0"&amp;totales!I108="0"&amp;totales!J108="0","b",IF(totales!E108="3"&amp;totales!H108="0"&amp;totales!I108="0"&amp;totales!J108="0","c",IF(totales!E108="4"&amp;totales!H108="0"&amp;totales!I108="0"&amp;totales!J108="0","d",IF(totales!E108="6"&amp;totales!H108="0"&amp;totales!I108="0"&amp;totales!J108="0","e",IF(totales!E108="1"&amp;totales!H108="1"&amp;totales!I108="0"&amp;totales!J108="0","f",IF(totales!E108="2"&amp;totales!H108="1"&amp;totales!I108="0"&amp;totales!J108="0","g",IF(totales!E108="3"&amp;totales!H108="1"&amp;totales!I108="0"&amp;totales!J108="0","h",IF(totales!E108="4"&amp;totales!H108="1"&amp;totales!I108="0"&amp;totales!J108="0","i",IF(totales!E108="6"&amp;totales!H108="1"&amp;totales!I108="0"&amp;totales!J108="0","j",IF(totales!E108="1"&amp;totales!H108="2"&amp;totales!I108="0"&amp;totales!J108="0","k",IF(totales!E108="2"&amp;totales!H108="2"&amp;totales!I108="0"&amp;totales!J108="0","l",IF(totales!E108="3"&amp;totales!H108="2"&amp;totales!I108="0"&amp;totales!J108="0","m",
IF(totales!E108="4"&amp;totales!H108="2"&amp;totales!I108="0"&amp;totales!J108="0","n",IF(totales!E108="6"&amp;totales!H108="2"&amp;totales!I108="0"&amp;totales!J108="0","o",IF(totales!E108="1"&amp;totales!H108="0"&amp;totales!I108="1"&amp;totales!J108="0","p",IF(totales!E108="2"&amp;totales!H108="0"&amp;totales!I108="1"&amp;totales!J108="0","q",IF(totales!E108="3"&amp;totales!H108="0"&amp;totales!I108="1"&amp;totales!J108="0","r",IF(totales!E108="4"&amp;totales!H108="0"&amp;totales!I108="1"&amp;totales!J108="0","s",IF(totales!E108="6"&amp;totales!H108="0"&amp;totales!I108="1"&amp;totales!J108="0","t",IF(totales!E108="1"&amp;totales!H108="2"&amp;totales!I108="1"&amp;totales!J108="0","u",IF(totales!E108="2"&amp;totales!H108="2"&amp;totales!I108="1"&amp;totales!J108="0","v",IF(totales!E108="3"&amp;totales!H108="2"&amp;totales!I108="1"&amp;totales!J108="0","w",IF(totales!E108="4"&amp;totales!H108="2"&amp;totales!I108="1"&amp;totales!J108="0","x",
IF(totales!E108="6"&amp;totales!H108="2"&amp;totales!I108="1"&amp;totales!J108="0","y",IF(totales!E108="1"&amp;totales!H108="1"&amp;totales!I108="1"&amp;totales!J108="0","z",IF(totales!E108="2"&amp;totales!H108="1"&amp;totales!I108="1"&amp;totales!J108="0","0",IF(totales!E108="3"&amp;totales!H108="1"&amp;totales!I108="1"&amp;totales!J108="0","1",IF(totales!E108="4"&amp;totales!H108="1"&amp;totales!I108="1"&amp;totales!J108="0","2",IF(totales!E108="6"&amp;totales!H108="1"&amp;totales!I108="1"&amp;totales!J108="0","3",IF(totales!E108="1"&amp;totales!H108="0"&amp;totales!I108="1"&amp;totales!J108="1","4",IF(totales!E108="2"&amp;totales!H108="0"&amp;totales!I108="1"&amp;totales!J108="1","5",IF(totales!E108="3"&amp;totales!H108="0"&amp;totales!I108="1"&amp;totales!J108="1","6",IF(totales!E108="4"&amp;totales!H108="0"&amp;totales!I108="1"&amp;totales!J108="1","7",IF(totales!E108="6"&amp;totales!H108="0"&amp;totales!I108="1"&amp;totales!J108="1","8",IF(totales!E108="1"&amp;totales!H108="1"&amp;totales!I108="0"&amp;totales!J108="1","9"))))))))))))))))))))))))))))))))))))</f>
        <v>0</v>
      </c>
    </row>
    <row r="108" spans="22:22">
      <c r="V108" s="102" t="b">
        <f>IF(totales!E109="1"&amp;totales!H109="0"&amp;totales!I109="0"&amp;totales!J109="0","a",IF(totales!E109="2"&amp;totales!H109="0"&amp;totales!I109="0"&amp;totales!J109="0","b",IF(totales!E109="3"&amp;totales!H109="0"&amp;totales!I109="0"&amp;totales!J109="0","c",IF(totales!E109="4"&amp;totales!H109="0"&amp;totales!I109="0"&amp;totales!J109="0","d",IF(totales!E109="6"&amp;totales!H109="0"&amp;totales!I109="0"&amp;totales!J109="0","e",IF(totales!E109="1"&amp;totales!H109="1"&amp;totales!I109="0"&amp;totales!J109="0","f",IF(totales!E109="2"&amp;totales!H109="1"&amp;totales!I109="0"&amp;totales!J109="0","g",IF(totales!E109="3"&amp;totales!H109="1"&amp;totales!I109="0"&amp;totales!J109="0","h",IF(totales!E109="4"&amp;totales!H109="1"&amp;totales!I109="0"&amp;totales!J109="0","i",IF(totales!E109="6"&amp;totales!H109="1"&amp;totales!I109="0"&amp;totales!J109="0","j",IF(totales!E109="1"&amp;totales!H109="2"&amp;totales!I109="0"&amp;totales!J109="0","k",IF(totales!E109="2"&amp;totales!H109="2"&amp;totales!I109="0"&amp;totales!J109="0","l",IF(totales!E109="3"&amp;totales!H109="2"&amp;totales!I109="0"&amp;totales!J109="0","m",
IF(totales!E109="4"&amp;totales!H109="2"&amp;totales!I109="0"&amp;totales!J109="0","n",IF(totales!E109="6"&amp;totales!H109="2"&amp;totales!I109="0"&amp;totales!J109="0","o",IF(totales!E109="1"&amp;totales!H109="0"&amp;totales!I109="1"&amp;totales!J109="0","p",IF(totales!E109="2"&amp;totales!H109="0"&amp;totales!I109="1"&amp;totales!J109="0","q",IF(totales!E109="3"&amp;totales!H109="0"&amp;totales!I109="1"&amp;totales!J109="0","r",IF(totales!E109="4"&amp;totales!H109="0"&amp;totales!I109="1"&amp;totales!J109="0","s",IF(totales!E109="6"&amp;totales!H109="0"&amp;totales!I109="1"&amp;totales!J109="0","t",IF(totales!E109="1"&amp;totales!H109="2"&amp;totales!I109="1"&amp;totales!J109="0","u",IF(totales!E109="2"&amp;totales!H109="2"&amp;totales!I109="1"&amp;totales!J109="0","v",IF(totales!E109="3"&amp;totales!H109="2"&amp;totales!I109="1"&amp;totales!J109="0","w",IF(totales!E109="4"&amp;totales!H109="2"&amp;totales!I109="1"&amp;totales!J109="0","x",
IF(totales!E109="6"&amp;totales!H109="2"&amp;totales!I109="1"&amp;totales!J109="0","y",IF(totales!E109="1"&amp;totales!H109="1"&amp;totales!I109="1"&amp;totales!J109="0","z",IF(totales!E109="2"&amp;totales!H109="1"&amp;totales!I109="1"&amp;totales!J109="0","0",IF(totales!E109="3"&amp;totales!H109="1"&amp;totales!I109="1"&amp;totales!J109="0","1",IF(totales!E109="4"&amp;totales!H109="1"&amp;totales!I109="1"&amp;totales!J109="0","2",IF(totales!E109="6"&amp;totales!H109="1"&amp;totales!I109="1"&amp;totales!J109="0","3",IF(totales!E109="1"&amp;totales!H109="0"&amp;totales!I109="1"&amp;totales!J109="1","4",IF(totales!E109="2"&amp;totales!H109="0"&amp;totales!I109="1"&amp;totales!J109="1","5",IF(totales!E109="3"&amp;totales!H109="0"&amp;totales!I109="1"&amp;totales!J109="1","6",IF(totales!E109="4"&amp;totales!H109="0"&amp;totales!I109="1"&amp;totales!J109="1","7",IF(totales!E109="6"&amp;totales!H109="0"&amp;totales!I109="1"&amp;totales!J109="1","8",IF(totales!E109="1"&amp;totales!H109="1"&amp;totales!I109="0"&amp;totales!J109="1","9"))))))))))))))))))))))))))))))))))))</f>
        <v>0</v>
      </c>
    </row>
    <row r="109" spans="22:22">
      <c r="V109" s="102" t="b">
        <f>IF(totales!E110="1"&amp;totales!H110="0"&amp;totales!I110="0"&amp;totales!J110="0","a",IF(totales!E110="2"&amp;totales!H110="0"&amp;totales!I110="0"&amp;totales!J110="0","b",IF(totales!E110="3"&amp;totales!H110="0"&amp;totales!I110="0"&amp;totales!J110="0","c",IF(totales!E110="4"&amp;totales!H110="0"&amp;totales!I110="0"&amp;totales!J110="0","d",IF(totales!E110="6"&amp;totales!H110="0"&amp;totales!I110="0"&amp;totales!J110="0","e",IF(totales!E110="1"&amp;totales!H110="1"&amp;totales!I110="0"&amp;totales!J110="0","f",IF(totales!E110="2"&amp;totales!H110="1"&amp;totales!I110="0"&amp;totales!J110="0","g",IF(totales!E110="3"&amp;totales!H110="1"&amp;totales!I110="0"&amp;totales!J110="0","h",IF(totales!E110="4"&amp;totales!H110="1"&amp;totales!I110="0"&amp;totales!J110="0","i",IF(totales!E110="6"&amp;totales!H110="1"&amp;totales!I110="0"&amp;totales!J110="0","j",IF(totales!E110="1"&amp;totales!H110="2"&amp;totales!I110="0"&amp;totales!J110="0","k",IF(totales!E110="2"&amp;totales!H110="2"&amp;totales!I110="0"&amp;totales!J110="0","l",IF(totales!E110="3"&amp;totales!H110="2"&amp;totales!I110="0"&amp;totales!J110="0","m",
IF(totales!E110="4"&amp;totales!H110="2"&amp;totales!I110="0"&amp;totales!J110="0","n",IF(totales!E110="6"&amp;totales!H110="2"&amp;totales!I110="0"&amp;totales!J110="0","o",IF(totales!E110="1"&amp;totales!H110="0"&amp;totales!I110="1"&amp;totales!J110="0","p",IF(totales!E110="2"&amp;totales!H110="0"&amp;totales!I110="1"&amp;totales!J110="0","q",IF(totales!E110="3"&amp;totales!H110="0"&amp;totales!I110="1"&amp;totales!J110="0","r",IF(totales!E110="4"&amp;totales!H110="0"&amp;totales!I110="1"&amp;totales!J110="0","s",IF(totales!E110="6"&amp;totales!H110="0"&amp;totales!I110="1"&amp;totales!J110="0","t",IF(totales!E110="1"&amp;totales!H110="2"&amp;totales!I110="1"&amp;totales!J110="0","u",IF(totales!E110="2"&amp;totales!H110="2"&amp;totales!I110="1"&amp;totales!J110="0","v",IF(totales!E110="3"&amp;totales!H110="2"&amp;totales!I110="1"&amp;totales!J110="0","w",IF(totales!E110="4"&amp;totales!H110="2"&amp;totales!I110="1"&amp;totales!J110="0","x",
IF(totales!E110="6"&amp;totales!H110="2"&amp;totales!I110="1"&amp;totales!J110="0","y",IF(totales!E110="1"&amp;totales!H110="1"&amp;totales!I110="1"&amp;totales!J110="0","z",IF(totales!E110="2"&amp;totales!H110="1"&amp;totales!I110="1"&amp;totales!J110="0","0",IF(totales!E110="3"&amp;totales!H110="1"&amp;totales!I110="1"&amp;totales!J110="0","1",IF(totales!E110="4"&amp;totales!H110="1"&amp;totales!I110="1"&amp;totales!J110="0","2",IF(totales!E110="6"&amp;totales!H110="1"&amp;totales!I110="1"&amp;totales!J110="0","3",IF(totales!E110="1"&amp;totales!H110="0"&amp;totales!I110="1"&amp;totales!J110="1","4",IF(totales!E110="2"&amp;totales!H110="0"&amp;totales!I110="1"&amp;totales!J110="1","5",IF(totales!E110="3"&amp;totales!H110="0"&amp;totales!I110="1"&amp;totales!J110="1","6",IF(totales!E110="4"&amp;totales!H110="0"&amp;totales!I110="1"&amp;totales!J110="1","7",IF(totales!E110="6"&amp;totales!H110="0"&amp;totales!I110="1"&amp;totales!J110="1","8",IF(totales!E110="1"&amp;totales!H110="1"&amp;totales!I110="0"&amp;totales!J110="1","9"))))))))))))))))))))))))))))))))))))</f>
        <v>0</v>
      </c>
    </row>
    <row r="110" spans="22:22">
      <c r="V110" s="102" t="b">
        <f>IF(totales!E111="1"&amp;totales!H111="0"&amp;totales!I111="0"&amp;totales!J111="0","a",IF(totales!E111="2"&amp;totales!H111="0"&amp;totales!I111="0"&amp;totales!J111="0","b",IF(totales!E111="3"&amp;totales!H111="0"&amp;totales!I111="0"&amp;totales!J111="0","c",IF(totales!E111="4"&amp;totales!H111="0"&amp;totales!I111="0"&amp;totales!J111="0","d",IF(totales!E111="6"&amp;totales!H111="0"&amp;totales!I111="0"&amp;totales!J111="0","e",IF(totales!E111="1"&amp;totales!H111="1"&amp;totales!I111="0"&amp;totales!J111="0","f",IF(totales!E111="2"&amp;totales!H111="1"&amp;totales!I111="0"&amp;totales!J111="0","g",IF(totales!E111="3"&amp;totales!H111="1"&amp;totales!I111="0"&amp;totales!J111="0","h",IF(totales!E111="4"&amp;totales!H111="1"&amp;totales!I111="0"&amp;totales!J111="0","i",IF(totales!E111="6"&amp;totales!H111="1"&amp;totales!I111="0"&amp;totales!J111="0","j",IF(totales!E111="1"&amp;totales!H111="2"&amp;totales!I111="0"&amp;totales!J111="0","k",IF(totales!E111="2"&amp;totales!H111="2"&amp;totales!I111="0"&amp;totales!J111="0","l",IF(totales!E111="3"&amp;totales!H111="2"&amp;totales!I111="0"&amp;totales!J111="0","m",
IF(totales!E111="4"&amp;totales!H111="2"&amp;totales!I111="0"&amp;totales!J111="0","n",IF(totales!E111="6"&amp;totales!H111="2"&amp;totales!I111="0"&amp;totales!J111="0","o",IF(totales!E111="1"&amp;totales!H111="0"&amp;totales!I111="1"&amp;totales!J111="0","p",IF(totales!E111="2"&amp;totales!H111="0"&amp;totales!I111="1"&amp;totales!J111="0","q",IF(totales!E111="3"&amp;totales!H111="0"&amp;totales!I111="1"&amp;totales!J111="0","r",IF(totales!E111="4"&amp;totales!H111="0"&amp;totales!I111="1"&amp;totales!J111="0","s",IF(totales!E111="6"&amp;totales!H111="0"&amp;totales!I111="1"&amp;totales!J111="0","t",IF(totales!E111="1"&amp;totales!H111="2"&amp;totales!I111="1"&amp;totales!J111="0","u",IF(totales!E111="2"&amp;totales!H111="2"&amp;totales!I111="1"&amp;totales!J111="0","v",IF(totales!E111="3"&amp;totales!H111="2"&amp;totales!I111="1"&amp;totales!J111="0","w",IF(totales!E111="4"&amp;totales!H111="2"&amp;totales!I111="1"&amp;totales!J111="0","x",
IF(totales!E111="6"&amp;totales!H111="2"&amp;totales!I111="1"&amp;totales!J111="0","y",IF(totales!E111="1"&amp;totales!H111="1"&amp;totales!I111="1"&amp;totales!J111="0","z",IF(totales!E111="2"&amp;totales!H111="1"&amp;totales!I111="1"&amp;totales!J111="0","0",IF(totales!E111="3"&amp;totales!H111="1"&amp;totales!I111="1"&amp;totales!J111="0","1",IF(totales!E111="4"&amp;totales!H111="1"&amp;totales!I111="1"&amp;totales!J111="0","2",IF(totales!E111="6"&amp;totales!H111="1"&amp;totales!I111="1"&amp;totales!J111="0","3",IF(totales!E111="1"&amp;totales!H111="0"&amp;totales!I111="1"&amp;totales!J111="1","4",IF(totales!E111="2"&amp;totales!H111="0"&amp;totales!I111="1"&amp;totales!J111="1","5",IF(totales!E111="3"&amp;totales!H111="0"&amp;totales!I111="1"&amp;totales!J111="1","6",IF(totales!E111="4"&amp;totales!H111="0"&amp;totales!I111="1"&amp;totales!J111="1","7",IF(totales!E111="6"&amp;totales!H111="0"&amp;totales!I111="1"&amp;totales!J111="1","8",IF(totales!E111="1"&amp;totales!H111="1"&amp;totales!I111="0"&amp;totales!J111="1","9"))))))))))))))))))))))))))))))))))))</f>
        <v>0</v>
      </c>
    </row>
    <row r="111" spans="22:22">
      <c r="V111" s="102" t="b">
        <f>IF(totales!E112="1"&amp;totales!H112="0"&amp;totales!I112="0"&amp;totales!J112="0","a",IF(totales!E112="2"&amp;totales!H112="0"&amp;totales!I112="0"&amp;totales!J112="0","b",IF(totales!E112="3"&amp;totales!H112="0"&amp;totales!I112="0"&amp;totales!J112="0","c",IF(totales!E112="4"&amp;totales!H112="0"&amp;totales!I112="0"&amp;totales!J112="0","d",IF(totales!E112="6"&amp;totales!H112="0"&amp;totales!I112="0"&amp;totales!J112="0","e",IF(totales!E112="1"&amp;totales!H112="1"&amp;totales!I112="0"&amp;totales!J112="0","f",IF(totales!E112="2"&amp;totales!H112="1"&amp;totales!I112="0"&amp;totales!J112="0","g",IF(totales!E112="3"&amp;totales!H112="1"&amp;totales!I112="0"&amp;totales!J112="0","h",IF(totales!E112="4"&amp;totales!H112="1"&amp;totales!I112="0"&amp;totales!J112="0","i",IF(totales!E112="6"&amp;totales!H112="1"&amp;totales!I112="0"&amp;totales!J112="0","j",IF(totales!E112="1"&amp;totales!H112="2"&amp;totales!I112="0"&amp;totales!J112="0","k",IF(totales!E112="2"&amp;totales!H112="2"&amp;totales!I112="0"&amp;totales!J112="0","l",IF(totales!E112="3"&amp;totales!H112="2"&amp;totales!I112="0"&amp;totales!J112="0","m",
IF(totales!E112="4"&amp;totales!H112="2"&amp;totales!I112="0"&amp;totales!J112="0","n",IF(totales!E112="6"&amp;totales!H112="2"&amp;totales!I112="0"&amp;totales!J112="0","o",IF(totales!E112="1"&amp;totales!H112="0"&amp;totales!I112="1"&amp;totales!J112="0","p",IF(totales!E112="2"&amp;totales!H112="0"&amp;totales!I112="1"&amp;totales!J112="0","q",IF(totales!E112="3"&amp;totales!H112="0"&amp;totales!I112="1"&amp;totales!J112="0","r",IF(totales!E112="4"&amp;totales!H112="0"&amp;totales!I112="1"&amp;totales!J112="0","s",IF(totales!E112="6"&amp;totales!H112="0"&amp;totales!I112="1"&amp;totales!J112="0","t",IF(totales!E112="1"&amp;totales!H112="2"&amp;totales!I112="1"&amp;totales!J112="0","u",IF(totales!E112="2"&amp;totales!H112="2"&amp;totales!I112="1"&amp;totales!J112="0","v",IF(totales!E112="3"&amp;totales!H112="2"&amp;totales!I112="1"&amp;totales!J112="0","w",IF(totales!E112="4"&amp;totales!H112="2"&amp;totales!I112="1"&amp;totales!J112="0","x",
IF(totales!E112="6"&amp;totales!H112="2"&amp;totales!I112="1"&amp;totales!J112="0","y",IF(totales!E112="1"&amp;totales!H112="1"&amp;totales!I112="1"&amp;totales!J112="0","z",IF(totales!E112="2"&amp;totales!H112="1"&amp;totales!I112="1"&amp;totales!J112="0","0",IF(totales!E112="3"&amp;totales!H112="1"&amp;totales!I112="1"&amp;totales!J112="0","1",IF(totales!E112="4"&amp;totales!H112="1"&amp;totales!I112="1"&amp;totales!J112="0","2",IF(totales!E112="6"&amp;totales!H112="1"&amp;totales!I112="1"&amp;totales!J112="0","3",IF(totales!E112="1"&amp;totales!H112="0"&amp;totales!I112="1"&amp;totales!J112="1","4",IF(totales!E112="2"&amp;totales!H112="0"&amp;totales!I112="1"&amp;totales!J112="1","5",IF(totales!E112="3"&amp;totales!H112="0"&amp;totales!I112="1"&amp;totales!J112="1","6",IF(totales!E112="4"&amp;totales!H112="0"&amp;totales!I112="1"&amp;totales!J112="1","7",IF(totales!E112="6"&amp;totales!H112="0"&amp;totales!I112="1"&amp;totales!J112="1","8",IF(totales!E112="1"&amp;totales!H112="1"&amp;totales!I112="0"&amp;totales!J112="1","9"))))))))))))))))))))))))))))))))))))</f>
        <v>0</v>
      </c>
    </row>
    <row r="112" spans="22:22">
      <c r="V112" s="102" t="b">
        <f>IF(totales!E113="1"&amp;totales!H113="0"&amp;totales!I113="0"&amp;totales!J113="0","a",IF(totales!E113="2"&amp;totales!H113="0"&amp;totales!I113="0"&amp;totales!J113="0","b",IF(totales!E113="3"&amp;totales!H113="0"&amp;totales!I113="0"&amp;totales!J113="0","c",IF(totales!E113="4"&amp;totales!H113="0"&amp;totales!I113="0"&amp;totales!J113="0","d",IF(totales!E113="6"&amp;totales!H113="0"&amp;totales!I113="0"&amp;totales!J113="0","e",IF(totales!E113="1"&amp;totales!H113="1"&amp;totales!I113="0"&amp;totales!J113="0","f",IF(totales!E113="2"&amp;totales!H113="1"&amp;totales!I113="0"&amp;totales!J113="0","g",IF(totales!E113="3"&amp;totales!H113="1"&amp;totales!I113="0"&amp;totales!J113="0","h",IF(totales!E113="4"&amp;totales!H113="1"&amp;totales!I113="0"&amp;totales!J113="0","i",IF(totales!E113="6"&amp;totales!H113="1"&amp;totales!I113="0"&amp;totales!J113="0","j",IF(totales!E113="1"&amp;totales!H113="2"&amp;totales!I113="0"&amp;totales!J113="0","k",IF(totales!E113="2"&amp;totales!H113="2"&amp;totales!I113="0"&amp;totales!J113="0","l",IF(totales!E113="3"&amp;totales!H113="2"&amp;totales!I113="0"&amp;totales!J113="0","m",
IF(totales!E113="4"&amp;totales!H113="2"&amp;totales!I113="0"&amp;totales!J113="0","n",IF(totales!E113="6"&amp;totales!H113="2"&amp;totales!I113="0"&amp;totales!J113="0","o",IF(totales!E113="1"&amp;totales!H113="0"&amp;totales!I113="1"&amp;totales!J113="0","p",IF(totales!E113="2"&amp;totales!H113="0"&amp;totales!I113="1"&amp;totales!J113="0","q",IF(totales!E113="3"&amp;totales!H113="0"&amp;totales!I113="1"&amp;totales!J113="0","r",IF(totales!E113="4"&amp;totales!H113="0"&amp;totales!I113="1"&amp;totales!J113="0","s",IF(totales!E113="6"&amp;totales!H113="0"&amp;totales!I113="1"&amp;totales!J113="0","t",IF(totales!E113="1"&amp;totales!H113="2"&amp;totales!I113="1"&amp;totales!J113="0","u",IF(totales!E113="2"&amp;totales!H113="2"&amp;totales!I113="1"&amp;totales!J113="0","v",IF(totales!E113="3"&amp;totales!H113="2"&amp;totales!I113="1"&amp;totales!J113="0","w",IF(totales!E113="4"&amp;totales!H113="2"&amp;totales!I113="1"&amp;totales!J113="0","x",
IF(totales!E113="6"&amp;totales!H113="2"&amp;totales!I113="1"&amp;totales!J113="0","y",IF(totales!E113="1"&amp;totales!H113="1"&amp;totales!I113="1"&amp;totales!J113="0","z",IF(totales!E113="2"&amp;totales!H113="1"&amp;totales!I113="1"&amp;totales!J113="0","0",IF(totales!E113="3"&amp;totales!H113="1"&amp;totales!I113="1"&amp;totales!J113="0","1",IF(totales!E113="4"&amp;totales!H113="1"&amp;totales!I113="1"&amp;totales!J113="0","2",IF(totales!E113="6"&amp;totales!H113="1"&amp;totales!I113="1"&amp;totales!J113="0","3",IF(totales!E113="1"&amp;totales!H113="0"&amp;totales!I113="1"&amp;totales!J113="1","4",IF(totales!E113="2"&amp;totales!H113="0"&amp;totales!I113="1"&amp;totales!J113="1","5",IF(totales!E113="3"&amp;totales!H113="0"&amp;totales!I113="1"&amp;totales!J113="1","6",IF(totales!E113="4"&amp;totales!H113="0"&amp;totales!I113="1"&amp;totales!J113="1","7",IF(totales!E113="6"&amp;totales!H113="0"&amp;totales!I113="1"&amp;totales!J113="1","8",IF(totales!E113="1"&amp;totales!H113="1"&amp;totales!I113="0"&amp;totales!J113="1","9"))))))))))))))))))))))))))))))))))))</f>
        <v>0</v>
      </c>
    </row>
    <row r="113" spans="22:22">
      <c r="V113" s="102" t="b">
        <f>IF(totales!E114="1"&amp;totales!H114="0"&amp;totales!I114="0"&amp;totales!J114="0","a",IF(totales!E114="2"&amp;totales!H114="0"&amp;totales!I114="0"&amp;totales!J114="0","b",IF(totales!E114="3"&amp;totales!H114="0"&amp;totales!I114="0"&amp;totales!J114="0","c",IF(totales!E114="4"&amp;totales!H114="0"&amp;totales!I114="0"&amp;totales!J114="0","d",IF(totales!E114="6"&amp;totales!H114="0"&amp;totales!I114="0"&amp;totales!J114="0","e",IF(totales!E114="1"&amp;totales!H114="1"&amp;totales!I114="0"&amp;totales!J114="0","f",IF(totales!E114="2"&amp;totales!H114="1"&amp;totales!I114="0"&amp;totales!J114="0","g",IF(totales!E114="3"&amp;totales!H114="1"&amp;totales!I114="0"&amp;totales!J114="0","h",IF(totales!E114="4"&amp;totales!H114="1"&amp;totales!I114="0"&amp;totales!J114="0","i",IF(totales!E114="6"&amp;totales!H114="1"&amp;totales!I114="0"&amp;totales!J114="0","j",IF(totales!E114="1"&amp;totales!H114="2"&amp;totales!I114="0"&amp;totales!J114="0","k",IF(totales!E114="2"&amp;totales!H114="2"&amp;totales!I114="0"&amp;totales!J114="0","l",IF(totales!E114="3"&amp;totales!H114="2"&amp;totales!I114="0"&amp;totales!J114="0","m",
IF(totales!E114="4"&amp;totales!H114="2"&amp;totales!I114="0"&amp;totales!J114="0","n",IF(totales!E114="6"&amp;totales!H114="2"&amp;totales!I114="0"&amp;totales!J114="0","o",IF(totales!E114="1"&amp;totales!H114="0"&amp;totales!I114="1"&amp;totales!J114="0","p",IF(totales!E114="2"&amp;totales!H114="0"&amp;totales!I114="1"&amp;totales!J114="0","q",IF(totales!E114="3"&amp;totales!H114="0"&amp;totales!I114="1"&amp;totales!J114="0","r",IF(totales!E114="4"&amp;totales!H114="0"&amp;totales!I114="1"&amp;totales!J114="0","s",IF(totales!E114="6"&amp;totales!H114="0"&amp;totales!I114="1"&amp;totales!J114="0","t",IF(totales!E114="1"&amp;totales!H114="2"&amp;totales!I114="1"&amp;totales!J114="0","u",IF(totales!E114="2"&amp;totales!H114="2"&amp;totales!I114="1"&amp;totales!J114="0","v",IF(totales!E114="3"&amp;totales!H114="2"&amp;totales!I114="1"&amp;totales!J114="0","w",IF(totales!E114="4"&amp;totales!H114="2"&amp;totales!I114="1"&amp;totales!J114="0","x",
IF(totales!E114="6"&amp;totales!H114="2"&amp;totales!I114="1"&amp;totales!J114="0","y",IF(totales!E114="1"&amp;totales!H114="1"&amp;totales!I114="1"&amp;totales!J114="0","z",IF(totales!E114="2"&amp;totales!H114="1"&amp;totales!I114="1"&amp;totales!J114="0","0",IF(totales!E114="3"&amp;totales!H114="1"&amp;totales!I114="1"&amp;totales!J114="0","1",IF(totales!E114="4"&amp;totales!H114="1"&amp;totales!I114="1"&amp;totales!J114="0","2",IF(totales!E114="6"&amp;totales!H114="1"&amp;totales!I114="1"&amp;totales!J114="0","3",IF(totales!E114="1"&amp;totales!H114="0"&amp;totales!I114="1"&amp;totales!J114="1","4",IF(totales!E114="2"&amp;totales!H114="0"&amp;totales!I114="1"&amp;totales!J114="1","5",IF(totales!E114="3"&amp;totales!H114="0"&amp;totales!I114="1"&amp;totales!J114="1","6",IF(totales!E114="4"&amp;totales!H114="0"&amp;totales!I114="1"&amp;totales!J114="1","7",IF(totales!E114="6"&amp;totales!H114="0"&amp;totales!I114="1"&amp;totales!J114="1","8",IF(totales!E114="1"&amp;totales!H114="1"&amp;totales!I114="0"&amp;totales!J114="1","9"))))))))))))))))))))))))))))))))))))</f>
        <v>0</v>
      </c>
    </row>
    <row r="114" spans="22:22">
      <c r="V114" s="102" t="b">
        <f>IF(totales!E115="1"&amp;totales!H115="0"&amp;totales!I115="0"&amp;totales!J115="0","a",IF(totales!E115="2"&amp;totales!H115="0"&amp;totales!I115="0"&amp;totales!J115="0","b",IF(totales!E115="3"&amp;totales!H115="0"&amp;totales!I115="0"&amp;totales!J115="0","c",IF(totales!E115="4"&amp;totales!H115="0"&amp;totales!I115="0"&amp;totales!J115="0","d",IF(totales!E115="6"&amp;totales!H115="0"&amp;totales!I115="0"&amp;totales!J115="0","e",IF(totales!E115="1"&amp;totales!H115="1"&amp;totales!I115="0"&amp;totales!J115="0","f",IF(totales!E115="2"&amp;totales!H115="1"&amp;totales!I115="0"&amp;totales!J115="0","g",IF(totales!E115="3"&amp;totales!H115="1"&amp;totales!I115="0"&amp;totales!J115="0","h",IF(totales!E115="4"&amp;totales!H115="1"&amp;totales!I115="0"&amp;totales!J115="0","i",IF(totales!E115="6"&amp;totales!H115="1"&amp;totales!I115="0"&amp;totales!J115="0","j",IF(totales!E115="1"&amp;totales!H115="2"&amp;totales!I115="0"&amp;totales!J115="0","k",IF(totales!E115="2"&amp;totales!H115="2"&amp;totales!I115="0"&amp;totales!J115="0","l",IF(totales!E115="3"&amp;totales!H115="2"&amp;totales!I115="0"&amp;totales!J115="0","m",
IF(totales!E115="4"&amp;totales!H115="2"&amp;totales!I115="0"&amp;totales!J115="0","n",IF(totales!E115="6"&amp;totales!H115="2"&amp;totales!I115="0"&amp;totales!J115="0","o",IF(totales!E115="1"&amp;totales!H115="0"&amp;totales!I115="1"&amp;totales!J115="0","p",IF(totales!E115="2"&amp;totales!H115="0"&amp;totales!I115="1"&amp;totales!J115="0","q",IF(totales!E115="3"&amp;totales!H115="0"&amp;totales!I115="1"&amp;totales!J115="0","r",IF(totales!E115="4"&amp;totales!H115="0"&amp;totales!I115="1"&amp;totales!J115="0","s",IF(totales!E115="6"&amp;totales!H115="0"&amp;totales!I115="1"&amp;totales!J115="0","t",IF(totales!E115="1"&amp;totales!H115="2"&amp;totales!I115="1"&amp;totales!J115="0","u",IF(totales!E115="2"&amp;totales!H115="2"&amp;totales!I115="1"&amp;totales!J115="0","v",IF(totales!E115="3"&amp;totales!H115="2"&amp;totales!I115="1"&amp;totales!J115="0","w",IF(totales!E115="4"&amp;totales!H115="2"&amp;totales!I115="1"&amp;totales!J115="0","x",
IF(totales!E115="6"&amp;totales!H115="2"&amp;totales!I115="1"&amp;totales!J115="0","y",IF(totales!E115="1"&amp;totales!H115="1"&amp;totales!I115="1"&amp;totales!J115="0","z",IF(totales!E115="2"&amp;totales!H115="1"&amp;totales!I115="1"&amp;totales!J115="0","0",IF(totales!E115="3"&amp;totales!H115="1"&amp;totales!I115="1"&amp;totales!J115="0","1",IF(totales!E115="4"&amp;totales!H115="1"&amp;totales!I115="1"&amp;totales!J115="0","2",IF(totales!E115="6"&amp;totales!H115="1"&amp;totales!I115="1"&amp;totales!J115="0","3",IF(totales!E115="1"&amp;totales!H115="0"&amp;totales!I115="1"&amp;totales!J115="1","4",IF(totales!E115="2"&amp;totales!H115="0"&amp;totales!I115="1"&amp;totales!J115="1","5",IF(totales!E115="3"&amp;totales!H115="0"&amp;totales!I115="1"&amp;totales!J115="1","6",IF(totales!E115="4"&amp;totales!H115="0"&amp;totales!I115="1"&amp;totales!J115="1","7",IF(totales!E115="6"&amp;totales!H115="0"&amp;totales!I115="1"&amp;totales!J115="1","8",IF(totales!E115="1"&amp;totales!H115="1"&amp;totales!I115="0"&amp;totales!J115="1","9"))))))))))))))))))))))))))))))))))))</f>
        <v>0</v>
      </c>
    </row>
    <row r="115" spans="22:22">
      <c r="V115" s="102" t="b">
        <f>IF(totales!E116="1"&amp;totales!H116="0"&amp;totales!I116="0"&amp;totales!J116="0","a",IF(totales!E116="2"&amp;totales!H116="0"&amp;totales!I116="0"&amp;totales!J116="0","b",IF(totales!E116="3"&amp;totales!H116="0"&amp;totales!I116="0"&amp;totales!J116="0","c",IF(totales!E116="4"&amp;totales!H116="0"&amp;totales!I116="0"&amp;totales!J116="0","d",IF(totales!E116="6"&amp;totales!H116="0"&amp;totales!I116="0"&amp;totales!J116="0","e",IF(totales!E116="1"&amp;totales!H116="1"&amp;totales!I116="0"&amp;totales!J116="0","f",IF(totales!E116="2"&amp;totales!H116="1"&amp;totales!I116="0"&amp;totales!J116="0","g",IF(totales!E116="3"&amp;totales!H116="1"&amp;totales!I116="0"&amp;totales!J116="0","h",IF(totales!E116="4"&amp;totales!H116="1"&amp;totales!I116="0"&amp;totales!J116="0","i",IF(totales!E116="6"&amp;totales!H116="1"&amp;totales!I116="0"&amp;totales!J116="0","j",IF(totales!E116="1"&amp;totales!H116="2"&amp;totales!I116="0"&amp;totales!J116="0","k",IF(totales!E116="2"&amp;totales!H116="2"&amp;totales!I116="0"&amp;totales!J116="0","l",IF(totales!E116="3"&amp;totales!H116="2"&amp;totales!I116="0"&amp;totales!J116="0","m",
IF(totales!E116="4"&amp;totales!H116="2"&amp;totales!I116="0"&amp;totales!J116="0","n",IF(totales!E116="6"&amp;totales!H116="2"&amp;totales!I116="0"&amp;totales!J116="0","o",IF(totales!E116="1"&amp;totales!H116="0"&amp;totales!I116="1"&amp;totales!J116="0","p",IF(totales!E116="2"&amp;totales!H116="0"&amp;totales!I116="1"&amp;totales!J116="0","q",IF(totales!E116="3"&amp;totales!H116="0"&amp;totales!I116="1"&amp;totales!J116="0","r",IF(totales!E116="4"&amp;totales!H116="0"&amp;totales!I116="1"&amp;totales!J116="0","s",IF(totales!E116="6"&amp;totales!H116="0"&amp;totales!I116="1"&amp;totales!J116="0","t",IF(totales!E116="1"&amp;totales!H116="2"&amp;totales!I116="1"&amp;totales!J116="0","u",IF(totales!E116="2"&amp;totales!H116="2"&amp;totales!I116="1"&amp;totales!J116="0","v",IF(totales!E116="3"&amp;totales!H116="2"&amp;totales!I116="1"&amp;totales!J116="0","w",IF(totales!E116="4"&amp;totales!H116="2"&amp;totales!I116="1"&amp;totales!J116="0","x",
IF(totales!E116="6"&amp;totales!H116="2"&amp;totales!I116="1"&amp;totales!J116="0","y",IF(totales!E116="1"&amp;totales!H116="1"&amp;totales!I116="1"&amp;totales!J116="0","z",IF(totales!E116="2"&amp;totales!H116="1"&amp;totales!I116="1"&amp;totales!J116="0","0",IF(totales!E116="3"&amp;totales!H116="1"&amp;totales!I116="1"&amp;totales!J116="0","1",IF(totales!E116="4"&amp;totales!H116="1"&amp;totales!I116="1"&amp;totales!J116="0","2",IF(totales!E116="6"&amp;totales!H116="1"&amp;totales!I116="1"&amp;totales!J116="0","3",IF(totales!E116="1"&amp;totales!H116="0"&amp;totales!I116="1"&amp;totales!J116="1","4",IF(totales!E116="2"&amp;totales!H116="0"&amp;totales!I116="1"&amp;totales!J116="1","5",IF(totales!E116="3"&amp;totales!H116="0"&amp;totales!I116="1"&amp;totales!J116="1","6",IF(totales!E116="4"&amp;totales!H116="0"&amp;totales!I116="1"&amp;totales!J116="1","7",IF(totales!E116="6"&amp;totales!H116="0"&amp;totales!I116="1"&amp;totales!J116="1","8",IF(totales!E116="1"&amp;totales!H116="1"&amp;totales!I116="0"&amp;totales!J116="1","9"))))))))))))))))))))))))))))))))))))</f>
        <v>0</v>
      </c>
    </row>
    <row r="116" spans="22:22">
      <c r="V116" s="102" t="b">
        <f>IF(totales!E117="1"&amp;totales!H117="0"&amp;totales!I117="0"&amp;totales!J117="0","a",IF(totales!E117="2"&amp;totales!H117="0"&amp;totales!I117="0"&amp;totales!J117="0","b",IF(totales!E117="3"&amp;totales!H117="0"&amp;totales!I117="0"&amp;totales!J117="0","c",IF(totales!E117="4"&amp;totales!H117="0"&amp;totales!I117="0"&amp;totales!J117="0","d",IF(totales!E117="6"&amp;totales!H117="0"&amp;totales!I117="0"&amp;totales!J117="0","e",IF(totales!E117="1"&amp;totales!H117="1"&amp;totales!I117="0"&amp;totales!J117="0","f",IF(totales!E117="2"&amp;totales!H117="1"&amp;totales!I117="0"&amp;totales!J117="0","g",IF(totales!E117="3"&amp;totales!H117="1"&amp;totales!I117="0"&amp;totales!J117="0","h",IF(totales!E117="4"&amp;totales!H117="1"&amp;totales!I117="0"&amp;totales!J117="0","i",IF(totales!E117="6"&amp;totales!H117="1"&amp;totales!I117="0"&amp;totales!J117="0","j",IF(totales!E117="1"&amp;totales!H117="2"&amp;totales!I117="0"&amp;totales!J117="0","k",IF(totales!E117="2"&amp;totales!H117="2"&amp;totales!I117="0"&amp;totales!J117="0","l",IF(totales!E117="3"&amp;totales!H117="2"&amp;totales!I117="0"&amp;totales!J117="0","m",
IF(totales!E117="4"&amp;totales!H117="2"&amp;totales!I117="0"&amp;totales!J117="0","n",IF(totales!E117="6"&amp;totales!H117="2"&amp;totales!I117="0"&amp;totales!J117="0","o",IF(totales!E117="1"&amp;totales!H117="0"&amp;totales!I117="1"&amp;totales!J117="0","p",IF(totales!E117="2"&amp;totales!H117="0"&amp;totales!I117="1"&amp;totales!J117="0","q",IF(totales!E117="3"&amp;totales!H117="0"&amp;totales!I117="1"&amp;totales!J117="0","r",IF(totales!E117="4"&amp;totales!H117="0"&amp;totales!I117="1"&amp;totales!J117="0","s",IF(totales!E117="6"&amp;totales!H117="0"&amp;totales!I117="1"&amp;totales!J117="0","t",IF(totales!E117="1"&amp;totales!H117="2"&amp;totales!I117="1"&amp;totales!J117="0","u",IF(totales!E117="2"&amp;totales!H117="2"&amp;totales!I117="1"&amp;totales!J117="0","v",IF(totales!E117="3"&amp;totales!H117="2"&amp;totales!I117="1"&amp;totales!J117="0","w",IF(totales!E117="4"&amp;totales!H117="2"&amp;totales!I117="1"&amp;totales!J117="0","x",
IF(totales!E117="6"&amp;totales!H117="2"&amp;totales!I117="1"&amp;totales!J117="0","y",IF(totales!E117="1"&amp;totales!H117="1"&amp;totales!I117="1"&amp;totales!J117="0","z",IF(totales!E117="2"&amp;totales!H117="1"&amp;totales!I117="1"&amp;totales!J117="0","0",IF(totales!E117="3"&amp;totales!H117="1"&amp;totales!I117="1"&amp;totales!J117="0","1",IF(totales!E117="4"&amp;totales!H117="1"&amp;totales!I117="1"&amp;totales!J117="0","2",IF(totales!E117="6"&amp;totales!H117="1"&amp;totales!I117="1"&amp;totales!J117="0","3",IF(totales!E117="1"&amp;totales!H117="0"&amp;totales!I117="1"&amp;totales!J117="1","4",IF(totales!E117="2"&amp;totales!H117="0"&amp;totales!I117="1"&amp;totales!J117="1","5",IF(totales!E117="3"&amp;totales!H117="0"&amp;totales!I117="1"&amp;totales!J117="1","6",IF(totales!E117="4"&amp;totales!H117="0"&amp;totales!I117="1"&amp;totales!J117="1","7",IF(totales!E117="6"&amp;totales!H117="0"&amp;totales!I117="1"&amp;totales!J117="1","8",IF(totales!E117="1"&amp;totales!H117="1"&amp;totales!I117="0"&amp;totales!J117="1","9"))))))))))))))))))))))))))))))))))))</f>
        <v>0</v>
      </c>
    </row>
    <row r="117" spans="22:22">
      <c r="V117" s="102" t="b">
        <f>IF(totales!E118="1"&amp;totales!H118="0"&amp;totales!I118="0"&amp;totales!J118="0","a",IF(totales!E118="2"&amp;totales!H118="0"&amp;totales!I118="0"&amp;totales!J118="0","b",IF(totales!E118="3"&amp;totales!H118="0"&amp;totales!I118="0"&amp;totales!J118="0","c",IF(totales!E118="4"&amp;totales!H118="0"&amp;totales!I118="0"&amp;totales!J118="0","d",IF(totales!E118="6"&amp;totales!H118="0"&amp;totales!I118="0"&amp;totales!J118="0","e",IF(totales!E118="1"&amp;totales!H118="1"&amp;totales!I118="0"&amp;totales!J118="0","f",IF(totales!E118="2"&amp;totales!H118="1"&amp;totales!I118="0"&amp;totales!J118="0","g",IF(totales!E118="3"&amp;totales!H118="1"&amp;totales!I118="0"&amp;totales!J118="0","h",IF(totales!E118="4"&amp;totales!H118="1"&amp;totales!I118="0"&amp;totales!J118="0","i",IF(totales!E118="6"&amp;totales!H118="1"&amp;totales!I118="0"&amp;totales!J118="0","j",IF(totales!E118="1"&amp;totales!H118="2"&amp;totales!I118="0"&amp;totales!J118="0","k",IF(totales!E118="2"&amp;totales!H118="2"&amp;totales!I118="0"&amp;totales!J118="0","l",IF(totales!E118="3"&amp;totales!H118="2"&amp;totales!I118="0"&amp;totales!J118="0","m",
IF(totales!E118="4"&amp;totales!H118="2"&amp;totales!I118="0"&amp;totales!J118="0","n",IF(totales!E118="6"&amp;totales!H118="2"&amp;totales!I118="0"&amp;totales!J118="0","o",IF(totales!E118="1"&amp;totales!H118="0"&amp;totales!I118="1"&amp;totales!J118="0","p",IF(totales!E118="2"&amp;totales!H118="0"&amp;totales!I118="1"&amp;totales!J118="0","q",IF(totales!E118="3"&amp;totales!H118="0"&amp;totales!I118="1"&amp;totales!J118="0","r",IF(totales!E118="4"&amp;totales!H118="0"&amp;totales!I118="1"&amp;totales!J118="0","s",IF(totales!E118="6"&amp;totales!H118="0"&amp;totales!I118="1"&amp;totales!J118="0","t",IF(totales!E118="1"&amp;totales!H118="2"&amp;totales!I118="1"&amp;totales!J118="0","u",IF(totales!E118="2"&amp;totales!H118="2"&amp;totales!I118="1"&amp;totales!J118="0","v",IF(totales!E118="3"&amp;totales!H118="2"&amp;totales!I118="1"&amp;totales!J118="0","w",IF(totales!E118="4"&amp;totales!H118="2"&amp;totales!I118="1"&amp;totales!J118="0","x",
IF(totales!E118="6"&amp;totales!H118="2"&amp;totales!I118="1"&amp;totales!J118="0","y",IF(totales!E118="1"&amp;totales!H118="1"&amp;totales!I118="1"&amp;totales!J118="0","z",IF(totales!E118="2"&amp;totales!H118="1"&amp;totales!I118="1"&amp;totales!J118="0","0",IF(totales!E118="3"&amp;totales!H118="1"&amp;totales!I118="1"&amp;totales!J118="0","1",IF(totales!E118="4"&amp;totales!H118="1"&amp;totales!I118="1"&amp;totales!J118="0","2",IF(totales!E118="6"&amp;totales!H118="1"&amp;totales!I118="1"&amp;totales!J118="0","3",IF(totales!E118="1"&amp;totales!H118="0"&amp;totales!I118="1"&amp;totales!J118="1","4",IF(totales!E118="2"&amp;totales!H118="0"&amp;totales!I118="1"&amp;totales!J118="1","5",IF(totales!E118="3"&amp;totales!H118="0"&amp;totales!I118="1"&amp;totales!J118="1","6",IF(totales!E118="4"&amp;totales!H118="0"&amp;totales!I118="1"&amp;totales!J118="1","7",IF(totales!E118="6"&amp;totales!H118="0"&amp;totales!I118="1"&amp;totales!J118="1","8",IF(totales!E118="1"&amp;totales!H118="1"&amp;totales!I118="0"&amp;totales!J118="1","9"))))))))))))))))))))))))))))))))))))</f>
        <v>0</v>
      </c>
    </row>
    <row r="118" spans="22:22">
      <c r="V118" s="102" t="b">
        <f>IF(totales!E119="1"&amp;totales!H119="0"&amp;totales!I119="0"&amp;totales!J119="0","a",IF(totales!E119="2"&amp;totales!H119="0"&amp;totales!I119="0"&amp;totales!J119="0","b",IF(totales!E119="3"&amp;totales!H119="0"&amp;totales!I119="0"&amp;totales!J119="0","c",IF(totales!E119="4"&amp;totales!H119="0"&amp;totales!I119="0"&amp;totales!J119="0","d",IF(totales!E119="6"&amp;totales!H119="0"&amp;totales!I119="0"&amp;totales!J119="0","e",IF(totales!E119="1"&amp;totales!H119="1"&amp;totales!I119="0"&amp;totales!J119="0","f",IF(totales!E119="2"&amp;totales!H119="1"&amp;totales!I119="0"&amp;totales!J119="0","g",IF(totales!E119="3"&amp;totales!H119="1"&amp;totales!I119="0"&amp;totales!J119="0","h",IF(totales!E119="4"&amp;totales!H119="1"&amp;totales!I119="0"&amp;totales!J119="0","i",IF(totales!E119="6"&amp;totales!H119="1"&amp;totales!I119="0"&amp;totales!J119="0","j",IF(totales!E119="1"&amp;totales!H119="2"&amp;totales!I119="0"&amp;totales!J119="0","k",IF(totales!E119="2"&amp;totales!H119="2"&amp;totales!I119="0"&amp;totales!J119="0","l",IF(totales!E119="3"&amp;totales!H119="2"&amp;totales!I119="0"&amp;totales!J119="0","m",
IF(totales!E119="4"&amp;totales!H119="2"&amp;totales!I119="0"&amp;totales!J119="0","n",IF(totales!E119="6"&amp;totales!H119="2"&amp;totales!I119="0"&amp;totales!J119="0","o",IF(totales!E119="1"&amp;totales!H119="0"&amp;totales!I119="1"&amp;totales!J119="0","p",IF(totales!E119="2"&amp;totales!H119="0"&amp;totales!I119="1"&amp;totales!J119="0","q",IF(totales!E119="3"&amp;totales!H119="0"&amp;totales!I119="1"&amp;totales!J119="0","r",IF(totales!E119="4"&amp;totales!H119="0"&amp;totales!I119="1"&amp;totales!J119="0","s",IF(totales!E119="6"&amp;totales!H119="0"&amp;totales!I119="1"&amp;totales!J119="0","t",IF(totales!E119="1"&amp;totales!H119="2"&amp;totales!I119="1"&amp;totales!J119="0","u",IF(totales!E119="2"&amp;totales!H119="2"&amp;totales!I119="1"&amp;totales!J119="0","v",IF(totales!E119="3"&amp;totales!H119="2"&amp;totales!I119="1"&amp;totales!J119="0","w",IF(totales!E119="4"&amp;totales!H119="2"&amp;totales!I119="1"&amp;totales!J119="0","x",
IF(totales!E119="6"&amp;totales!H119="2"&amp;totales!I119="1"&amp;totales!J119="0","y",IF(totales!E119="1"&amp;totales!H119="1"&amp;totales!I119="1"&amp;totales!J119="0","z",IF(totales!E119="2"&amp;totales!H119="1"&amp;totales!I119="1"&amp;totales!J119="0","0",IF(totales!E119="3"&amp;totales!H119="1"&amp;totales!I119="1"&amp;totales!J119="0","1",IF(totales!E119="4"&amp;totales!H119="1"&amp;totales!I119="1"&amp;totales!J119="0","2",IF(totales!E119="6"&amp;totales!H119="1"&amp;totales!I119="1"&amp;totales!J119="0","3",IF(totales!E119="1"&amp;totales!H119="0"&amp;totales!I119="1"&amp;totales!J119="1","4",IF(totales!E119="2"&amp;totales!H119="0"&amp;totales!I119="1"&amp;totales!J119="1","5",IF(totales!E119="3"&amp;totales!H119="0"&amp;totales!I119="1"&amp;totales!J119="1","6",IF(totales!E119="4"&amp;totales!H119="0"&amp;totales!I119="1"&amp;totales!J119="1","7",IF(totales!E119="6"&amp;totales!H119="0"&amp;totales!I119="1"&amp;totales!J119="1","8",IF(totales!E119="1"&amp;totales!H119="1"&amp;totales!I119="0"&amp;totales!J119="1","9"))))))))))))))))))))))))))))))))))))</f>
        <v>0</v>
      </c>
    </row>
    <row r="119" spans="22:22">
      <c r="V119" s="102" t="b">
        <f>IF(totales!E120="1"&amp;totales!H120="0"&amp;totales!I120="0"&amp;totales!J120="0","a",IF(totales!E120="2"&amp;totales!H120="0"&amp;totales!I120="0"&amp;totales!J120="0","b",IF(totales!E120="3"&amp;totales!H120="0"&amp;totales!I120="0"&amp;totales!J120="0","c",IF(totales!E120="4"&amp;totales!H120="0"&amp;totales!I120="0"&amp;totales!J120="0","d",IF(totales!E120="6"&amp;totales!H120="0"&amp;totales!I120="0"&amp;totales!J120="0","e",IF(totales!E120="1"&amp;totales!H120="1"&amp;totales!I120="0"&amp;totales!J120="0","f",IF(totales!E120="2"&amp;totales!H120="1"&amp;totales!I120="0"&amp;totales!J120="0","g",IF(totales!E120="3"&amp;totales!H120="1"&amp;totales!I120="0"&amp;totales!J120="0","h",IF(totales!E120="4"&amp;totales!H120="1"&amp;totales!I120="0"&amp;totales!J120="0","i",IF(totales!E120="6"&amp;totales!H120="1"&amp;totales!I120="0"&amp;totales!J120="0","j",IF(totales!E120="1"&amp;totales!H120="2"&amp;totales!I120="0"&amp;totales!J120="0","k",IF(totales!E120="2"&amp;totales!H120="2"&amp;totales!I120="0"&amp;totales!J120="0","l",IF(totales!E120="3"&amp;totales!H120="2"&amp;totales!I120="0"&amp;totales!J120="0","m",
IF(totales!E120="4"&amp;totales!H120="2"&amp;totales!I120="0"&amp;totales!J120="0","n",IF(totales!E120="6"&amp;totales!H120="2"&amp;totales!I120="0"&amp;totales!J120="0","o",IF(totales!E120="1"&amp;totales!H120="0"&amp;totales!I120="1"&amp;totales!J120="0","p",IF(totales!E120="2"&amp;totales!H120="0"&amp;totales!I120="1"&amp;totales!J120="0","q",IF(totales!E120="3"&amp;totales!H120="0"&amp;totales!I120="1"&amp;totales!J120="0","r",IF(totales!E120="4"&amp;totales!H120="0"&amp;totales!I120="1"&amp;totales!J120="0","s",IF(totales!E120="6"&amp;totales!H120="0"&amp;totales!I120="1"&amp;totales!J120="0","t",IF(totales!E120="1"&amp;totales!H120="2"&amp;totales!I120="1"&amp;totales!J120="0","u",IF(totales!E120="2"&amp;totales!H120="2"&amp;totales!I120="1"&amp;totales!J120="0","v",IF(totales!E120="3"&amp;totales!H120="2"&amp;totales!I120="1"&amp;totales!J120="0","w",IF(totales!E120="4"&amp;totales!H120="2"&amp;totales!I120="1"&amp;totales!J120="0","x",
IF(totales!E120="6"&amp;totales!H120="2"&amp;totales!I120="1"&amp;totales!J120="0","y",IF(totales!E120="1"&amp;totales!H120="1"&amp;totales!I120="1"&amp;totales!J120="0","z",IF(totales!E120="2"&amp;totales!H120="1"&amp;totales!I120="1"&amp;totales!J120="0","0",IF(totales!E120="3"&amp;totales!H120="1"&amp;totales!I120="1"&amp;totales!J120="0","1",IF(totales!E120="4"&amp;totales!H120="1"&amp;totales!I120="1"&amp;totales!J120="0","2",IF(totales!E120="6"&amp;totales!H120="1"&amp;totales!I120="1"&amp;totales!J120="0","3",IF(totales!E120="1"&amp;totales!H120="0"&amp;totales!I120="1"&amp;totales!J120="1","4",IF(totales!E120="2"&amp;totales!H120="0"&amp;totales!I120="1"&amp;totales!J120="1","5",IF(totales!E120="3"&amp;totales!H120="0"&amp;totales!I120="1"&amp;totales!J120="1","6",IF(totales!E120="4"&amp;totales!H120="0"&amp;totales!I120="1"&amp;totales!J120="1","7",IF(totales!E120="6"&amp;totales!H120="0"&amp;totales!I120="1"&amp;totales!J120="1","8",IF(totales!E120="1"&amp;totales!H120="1"&amp;totales!I120="0"&amp;totales!J120="1","9"))))))))))))))))))))))))))))))))))))</f>
        <v>0</v>
      </c>
    </row>
    <row r="120" spans="22:22">
      <c r="V120" s="102" t="b">
        <f>IF(totales!E121="1"&amp;totales!H121="0"&amp;totales!I121="0"&amp;totales!J121="0","a",IF(totales!E121="2"&amp;totales!H121="0"&amp;totales!I121="0"&amp;totales!J121="0","b",IF(totales!E121="3"&amp;totales!H121="0"&amp;totales!I121="0"&amp;totales!J121="0","c",IF(totales!E121="4"&amp;totales!H121="0"&amp;totales!I121="0"&amp;totales!J121="0","d",IF(totales!E121="6"&amp;totales!H121="0"&amp;totales!I121="0"&amp;totales!J121="0","e",IF(totales!E121="1"&amp;totales!H121="1"&amp;totales!I121="0"&amp;totales!J121="0","f",IF(totales!E121="2"&amp;totales!H121="1"&amp;totales!I121="0"&amp;totales!J121="0","g",IF(totales!E121="3"&amp;totales!H121="1"&amp;totales!I121="0"&amp;totales!J121="0","h",IF(totales!E121="4"&amp;totales!H121="1"&amp;totales!I121="0"&amp;totales!J121="0","i",IF(totales!E121="6"&amp;totales!H121="1"&amp;totales!I121="0"&amp;totales!J121="0","j",IF(totales!E121="1"&amp;totales!H121="2"&amp;totales!I121="0"&amp;totales!J121="0","k",IF(totales!E121="2"&amp;totales!H121="2"&amp;totales!I121="0"&amp;totales!J121="0","l",IF(totales!E121="3"&amp;totales!H121="2"&amp;totales!I121="0"&amp;totales!J121="0","m",
IF(totales!E121="4"&amp;totales!H121="2"&amp;totales!I121="0"&amp;totales!J121="0","n",IF(totales!E121="6"&amp;totales!H121="2"&amp;totales!I121="0"&amp;totales!J121="0","o",IF(totales!E121="1"&amp;totales!H121="0"&amp;totales!I121="1"&amp;totales!J121="0","p",IF(totales!E121="2"&amp;totales!H121="0"&amp;totales!I121="1"&amp;totales!J121="0","q",IF(totales!E121="3"&amp;totales!H121="0"&amp;totales!I121="1"&amp;totales!J121="0","r",IF(totales!E121="4"&amp;totales!H121="0"&amp;totales!I121="1"&amp;totales!J121="0","s",IF(totales!E121="6"&amp;totales!H121="0"&amp;totales!I121="1"&amp;totales!J121="0","t",IF(totales!E121="1"&amp;totales!H121="2"&amp;totales!I121="1"&amp;totales!J121="0","u",IF(totales!E121="2"&amp;totales!H121="2"&amp;totales!I121="1"&amp;totales!J121="0","v",IF(totales!E121="3"&amp;totales!H121="2"&amp;totales!I121="1"&amp;totales!J121="0","w",IF(totales!E121="4"&amp;totales!H121="2"&amp;totales!I121="1"&amp;totales!J121="0","x",
IF(totales!E121="6"&amp;totales!H121="2"&amp;totales!I121="1"&amp;totales!J121="0","y",IF(totales!E121="1"&amp;totales!H121="1"&amp;totales!I121="1"&amp;totales!J121="0","z",IF(totales!E121="2"&amp;totales!H121="1"&amp;totales!I121="1"&amp;totales!J121="0","0",IF(totales!E121="3"&amp;totales!H121="1"&amp;totales!I121="1"&amp;totales!J121="0","1",IF(totales!E121="4"&amp;totales!H121="1"&amp;totales!I121="1"&amp;totales!J121="0","2",IF(totales!E121="6"&amp;totales!H121="1"&amp;totales!I121="1"&amp;totales!J121="0","3",IF(totales!E121="1"&amp;totales!H121="0"&amp;totales!I121="1"&amp;totales!J121="1","4",IF(totales!E121="2"&amp;totales!H121="0"&amp;totales!I121="1"&amp;totales!J121="1","5",IF(totales!E121="3"&amp;totales!H121="0"&amp;totales!I121="1"&amp;totales!J121="1","6",IF(totales!E121="4"&amp;totales!H121="0"&amp;totales!I121="1"&amp;totales!J121="1","7",IF(totales!E121="6"&amp;totales!H121="0"&amp;totales!I121="1"&amp;totales!J121="1","8",IF(totales!E121="1"&amp;totales!H121="1"&amp;totales!I121="0"&amp;totales!J121="1","9"))))))))))))))))))))))))))))))))))))</f>
        <v>0</v>
      </c>
    </row>
    <row r="121" spans="22:22">
      <c r="V121" s="102" t="b">
        <f>IF(totales!E122="1"&amp;totales!H122="0"&amp;totales!I122="0"&amp;totales!J122="0","a",IF(totales!E122="2"&amp;totales!H122="0"&amp;totales!I122="0"&amp;totales!J122="0","b",IF(totales!E122="3"&amp;totales!H122="0"&amp;totales!I122="0"&amp;totales!J122="0","c",IF(totales!E122="4"&amp;totales!H122="0"&amp;totales!I122="0"&amp;totales!J122="0","d",IF(totales!E122="6"&amp;totales!H122="0"&amp;totales!I122="0"&amp;totales!J122="0","e",IF(totales!E122="1"&amp;totales!H122="1"&amp;totales!I122="0"&amp;totales!J122="0","f",IF(totales!E122="2"&amp;totales!H122="1"&amp;totales!I122="0"&amp;totales!J122="0","g",IF(totales!E122="3"&amp;totales!H122="1"&amp;totales!I122="0"&amp;totales!J122="0","h",IF(totales!E122="4"&amp;totales!H122="1"&amp;totales!I122="0"&amp;totales!J122="0","i",IF(totales!E122="6"&amp;totales!H122="1"&amp;totales!I122="0"&amp;totales!J122="0","j",IF(totales!E122="1"&amp;totales!H122="2"&amp;totales!I122="0"&amp;totales!J122="0","k",IF(totales!E122="2"&amp;totales!H122="2"&amp;totales!I122="0"&amp;totales!J122="0","l",IF(totales!E122="3"&amp;totales!H122="2"&amp;totales!I122="0"&amp;totales!J122="0","m",
IF(totales!E122="4"&amp;totales!H122="2"&amp;totales!I122="0"&amp;totales!J122="0","n",IF(totales!E122="6"&amp;totales!H122="2"&amp;totales!I122="0"&amp;totales!J122="0","o",IF(totales!E122="1"&amp;totales!H122="0"&amp;totales!I122="1"&amp;totales!J122="0","p",IF(totales!E122="2"&amp;totales!H122="0"&amp;totales!I122="1"&amp;totales!J122="0","q",IF(totales!E122="3"&amp;totales!H122="0"&amp;totales!I122="1"&amp;totales!J122="0","r",IF(totales!E122="4"&amp;totales!H122="0"&amp;totales!I122="1"&amp;totales!J122="0","s",IF(totales!E122="6"&amp;totales!H122="0"&amp;totales!I122="1"&amp;totales!J122="0","t",IF(totales!E122="1"&amp;totales!H122="2"&amp;totales!I122="1"&amp;totales!J122="0","u",IF(totales!E122="2"&amp;totales!H122="2"&amp;totales!I122="1"&amp;totales!J122="0","v",IF(totales!E122="3"&amp;totales!H122="2"&amp;totales!I122="1"&amp;totales!J122="0","w",IF(totales!E122="4"&amp;totales!H122="2"&amp;totales!I122="1"&amp;totales!J122="0","x",
IF(totales!E122="6"&amp;totales!H122="2"&amp;totales!I122="1"&amp;totales!J122="0","y",IF(totales!E122="1"&amp;totales!H122="1"&amp;totales!I122="1"&amp;totales!J122="0","z",IF(totales!E122="2"&amp;totales!H122="1"&amp;totales!I122="1"&amp;totales!J122="0","0",IF(totales!E122="3"&amp;totales!H122="1"&amp;totales!I122="1"&amp;totales!J122="0","1",IF(totales!E122="4"&amp;totales!H122="1"&amp;totales!I122="1"&amp;totales!J122="0","2",IF(totales!E122="6"&amp;totales!H122="1"&amp;totales!I122="1"&amp;totales!J122="0","3",IF(totales!E122="1"&amp;totales!H122="0"&amp;totales!I122="1"&amp;totales!J122="1","4",IF(totales!E122="2"&amp;totales!H122="0"&amp;totales!I122="1"&amp;totales!J122="1","5",IF(totales!E122="3"&amp;totales!H122="0"&amp;totales!I122="1"&amp;totales!J122="1","6",IF(totales!E122="4"&amp;totales!H122="0"&amp;totales!I122="1"&amp;totales!J122="1","7",IF(totales!E122="6"&amp;totales!H122="0"&amp;totales!I122="1"&amp;totales!J122="1","8",IF(totales!E122="1"&amp;totales!H122="1"&amp;totales!I122="0"&amp;totales!J122="1","9"))))))))))))))))))))))))))))))))))))</f>
        <v>0</v>
      </c>
    </row>
    <row r="122" spans="22:22">
      <c r="V122" s="102" t="b">
        <f>IF(totales!E123="1"&amp;totales!H123="0"&amp;totales!I123="0"&amp;totales!J123="0","a",IF(totales!E123="2"&amp;totales!H123="0"&amp;totales!I123="0"&amp;totales!J123="0","b",IF(totales!E123="3"&amp;totales!H123="0"&amp;totales!I123="0"&amp;totales!J123="0","c",IF(totales!E123="4"&amp;totales!H123="0"&amp;totales!I123="0"&amp;totales!J123="0","d",IF(totales!E123="6"&amp;totales!H123="0"&amp;totales!I123="0"&amp;totales!J123="0","e",IF(totales!E123="1"&amp;totales!H123="1"&amp;totales!I123="0"&amp;totales!J123="0","f",IF(totales!E123="2"&amp;totales!H123="1"&amp;totales!I123="0"&amp;totales!J123="0","g",IF(totales!E123="3"&amp;totales!H123="1"&amp;totales!I123="0"&amp;totales!J123="0","h",IF(totales!E123="4"&amp;totales!H123="1"&amp;totales!I123="0"&amp;totales!J123="0","i",IF(totales!E123="6"&amp;totales!H123="1"&amp;totales!I123="0"&amp;totales!J123="0","j",IF(totales!E123="1"&amp;totales!H123="2"&amp;totales!I123="0"&amp;totales!J123="0","k",IF(totales!E123="2"&amp;totales!H123="2"&amp;totales!I123="0"&amp;totales!J123="0","l",IF(totales!E123="3"&amp;totales!H123="2"&amp;totales!I123="0"&amp;totales!J123="0","m",
IF(totales!E123="4"&amp;totales!H123="2"&amp;totales!I123="0"&amp;totales!J123="0","n",IF(totales!E123="6"&amp;totales!H123="2"&amp;totales!I123="0"&amp;totales!J123="0","o",IF(totales!E123="1"&amp;totales!H123="0"&amp;totales!I123="1"&amp;totales!J123="0","p",IF(totales!E123="2"&amp;totales!H123="0"&amp;totales!I123="1"&amp;totales!J123="0","q",IF(totales!E123="3"&amp;totales!H123="0"&amp;totales!I123="1"&amp;totales!J123="0","r",IF(totales!E123="4"&amp;totales!H123="0"&amp;totales!I123="1"&amp;totales!J123="0","s",IF(totales!E123="6"&amp;totales!H123="0"&amp;totales!I123="1"&amp;totales!J123="0","t",IF(totales!E123="1"&amp;totales!H123="2"&amp;totales!I123="1"&amp;totales!J123="0","u",IF(totales!E123="2"&amp;totales!H123="2"&amp;totales!I123="1"&amp;totales!J123="0","v",IF(totales!E123="3"&amp;totales!H123="2"&amp;totales!I123="1"&amp;totales!J123="0","w",IF(totales!E123="4"&amp;totales!H123="2"&amp;totales!I123="1"&amp;totales!J123="0","x",
IF(totales!E123="6"&amp;totales!H123="2"&amp;totales!I123="1"&amp;totales!J123="0","y",IF(totales!E123="1"&amp;totales!H123="1"&amp;totales!I123="1"&amp;totales!J123="0","z",IF(totales!E123="2"&amp;totales!H123="1"&amp;totales!I123="1"&amp;totales!J123="0","0",IF(totales!E123="3"&amp;totales!H123="1"&amp;totales!I123="1"&amp;totales!J123="0","1",IF(totales!E123="4"&amp;totales!H123="1"&amp;totales!I123="1"&amp;totales!J123="0","2",IF(totales!E123="6"&amp;totales!H123="1"&amp;totales!I123="1"&amp;totales!J123="0","3",IF(totales!E123="1"&amp;totales!H123="0"&amp;totales!I123="1"&amp;totales!J123="1","4",IF(totales!E123="2"&amp;totales!H123="0"&amp;totales!I123="1"&amp;totales!J123="1","5",IF(totales!E123="3"&amp;totales!H123="0"&amp;totales!I123="1"&amp;totales!J123="1","6",IF(totales!E123="4"&amp;totales!H123="0"&amp;totales!I123="1"&amp;totales!J123="1","7",IF(totales!E123="6"&amp;totales!H123="0"&amp;totales!I123="1"&amp;totales!J123="1","8",IF(totales!E123="1"&amp;totales!H123="1"&amp;totales!I123="0"&amp;totales!J123="1","9"))))))))))))))))))))))))))))))))))))</f>
        <v>0</v>
      </c>
    </row>
    <row r="123" spans="22:22">
      <c r="V123" s="102" t="b">
        <f>IF(totales!E124="1"&amp;totales!H124="0"&amp;totales!I124="0"&amp;totales!J124="0","a",IF(totales!E124="2"&amp;totales!H124="0"&amp;totales!I124="0"&amp;totales!J124="0","b",IF(totales!E124="3"&amp;totales!H124="0"&amp;totales!I124="0"&amp;totales!J124="0","c",IF(totales!E124="4"&amp;totales!H124="0"&amp;totales!I124="0"&amp;totales!J124="0","d",IF(totales!E124="6"&amp;totales!H124="0"&amp;totales!I124="0"&amp;totales!J124="0","e",IF(totales!E124="1"&amp;totales!H124="1"&amp;totales!I124="0"&amp;totales!J124="0","f",IF(totales!E124="2"&amp;totales!H124="1"&amp;totales!I124="0"&amp;totales!J124="0","g",IF(totales!E124="3"&amp;totales!H124="1"&amp;totales!I124="0"&amp;totales!J124="0","h",IF(totales!E124="4"&amp;totales!H124="1"&amp;totales!I124="0"&amp;totales!J124="0","i",IF(totales!E124="6"&amp;totales!H124="1"&amp;totales!I124="0"&amp;totales!J124="0","j",IF(totales!E124="1"&amp;totales!H124="2"&amp;totales!I124="0"&amp;totales!J124="0","k",IF(totales!E124="2"&amp;totales!H124="2"&amp;totales!I124="0"&amp;totales!J124="0","l",IF(totales!E124="3"&amp;totales!H124="2"&amp;totales!I124="0"&amp;totales!J124="0","m",
IF(totales!E124="4"&amp;totales!H124="2"&amp;totales!I124="0"&amp;totales!J124="0","n",IF(totales!E124="6"&amp;totales!H124="2"&amp;totales!I124="0"&amp;totales!J124="0","o",IF(totales!E124="1"&amp;totales!H124="0"&amp;totales!I124="1"&amp;totales!J124="0","p",IF(totales!E124="2"&amp;totales!H124="0"&amp;totales!I124="1"&amp;totales!J124="0","q",IF(totales!E124="3"&amp;totales!H124="0"&amp;totales!I124="1"&amp;totales!J124="0","r",IF(totales!E124="4"&amp;totales!H124="0"&amp;totales!I124="1"&amp;totales!J124="0","s",IF(totales!E124="6"&amp;totales!H124="0"&amp;totales!I124="1"&amp;totales!J124="0","t",IF(totales!E124="1"&amp;totales!H124="2"&amp;totales!I124="1"&amp;totales!J124="0","u",IF(totales!E124="2"&amp;totales!H124="2"&amp;totales!I124="1"&amp;totales!J124="0","v",IF(totales!E124="3"&amp;totales!H124="2"&amp;totales!I124="1"&amp;totales!J124="0","w",IF(totales!E124="4"&amp;totales!H124="2"&amp;totales!I124="1"&amp;totales!J124="0","x",
IF(totales!E124="6"&amp;totales!H124="2"&amp;totales!I124="1"&amp;totales!J124="0","y",IF(totales!E124="1"&amp;totales!H124="1"&amp;totales!I124="1"&amp;totales!J124="0","z",IF(totales!E124="2"&amp;totales!H124="1"&amp;totales!I124="1"&amp;totales!J124="0","0",IF(totales!E124="3"&amp;totales!H124="1"&amp;totales!I124="1"&amp;totales!J124="0","1",IF(totales!E124="4"&amp;totales!H124="1"&amp;totales!I124="1"&amp;totales!J124="0","2",IF(totales!E124="6"&amp;totales!H124="1"&amp;totales!I124="1"&amp;totales!J124="0","3",IF(totales!E124="1"&amp;totales!H124="0"&amp;totales!I124="1"&amp;totales!J124="1","4",IF(totales!E124="2"&amp;totales!H124="0"&amp;totales!I124="1"&amp;totales!J124="1","5",IF(totales!E124="3"&amp;totales!H124="0"&amp;totales!I124="1"&amp;totales!J124="1","6",IF(totales!E124="4"&amp;totales!H124="0"&amp;totales!I124="1"&amp;totales!J124="1","7",IF(totales!E124="6"&amp;totales!H124="0"&amp;totales!I124="1"&amp;totales!J124="1","8",IF(totales!E124="1"&amp;totales!H124="1"&amp;totales!I124="0"&amp;totales!J124="1","9"))))))))))))))))))))))))))))))))))))</f>
        <v>0</v>
      </c>
    </row>
    <row r="124" spans="22:22">
      <c r="V124" s="102" t="b">
        <f>IF(totales!E125="1"&amp;totales!H125="0"&amp;totales!I125="0"&amp;totales!J125="0","a",IF(totales!E125="2"&amp;totales!H125="0"&amp;totales!I125="0"&amp;totales!J125="0","b",IF(totales!E125="3"&amp;totales!H125="0"&amp;totales!I125="0"&amp;totales!J125="0","c",IF(totales!E125="4"&amp;totales!H125="0"&amp;totales!I125="0"&amp;totales!J125="0","d",IF(totales!E125="6"&amp;totales!H125="0"&amp;totales!I125="0"&amp;totales!J125="0","e",IF(totales!E125="1"&amp;totales!H125="1"&amp;totales!I125="0"&amp;totales!J125="0","f",IF(totales!E125="2"&amp;totales!H125="1"&amp;totales!I125="0"&amp;totales!J125="0","g",IF(totales!E125="3"&amp;totales!H125="1"&amp;totales!I125="0"&amp;totales!J125="0","h",IF(totales!E125="4"&amp;totales!H125="1"&amp;totales!I125="0"&amp;totales!J125="0","i",IF(totales!E125="6"&amp;totales!H125="1"&amp;totales!I125="0"&amp;totales!J125="0","j",IF(totales!E125="1"&amp;totales!H125="2"&amp;totales!I125="0"&amp;totales!J125="0","k",IF(totales!E125="2"&amp;totales!H125="2"&amp;totales!I125="0"&amp;totales!J125="0","l",IF(totales!E125="3"&amp;totales!H125="2"&amp;totales!I125="0"&amp;totales!J125="0","m",
IF(totales!E125="4"&amp;totales!H125="2"&amp;totales!I125="0"&amp;totales!J125="0","n",IF(totales!E125="6"&amp;totales!H125="2"&amp;totales!I125="0"&amp;totales!J125="0","o",IF(totales!E125="1"&amp;totales!H125="0"&amp;totales!I125="1"&amp;totales!J125="0","p",IF(totales!E125="2"&amp;totales!H125="0"&amp;totales!I125="1"&amp;totales!J125="0","q",IF(totales!E125="3"&amp;totales!H125="0"&amp;totales!I125="1"&amp;totales!J125="0","r",IF(totales!E125="4"&amp;totales!H125="0"&amp;totales!I125="1"&amp;totales!J125="0","s",IF(totales!E125="6"&amp;totales!H125="0"&amp;totales!I125="1"&amp;totales!J125="0","t",IF(totales!E125="1"&amp;totales!H125="2"&amp;totales!I125="1"&amp;totales!J125="0","u",IF(totales!E125="2"&amp;totales!H125="2"&amp;totales!I125="1"&amp;totales!J125="0","v",IF(totales!E125="3"&amp;totales!H125="2"&amp;totales!I125="1"&amp;totales!J125="0","w",IF(totales!E125="4"&amp;totales!H125="2"&amp;totales!I125="1"&amp;totales!J125="0","x",
IF(totales!E125="6"&amp;totales!H125="2"&amp;totales!I125="1"&amp;totales!J125="0","y",IF(totales!E125="1"&amp;totales!H125="1"&amp;totales!I125="1"&amp;totales!J125="0","z",IF(totales!E125="2"&amp;totales!H125="1"&amp;totales!I125="1"&amp;totales!J125="0","0",IF(totales!E125="3"&amp;totales!H125="1"&amp;totales!I125="1"&amp;totales!J125="0","1",IF(totales!E125="4"&amp;totales!H125="1"&amp;totales!I125="1"&amp;totales!J125="0","2",IF(totales!E125="6"&amp;totales!H125="1"&amp;totales!I125="1"&amp;totales!J125="0","3",IF(totales!E125="1"&amp;totales!H125="0"&amp;totales!I125="1"&amp;totales!J125="1","4",IF(totales!E125="2"&amp;totales!H125="0"&amp;totales!I125="1"&amp;totales!J125="1","5",IF(totales!E125="3"&amp;totales!H125="0"&amp;totales!I125="1"&amp;totales!J125="1","6",IF(totales!E125="4"&amp;totales!H125="0"&amp;totales!I125="1"&amp;totales!J125="1","7",IF(totales!E125="6"&amp;totales!H125="0"&amp;totales!I125="1"&amp;totales!J125="1","8",IF(totales!E125="1"&amp;totales!H125="1"&amp;totales!I125="0"&amp;totales!J125="1","9"))))))))))))))))))))))))))))))))))))</f>
        <v>0</v>
      </c>
    </row>
    <row r="125" spans="22:22">
      <c r="V125" s="102" t="b">
        <f>IF(totales!E126="1"&amp;totales!H126="0"&amp;totales!I126="0"&amp;totales!J126="0","a",IF(totales!E126="2"&amp;totales!H126="0"&amp;totales!I126="0"&amp;totales!J126="0","b",IF(totales!E126="3"&amp;totales!H126="0"&amp;totales!I126="0"&amp;totales!J126="0","c",IF(totales!E126="4"&amp;totales!H126="0"&amp;totales!I126="0"&amp;totales!J126="0","d",IF(totales!E126="6"&amp;totales!H126="0"&amp;totales!I126="0"&amp;totales!J126="0","e",IF(totales!E126="1"&amp;totales!H126="1"&amp;totales!I126="0"&amp;totales!J126="0","f",IF(totales!E126="2"&amp;totales!H126="1"&amp;totales!I126="0"&amp;totales!J126="0","g",IF(totales!E126="3"&amp;totales!H126="1"&amp;totales!I126="0"&amp;totales!J126="0","h",IF(totales!E126="4"&amp;totales!H126="1"&amp;totales!I126="0"&amp;totales!J126="0","i",IF(totales!E126="6"&amp;totales!H126="1"&amp;totales!I126="0"&amp;totales!J126="0","j",IF(totales!E126="1"&amp;totales!H126="2"&amp;totales!I126="0"&amp;totales!J126="0","k",IF(totales!E126="2"&amp;totales!H126="2"&amp;totales!I126="0"&amp;totales!J126="0","l",IF(totales!E126="3"&amp;totales!H126="2"&amp;totales!I126="0"&amp;totales!J126="0","m",
IF(totales!E126="4"&amp;totales!H126="2"&amp;totales!I126="0"&amp;totales!J126="0","n",IF(totales!E126="6"&amp;totales!H126="2"&amp;totales!I126="0"&amp;totales!J126="0","o",IF(totales!E126="1"&amp;totales!H126="0"&amp;totales!I126="1"&amp;totales!J126="0","p",IF(totales!E126="2"&amp;totales!H126="0"&amp;totales!I126="1"&amp;totales!J126="0","q",IF(totales!E126="3"&amp;totales!H126="0"&amp;totales!I126="1"&amp;totales!J126="0","r",IF(totales!E126="4"&amp;totales!H126="0"&amp;totales!I126="1"&amp;totales!J126="0","s",IF(totales!E126="6"&amp;totales!H126="0"&amp;totales!I126="1"&amp;totales!J126="0","t",IF(totales!E126="1"&amp;totales!H126="2"&amp;totales!I126="1"&amp;totales!J126="0","u",IF(totales!E126="2"&amp;totales!H126="2"&amp;totales!I126="1"&amp;totales!J126="0","v",IF(totales!E126="3"&amp;totales!H126="2"&amp;totales!I126="1"&amp;totales!J126="0","w",IF(totales!E126="4"&amp;totales!H126="2"&amp;totales!I126="1"&amp;totales!J126="0","x",
IF(totales!E126="6"&amp;totales!H126="2"&amp;totales!I126="1"&amp;totales!J126="0","y",IF(totales!E126="1"&amp;totales!H126="1"&amp;totales!I126="1"&amp;totales!J126="0","z",IF(totales!E126="2"&amp;totales!H126="1"&amp;totales!I126="1"&amp;totales!J126="0","0",IF(totales!E126="3"&amp;totales!H126="1"&amp;totales!I126="1"&amp;totales!J126="0","1",IF(totales!E126="4"&amp;totales!H126="1"&amp;totales!I126="1"&amp;totales!J126="0","2",IF(totales!E126="6"&amp;totales!H126="1"&amp;totales!I126="1"&amp;totales!J126="0","3",IF(totales!E126="1"&amp;totales!H126="0"&amp;totales!I126="1"&amp;totales!J126="1","4",IF(totales!E126="2"&amp;totales!H126="0"&amp;totales!I126="1"&amp;totales!J126="1","5",IF(totales!E126="3"&amp;totales!H126="0"&amp;totales!I126="1"&amp;totales!J126="1","6",IF(totales!E126="4"&amp;totales!H126="0"&amp;totales!I126="1"&amp;totales!J126="1","7",IF(totales!E126="6"&amp;totales!H126="0"&amp;totales!I126="1"&amp;totales!J126="1","8",IF(totales!E126="1"&amp;totales!H126="1"&amp;totales!I126="0"&amp;totales!J126="1","9"))))))))))))))))))))))))))))))))))))</f>
        <v>0</v>
      </c>
    </row>
    <row r="126" spans="22:22">
      <c r="V126" s="102" t="b">
        <f>IF(totales!E127="1"&amp;totales!H127="0"&amp;totales!I127="0"&amp;totales!J127="0","a",IF(totales!E127="2"&amp;totales!H127="0"&amp;totales!I127="0"&amp;totales!J127="0","b",IF(totales!E127="3"&amp;totales!H127="0"&amp;totales!I127="0"&amp;totales!J127="0","c",IF(totales!E127="4"&amp;totales!H127="0"&amp;totales!I127="0"&amp;totales!J127="0","d",IF(totales!E127="6"&amp;totales!H127="0"&amp;totales!I127="0"&amp;totales!J127="0","e",IF(totales!E127="1"&amp;totales!H127="1"&amp;totales!I127="0"&amp;totales!J127="0","f",IF(totales!E127="2"&amp;totales!H127="1"&amp;totales!I127="0"&amp;totales!J127="0","g",IF(totales!E127="3"&amp;totales!H127="1"&amp;totales!I127="0"&amp;totales!J127="0","h",IF(totales!E127="4"&amp;totales!H127="1"&amp;totales!I127="0"&amp;totales!J127="0","i",IF(totales!E127="6"&amp;totales!H127="1"&amp;totales!I127="0"&amp;totales!J127="0","j",IF(totales!E127="1"&amp;totales!H127="2"&amp;totales!I127="0"&amp;totales!J127="0","k",IF(totales!E127="2"&amp;totales!H127="2"&amp;totales!I127="0"&amp;totales!J127="0","l",IF(totales!E127="3"&amp;totales!H127="2"&amp;totales!I127="0"&amp;totales!J127="0","m",
IF(totales!E127="4"&amp;totales!H127="2"&amp;totales!I127="0"&amp;totales!J127="0","n",IF(totales!E127="6"&amp;totales!H127="2"&amp;totales!I127="0"&amp;totales!J127="0","o",IF(totales!E127="1"&amp;totales!H127="0"&amp;totales!I127="1"&amp;totales!J127="0","p",IF(totales!E127="2"&amp;totales!H127="0"&amp;totales!I127="1"&amp;totales!J127="0","q",IF(totales!E127="3"&amp;totales!H127="0"&amp;totales!I127="1"&amp;totales!J127="0","r",IF(totales!E127="4"&amp;totales!H127="0"&amp;totales!I127="1"&amp;totales!J127="0","s",IF(totales!E127="6"&amp;totales!H127="0"&amp;totales!I127="1"&amp;totales!J127="0","t",IF(totales!E127="1"&amp;totales!H127="2"&amp;totales!I127="1"&amp;totales!J127="0","u",IF(totales!E127="2"&amp;totales!H127="2"&amp;totales!I127="1"&amp;totales!J127="0","v",IF(totales!E127="3"&amp;totales!H127="2"&amp;totales!I127="1"&amp;totales!J127="0","w",IF(totales!E127="4"&amp;totales!H127="2"&amp;totales!I127="1"&amp;totales!J127="0","x",
IF(totales!E127="6"&amp;totales!H127="2"&amp;totales!I127="1"&amp;totales!J127="0","y",IF(totales!E127="1"&amp;totales!H127="1"&amp;totales!I127="1"&amp;totales!J127="0","z",IF(totales!E127="2"&amp;totales!H127="1"&amp;totales!I127="1"&amp;totales!J127="0","0",IF(totales!E127="3"&amp;totales!H127="1"&amp;totales!I127="1"&amp;totales!J127="0","1",IF(totales!E127="4"&amp;totales!H127="1"&amp;totales!I127="1"&amp;totales!J127="0","2",IF(totales!E127="6"&amp;totales!H127="1"&amp;totales!I127="1"&amp;totales!J127="0","3",IF(totales!E127="1"&amp;totales!H127="0"&amp;totales!I127="1"&amp;totales!J127="1","4",IF(totales!E127="2"&amp;totales!H127="0"&amp;totales!I127="1"&amp;totales!J127="1","5",IF(totales!E127="3"&amp;totales!H127="0"&amp;totales!I127="1"&amp;totales!J127="1","6",IF(totales!E127="4"&amp;totales!H127="0"&amp;totales!I127="1"&amp;totales!J127="1","7",IF(totales!E127="6"&amp;totales!H127="0"&amp;totales!I127="1"&amp;totales!J127="1","8",IF(totales!E127="1"&amp;totales!H127="1"&amp;totales!I127="0"&amp;totales!J127="1","9"))))))))))))))))))))))))))))))))))))</f>
        <v>0</v>
      </c>
    </row>
    <row r="127" spans="22:22">
      <c r="V127" s="102" t="b">
        <f>IF(totales!E128="1"&amp;totales!H128="0"&amp;totales!I128="0"&amp;totales!J128="0","a",IF(totales!E128="2"&amp;totales!H128="0"&amp;totales!I128="0"&amp;totales!J128="0","b",IF(totales!E128="3"&amp;totales!H128="0"&amp;totales!I128="0"&amp;totales!J128="0","c",IF(totales!E128="4"&amp;totales!H128="0"&amp;totales!I128="0"&amp;totales!J128="0","d",IF(totales!E128="6"&amp;totales!H128="0"&amp;totales!I128="0"&amp;totales!J128="0","e",IF(totales!E128="1"&amp;totales!H128="1"&amp;totales!I128="0"&amp;totales!J128="0","f",IF(totales!E128="2"&amp;totales!H128="1"&amp;totales!I128="0"&amp;totales!J128="0","g",IF(totales!E128="3"&amp;totales!H128="1"&amp;totales!I128="0"&amp;totales!J128="0","h",IF(totales!E128="4"&amp;totales!H128="1"&amp;totales!I128="0"&amp;totales!J128="0","i",IF(totales!E128="6"&amp;totales!H128="1"&amp;totales!I128="0"&amp;totales!J128="0","j",IF(totales!E128="1"&amp;totales!H128="2"&amp;totales!I128="0"&amp;totales!J128="0","k",IF(totales!E128="2"&amp;totales!H128="2"&amp;totales!I128="0"&amp;totales!J128="0","l",IF(totales!E128="3"&amp;totales!H128="2"&amp;totales!I128="0"&amp;totales!J128="0","m",
IF(totales!E128="4"&amp;totales!H128="2"&amp;totales!I128="0"&amp;totales!J128="0","n",IF(totales!E128="6"&amp;totales!H128="2"&amp;totales!I128="0"&amp;totales!J128="0","o",IF(totales!E128="1"&amp;totales!H128="0"&amp;totales!I128="1"&amp;totales!J128="0","p",IF(totales!E128="2"&amp;totales!H128="0"&amp;totales!I128="1"&amp;totales!J128="0","q",IF(totales!E128="3"&amp;totales!H128="0"&amp;totales!I128="1"&amp;totales!J128="0","r",IF(totales!E128="4"&amp;totales!H128="0"&amp;totales!I128="1"&amp;totales!J128="0","s",IF(totales!E128="6"&amp;totales!H128="0"&amp;totales!I128="1"&amp;totales!J128="0","t",IF(totales!E128="1"&amp;totales!H128="2"&amp;totales!I128="1"&amp;totales!J128="0","u",IF(totales!E128="2"&amp;totales!H128="2"&amp;totales!I128="1"&amp;totales!J128="0","v",IF(totales!E128="3"&amp;totales!H128="2"&amp;totales!I128="1"&amp;totales!J128="0","w",IF(totales!E128="4"&amp;totales!H128="2"&amp;totales!I128="1"&amp;totales!J128="0","x",
IF(totales!E128="6"&amp;totales!H128="2"&amp;totales!I128="1"&amp;totales!J128="0","y",IF(totales!E128="1"&amp;totales!H128="1"&amp;totales!I128="1"&amp;totales!J128="0","z",IF(totales!E128="2"&amp;totales!H128="1"&amp;totales!I128="1"&amp;totales!J128="0","0",IF(totales!E128="3"&amp;totales!H128="1"&amp;totales!I128="1"&amp;totales!J128="0","1",IF(totales!E128="4"&amp;totales!H128="1"&amp;totales!I128="1"&amp;totales!J128="0","2",IF(totales!E128="6"&amp;totales!H128="1"&amp;totales!I128="1"&amp;totales!J128="0","3",IF(totales!E128="1"&amp;totales!H128="0"&amp;totales!I128="1"&amp;totales!J128="1","4",IF(totales!E128="2"&amp;totales!H128="0"&amp;totales!I128="1"&amp;totales!J128="1","5",IF(totales!E128="3"&amp;totales!H128="0"&amp;totales!I128="1"&amp;totales!J128="1","6",IF(totales!E128="4"&amp;totales!H128="0"&amp;totales!I128="1"&amp;totales!J128="1","7",IF(totales!E128="6"&amp;totales!H128="0"&amp;totales!I128="1"&amp;totales!J128="1","8",IF(totales!E128="1"&amp;totales!H128="1"&amp;totales!I128="0"&amp;totales!J128="1","9"))))))))))))))))))))))))))))))))))))</f>
        <v>0</v>
      </c>
    </row>
    <row r="128" spans="22:22">
      <c r="V128" s="102" t="b">
        <f>IF(totales!E129="1"&amp;totales!H129="0"&amp;totales!I129="0"&amp;totales!J129="0","a",IF(totales!E129="2"&amp;totales!H129="0"&amp;totales!I129="0"&amp;totales!J129="0","b",IF(totales!E129="3"&amp;totales!H129="0"&amp;totales!I129="0"&amp;totales!J129="0","c",IF(totales!E129="4"&amp;totales!H129="0"&amp;totales!I129="0"&amp;totales!J129="0","d",IF(totales!E129="6"&amp;totales!H129="0"&amp;totales!I129="0"&amp;totales!J129="0","e",IF(totales!E129="1"&amp;totales!H129="1"&amp;totales!I129="0"&amp;totales!J129="0","f",IF(totales!E129="2"&amp;totales!H129="1"&amp;totales!I129="0"&amp;totales!J129="0","g",IF(totales!E129="3"&amp;totales!H129="1"&amp;totales!I129="0"&amp;totales!J129="0","h",IF(totales!E129="4"&amp;totales!H129="1"&amp;totales!I129="0"&amp;totales!J129="0","i",IF(totales!E129="6"&amp;totales!H129="1"&amp;totales!I129="0"&amp;totales!J129="0","j",IF(totales!E129="1"&amp;totales!H129="2"&amp;totales!I129="0"&amp;totales!J129="0","k",IF(totales!E129="2"&amp;totales!H129="2"&amp;totales!I129="0"&amp;totales!J129="0","l",IF(totales!E129="3"&amp;totales!H129="2"&amp;totales!I129="0"&amp;totales!J129="0","m",
IF(totales!E129="4"&amp;totales!H129="2"&amp;totales!I129="0"&amp;totales!J129="0","n",IF(totales!E129="6"&amp;totales!H129="2"&amp;totales!I129="0"&amp;totales!J129="0","o",IF(totales!E129="1"&amp;totales!H129="0"&amp;totales!I129="1"&amp;totales!J129="0","p",IF(totales!E129="2"&amp;totales!H129="0"&amp;totales!I129="1"&amp;totales!J129="0","q",IF(totales!E129="3"&amp;totales!H129="0"&amp;totales!I129="1"&amp;totales!J129="0","r",IF(totales!E129="4"&amp;totales!H129="0"&amp;totales!I129="1"&amp;totales!J129="0","s",IF(totales!E129="6"&amp;totales!H129="0"&amp;totales!I129="1"&amp;totales!J129="0","t",IF(totales!E129="1"&amp;totales!H129="2"&amp;totales!I129="1"&amp;totales!J129="0","u",IF(totales!E129="2"&amp;totales!H129="2"&amp;totales!I129="1"&amp;totales!J129="0","v",IF(totales!E129="3"&amp;totales!H129="2"&amp;totales!I129="1"&amp;totales!J129="0","w",IF(totales!E129="4"&amp;totales!H129="2"&amp;totales!I129="1"&amp;totales!J129="0","x",
IF(totales!E129="6"&amp;totales!H129="2"&amp;totales!I129="1"&amp;totales!J129="0","y",IF(totales!E129="1"&amp;totales!H129="1"&amp;totales!I129="1"&amp;totales!J129="0","z",IF(totales!E129="2"&amp;totales!H129="1"&amp;totales!I129="1"&amp;totales!J129="0","0",IF(totales!E129="3"&amp;totales!H129="1"&amp;totales!I129="1"&amp;totales!J129="0","1",IF(totales!E129="4"&amp;totales!H129="1"&amp;totales!I129="1"&amp;totales!J129="0","2",IF(totales!E129="6"&amp;totales!H129="1"&amp;totales!I129="1"&amp;totales!J129="0","3",IF(totales!E129="1"&amp;totales!H129="0"&amp;totales!I129="1"&amp;totales!J129="1","4",IF(totales!E129="2"&amp;totales!H129="0"&amp;totales!I129="1"&amp;totales!J129="1","5",IF(totales!E129="3"&amp;totales!H129="0"&amp;totales!I129="1"&amp;totales!J129="1","6",IF(totales!E129="4"&amp;totales!H129="0"&amp;totales!I129="1"&amp;totales!J129="1","7",IF(totales!E129="6"&amp;totales!H129="0"&amp;totales!I129="1"&amp;totales!J129="1","8",IF(totales!E129="1"&amp;totales!H129="1"&amp;totales!I129="0"&amp;totales!J129="1","9"))))))))))))))))))))))))))))))))))))</f>
        <v>0</v>
      </c>
    </row>
    <row r="129" spans="22:22">
      <c r="V129" s="102" t="b">
        <f>IF(totales!E130="1"&amp;totales!H130="0"&amp;totales!I130="0"&amp;totales!J130="0","a",IF(totales!E130="2"&amp;totales!H130="0"&amp;totales!I130="0"&amp;totales!J130="0","b",IF(totales!E130="3"&amp;totales!H130="0"&amp;totales!I130="0"&amp;totales!J130="0","c",IF(totales!E130="4"&amp;totales!H130="0"&amp;totales!I130="0"&amp;totales!J130="0","d",IF(totales!E130="6"&amp;totales!H130="0"&amp;totales!I130="0"&amp;totales!J130="0","e",IF(totales!E130="1"&amp;totales!H130="1"&amp;totales!I130="0"&amp;totales!J130="0","f",IF(totales!E130="2"&amp;totales!H130="1"&amp;totales!I130="0"&amp;totales!J130="0","g",IF(totales!E130="3"&amp;totales!H130="1"&amp;totales!I130="0"&amp;totales!J130="0","h",IF(totales!E130="4"&amp;totales!H130="1"&amp;totales!I130="0"&amp;totales!J130="0","i",IF(totales!E130="6"&amp;totales!H130="1"&amp;totales!I130="0"&amp;totales!J130="0","j",IF(totales!E130="1"&amp;totales!H130="2"&amp;totales!I130="0"&amp;totales!J130="0","k",IF(totales!E130="2"&amp;totales!H130="2"&amp;totales!I130="0"&amp;totales!J130="0","l",IF(totales!E130="3"&amp;totales!H130="2"&amp;totales!I130="0"&amp;totales!J130="0","m",
IF(totales!E130="4"&amp;totales!H130="2"&amp;totales!I130="0"&amp;totales!J130="0","n",IF(totales!E130="6"&amp;totales!H130="2"&amp;totales!I130="0"&amp;totales!J130="0","o",IF(totales!E130="1"&amp;totales!H130="0"&amp;totales!I130="1"&amp;totales!J130="0","p",IF(totales!E130="2"&amp;totales!H130="0"&amp;totales!I130="1"&amp;totales!J130="0","q",IF(totales!E130="3"&amp;totales!H130="0"&amp;totales!I130="1"&amp;totales!J130="0","r",IF(totales!E130="4"&amp;totales!H130="0"&amp;totales!I130="1"&amp;totales!J130="0","s",IF(totales!E130="6"&amp;totales!H130="0"&amp;totales!I130="1"&amp;totales!J130="0","t",IF(totales!E130="1"&amp;totales!H130="2"&amp;totales!I130="1"&amp;totales!J130="0","u",IF(totales!E130="2"&amp;totales!H130="2"&amp;totales!I130="1"&amp;totales!J130="0","v",IF(totales!E130="3"&amp;totales!H130="2"&amp;totales!I130="1"&amp;totales!J130="0","w",IF(totales!E130="4"&amp;totales!H130="2"&amp;totales!I130="1"&amp;totales!J130="0","x",
IF(totales!E130="6"&amp;totales!H130="2"&amp;totales!I130="1"&amp;totales!J130="0","y",IF(totales!E130="1"&amp;totales!H130="1"&amp;totales!I130="1"&amp;totales!J130="0","z",IF(totales!E130="2"&amp;totales!H130="1"&amp;totales!I130="1"&amp;totales!J130="0","0",IF(totales!E130="3"&amp;totales!H130="1"&amp;totales!I130="1"&amp;totales!J130="0","1",IF(totales!E130="4"&amp;totales!H130="1"&amp;totales!I130="1"&amp;totales!J130="0","2",IF(totales!E130="6"&amp;totales!H130="1"&amp;totales!I130="1"&amp;totales!J130="0","3",IF(totales!E130="1"&amp;totales!H130="0"&amp;totales!I130="1"&amp;totales!J130="1","4",IF(totales!E130="2"&amp;totales!H130="0"&amp;totales!I130="1"&amp;totales!J130="1","5",IF(totales!E130="3"&amp;totales!H130="0"&amp;totales!I130="1"&amp;totales!J130="1","6",IF(totales!E130="4"&amp;totales!H130="0"&amp;totales!I130="1"&amp;totales!J130="1","7",IF(totales!E130="6"&amp;totales!H130="0"&amp;totales!I130="1"&amp;totales!J130="1","8",IF(totales!E130="1"&amp;totales!H130="1"&amp;totales!I130="0"&amp;totales!J130="1","9"))))))))))))))))))))))))))))))))))))</f>
        <v>0</v>
      </c>
    </row>
    <row r="130" spans="22:22">
      <c r="V130" s="102" t="b">
        <f>IF(totales!E131="1"&amp;totales!H131="0"&amp;totales!I131="0"&amp;totales!J131="0","a",IF(totales!E131="2"&amp;totales!H131="0"&amp;totales!I131="0"&amp;totales!J131="0","b",IF(totales!E131="3"&amp;totales!H131="0"&amp;totales!I131="0"&amp;totales!J131="0","c",IF(totales!E131="4"&amp;totales!H131="0"&amp;totales!I131="0"&amp;totales!J131="0","d",IF(totales!E131="6"&amp;totales!H131="0"&amp;totales!I131="0"&amp;totales!J131="0","e",IF(totales!E131="1"&amp;totales!H131="1"&amp;totales!I131="0"&amp;totales!J131="0","f",IF(totales!E131="2"&amp;totales!H131="1"&amp;totales!I131="0"&amp;totales!J131="0","g",IF(totales!E131="3"&amp;totales!H131="1"&amp;totales!I131="0"&amp;totales!J131="0","h",IF(totales!E131="4"&amp;totales!H131="1"&amp;totales!I131="0"&amp;totales!J131="0","i",IF(totales!E131="6"&amp;totales!H131="1"&amp;totales!I131="0"&amp;totales!J131="0","j",IF(totales!E131="1"&amp;totales!H131="2"&amp;totales!I131="0"&amp;totales!J131="0","k",IF(totales!E131="2"&amp;totales!H131="2"&amp;totales!I131="0"&amp;totales!J131="0","l",IF(totales!E131="3"&amp;totales!H131="2"&amp;totales!I131="0"&amp;totales!J131="0","m",
IF(totales!E131="4"&amp;totales!H131="2"&amp;totales!I131="0"&amp;totales!J131="0","n",IF(totales!E131="6"&amp;totales!H131="2"&amp;totales!I131="0"&amp;totales!J131="0","o",IF(totales!E131="1"&amp;totales!H131="0"&amp;totales!I131="1"&amp;totales!J131="0","p",IF(totales!E131="2"&amp;totales!H131="0"&amp;totales!I131="1"&amp;totales!J131="0","q",IF(totales!E131="3"&amp;totales!H131="0"&amp;totales!I131="1"&amp;totales!J131="0","r",IF(totales!E131="4"&amp;totales!H131="0"&amp;totales!I131="1"&amp;totales!J131="0","s",IF(totales!E131="6"&amp;totales!H131="0"&amp;totales!I131="1"&amp;totales!J131="0","t",IF(totales!E131="1"&amp;totales!H131="2"&amp;totales!I131="1"&amp;totales!J131="0","u",IF(totales!E131="2"&amp;totales!H131="2"&amp;totales!I131="1"&amp;totales!J131="0","v",IF(totales!E131="3"&amp;totales!H131="2"&amp;totales!I131="1"&amp;totales!J131="0","w",IF(totales!E131="4"&amp;totales!H131="2"&amp;totales!I131="1"&amp;totales!J131="0","x",
IF(totales!E131="6"&amp;totales!H131="2"&amp;totales!I131="1"&amp;totales!J131="0","y",IF(totales!E131="1"&amp;totales!H131="1"&amp;totales!I131="1"&amp;totales!J131="0","z",IF(totales!E131="2"&amp;totales!H131="1"&amp;totales!I131="1"&amp;totales!J131="0","0",IF(totales!E131="3"&amp;totales!H131="1"&amp;totales!I131="1"&amp;totales!J131="0","1",IF(totales!E131="4"&amp;totales!H131="1"&amp;totales!I131="1"&amp;totales!J131="0","2",IF(totales!E131="6"&amp;totales!H131="1"&amp;totales!I131="1"&amp;totales!J131="0","3",IF(totales!E131="1"&amp;totales!H131="0"&amp;totales!I131="1"&amp;totales!J131="1","4",IF(totales!E131="2"&amp;totales!H131="0"&amp;totales!I131="1"&amp;totales!J131="1","5",IF(totales!E131="3"&amp;totales!H131="0"&amp;totales!I131="1"&amp;totales!J131="1","6",IF(totales!E131="4"&amp;totales!H131="0"&amp;totales!I131="1"&amp;totales!J131="1","7",IF(totales!E131="6"&amp;totales!H131="0"&amp;totales!I131="1"&amp;totales!J131="1","8",IF(totales!E131="1"&amp;totales!H131="1"&amp;totales!I131="0"&amp;totales!J131="1","9"))))))))))))))))))))))))))))))))))))</f>
        <v>0</v>
      </c>
    </row>
    <row r="131" spans="22:22">
      <c r="V131" s="102" t="b">
        <f>IF(totales!E132="1"&amp;totales!H132="0"&amp;totales!I132="0"&amp;totales!J132="0","a",IF(totales!E132="2"&amp;totales!H132="0"&amp;totales!I132="0"&amp;totales!J132="0","b",IF(totales!E132="3"&amp;totales!H132="0"&amp;totales!I132="0"&amp;totales!J132="0","c",IF(totales!E132="4"&amp;totales!H132="0"&amp;totales!I132="0"&amp;totales!J132="0","d",IF(totales!E132="6"&amp;totales!H132="0"&amp;totales!I132="0"&amp;totales!J132="0","e",IF(totales!E132="1"&amp;totales!H132="1"&amp;totales!I132="0"&amp;totales!J132="0","f",IF(totales!E132="2"&amp;totales!H132="1"&amp;totales!I132="0"&amp;totales!J132="0","g",IF(totales!E132="3"&amp;totales!H132="1"&amp;totales!I132="0"&amp;totales!J132="0","h",IF(totales!E132="4"&amp;totales!H132="1"&amp;totales!I132="0"&amp;totales!J132="0","i",IF(totales!E132="6"&amp;totales!H132="1"&amp;totales!I132="0"&amp;totales!J132="0","j",IF(totales!E132="1"&amp;totales!H132="2"&amp;totales!I132="0"&amp;totales!J132="0","k",IF(totales!E132="2"&amp;totales!H132="2"&amp;totales!I132="0"&amp;totales!J132="0","l",IF(totales!E132="3"&amp;totales!H132="2"&amp;totales!I132="0"&amp;totales!J132="0","m",
IF(totales!E132="4"&amp;totales!H132="2"&amp;totales!I132="0"&amp;totales!J132="0","n",IF(totales!E132="6"&amp;totales!H132="2"&amp;totales!I132="0"&amp;totales!J132="0","o",IF(totales!E132="1"&amp;totales!H132="0"&amp;totales!I132="1"&amp;totales!J132="0","p",IF(totales!E132="2"&amp;totales!H132="0"&amp;totales!I132="1"&amp;totales!J132="0","q",IF(totales!E132="3"&amp;totales!H132="0"&amp;totales!I132="1"&amp;totales!J132="0","r",IF(totales!E132="4"&amp;totales!H132="0"&amp;totales!I132="1"&amp;totales!J132="0","s",IF(totales!E132="6"&amp;totales!H132="0"&amp;totales!I132="1"&amp;totales!J132="0","t",IF(totales!E132="1"&amp;totales!H132="2"&amp;totales!I132="1"&amp;totales!J132="0","u",IF(totales!E132="2"&amp;totales!H132="2"&amp;totales!I132="1"&amp;totales!J132="0","v",IF(totales!E132="3"&amp;totales!H132="2"&amp;totales!I132="1"&amp;totales!J132="0","w",IF(totales!E132="4"&amp;totales!H132="2"&amp;totales!I132="1"&amp;totales!J132="0","x",
IF(totales!E132="6"&amp;totales!H132="2"&amp;totales!I132="1"&amp;totales!J132="0","y",IF(totales!E132="1"&amp;totales!H132="1"&amp;totales!I132="1"&amp;totales!J132="0","z",IF(totales!E132="2"&amp;totales!H132="1"&amp;totales!I132="1"&amp;totales!J132="0","0",IF(totales!E132="3"&amp;totales!H132="1"&amp;totales!I132="1"&amp;totales!J132="0","1",IF(totales!E132="4"&amp;totales!H132="1"&amp;totales!I132="1"&amp;totales!J132="0","2",IF(totales!E132="6"&amp;totales!H132="1"&amp;totales!I132="1"&amp;totales!J132="0","3",IF(totales!E132="1"&amp;totales!H132="0"&amp;totales!I132="1"&amp;totales!J132="1","4",IF(totales!E132="2"&amp;totales!H132="0"&amp;totales!I132="1"&amp;totales!J132="1","5",IF(totales!E132="3"&amp;totales!H132="0"&amp;totales!I132="1"&amp;totales!J132="1","6",IF(totales!E132="4"&amp;totales!H132="0"&amp;totales!I132="1"&amp;totales!J132="1","7",IF(totales!E132="6"&amp;totales!H132="0"&amp;totales!I132="1"&amp;totales!J132="1","8",IF(totales!E132="1"&amp;totales!H132="1"&amp;totales!I132="0"&amp;totales!J132="1","9"))))))))))))))))))))))))))))))))))))</f>
        <v>0</v>
      </c>
    </row>
    <row r="132" spans="22:22">
      <c r="V132" s="102" t="b">
        <f>IF(totales!E133="1"&amp;totales!H133="0"&amp;totales!I133="0"&amp;totales!J133="0","a",IF(totales!E133="2"&amp;totales!H133="0"&amp;totales!I133="0"&amp;totales!J133="0","b",IF(totales!E133="3"&amp;totales!H133="0"&amp;totales!I133="0"&amp;totales!J133="0","c",IF(totales!E133="4"&amp;totales!H133="0"&amp;totales!I133="0"&amp;totales!J133="0","d",IF(totales!E133="6"&amp;totales!H133="0"&amp;totales!I133="0"&amp;totales!J133="0","e",IF(totales!E133="1"&amp;totales!H133="1"&amp;totales!I133="0"&amp;totales!J133="0","f",IF(totales!E133="2"&amp;totales!H133="1"&amp;totales!I133="0"&amp;totales!J133="0","g",IF(totales!E133="3"&amp;totales!H133="1"&amp;totales!I133="0"&amp;totales!J133="0","h",IF(totales!E133="4"&amp;totales!H133="1"&amp;totales!I133="0"&amp;totales!J133="0","i",IF(totales!E133="6"&amp;totales!H133="1"&amp;totales!I133="0"&amp;totales!J133="0","j",IF(totales!E133="1"&amp;totales!H133="2"&amp;totales!I133="0"&amp;totales!J133="0","k",IF(totales!E133="2"&amp;totales!H133="2"&amp;totales!I133="0"&amp;totales!J133="0","l",IF(totales!E133="3"&amp;totales!H133="2"&amp;totales!I133="0"&amp;totales!J133="0","m",
IF(totales!E133="4"&amp;totales!H133="2"&amp;totales!I133="0"&amp;totales!J133="0","n",IF(totales!E133="6"&amp;totales!H133="2"&amp;totales!I133="0"&amp;totales!J133="0","o",IF(totales!E133="1"&amp;totales!H133="0"&amp;totales!I133="1"&amp;totales!J133="0","p",IF(totales!E133="2"&amp;totales!H133="0"&amp;totales!I133="1"&amp;totales!J133="0","q",IF(totales!E133="3"&amp;totales!H133="0"&amp;totales!I133="1"&amp;totales!J133="0","r",IF(totales!E133="4"&amp;totales!H133="0"&amp;totales!I133="1"&amp;totales!J133="0","s",IF(totales!E133="6"&amp;totales!H133="0"&amp;totales!I133="1"&amp;totales!J133="0","t",IF(totales!E133="1"&amp;totales!H133="2"&amp;totales!I133="1"&amp;totales!J133="0","u",IF(totales!E133="2"&amp;totales!H133="2"&amp;totales!I133="1"&amp;totales!J133="0","v",IF(totales!E133="3"&amp;totales!H133="2"&amp;totales!I133="1"&amp;totales!J133="0","w",IF(totales!E133="4"&amp;totales!H133="2"&amp;totales!I133="1"&amp;totales!J133="0","x",
IF(totales!E133="6"&amp;totales!H133="2"&amp;totales!I133="1"&amp;totales!J133="0","y",IF(totales!E133="1"&amp;totales!H133="1"&amp;totales!I133="1"&amp;totales!J133="0","z",IF(totales!E133="2"&amp;totales!H133="1"&amp;totales!I133="1"&amp;totales!J133="0","0",IF(totales!E133="3"&amp;totales!H133="1"&amp;totales!I133="1"&amp;totales!J133="0","1",IF(totales!E133="4"&amp;totales!H133="1"&amp;totales!I133="1"&amp;totales!J133="0","2",IF(totales!E133="6"&amp;totales!H133="1"&amp;totales!I133="1"&amp;totales!J133="0","3",IF(totales!E133="1"&amp;totales!H133="0"&amp;totales!I133="1"&amp;totales!J133="1","4",IF(totales!E133="2"&amp;totales!H133="0"&amp;totales!I133="1"&amp;totales!J133="1","5",IF(totales!E133="3"&amp;totales!H133="0"&amp;totales!I133="1"&amp;totales!J133="1","6",IF(totales!E133="4"&amp;totales!H133="0"&amp;totales!I133="1"&amp;totales!J133="1","7",IF(totales!E133="6"&amp;totales!H133="0"&amp;totales!I133="1"&amp;totales!J133="1","8",IF(totales!E133="1"&amp;totales!H133="1"&amp;totales!I133="0"&amp;totales!J133="1","9"))))))))))))))))))))))))))))))))))))</f>
        <v>0</v>
      </c>
    </row>
    <row r="133" spans="22:22">
      <c r="V133" s="102" t="b">
        <f>IF(totales!E134="1"&amp;totales!H134="0"&amp;totales!I134="0"&amp;totales!J134="0","a",IF(totales!E134="2"&amp;totales!H134="0"&amp;totales!I134="0"&amp;totales!J134="0","b",IF(totales!E134="3"&amp;totales!H134="0"&amp;totales!I134="0"&amp;totales!J134="0","c",IF(totales!E134="4"&amp;totales!H134="0"&amp;totales!I134="0"&amp;totales!J134="0","d",IF(totales!E134="6"&amp;totales!H134="0"&amp;totales!I134="0"&amp;totales!J134="0","e",IF(totales!E134="1"&amp;totales!H134="1"&amp;totales!I134="0"&amp;totales!J134="0","f",IF(totales!E134="2"&amp;totales!H134="1"&amp;totales!I134="0"&amp;totales!J134="0","g",IF(totales!E134="3"&amp;totales!H134="1"&amp;totales!I134="0"&amp;totales!J134="0","h",IF(totales!E134="4"&amp;totales!H134="1"&amp;totales!I134="0"&amp;totales!J134="0","i",IF(totales!E134="6"&amp;totales!H134="1"&amp;totales!I134="0"&amp;totales!J134="0","j",IF(totales!E134="1"&amp;totales!H134="2"&amp;totales!I134="0"&amp;totales!J134="0","k",IF(totales!E134="2"&amp;totales!H134="2"&amp;totales!I134="0"&amp;totales!J134="0","l",IF(totales!E134="3"&amp;totales!H134="2"&amp;totales!I134="0"&amp;totales!J134="0","m",
IF(totales!E134="4"&amp;totales!H134="2"&amp;totales!I134="0"&amp;totales!J134="0","n",IF(totales!E134="6"&amp;totales!H134="2"&amp;totales!I134="0"&amp;totales!J134="0","o",IF(totales!E134="1"&amp;totales!H134="0"&amp;totales!I134="1"&amp;totales!J134="0","p",IF(totales!E134="2"&amp;totales!H134="0"&amp;totales!I134="1"&amp;totales!J134="0","q",IF(totales!E134="3"&amp;totales!H134="0"&amp;totales!I134="1"&amp;totales!J134="0","r",IF(totales!E134="4"&amp;totales!H134="0"&amp;totales!I134="1"&amp;totales!J134="0","s",IF(totales!E134="6"&amp;totales!H134="0"&amp;totales!I134="1"&amp;totales!J134="0","t",IF(totales!E134="1"&amp;totales!H134="2"&amp;totales!I134="1"&amp;totales!J134="0","u",IF(totales!E134="2"&amp;totales!H134="2"&amp;totales!I134="1"&amp;totales!J134="0","v",IF(totales!E134="3"&amp;totales!H134="2"&amp;totales!I134="1"&amp;totales!J134="0","w",IF(totales!E134="4"&amp;totales!H134="2"&amp;totales!I134="1"&amp;totales!J134="0","x",
IF(totales!E134="6"&amp;totales!H134="2"&amp;totales!I134="1"&amp;totales!J134="0","y",IF(totales!E134="1"&amp;totales!H134="1"&amp;totales!I134="1"&amp;totales!J134="0","z",IF(totales!E134="2"&amp;totales!H134="1"&amp;totales!I134="1"&amp;totales!J134="0","0",IF(totales!E134="3"&amp;totales!H134="1"&amp;totales!I134="1"&amp;totales!J134="0","1",IF(totales!E134="4"&amp;totales!H134="1"&amp;totales!I134="1"&amp;totales!J134="0","2",IF(totales!E134="6"&amp;totales!H134="1"&amp;totales!I134="1"&amp;totales!J134="0","3",IF(totales!E134="1"&amp;totales!H134="0"&amp;totales!I134="1"&amp;totales!J134="1","4",IF(totales!E134="2"&amp;totales!H134="0"&amp;totales!I134="1"&amp;totales!J134="1","5",IF(totales!E134="3"&amp;totales!H134="0"&amp;totales!I134="1"&amp;totales!J134="1","6",IF(totales!E134="4"&amp;totales!H134="0"&amp;totales!I134="1"&amp;totales!J134="1","7",IF(totales!E134="6"&amp;totales!H134="0"&amp;totales!I134="1"&amp;totales!J134="1","8",IF(totales!E134="1"&amp;totales!H134="1"&amp;totales!I134="0"&amp;totales!J134="1","9"))))))))))))))))))))))))))))))))))))</f>
        <v>0</v>
      </c>
    </row>
    <row r="134" spans="22:22">
      <c r="V134" s="102" t="b">
        <f>IF(totales!E135="1"&amp;totales!H135="0"&amp;totales!I135="0"&amp;totales!J135="0","a",IF(totales!E135="2"&amp;totales!H135="0"&amp;totales!I135="0"&amp;totales!J135="0","b",IF(totales!E135="3"&amp;totales!H135="0"&amp;totales!I135="0"&amp;totales!J135="0","c",IF(totales!E135="4"&amp;totales!H135="0"&amp;totales!I135="0"&amp;totales!J135="0","d",IF(totales!E135="6"&amp;totales!H135="0"&amp;totales!I135="0"&amp;totales!J135="0","e",IF(totales!E135="1"&amp;totales!H135="1"&amp;totales!I135="0"&amp;totales!J135="0","f",IF(totales!E135="2"&amp;totales!H135="1"&amp;totales!I135="0"&amp;totales!J135="0","g",IF(totales!E135="3"&amp;totales!H135="1"&amp;totales!I135="0"&amp;totales!J135="0","h",IF(totales!E135="4"&amp;totales!H135="1"&amp;totales!I135="0"&amp;totales!J135="0","i",IF(totales!E135="6"&amp;totales!H135="1"&amp;totales!I135="0"&amp;totales!J135="0","j",IF(totales!E135="1"&amp;totales!H135="2"&amp;totales!I135="0"&amp;totales!J135="0","k",IF(totales!E135="2"&amp;totales!H135="2"&amp;totales!I135="0"&amp;totales!J135="0","l",IF(totales!E135="3"&amp;totales!H135="2"&amp;totales!I135="0"&amp;totales!J135="0","m",
IF(totales!E135="4"&amp;totales!H135="2"&amp;totales!I135="0"&amp;totales!J135="0","n",IF(totales!E135="6"&amp;totales!H135="2"&amp;totales!I135="0"&amp;totales!J135="0","o",IF(totales!E135="1"&amp;totales!H135="0"&amp;totales!I135="1"&amp;totales!J135="0","p",IF(totales!E135="2"&amp;totales!H135="0"&amp;totales!I135="1"&amp;totales!J135="0","q",IF(totales!E135="3"&amp;totales!H135="0"&amp;totales!I135="1"&amp;totales!J135="0","r",IF(totales!E135="4"&amp;totales!H135="0"&amp;totales!I135="1"&amp;totales!J135="0","s",IF(totales!E135="6"&amp;totales!H135="0"&amp;totales!I135="1"&amp;totales!J135="0","t",IF(totales!E135="1"&amp;totales!H135="2"&amp;totales!I135="1"&amp;totales!J135="0","u",IF(totales!E135="2"&amp;totales!H135="2"&amp;totales!I135="1"&amp;totales!J135="0","v",IF(totales!E135="3"&amp;totales!H135="2"&amp;totales!I135="1"&amp;totales!J135="0","w",IF(totales!E135="4"&amp;totales!H135="2"&amp;totales!I135="1"&amp;totales!J135="0","x",
IF(totales!E135="6"&amp;totales!H135="2"&amp;totales!I135="1"&amp;totales!J135="0","y",IF(totales!E135="1"&amp;totales!H135="1"&amp;totales!I135="1"&amp;totales!J135="0","z",IF(totales!E135="2"&amp;totales!H135="1"&amp;totales!I135="1"&amp;totales!J135="0","0",IF(totales!E135="3"&amp;totales!H135="1"&amp;totales!I135="1"&amp;totales!J135="0","1",IF(totales!E135="4"&amp;totales!H135="1"&amp;totales!I135="1"&amp;totales!J135="0","2",IF(totales!E135="6"&amp;totales!H135="1"&amp;totales!I135="1"&amp;totales!J135="0","3",IF(totales!E135="1"&amp;totales!H135="0"&amp;totales!I135="1"&amp;totales!J135="1","4",IF(totales!E135="2"&amp;totales!H135="0"&amp;totales!I135="1"&amp;totales!J135="1","5",IF(totales!E135="3"&amp;totales!H135="0"&amp;totales!I135="1"&amp;totales!J135="1","6",IF(totales!E135="4"&amp;totales!H135="0"&amp;totales!I135="1"&amp;totales!J135="1","7",IF(totales!E135="6"&amp;totales!H135="0"&amp;totales!I135="1"&amp;totales!J135="1","8",IF(totales!E135="1"&amp;totales!H135="1"&amp;totales!I135="0"&amp;totales!J135="1","9"))))))))))))))))))))))))))))))))))))</f>
        <v>0</v>
      </c>
    </row>
    <row r="135" spans="22:22">
      <c r="V135" s="102" t="b">
        <f>IF(totales!E136="1"&amp;totales!H136="0"&amp;totales!I136="0"&amp;totales!J136="0","a",IF(totales!E136="2"&amp;totales!H136="0"&amp;totales!I136="0"&amp;totales!J136="0","b",IF(totales!E136="3"&amp;totales!H136="0"&amp;totales!I136="0"&amp;totales!J136="0","c",IF(totales!E136="4"&amp;totales!H136="0"&amp;totales!I136="0"&amp;totales!J136="0","d",IF(totales!E136="6"&amp;totales!H136="0"&amp;totales!I136="0"&amp;totales!J136="0","e",IF(totales!E136="1"&amp;totales!H136="1"&amp;totales!I136="0"&amp;totales!J136="0","f",IF(totales!E136="2"&amp;totales!H136="1"&amp;totales!I136="0"&amp;totales!J136="0","g",IF(totales!E136="3"&amp;totales!H136="1"&amp;totales!I136="0"&amp;totales!J136="0","h",IF(totales!E136="4"&amp;totales!H136="1"&amp;totales!I136="0"&amp;totales!J136="0","i",IF(totales!E136="6"&amp;totales!H136="1"&amp;totales!I136="0"&amp;totales!J136="0","j",IF(totales!E136="1"&amp;totales!H136="2"&amp;totales!I136="0"&amp;totales!J136="0","k",IF(totales!E136="2"&amp;totales!H136="2"&amp;totales!I136="0"&amp;totales!J136="0","l",IF(totales!E136="3"&amp;totales!H136="2"&amp;totales!I136="0"&amp;totales!J136="0","m",
IF(totales!E136="4"&amp;totales!H136="2"&amp;totales!I136="0"&amp;totales!J136="0","n",IF(totales!E136="6"&amp;totales!H136="2"&amp;totales!I136="0"&amp;totales!J136="0","o",IF(totales!E136="1"&amp;totales!H136="0"&amp;totales!I136="1"&amp;totales!J136="0","p",IF(totales!E136="2"&amp;totales!H136="0"&amp;totales!I136="1"&amp;totales!J136="0","q",IF(totales!E136="3"&amp;totales!H136="0"&amp;totales!I136="1"&amp;totales!J136="0","r",IF(totales!E136="4"&amp;totales!H136="0"&amp;totales!I136="1"&amp;totales!J136="0","s",IF(totales!E136="6"&amp;totales!H136="0"&amp;totales!I136="1"&amp;totales!J136="0","t",IF(totales!E136="1"&amp;totales!H136="2"&amp;totales!I136="1"&amp;totales!J136="0","u",IF(totales!E136="2"&amp;totales!H136="2"&amp;totales!I136="1"&amp;totales!J136="0","v",IF(totales!E136="3"&amp;totales!H136="2"&amp;totales!I136="1"&amp;totales!J136="0","w",IF(totales!E136="4"&amp;totales!H136="2"&amp;totales!I136="1"&amp;totales!J136="0","x",
IF(totales!E136="6"&amp;totales!H136="2"&amp;totales!I136="1"&amp;totales!J136="0","y",IF(totales!E136="1"&amp;totales!H136="1"&amp;totales!I136="1"&amp;totales!J136="0","z",IF(totales!E136="2"&amp;totales!H136="1"&amp;totales!I136="1"&amp;totales!J136="0","0",IF(totales!E136="3"&amp;totales!H136="1"&amp;totales!I136="1"&amp;totales!J136="0","1",IF(totales!E136="4"&amp;totales!H136="1"&amp;totales!I136="1"&amp;totales!J136="0","2",IF(totales!E136="6"&amp;totales!H136="1"&amp;totales!I136="1"&amp;totales!J136="0","3",IF(totales!E136="1"&amp;totales!H136="0"&amp;totales!I136="1"&amp;totales!J136="1","4",IF(totales!E136="2"&amp;totales!H136="0"&amp;totales!I136="1"&amp;totales!J136="1","5",IF(totales!E136="3"&amp;totales!H136="0"&amp;totales!I136="1"&amp;totales!J136="1","6",IF(totales!E136="4"&amp;totales!H136="0"&amp;totales!I136="1"&amp;totales!J136="1","7",IF(totales!E136="6"&amp;totales!H136="0"&amp;totales!I136="1"&amp;totales!J136="1","8",IF(totales!E136="1"&amp;totales!H136="1"&amp;totales!I136="0"&amp;totales!J136="1","9"))))))))))))))))))))))))))))))))))))</f>
        <v>0</v>
      </c>
    </row>
    <row r="136" spans="22:22">
      <c r="V136" s="102" t="b">
        <f>IF(totales!E137="1"&amp;totales!H137="0"&amp;totales!I137="0"&amp;totales!J137="0","a",IF(totales!E137="2"&amp;totales!H137="0"&amp;totales!I137="0"&amp;totales!J137="0","b",IF(totales!E137="3"&amp;totales!H137="0"&amp;totales!I137="0"&amp;totales!J137="0","c",IF(totales!E137="4"&amp;totales!H137="0"&amp;totales!I137="0"&amp;totales!J137="0","d",IF(totales!E137="6"&amp;totales!H137="0"&amp;totales!I137="0"&amp;totales!J137="0","e",IF(totales!E137="1"&amp;totales!H137="1"&amp;totales!I137="0"&amp;totales!J137="0","f",IF(totales!E137="2"&amp;totales!H137="1"&amp;totales!I137="0"&amp;totales!J137="0","g",IF(totales!E137="3"&amp;totales!H137="1"&amp;totales!I137="0"&amp;totales!J137="0","h",IF(totales!E137="4"&amp;totales!H137="1"&amp;totales!I137="0"&amp;totales!J137="0","i",IF(totales!E137="6"&amp;totales!H137="1"&amp;totales!I137="0"&amp;totales!J137="0","j",IF(totales!E137="1"&amp;totales!H137="2"&amp;totales!I137="0"&amp;totales!J137="0","k",IF(totales!E137="2"&amp;totales!H137="2"&amp;totales!I137="0"&amp;totales!J137="0","l",IF(totales!E137="3"&amp;totales!H137="2"&amp;totales!I137="0"&amp;totales!J137="0","m",
IF(totales!E137="4"&amp;totales!H137="2"&amp;totales!I137="0"&amp;totales!J137="0","n",IF(totales!E137="6"&amp;totales!H137="2"&amp;totales!I137="0"&amp;totales!J137="0","o",IF(totales!E137="1"&amp;totales!H137="0"&amp;totales!I137="1"&amp;totales!J137="0","p",IF(totales!E137="2"&amp;totales!H137="0"&amp;totales!I137="1"&amp;totales!J137="0","q",IF(totales!E137="3"&amp;totales!H137="0"&amp;totales!I137="1"&amp;totales!J137="0","r",IF(totales!E137="4"&amp;totales!H137="0"&amp;totales!I137="1"&amp;totales!J137="0","s",IF(totales!E137="6"&amp;totales!H137="0"&amp;totales!I137="1"&amp;totales!J137="0","t",IF(totales!E137="1"&amp;totales!H137="2"&amp;totales!I137="1"&amp;totales!J137="0","u",IF(totales!E137="2"&amp;totales!H137="2"&amp;totales!I137="1"&amp;totales!J137="0","v",IF(totales!E137="3"&amp;totales!H137="2"&amp;totales!I137="1"&amp;totales!J137="0","w",IF(totales!E137="4"&amp;totales!H137="2"&amp;totales!I137="1"&amp;totales!J137="0","x",
IF(totales!E137="6"&amp;totales!H137="2"&amp;totales!I137="1"&amp;totales!J137="0","y",IF(totales!E137="1"&amp;totales!H137="1"&amp;totales!I137="1"&amp;totales!J137="0","z",IF(totales!E137="2"&amp;totales!H137="1"&amp;totales!I137="1"&amp;totales!J137="0","0",IF(totales!E137="3"&amp;totales!H137="1"&amp;totales!I137="1"&amp;totales!J137="0","1",IF(totales!E137="4"&amp;totales!H137="1"&amp;totales!I137="1"&amp;totales!J137="0","2",IF(totales!E137="6"&amp;totales!H137="1"&amp;totales!I137="1"&amp;totales!J137="0","3",IF(totales!E137="1"&amp;totales!H137="0"&amp;totales!I137="1"&amp;totales!J137="1","4",IF(totales!E137="2"&amp;totales!H137="0"&amp;totales!I137="1"&amp;totales!J137="1","5",IF(totales!E137="3"&amp;totales!H137="0"&amp;totales!I137="1"&amp;totales!J137="1","6",IF(totales!E137="4"&amp;totales!H137="0"&amp;totales!I137="1"&amp;totales!J137="1","7",IF(totales!E137="6"&amp;totales!H137="0"&amp;totales!I137="1"&amp;totales!J137="1","8",IF(totales!E137="1"&amp;totales!H137="1"&amp;totales!I137="0"&amp;totales!J137="1","9"))))))))))))))))))))))))))))))))))))</f>
        <v>0</v>
      </c>
    </row>
    <row r="137" spans="22:22">
      <c r="V137" s="102" t="b">
        <f>IF(totales!E138="1"&amp;totales!H138="0"&amp;totales!I138="0"&amp;totales!J138="0","a",IF(totales!E138="2"&amp;totales!H138="0"&amp;totales!I138="0"&amp;totales!J138="0","b",IF(totales!E138="3"&amp;totales!H138="0"&amp;totales!I138="0"&amp;totales!J138="0","c",IF(totales!E138="4"&amp;totales!H138="0"&amp;totales!I138="0"&amp;totales!J138="0","d",IF(totales!E138="6"&amp;totales!H138="0"&amp;totales!I138="0"&amp;totales!J138="0","e",IF(totales!E138="1"&amp;totales!H138="1"&amp;totales!I138="0"&amp;totales!J138="0","f",IF(totales!E138="2"&amp;totales!H138="1"&amp;totales!I138="0"&amp;totales!J138="0","g",IF(totales!E138="3"&amp;totales!H138="1"&amp;totales!I138="0"&amp;totales!J138="0","h",IF(totales!E138="4"&amp;totales!H138="1"&amp;totales!I138="0"&amp;totales!J138="0","i",IF(totales!E138="6"&amp;totales!H138="1"&amp;totales!I138="0"&amp;totales!J138="0","j",IF(totales!E138="1"&amp;totales!H138="2"&amp;totales!I138="0"&amp;totales!J138="0","k",IF(totales!E138="2"&amp;totales!H138="2"&amp;totales!I138="0"&amp;totales!J138="0","l",IF(totales!E138="3"&amp;totales!H138="2"&amp;totales!I138="0"&amp;totales!J138="0","m",
IF(totales!E138="4"&amp;totales!H138="2"&amp;totales!I138="0"&amp;totales!J138="0","n",IF(totales!E138="6"&amp;totales!H138="2"&amp;totales!I138="0"&amp;totales!J138="0","o",IF(totales!E138="1"&amp;totales!H138="0"&amp;totales!I138="1"&amp;totales!J138="0","p",IF(totales!E138="2"&amp;totales!H138="0"&amp;totales!I138="1"&amp;totales!J138="0","q",IF(totales!E138="3"&amp;totales!H138="0"&amp;totales!I138="1"&amp;totales!J138="0","r",IF(totales!E138="4"&amp;totales!H138="0"&amp;totales!I138="1"&amp;totales!J138="0","s",IF(totales!E138="6"&amp;totales!H138="0"&amp;totales!I138="1"&amp;totales!J138="0","t",IF(totales!E138="1"&amp;totales!H138="2"&amp;totales!I138="1"&amp;totales!J138="0","u",IF(totales!E138="2"&amp;totales!H138="2"&amp;totales!I138="1"&amp;totales!J138="0","v",IF(totales!E138="3"&amp;totales!H138="2"&amp;totales!I138="1"&amp;totales!J138="0","w",IF(totales!E138="4"&amp;totales!H138="2"&amp;totales!I138="1"&amp;totales!J138="0","x",
IF(totales!E138="6"&amp;totales!H138="2"&amp;totales!I138="1"&amp;totales!J138="0","y",IF(totales!E138="1"&amp;totales!H138="1"&amp;totales!I138="1"&amp;totales!J138="0","z",IF(totales!E138="2"&amp;totales!H138="1"&amp;totales!I138="1"&amp;totales!J138="0","0",IF(totales!E138="3"&amp;totales!H138="1"&amp;totales!I138="1"&amp;totales!J138="0","1",IF(totales!E138="4"&amp;totales!H138="1"&amp;totales!I138="1"&amp;totales!J138="0","2",IF(totales!E138="6"&amp;totales!H138="1"&amp;totales!I138="1"&amp;totales!J138="0","3",IF(totales!E138="1"&amp;totales!H138="0"&amp;totales!I138="1"&amp;totales!J138="1","4",IF(totales!E138="2"&amp;totales!H138="0"&amp;totales!I138="1"&amp;totales!J138="1","5",IF(totales!E138="3"&amp;totales!H138="0"&amp;totales!I138="1"&amp;totales!J138="1","6",IF(totales!E138="4"&amp;totales!H138="0"&amp;totales!I138="1"&amp;totales!J138="1","7",IF(totales!E138="6"&amp;totales!H138="0"&amp;totales!I138="1"&amp;totales!J138="1","8",IF(totales!E138="1"&amp;totales!H138="1"&amp;totales!I138="0"&amp;totales!J138="1","9"))))))))))))))))))))))))))))))))))))</f>
        <v>0</v>
      </c>
    </row>
    <row r="138" spans="22:22">
      <c r="V138" s="102" t="b">
        <f>IF(totales!E139="1"&amp;totales!H139="0"&amp;totales!I139="0"&amp;totales!J139="0","a",IF(totales!E139="2"&amp;totales!H139="0"&amp;totales!I139="0"&amp;totales!J139="0","b",IF(totales!E139="3"&amp;totales!H139="0"&amp;totales!I139="0"&amp;totales!J139="0","c",IF(totales!E139="4"&amp;totales!H139="0"&amp;totales!I139="0"&amp;totales!J139="0","d",IF(totales!E139="6"&amp;totales!H139="0"&amp;totales!I139="0"&amp;totales!J139="0","e",IF(totales!E139="1"&amp;totales!H139="1"&amp;totales!I139="0"&amp;totales!J139="0","f",IF(totales!E139="2"&amp;totales!H139="1"&amp;totales!I139="0"&amp;totales!J139="0","g",IF(totales!E139="3"&amp;totales!H139="1"&amp;totales!I139="0"&amp;totales!J139="0","h",IF(totales!E139="4"&amp;totales!H139="1"&amp;totales!I139="0"&amp;totales!J139="0","i",IF(totales!E139="6"&amp;totales!H139="1"&amp;totales!I139="0"&amp;totales!J139="0","j",IF(totales!E139="1"&amp;totales!H139="2"&amp;totales!I139="0"&amp;totales!J139="0","k",IF(totales!E139="2"&amp;totales!H139="2"&amp;totales!I139="0"&amp;totales!J139="0","l",IF(totales!E139="3"&amp;totales!H139="2"&amp;totales!I139="0"&amp;totales!J139="0","m",
IF(totales!E139="4"&amp;totales!H139="2"&amp;totales!I139="0"&amp;totales!J139="0","n",IF(totales!E139="6"&amp;totales!H139="2"&amp;totales!I139="0"&amp;totales!J139="0","o",IF(totales!E139="1"&amp;totales!H139="0"&amp;totales!I139="1"&amp;totales!J139="0","p",IF(totales!E139="2"&amp;totales!H139="0"&amp;totales!I139="1"&amp;totales!J139="0","q",IF(totales!E139="3"&amp;totales!H139="0"&amp;totales!I139="1"&amp;totales!J139="0","r",IF(totales!E139="4"&amp;totales!H139="0"&amp;totales!I139="1"&amp;totales!J139="0","s",IF(totales!E139="6"&amp;totales!H139="0"&amp;totales!I139="1"&amp;totales!J139="0","t",IF(totales!E139="1"&amp;totales!H139="2"&amp;totales!I139="1"&amp;totales!J139="0","u",IF(totales!E139="2"&amp;totales!H139="2"&amp;totales!I139="1"&amp;totales!J139="0","v",IF(totales!E139="3"&amp;totales!H139="2"&amp;totales!I139="1"&amp;totales!J139="0","w",IF(totales!E139="4"&amp;totales!H139="2"&amp;totales!I139="1"&amp;totales!J139="0","x",
IF(totales!E139="6"&amp;totales!H139="2"&amp;totales!I139="1"&amp;totales!J139="0","y",IF(totales!E139="1"&amp;totales!H139="1"&amp;totales!I139="1"&amp;totales!J139="0","z",IF(totales!E139="2"&amp;totales!H139="1"&amp;totales!I139="1"&amp;totales!J139="0","0",IF(totales!E139="3"&amp;totales!H139="1"&amp;totales!I139="1"&amp;totales!J139="0","1",IF(totales!E139="4"&amp;totales!H139="1"&amp;totales!I139="1"&amp;totales!J139="0","2",IF(totales!E139="6"&amp;totales!H139="1"&amp;totales!I139="1"&amp;totales!J139="0","3",IF(totales!E139="1"&amp;totales!H139="0"&amp;totales!I139="1"&amp;totales!J139="1","4",IF(totales!E139="2"&amp;totales!H139="0"&amp;totales!I139="1"&amp;totales!J139="1","5",IF(totales!E139="3"&amp;totales!H139="0"&amp;totales!I139="1"&amp;totales!J139="1","6",IF(totales!E139="4"&amp;totales!H139="0"&amp;totales!I139="1"&amp;totales!J139="1","7",IF(totales!E139="6"&amp;totales!H139="0"&amp;totales!I139="1"&amp;totales!J139="1","8",IF(totales!E139="1"&amp;totales!H139="1"&amp;totales!I139="0"&amp;totales!J139="1","9"))))))))))))))))))))))))))))))))))))</f>
        <v>0</v>
      </c>
    </row>
    <row r="139" spans="22:22">
      <c r="V139" s="102" t="b">
        <f>IF(totales!E140="1"&amp;totales!H140="0"&amp;totales!I140="0"&amp;totales!J140="0","a",IF(totales!E140="2"&amp;totales!H140="0"&amp;totales!I140="0"&amp;totales!J140="0","b",IF(totales!E140="3"&amp;totales!H140="0"&amp;totales!I140="0"&amp;totales!J140="0","c",IF(totales!E140="4"&amp;totales!H140="0"&amp;totales!I140="0"&amp;totales!J140="0","d",IF(totales!E140="6"&amp;totales!H140="0"&amp;totales!I140="0"&amp;totales!J140="0","e",IF(totales!E140="1"&amp;totales!H140="1"&amp;totales!I140="0"&amp;totales!J140="0","f",IF(totales!E140="2"&amp;totales!H140="1"&amp;totales!I140="0"&amp;totales!J140="0","g",IF(totales!E140="3"&amp;totales!H140="1"&amp;totales!I140="0"&amp;totales!J140="0","h",IF(totales!E140="4"&amp;totales!H140="1"&amp;totales!I140="0"&amp;totales!J140="0","i",IF(totales!E140="6"&amp;totales!H140="1"&amp;totales!I140="0"&amp;totales!J140="0","j",IF(totales!E140="1"&amp;totales!H140="2"&amp;totales!I140="0"&amp;totales!J140="0","k",IF(totales!E140="2"&amp;totales!H140="2"&amp;totales!I140="0"&amp;totales!J140="0","l",IF(totales!E140="3"&amp;totales!H140="2"&amp;totales!I140="0"&amp;totales!J140="0","m",
IF(totales!E140="4"&amp;totales!H140="2"&amp;totales!I140="0"&amp;totales!J140="0","n",IF(totales!E140="6"&amp;totales!H140="2"&amp;totales!I140="0"&amp;totales!J140="0","o",IF(totales!E140="1"&amp;totales!H140="0"&amp;totales!I140="1"&amp;totales!J140="0","p",IF(totales!E140="2"&amp;totales!H140="0"&amp;totales!I140="1"&amp;totales!J140="0","q",IF(totales!E140="3"&amp;totales!H140="0"&amp;totales!I140="1"&amp;totales!J140="0","r",IF(totales!E140="4"&amp;totales!H140="0"&amp;totales!I140="1"&amp;totales!J140="0","s",IF(totales!E140="6"&amp;totales!H140="0"&amp;totales!I140="1"&amp;totales!J140="0","t",IF(totales!E140="1"&amp;totales!H140="2"&amp;totales!I140="1"&amp;totales!J140="0","u",IF(totales!E140="2"&amp;totales!H140="2"&amp;totales!I140="1"&amp;totales!J140="0","v",IF(totales!E140="3"&amp;totales!H140="2"&amp;totales!I140="1"&amp;totales!J140="0","w",IF(totales!E140="4"&amp;totales!H140="2"&amp;totales!I140="1"&amp;totales!J140="0","x",
IF(totales!E140="6"&amp;totales!H140="2"&amp;totales!I140="1"&amp;totales!J140="0","y",IF(totales!E140="1"&amp;totales!H140="1"&amp;totales!I140="1"&amp;totales!J140="0","z",IF(totales!E140="2"&amp;totales!H140="1"&amp;totales!I140="1"&amp;totales!J140="0","0",IF(totales!E140="3"&amp;totales!H140="1"&amp;totales!I140="1"&amp;totales!J140="0","1",IF(totales!E140="4"&amp;totales!H140="1"&amp;totales!I140="1"&amp;totales!J140="0","2",IF(totales!E140="6"&amp;totales!H140="1"&amp;totales!I140="1"&amp;totales!J140="0","3",IF(totales!E140="1"&amp;totales!H140="0"&amp;totales!I140="1"&amp;totales!J140="1","4",IF(totales!E140="2"&amp;totales!H140="0"&amp;totales!I140="1"&amp;totales!J140="1","5",IF(totales!E140="3"&amp;totales!H140="0"&amp;totales!I140="1"&amp;totales!J140="1","6",IF(totales!E140="4"&amp;totales!H140="0"&amp;totales!I140="1"&amp;totales!J140="1","7",IF(totales!E140="6"&amp;totales!H140="0"&amp;totales!I140="1"&amp;totales!J140="1","8",IF(totales!E140="1"&amp;totales!H140="1"&amp;totales!I140="0"&amp;totales!J140="1","9"))))))))))))))))))))))))))))))))))))</f>
        <v>0</v>
      </c>
    </row>
    <row r="140" spans="22:22">
      <c r="V140" s="102" t="b">
        <f>IF(totales!E141="1"&amp;totales!H141="0"&amp;totales!I141="0"&amp;totales!J141="0","a",IF(totales!E141="2"&amp;totales!H141="0"&amp;totales!I141="0"&amp;totales!J141="0","b",IF(totales!E141="3"&amp;totales!H141="0"&amp;totales!I141="0"&amp;totales!J141="0","c",IF(totales!E141="4"&amp;totales!H141="0"&amp;totales!I141="0"&amp;totales!J141="0","d",IF(totales!E141="6"&amp;totales!H141="0"&amp;totales!I141="0"&amp;totales!J141="0","e",IF(totales!E141="1"&amp;totales!H141="1"&amp;totales!I141="0"&amp;totales!J141="0","f",IF(totales!E141="2"&amp;totales!H141="1"&amp;totales!I141="0"&amp;totales!J141="0","g",IF(totales!E141="3"&amp;totales!H141="1"&amp;totales!I141="0"&amp;totales!J141="0","h",IF(totales!E141="4"&amp;totales!H141="1"&amp;totales!I141="0"&amp;totales!J141="0","i",IF(totales!E141="6"&amp;totales!H141="1"&amp;totales!I141="0"&amp;totales!J141="0","j",IF(totales!E141="1"&amp;totales!H141="2"&amp;totales!I141="0"&amp;totales!J141="0","k",IF(totales!E141="2"&amp;totales!H141="2"&amp;totales!I141="0"&amp;totales!J141="0","l",IF(totales!E141="3"&amp;totales!H141="2"&amp;totales!I141="0"&amp;totales!J141="0","m",
IF(totales!E141="4"&amp;totales!H141="2"&amp;totales!I141="0"&amp;totales!J141="0","n",IF(totales!E141="6"&amp;totales!H141="2"&amp;totales!I141="0"&amp;totales!J141="0","o",IF(totales!E141="1"&amp;totales!H141="0"&amp;totales!I141="1"&amp;totales!J141="0","p",IF(totales!E141="2"&amp;totales!H141="0"&amp;totales!I141="1"&amp;totales!J141="0","q",IF(totales!E141="3"&amp;totales!H141="0"&amp;totales!I141="1"&amp;totales!J141="0","r",IF(totales!E141="4"&amp;totales!H141="0"&amp;totales!I141="1"&amp;totales!J141="0","s",IF(totales!E141="6"&amp;totales!H141="0"&amp;totales!I141="1"&amp;totales!J141="0","t",IF(totales!E141="1"&amp;totales!H141="2"&amp;totales!I141="1"&amp;totales!J141="0","u",IF(totales!E141="2"&amp;totales!H141="2"&amp;totales!I141="1"&amp;totales!J141="0","v",IF(totales!E141="3"&amp;totales!H141="2"&amp;totales!I141="1"&amp;totales!J141="0","w",IF(totales!E141="4"&amp;totales!H141="2"&amp;totales!I141="1"&amp;totales!J141="0","x",
IF(totales!E141="6"&amp;totales!H141="2"&amp;totales!I141="1"&amp;totales!J141="0","y",IF(totales!E141="1"&amp;totales!H141="1"&amp;totales!I141="1"&amp;totales!J141="0","z",IF(totales!E141="2"&amp;totales!H141="1"&amp;totales!I141="1"&amp;totales!J141="0","0",IF(totales!E141="3"&amp;totales!H141="1"&amp;totales!I141="1"&amp;totales!J141="0","1",IF(totales!E141="4"&amp;totales!H141="1"&amp;totales!I141="1"&amp;totales!J141="0","2",IF(totales!E141="6"&amp;totales!H141="1"&amp;totales!I141="1"&amp;totales!J141="0","3",IF(totales!E141="1"&amp;totales!H141="0"&amp;totales!I141="1"&amp;totales!J141="1","4",IF(totales!E141="2"&amp;totales!H141="0"&amp;totales!I141="1"&amp;totales!J141="1","5",IF(totales!E141="3"&amp;totales!H141="0"&amp;totales!I141="1"&amp;totales!J141="1","6",IF(totales!E141="4"&amp;totales!H141="0"&amp;totales!I141="1"&amp;totales!J141="1","7",IF(totales!E141="6"&amp;totales!H141="0"&amp;totales!I141="1"&amp;totales!J141="1","8",IF(totales!E141="1"&amp;totales!H141="1"&amp;totales!I141="0"&amp;totales!J141="1","9"))))))))))))))))))))))))))))))))))))</f>
        <v>0</v>
      </c>
    </row>
    <row r="141" spans="22:22">
      <c r="V141" s="102" t="b">
        <f>IF(totales!E142="1"&amp;totales!H142="0"&amp;totales!I142="0"&amp;totales!J142="0","a",IF(totales!E142="2"&amp;totales!H142="0"&amp;totales!I142="0"&amp;totales!J142="0","b",IF(totales!E142="3"&amp;totales!H142="0"&amp;totales!I142="0"&amp;totales!J142="0","c",IF(totales!E142="4"&amp;totales!H142="0"&amp;totales!I142="0"&amp;totales!J142="0","d",IF(totales!E142="6"&amp;totales!H142="0"&amp;totales!I142="0"&amp;totales!J142="0","e",IF(totales!E142="1"&amp;totales!H142="1"&amp;totales!I142="0"&amp;totales!J142="0","f",IF(totales!E142="2"&amp;totales!H142="1"&amp;totales!I142="0"&amp;totales!J142="0","g",IF(totales!E142="3"&amp;totales!H142="1"&amp;totales!I142="0"&amp;totales!J142="0","h",IF(totales!E142="4"&amp;totales!H142="1"&amp;totales!I142="0"&amp;totales!J142="0","i",IF(totales!E142="6"&amp;totales!H142="1"&amp;totales!I142="0"&amp;totales!J142="0","j",IF(totales!E142="1"&amp;totales!H142="2"&amp;totales!I142="0"&amp;totales!J142="0","k",IF(totales!E142="2"&amp;totales!H142="2"&amp;totales!I142="0"&amp;totales!J142="0","l",IF(totales!E142="3"&amp;totales!H142="2"&amp;totales!I142="0"&amp;totales!J142="0","m",
IF(totales!E142="4"&amp;totales!H142="2"&amp;totales!I142="0"&amp;totales!J142="0","n",IF(totales!E142="6"&amp;totales!H142="2"&amp;totales!I142="0"&amp;totales!J142="0","o",IF(totales!E142="1"&amp;totales!H142="0"&amp;totales!I142="1"&amp;totales!J142="0","p",IF(totales!E142="2"&amp;totales!H142="0"&amp;totales!I142="1"&amp;totales!J142="0","q",IF(totales!E142="3"&amp;totales!H142="0"&amp;totales!I142="1"&amp;totales!J142="0","r",IF(totales!E142="4"&amp;totales!H142="0"&amp;totales!I142="1"&amp;totales!J142="0","s",IF(totales!E142="6"&amp;totales!H142="0"&amp;totales!I142="1"&amp;totales!J142="0","t",IF(totales!E142="1"&amp;totales!H142="2"&amp;totales!I142="1"&amp;totales!J142="0","u",IF(totales!E142="2"&amp;totales!H142="2"&amp;totales!I142="1"&amp;totales!J142="0","v",IF(totales!E142="3"&amp;totales!H142="2"&amp;totales!I142="1"&amp;totales!J142="0","w",IF(totales!E142="4"&amp;totales!H142="2"&amp;totales!I142="1"&amp;totales!J142="0","x",
IF(totales!E142="6"&amp;totales!H142="2"&amp;totales!I142="1"&amp;totales!J142="0","y",IF(totales!E142="1"&amp;totales!H142="1"&amp;totales!I142="1"&amp;totales!J142="0","z",IF(totales!E142="2"&amp;totales!H142="1"&amp;totales!I142="1"&amp;totales!J142="0","0",IF(totales!E142="3"&amp;totales!H142="1"&amp;totales!I142="1"&amp;totales!J142="0","1",IF(totales!E142="4"&amp;totales!H142="1"&amp;totales!I142="1"&amp;totales!J142="0","2",IF(totales!E142="6"&amp;totales!H142="1"&amp;totales!I142="1"&amp;totales!J142="0","3",IF(totales!E142="1"&amp;totales!H142="0"&amp;totales!I142="1"&amp;totales!J142="1","4",IF(totales!E142="2"&amp;totales!H142="0"&amp;totales!I142="1"&amp;totales!J142="1","5",IF(totales!E142="3"&amp;totales!H142="0"&amp;totales!I142="1"&amp;totales!J142="1","6",IF(totales!E142="4"&amp;totales!H142="0"&amp;totales!I142="1"&amp;totales!J142="1","7",IF(totales!E142="6"&amp;totales!H142="0"&amp;totales!I142="1"&amp;totales!J142="1","8",IF(totales!E142="1"&amp;totales!H142="1"&amp;totales!I142="0"&amp;totales!J142="1","9"))))))))))))))))))))))))))))))))))))</f>
        <v>0</v>
      </c>
    </row>
    <row r="142" spans="22:22">
      <c r="V142" s="102" t="b">
        <f>IF(totales!E143="1"&amp;totales!H143="0"&amp;totales!I143="0"&amp;totales!J143="0","a",IF(totales!E143="2"&amp;totales!H143="0"&amp;totales!I143="0"&amp;totales!J143="0","b",IF(totales!E143="3"&amp;totales!H143="0"&amp;totales!I143="0"&amp;totales!J143="0","c",IF(totales!E143="4"&amp;totales!H143="0"&amp;totales!I143="0"&amp;totales!J143="0","d",IF(totales!E143="6"&amp;totales!H143="0"&amp;totales!I143="0"&amp;totales!J143="0","e",IF(totales!E143="1"&amp;totales!H143="1"&amp;totales!I143="0"&amp;totales!J143="0","f",IF(totales!E143="2"&amp;totales!H143="1"&amp;totales!I143="0"&amp;totales!J143="0","g",IF(totales!E143="3"&amp;totales!H143="1"&amp;totales!I143="0"&amp;totales!J143="0","h",IF(totales!E143="4"&amp;totales!H143="1"&amp;totales!I143="0"&amp;totales!J143="0","i",IF(totales!E143="6"&amp;totales!H143="1"&amp;totales!I143="0"&amp;totales!J143="0","j",IF(totales!E143="1"&amp;totales!H143="2"&amp;totales!I143="0"&amp;totales!J143="0","k",IF(totales!E143="2"&amp;totales!H143="2"&amp;totales!I143="0"&amp;totales!J143="0","l",IF(totales!E143="3"&amp;totales!H143="2"&amp;totales!I143="0"&amp;totales!J143="0","m",
IF(totales!E143="4"&amp;totales!H143="2"&amp;totales!I143="0"&amp;totales!J143="0","n",IF(totales!E143="6"&amp;totales!H143="2"&amp;totales!I143="0"&amp;totales!J143="0","o",IF(totales!E143="1"&amp;totales!H143="0"&amp;totales!I143="1"&amp;totales!J143="0","p",IF(totales!E143="2"&amp;totales!H143="0"&amp;totales!I143="1"&amp;totales!J143="0","q",IF(totales!E143="3"&amp;totales!H143="0"&amp;totales!I143="1"&amp;totales!J143="0","r",IF(totales!E143="4"&amp;totales!H143="0"&amp;totales!I143="1"&amp;totales!J143="0","s",IF(totales!E143="6"&amp;totales!H143="0"&amp;totales!I143="1"&amp;totales!J143="0","t",IF(totales!E143="1"&amp;totales!H143="2"&amp;totales!I143="1"&amp;totales!J143="0","u",IF(totales!E143="2"&amp;totales!H143="2"&amp;totales!I143="1"&amp;totales!J143="0","v",IF(totales!E143="3"&amp;totales!H143="2"&amp;totales!I143="1"&amp;totales!J143="0","w",IF(totales!E143="4"&amp;totales!H143="2"&amp;totales!I143="1"&amp;totales!J143="0","x",
IF(totales!E143="6"&amp;totales!H143="2"&amp;totales!I143="1"&amp;totales!J143="0","y",IF(totales!E143="1"&amp;totales!H143="1"&amp;totales!I143="1"&amp;totales!J143="0","z",IF(totales!E143="2"&amp;totales!H143="1"&amp;totales!I143="1"&amp;totales!J143="0","0",IF(totales!E143="3"&amp;totales!H143="1"&amp;totales!I143="1"&amp;totales!J143="0","1",IF(totales!E143="4"&amp;totales!H143="1"&amp;totales!I143="1"&amp;totales!J143="0","2",IF(totales!E143="6"&amp;totales!H143="1"&amp;totales!I143="1"&amp;totales!J143="0","3",IF(totales!E143="1"&amp;totales!H143="0"&amp;totales!I143="1"&amp;totales!J143="1","4",IF(totales!E143="2"&amp;totales!H143="0"&amp;totales!I143="1"&amp;totales!J143="1","5",IF(totales!E143="3"&amp;totales!H143="0"&amp;totales!I143="1"&amp;totales!J143="1","6",IF(totales!E143="4"&amp;totales!H143="0"&amp;totales!I143="1"&amp;totales!J143="1","7",IF(totales!E143="6"&amp;totales!H143="0"&amp;totales!I143="1"&amp;totales!J143="1","8",IF(totales!E143="1"&amp;totales!H143="1"&amp;totales!I143="0"&amp;totales!J143="1","9"))))))))))))))))))))))))))))))))))))</f>
        <v>0</v>
      </c>
    </row>
    <row r="143" spans="22:22">
      <c r="V143" s="102" t="b">
        <f>IF(totales!E144="1"&amp;totales!H144="0"&amp;totales!I144="0"&amp;totales!J144="0","a",IF(totales!E144="2"&amp;totales!H144="0"&amp;totales!I144="0"&amp;totales!J144="0","b",IF(totales!E144="3"&amp;totales!H144="0"&amp;totales!I144="0"&amp;totales!J144="0","c",IF(totales!E144="4"&amp;totales!H144="0"&amp;totales!I144="0"&amp;totales!J144="0","d",IF(totales!E144="6"&amp;totales!H144="0"&amp;totales!I144="0"&amp;totales!J144="0","e",IF(totales!E144="1"&amp;totales!H144="1"&amp;totales!I144="0"&amp;totales!J144="0","f",IF(totales!E144="2"&amp;totales!H144="1"&amp;totales!I144="0"&amp;totales!J144="0","g",IF(totales!E144="3"&amp;totales!H144="1"&amp;totales!I144="0"&amp;totales!J144="0","h",IF(totales!E144="4"&amp;totales!H144="1"&amp;totales!I144="0"&amp;totales!J144="0","i",IF(totales!E144="6"&amp;totales!H144="1"&amp;totales!I144="0"&amp;totales!J144="0","j",IF(totales!E144="1"&amp;totales!H144="2"&amp;totales!I144="0"&amp;totales!J144="0","k",IF(totales!E144="2"&amp;totales!H144="2"&amp;totales!I144="0"&amp;totales!J144="0","l",IF(totales!E144="3"&amp;totales!H144="2"&amp;totales!I144="0"&amp;totales!J144="0","m",
IF(totales!E144="4"&amp;totales!H144="2"&amp;totales!I144="0"&amp;totales!J144="0","n",IF(totales!E144="6"&amp;totales!H144="2"&amp;totales!I144="0"&amp;totales!J144="0","o",IF(totales!E144="1"&amp;totales!H144="0"&amp;totales!I144="1"&amp;totales!J144="0","p",IF(totales!E144="2"&amp;totales!H144="0"&amp;totales!I144="1"&amp;totales!J144="0","q",IF(totales!E144="3"&amp;totales!H144="0"&amp;totales!I144="1"&amp;totales!J144="0","r",IF(totales!E144="4"&amp;totales!H144="0"&amp;totales!I144="1"&amp;totales!J144="0","s",IF(totales!E144="6"&amp;totales!H144="0"&amp;totales!I144="1"&amp;totales!J144="0","t",IF(totales!E144="1"&amp;totales!H144="2"&amp;totales!I144="1"&amp;totales!J144="0","u",IF(totales!E144="2"&amp;totales!H144="2"&amp;totales!I144="1"&amp;totales!J144="0","v",IF(totales!E144="3"&amp;totales!H144="2"&amp;totales!I144="1"&amp;totales!J144="0","w",IF(totales!E144="4"&amp;totales!H144="2"&amp;totales!I144="1"&amp;totales!J144="0","x",
IF(totales!E144="6"&amp;totales!H144="2"&amp;totales!I144="1"&amp;totales!J144="0","y",IF(totales!E144="1"&amp;totales!H144="1"&amp;totales!I144="1"&amp;totales!J144="0","z",IF(totales!E144="2"&amp;totales!H144="1"&amp;totales!I144="1"&amp;totales!J144="0","0",IF(totales!E144="3"&amp;totales!H144="1"&amp;totales!I144="1"&amp;totales!J144="0","1",IF(totales!E144="4"&amp;totales!H144="1"&amp;totales!I144="1"&amp;totales!J144="0","2",IF(totales!E144="6"&amp;totales!H144="1"&amp;totales!I144="1"&amp;totales!J144="0","3",IF(totales!E144="1"&amp;totales!H144="0"&amp;totales!I144="1"&amp;totales!J144="1","4",IF(totales!E144="2"&amp;totales!H144="0"&amp;totales!I144="1"&amp;totales!J144="1","5",IF(totales!E144="3"&amp;totales!H144="0"&amp;totales!I144="1"&amp;totales!J144="1","6",IF(totales!E144="4"&amp;totales!H144="0"&amp;totales!I144="1"&amp;totales!J144="1","7",IF(totales!E144="6"&amp;totales!H144="0"&amp;totales!I144="1"&amp;totales!J144="1","8",IF(totales!E144="1"&amp;totales!H144="1"&amp;totales!I144="0"&amp;totales!J144="1","9"))))))))))))))))))))))))))))))))))))</f>
        <v>0</v>
      </c>
    </row>
    <row r="144" spans="22:22">
      <c r="V144" s="102" t="b">
        <f>IF(totales!E145="1"&amp;totales!H145="0"&amp;totales!I145="0"&amp;totales!J145="0","a",IF(totales!E145="2"&amp;totales!H145="0"&amp;totales!I145="0"&amp;totales!J145="0","b",IF(totales!E145="3"&amp;totales!H145="0"&amp;totales!I145="0"&amp;totales!J145="0","c",IF(totales!E145="4"&amp;totales!H145="0"&amp;totales!I145="0"&amp;totales!J145="0","d",IF(totales!E145="6"&amp;totales!H145="0"&amp;totales!I145="0"&amp;totales!J145="0","e",IF(totales!E145="1"&amp;totales!H145="1"&amp;totales!I145="0"&amp;totales!J145="0","f",IF(totales!E145="2"&amp;totales!H145="1"&amp;totales!I145="0"&amp;totales!J145="0","g",IF(totales!E145="3"&amp;totales!H145="1"&amp;totales!I145="0"&amp;totales!J145="0","h",IF(totales!E145="4"&amp;totales!H145="1"&amp;totales!I145="0"&amp;totales!J145="0","i",IF(totales!E145="6"&amp;totales!H145="1"&amp;totales!I145="0"&amp;totales!J145="0","j",IF(totales!E145="1"&amp;totales!H145="2"&amp;totales!I145="0"&amp;totales!J145="0","k",IF(totales!E145="2"&amp;totales!H145="2"&amp;totales!I145="0"&amp;totales!J145="0","l",IF(totales!E145="3"&amp;totales!H145="2"&amp;totales!I145="0"&amp;totales!J145="0","m",
IF(totales!E145="4"&amp;totales!H145="2"&amp;totales!I145="0"&amp;totales!J145="0","n",IF(totales!E145="6"&amp;totales!H145="2"&amp;totales!I145="0"&amp;totales!J145="0","o",IF(totales!E145="1"&amp;totales!H145="0"&amp;totales!I145="1"&amp;totales!J145="0","p",IF(totales!E145="2"&amp;totales!H145="0"&amp;totales!I145="1"&amp;totales!J145="0","q",IF(totales!E145="3"&amp;totales!H145="0"&amp;totales!I145="1"&amp;totales!J145="0","r",IF(totales!E145="4"&amp;totales!H145="0"&amp;totales!I145="1"&amp;totales!J145="0","s",IF(totales!E145="6"&amp;totales!H145="0"&amp;totales!I145="1"&amp;totales!J145="0","t",IF(totales!E145="1"&amp;totales!H145="2"&amp;totales!I145="1"&amp;totales!J145="0","u",IF(totales!E145="2"&amp;totales!H145="2"&amp;totales!I145="1"&amp;totales!J145="0","v",IF(totales!E145="3"&amp;totales!H145="2"&amp;totales!I145="1"&amp;totales!J145="0","w",IF(totales!E145="4"&amp;totales!H145="2"&amp;totales!I145="1"&amp;totales!J145="0","x",
IF(totales!E145="6"&amp;totales!H145="2"&amp;totales!I145="1"&amp;totales!J145="0","y",IF(totales!E145="1"&amp;totales!H145="1"&amp;totales!I145="1"&amp;totales!J145="0","z",IF(totales!E145="2"&amp;totales!H145="1"&amp;totales!I145="1"&amp;totales!J145="0","0",IF(totales!E145="3"&amp;totales!H145="1"&amp;totales!I145="1"&amp;totales!J145="0","1",IF(totales!E145="4"&amp;totales!H145="1"&amp;totales!I145="1"&amp;totales!J145="0","2",IF(totales!E145="6"&amp;totales!H145="1"&amp;totales!I145="1"&amp;totales!J145="0","3",IF(totales!E145="1"&amp;totales!H145="0"&amp;totales!I145="1"&amp;totales!J145="1","4",IF(totales!E145="2"&amp;totales!H145="0"&amp;totales!I145="1"&amp;totales!J145="1","5",IF(totales!E145="3"&amp;totales!H145="0"&amp;totales!I145="1"&amp;totales!J145="1","6",IF(totales!E145="4"&amp;totales!H145="0"&amp;totales!I145="1"&amp;totales!J145="1","7",IF(totales!E145="6"&amp;totales!H145="0"&amp;totales!I145="1"&amp;totales!J145="1","8",IF(totales!E145="1"&amp;totales!H145="1"&amp;totales!I145="0"&amp;totales!J145="1","9"))))))))))))))))))))))))))))))))))))</f>
        <v>0</v>
      </c>
    </row>
    <row r="145" spans="22:22">
      <c r="V145" s="102" t="b">
        <f>IF(totales!E146="1"&amp;totales!H146="0"&amp;totales!I146="0"&amp;totales!J146="0","a",IF(totales!E146="2"&amp;totales!H146="0"&amp;totales!I146="0"&amp;totales!J146="0","b",IF(totales!E146="3"&amp;totales!H146="0"&amp;totales!I146="0"&amp;totales!J146="0","c",IF(totales!E146="4"&amp;totales!H146="0"&amp;totales!I146="0"&amp;totales!J146="0","d",IF(totales!E146="6"&amp;totales!H146="0"&amp;totales!I146="0"&amp;totales!J146="0","e",IF(totales!E146="1"&amp;totales!H146="1"&amp;totales!I146="0"&amp;totales!J146="0","f",IF(totales!E146="2"&amp;totales!H146="1"&amp;totales!I146="0"&amp;totales!J146="0","g",IF(totales!E146="3"&amp;totales!H146="1"&amp;totales!I146="0"&amp;totales!J146="0","h",IF(totales!E146="4"&amp;totales!H146="1"&amp;totales!I146="0"&amp;totales!J146="0","i",IF(totales!E146="6"&amp;totales!H146="1"&amp;totales!I146="0"&amp;totales!J146="0","j",IF(totales!E146="1"&amp;totales!H146="2"&amp;totales!I146="0"&amp;totales!J146="0","k",IF(totales!E146="2"&amp;totales!H146="2"&amp;totales!I146="0"&amp;totales!J146="0","l",IF(totales!E146="3"&amp;totales!H146="2"&amp;totales!I146="0"&amp;totales!J146="0","m",
IF(totales!E146="4"&amp;totales!H146="2"&amp;totales!I146="0"&amp;totales!J146="0","n",IF(totales!E146="6"&amp;totales!H146="2"&amp;totales!I146="0"&amp;totales!J146="0","o",IF(totales!E146="1"&amp;totales!H146="0"&amp;totales!I146="1"&amp;totales!J146="0","p",IF(totales!E146="2"&amp;totales!H146="0"&amp;totales!I146="1"&amp;totales!J146="0","q",IF(totales!E146="3"&amp;totales!H146="0"&amp;totales!I146="1"&amp;totales!J146="0","r",IF(totales!E146="4"&amp;totales!H146="0"&amp;totales!I146="1"&amp;totales!J146="0","s",IF(totales!E146="6"&amp;totales!H146="0"&amp;totales!I146="1"&amp;totales!J146="0","t",IF(totales!E146="1"&amp;totales!H146="2"&amp;totales!I146="1"&amp;totales!J146="0","u",IF(totales!E146="2"&amp;totales!H146="2"&amp;totales!I146="1"&amp;totales!J146="0","v",IF(totales!E146="3"&amp;totales!H146="2"&amp;totales!I146="1"&amp;totales!J146="0","w",IF(totales!E146="4"&amp;totales!H146="2"&amp;totales!I146="1"&amp;totales!J146="0","x",
IF(totales!E146="6"&amp;totales!H146="2"&amp;totales!I146="1"&amp;totales!J146="0","y",IF(totales!E146="1"&amp;totales!H146="1"&amp;totales!I146="1"&amp;totales!J146="0","z",IF(totales!E146="2"&amp;totales!H146="1"&amp;totales!I146="1"&amp;totales!J146="0","0",IF(totales!E146="3"&amp;totales!H146="1"&amp;totales!I146="1"&amp;totales!J146="0","1",IF(totales!E146="4"&amp;totales!H146="1"&amp;totales!I146="1"&amp;totales!J146="0","2",IF(totales!E146="6"&amp;totales!H146="1"&amp;totales!I146="1"&amp;totales!J146="0","3",IF(totales!E146="1"&amp;totales!H146="0"&amp;totales!I146="1"&amp;totales!J146="1","4",IF(totales!E146="2"&amp;totales!H146="0"&amp;totales!I146="1"&amp;totales!J146="1","5",IF(totales!E146="3"&amp;totales!H146="0"&amp;totales!I146="1"&amp;totales!J146="1","6",IF(totales!E146="4"&amp;totales!H146="0"&amp;totales!I146="1"&amp;totales!J146="1","7",IF(totales!E146="6"&amp;totales!H146="0"&amp;totales!I146="1"&amp;totales!J146="1","8",IF(totales!E146="1"&amp;totales!H146="1"&amp;totales!I146="0"&amp;totales!J146="1","9"))))))))))))))))))))))))))))))))))))</f>
        <v>0</v>
      </c>
    </row>
    <row r="146" spans="22:22">
      <c r="V146" s="102" t="b">
        <f>IF(totales!E147="1"&amp;totales!H147="0"&amp;totales!I147="0"&amp;totales!J147="0","a",IF(totales!E147="2"&amp;totales!H147="0"&amp;totales!I147="0"&amp;totales!J147="0","b",IF(totales!E147="3"&amp;totales!H147="0"&amp;totales!I147="0"&amp;totales!J147="0","c",IF(totales!E147="4"&amp;totales!H147="0"&amp;totales!I147="0"&amp;totales!J147="0","d",IF(totales!E147="6"&amp;totales!H147="0"&amp;totales!I147="0"&amp;totales!J147="0","e",IF(totales!E147="1"&amp;totales!H147="1"&amp;totales!I147="0"&amp;totales!J147="0","f",IF(totales!E147="2"&amp;totales!H147="1"&amp;totales!I147="0"&amp;totales!J147="0","g",IF(totales!E147="3"&amp;totales!H147="1"&amp;totales!I147="0"&amp;totales!J147="0","h",IF(totales!E147="4"&amp;totales!H147="1"&amp;totales!I147="0"&amp;totales!J147="0","i",IF(totales!E147="6"&amp;totales!H147="1"&amp;totales!I147="0"&amp;totales!J147="0","j",IF(totales!E147="1"&amp;totales!H147="2"&amp;totales!I147="0"&amp;totales!J147="0","k",IF(totales!E147="2"&amp;totales!H147="2"&amp;totales!I147="0"&amp;totales!J147="0","l",IF(totales!E147="3"&amp;totales!H147="2"&amp;totales!I147="0"&amp;totales!J147="0","m",
IF(totales!E147="4"&amp;totales!H147="2"&amp;totales!I147="0"&amp;totales!J147="0","n",IF(totales!E147="6"&amp;totales!H147="2"&amp;totales!I147="0"&amp;totales!J147="0","o",IF(totales!E147="1"&amp;totales!H147="0"&amp;totales!I147="1"&amp;totales!J147="0","p",IF(totales!E147="2"&amp;totales!H147="0"&amp;totales!I147="1"&amp;totales!J147="0","q",IF(totales!E147="3"&amp;totales!H147="0"&amp;totales!I147="1"&amp;totales!J147="0","r",IF(totales!E147="4"&amp;totales!H147="0"&amp;totales!I147="1"&amp;totales!J147="0","s",IF(totales!E147="6"&amp;totales!H147="0"&amp;totales!I147="1"&amp;totales!J147="0","t",IF(totales!E147="1"&amp;totales!H147="2"&amp;totales!I147="1"&amp;totales!J147="0","u",IF(totales!E147="2"&amp;totales!H147="2"&amp;totales!I147="1"&amp;totales!J147="0","v",IF(totales!E147="3"&amp;totales!H147="2"&amp;totales!I147="1"&amp;totales!J147="0","w",IF(totales!E147="4"&amp;totales!H147="2"&amp;totales!I147="1"&amp;totales!J147="0","x",
IF(totales!E147="6"&amp;totales!H147="2"&amp;totales!I147="1"&amp;totales!J147="0","y",IF(totales!E147="1"&amp;totales!H147="1"&amp;totales!I147="1"&amp;totales!J147="0","z",IF(totales!E147="2"&amp;totales!H147="1"&amp;totales!I147="1"&amp;totales!J147="0","0",IF(totales!E147="3"&amp;totales!H147="1"&amp;totales!I147="1"&amp;totales!J147="0","1",IF(totales!E147="4"&amp;totales!H147="1"&amp;totales!I147="1"&amp;totales!J147="0","2",IF(totales!E147="6"&amp;totales!H147="1"&amp;totales!I147="1"&amp;totales!J147="0","3",IF(totales!E147="1"&amp;totales!H147="0"&amp;totales!I147="1"&amp;totales!J147="1","4",IF(totales!E147="2"&amp;totales!H147="0"&amp;totales!I147="1"&amp;totales!J147="1","5",IF(totales!E147="3"&amp;totales!H147="0"&amp;totales!I147="1"&amp;totales!J147="1","6",IF(totales!E147="4"&amp;totales!H147="0"&amp;totales!I147="1"&amp;totales!J147="1","7",IF(totales!E147="6"&amp;totales!H147="0"&amp;totales!I147="1"&amp;totales!J147="1","8",IF(totales!E147="1"&amp;totales!H147="1"&amp;totales!I147="0"&amp;totales!J147="1","9"))))))))))))))))))))))))))))))))))))</f>
        <v>0</v>
      </c>
    </row>
    <row r="147" spans="22:22">
      <c r="V147" s="102" t="b">
        <f>IF(totales!E148="1"&amp;totales!H148="0"&amp;totales!I148="0"&amp;totales!J148="0","a",IF(totales!E148="2"&amp;totales!H148="0"&amp;totales!I148="0"&amp;totales!J148="0","b",IF(totales!E148="3"&amp;totales!H148="0"&amp;totales!I148="0"&amp;totales!J148="0","c",IF(totales!E148="4"&amp;totales!H148="0"&amp;totales!I148="0"&amp;totales!J148="0","d",IF(totales!E148="6"&amp;totales!H148="0"&amp;totales!I148="0"&amp;totales!J148="0","e",IF(totales!E148="1"&amp;totales!H148="1"&amp;totales!I148="0"&amp;totales!J148="0","f",IF(totales!E148="2"&amp;totales!H148="1"&amp;totales!I148="0"&amp;totales!J148="0","g",IF(totales!E148="3"&amp;totales!H148="1"&amp;totales!I148="0"&amp;totales!J148="0","h",IF(totales!E148="4"&amp;totales!H148="1"&amp;totales!I148="0"&amp;totales!J148="0","i",IF(totales!E148="6"&amp;totales!H148="1"&amp;totales!I148="0"&amp;totales!J148="0","j",IF(totales!E148="1"&amp;totales!H148="2"&amp;totales!I148="0"&amp;totales!J148="0","k",IF(totales!E148="2"&amp;totales!H148="2"&amp;totales!I148="0"&amp;totales!J148="0","l",IF(totales!E148="3"&amp;totales!H148="2"&amp;totales!I148="0"&amp;totales!J148="0","m",
IF(totales!E148="4"&amp;totales!H148="2"&amp;totales!I148="0"&amp;totales!J148="0","n",IF(totales!E148="6"&amp;totales!H148="2"&amp;totales!I148="0"&amp;totales!J148="0","o",IF(totales!E148="1"&amp;totales!H148="0"&amp;totales!I148="1"&amp;totales!J148="0","p",IF(totales!E148="2"&amp;totales!H148="0"&amp;totales!I148="1"&amp;totales!J148="0","q",IF(totales!E148="3"&amp;totales!H148="0"&amp;totales!I148="1"&amp;totales!J148="0","r",IF(totales!E148="4"&amp;totales!H148="0"&amp;totales!I148="1"&amp;totales!J148="0","s",IF(totales!E148="6"&amp;totales!H148="0"&amp;totales!I148="1"&amp;totales!J148="0","t",IF(totales!E148="1"&amp;totales!H148="2"&amp;totales!I148="1"&amp;totales!J148="0","u",IF(totales!E148="2"&amp;totales!H148="2"&amp;totales!I148="1"&amp;totales!J148="0","v",IF(totales!E148="3"&amp;totales!H148="2"&amp;totales!I148="1"&amp;totales!J148="0","w",IF(totales!E148="4"&amp;totales!H148="2"&amp;totales!I148="1"&amp;totales!J148="0","x",
IF(totales!E148="6"&amp;totales!H148="2"&amp;totales!I148="1"&amp;totales!J148="0","y",IF(totales!E148="1"&amp;totales!H148="1"&amp;totales!I148="1"&amp;totales!J148="0","z",IF(totales!E148="2"&amp;totales!H148="1"&amp;totales!I148="1"&amp;totales!J148="0","0",IF(totales!E148="3"&amp;totales!H148="1"&amp;totales!I148="1"&amp;totales!J148="0","1",IF(totales!E148="4"&amp;totales!H148="1"&amp;totales!I148="1"&amp;totales!J148="0","2",IF(totales!E148="6"&amp;totales!H148="1"&amp;totales!I148="1"&amp;totales!J148="0","3",IF(totales!E148="1"&amp;totales!H148="0"&amp;totales!I148="1"&amp;totales!J148="1","4",IF(totales!E148="2"&amp;totales!H148="0"&amp;totales!I148="1"&amp;totales!J148="1","5",IF(totales!E148="3"&amp;totales!H148="0"&amp;totales!I148="1"&amp;totales!J148="1","6",IF(totales!E148="4"&amp;totales!H148="0"&amp;totales!I148="1"&amp;totales!J148="1","7",IF(totales!E148="6"&amp;totales!H148="0"&amp;totales!I148="1"&amp;totales!J148="1","8",IF(totales!E148="1"&amp;totales!H148="1"&amp;totales!I148="0"&amp;totales!J148="1","9"))))))))))))))))))))))))))))))))))))</f>
        <v>0</v>
      </c>
    </row>
    <row r="148" spans="22:22">
      <c r="V148" s="102" t="b">
        <f>IF(totales!E149="1"&amp;totales!H149="0"&amp;totales!I149="0"&amp;totales!J149="0","a",IF(totales!E149="2"&amp;totales!H149="0"&amp;totales!I149="0"&amp;totales!J149="0","b",IF(totales!E149="3"&amp;totales!H149="0"&amp;totales!I149="0"&amp;totales!J149="0","c",IF(totales!E149="4"&amp;totales!H149="0"&amp;totales!I149="0"&amp;totales!J149="0","d",IF(totales!E149="6"&amp;totales!H149="0"&amp;totales!I149="0"&amp;totales!J149="0","e",IF(totales!E149="1"&amp;totales!H149="1"&amp;totales!I149="0"&amp;totales!J149="0","f",IF(totales!E149="2"&amp;totales!H149="1"&amp;totales!I149="0"&amp;totales!J149="0","g",IF(totales!E149="3"&amp;totales!H149="1"&amp;totales!I149="0"&amp;totales!J149="0","h",IF(totales!E149="4"&amp;totales!H149="1"&amp;totales!I149="0"&amp;totales!J149="0","i",IF(totales!E149="6"&amp;totales!H149="1"&amp;totales!I149="0"&amp;totales!J149="0","j",IF(totales!E149="1"&amp;totales!H149="2"&amp;totales!I149="0"&amp;totales!J149="0","k",IF(totales!E149="2"&amp;totales!H149="2"&amp;totales!I149="0"&amp;totales!J149="0","l",IF(totales!E149="3"&amp;totales!H149="2"&amp;totales!I149="0"&amp;totales!J149="0","m",
IF(totales!E149="4"&amp;totales!H149="2"&amp;totales!I149="0"&amp;totales!J149="0","n",IF(totales!E149="6"&amp;totales!H149="2"&amp;totales!I149="0"&amp;totales!J149="0","o",IF(totales!E149="1"&amp;totales!H149="0"&amp;totales!I149="1"&amp;totales!J149="0","p",IF(totales!E149="2"&amp;totales!H149="0"&amp;totales!I149="1"&amp;totales!J149="0","q",IF(totales!E149="3"&amp;totales!H149="0"&amp;totales!I149="1"&amp;totales!J149="0","r",IF(totales!E149="4"&amp;totales!H149="0"&amp;totales!I149="1"&amp;totales!J149="0","s",IF(totales!E149="6"&amp;totales!H149="0"&amp;totales!I149="1"&amp;totales!J149="0","t",IF(totales!E149="1"&amp;totales!H149="2"&amp;totales!I149="1"&amp;totales!J149="0","u",IF(totales!E149="2"&amp;totales!H149="2"&amp;totales!I149="1"&amp;totales!J149="0","v",IF(totales!E149="3"&amp;totales!H149="2"&amp;totales!I149="1"&amp;totales!J149="0","w",IF(totales!E149="4"&amp;totales!H149="2"&amp;totales!I149="1"&amp;totales!J149="0","x",
IF(totales!E149="6"&amp;totales!H149="2"&amp;totales!I149="1"&amp;totales!J149="0","y",IF(totales!E149="1"&amp;totales!H149="1"&amp;totales!I149="1"&amp;totales!J149="0","z",IF(totales!E149="2"&amp;totales!H149="1"&amp;totales!I149="1"&amp;totales!J149="0","0",IF(totales!E149="3"&amp;totales!H149="1"&amp;totales!I149="1"&amp;totales!J149="0","1",IF(totales!E149="4"&amp;totales!H149="1"&amp;totales!I149="1"&amp;totales!J149="0","2",IF(totales!E149="6"&amp;totales!H149="1"&amp;totales!I149="1"&amp;totales!J149="0","3",IF(totales!E149="1"&amp;totales!H149="0"&amp;totales!I149="1"&amp;totales!J149="1","4",IF(totales!E149="2"&amp;totales!H149="0"&amp;totales!I149="1"&amp;totales!J149="1","5",IF(totales!E149="3"&amp;totales!H149="0"&amp;totales!I149="1"&amp;totales!J149="1","6",IF(totales!E149="4"&amp;totales!H149="0"&amp;totales!I149="1"&amp;totales!J149="1","7",IF(totales!E149="6"&amp;totales!H149="0"&amp;totales!I149="1"&amp;totales!J149="1","8",IF(totales!E149="1"&amp;totales!H149="1"&amp;totales!I149="0"&amp;totales!J149="1","9"))))))))))))))))))))))))))))))))))))</f>
        <v>0</v>
      </c>
    </row>
    <row r="149" spans="22:22">
      <c r="V149" s="102" t="b">
        <f>IF(totales!E150="1"&amp;totales!H150="0"&amp;totales!I150="0"&amp;totales!J150="0","a",IF(totales!E150="2"&amp;totales!H150="0"&amp;totales!I150="0"&amp;totales!J150="0","b",IF(totales!E150="3"&amp;totales!H150="0"&amp;totales!I150="0"&amp;totales!J150="0","c",IF(totales!E150="4"&amp;totales!H150="0"&amp;totales!I150="0"&amp;totales!J150="0","d",IF(totales!E150="6"&amp;totales!H150="0"&amp;totales!I150="0"&amp;totales!J150="0","e",IF(totales!E150="1"&amp;totales!H150="1"&amp;totales!I150="0"&amp;totales!J150="0","f",IF(totales!E150="2"&amp;totales!H150="1"&amp;totales!I150="0"&amp;totales!J150="0","g",IF(totales!E150="3"&amp;totales!H150="1"&amp;totales!I150="0"&amp;totales!J150="0","h",IF(totales!E150="4"&amp;totales!H150="1"&amp;totales!I150="0"&amp;totales!J150="0","i",IF(totales!E150="6"&amp;totales!H150="1"&amp;totales!I150="0"&amp;totales!J150="0","j",IF(totales!E150="1"&amp;totales!H150="2"&amp;totales!I150="0"&amp;totales!J150="0","k",IF(totales!E150="2"&amp;totales!H150="2"&amp;totales!I150="0"&amp;totales!J150="0","l",IF(totales!E150="3"&amp;totales!H150="2"&amp;totales!I150="0"&amp;totales!J150="0","m",
IF(totales!E150="4"&amp;totales!H150="2"&amp;totales!I150="0"&amp;totales!J150="0","n",IF(totales!E150="6"&amp;totales!H150="2"&amp;totales!I150="0"&amp;totales!J150="0","o",IF(totales!E150="1"&amp;totales!H150="0"&amp;totales!I150="1"&amp;totales!J150="0","p",IF(totales!E150="2"&amp;totales!H150="0"&amp;totales!I150="1"&amp;totales!J150="0","q",IF(totales!E150="3"&amp;totales!H150="0"&amp;totales!I150="1"&amp;totales!J150="0","r",IF(totales!E150="4"&amp;totales!H150="0"&amp;totales!I150="1"&amp;totales!J150="0","s",IF(totales!E150="6"&amp;totales!H150="0"&amp;totales!I150="1"&amp;totales!J150="0","t",IF(totales!E150="1"&amp;totales!H150="2"&amp;totales!I150="1"&amp;totales!J150="0","u",IF(totales!E150="2"&amp;totales!H150="2"&amp;totales!I150="1"&amp;totales!J150="0","v",IF(totales!E150="3"&amp;totales!H150="2"&amp;totales!I150="1"&amp;totales!J150="0","w",IF(totales!E150="4"&amp;totales!H150="2"&amp;totales!I150="1"&amp;totales!J150="0","x",
IF(totales!E150="6"&amp;totales!H150="2"&amp;totales!I150="1"&amp;totales!J150="0","y",IF(totales!E150="1"&amp;totales!H150="1"&amp;totales!I150="1"&amp;totales!J150="0","z",IF(totales!E150="2"&amp;totales!H150="1"&amp;totales!I150="1"&amp;totales!J150="0","0",IF(totales!E150="3"&amp;totales!H150="1"&amp;totales!I150="1"&amp;totales!J150="0","1",IF(totales!E150="4"&amp;totales!H150="1"&amp;totales!I150="1"&amp;totales!J150="0","2",IF(totales!E150="6"&amp;totales!H150="1"&amp;totales!I150="1"&amp;totales!J150="0","3",IF(totales!E150="1"&amp;totales!H150="0"&amp;totales!I150="1"&amp;totales!J150="1","4",IF(totales!E150="2"&amp;totales!H150="0"&amp;totales!I150="1"&amp;totales!J150="1","5",IF(totales!E150="3"&amp;totales!H150="0"&amp;totales!I150="1"&amp;totales!J150="1","6",IF(totales!E150="4"&amp;totales!H150="0"&amp;totales!I150="1"&amp;totales!J150="1","7",IF(totales!E150="6"&amp;totales!H150="0"&amp;totales!I150="1"&amp;totales!J150="1","8",IF(totales!E150="1"&amp;totales!H150="1"&amp;totales!I150="0"&amp;totales!J150="1","9"))))))))))))))))))))))))))))))))))))</f>
        <v>0</v>
      </c>
    </row>
    <row r="150" spans="22:22">
      <c r="V150" s="102" t="b">
        <f>IF(totales!E151="1"&amp;totales!H151="0"&amp;totales!I151="0"&amp;totales!J151="0","a",IF(totales!E151="2"&amp;totales!H151="0"&amp;totales!I151="0"&amp;totales!J151="0","b",IF(totales!E151="3"&amp;totales!H151="0"&amp;totales!I151="0"&amp;totales!J151="0","c",IF(totales!E151="4"&amp;totales!H151="0"&amp;totales!I151="0"&amp;totales!J151="0","d",IF(totales!E151="6"&amp;totales!H151="0"&amp;totales!I151="0"&amp;totales!J151="0","e",IF(totales!E151="1"&amp;totales!H151="1"&amp;totales!I151="0"&amp;totales!J151="0","f",IF(totales!E151="2"&amp;totales!H151="1"&amp;totales!I151="0"&amp;totales!J151="0","g",IF(totales!E151="3"&amp;totales!H151="1"&amp;totales!I151="0"&amp;totales!J151="0","h",IF(totales!E151="4"&amp;totales!H151="1"&amp;totales!I151="0"&amp;totales!J151="0","i",IF(totales!E151="6"&amp;totales!H151="1"&amp;totales!I151="0"&amp;totales!J151="0","j",IF(totales!E151="1"&amp;totales!H151="2"&amp;totales!I151="0"&amp;totales!J151="0","k",IF(totales!E151="2"&amp;totales!H151="2"&amp;totales!I151="0"&amp;totales!J151="0","l",IF(totales!E151="3"&amp;totales!H151="2"&amp;totales!I151="0"&amp;totales!J151="0","m",
IF(totales!E151="4"&amp;totales!H151="2"&amp;totales!I151="0"&amp;totales!J151="0","n",IF(totales!E151="6"&amp;totales!H151="2"&amp;totales!I151="0"&amp;totales!J151="0","o",IF(totales!E151="1"&amp;totales!H151="0"&amp;totales!I151="1"&amp;totales!J151="0","p",IF(totales!E151="2"&amp;totales!H151="0"&amp;totales!I151="1"&amp;totales!J151="0","q",IF(totales!E151="3"&amp;totales!H151="0"&amp;totales!I151="1"&amp;totales!J151="0","r",IF(totales!E151="4"&amp;totales!H151="0"&amp;totales!I151="1"&amp;totales!J151="0","s",IF(totales!E151="6"&amp;totales!H151="0"&amp;totales!I151="1"&amp;totales!J151="0","t",IF(totales!E151="1"&amp;totales!H151="2"&amp;totales!I151="1"&amp;totales!J151="0","u",IF(totales!E151="2"&amp;totales!H151="2"&amp;totales!I151="1"&amp;totales!J151="0","v",IF(totales!E151="3"&amp;totales!H151="2"&amp;totales!I151="1"&amp;totales!J151="0","w",IF(totales!E151="4"&amp;totales!H151="2"&amp;totales!I151="1"&amp;totales!J151="0","x",
IF(totales!E151="6"&amp;totales!H151="2"&amp;totales!I151="1"&amp;totales!J151="0","y",IF(totales!E151="1"&amp;totales!H151="1"&amp;totales!I151="1"&amp;totales!J151="0","z",IF(totales!E151="2"&amp;totales!H151="1"&amp;totales!I151="1"&amp;totales!J151="0","0",IF(totales!E151="3"&amp;totales!H151="1"&amp;totales!I151="1"&amp;totales!J151="0","1",IF(totales!E151="4"&amp;totales!H151="1"&amp;totales!I151="1"&amp;totales!J151="0","2",IF(totales!E151="6"&amp;totales!H151="1"&amp;totales!I151="1"&amp;totales!J151="0","3",IF(totales!E151="1"&amp;totales!H151="0"&amp;totales!I151="1"&amp;totales!J151="1","4",IF(totales!E151="2"&amp;totales!H151="0"&amp;totales!I151="1"&amp;totales!J151="1","5",IF(totales!E151="3"&amp;totales!H151="0"&amp;totales!I151="1"&amp;totales!J151="1","6",IF(totales!E151="4"&amp;totales!H151="0"&amp;totales!I151="1"&amp;totales!J151="1","7",IF(totales!E151="6"&amp;totales!H151="0"&amp;totales!I151="1"&amp;totales!J151="1","8",IF(totales!E151="1"&amp;totales!H151="1"&amp;totales!I151="0"&amp;totales!J151="1","9"))))))))))))))))))))))))))))))))))))</f>
        <v>0</v>
      </c>
    </row>
    <row r="151" spans="22:22">
      <c r="V151" s="102" t="b">
        <f>IF(totales!E152="1"&amp;totales!H152="0"&amp;totales!I152="0"&amp;totales!J152="0","a",IF(totales!E152="2"&amp;totales!H152="0"&amp;totales!I152="0"&amp;totales!J152="0","b",IF(totales!E152="3"&amp;totales!H152="0"&amp;totales!I152="0"&amp;totales!J152="0","c",IF(totales!E152="4"&amp;totales!H152="0"&amp;totales!I152="0"&amp;totales!J152="0","d",IF(totales!E152="6"&amp;totales!H152="0"&amp;totales!I152="0"&amp;totales!J152="0","e",IF(totales!E152="1"&amp;totales!H152="1"&amp;totales!I152="0"&amp;totales!J152="0","f",IF(totales!E152="2"&amp;totales!H152="1"&amp;totales!I152="0"&amp;totales!J152="0","g",IF(totales!E152="3"&amp;totales!H152="1"&amp;totales!I152="0"&amp;totales!J152="0","h",IF(totales!E152="4"&amp;totales!H152="1"&amp;totales!I152="0"&amp;totales!J152="0","i",IF(totales!E152="6"&amp;totales!H152="1"&amp;totales!I152="0"&amp;totales!J152="0","j",IF(totales!E152="1"&amp;totales!H152="2"&amp;totales!I152="0"&amp;totales!J152="0","k",IF(totales!E152="2"&amp;totales!H152="2"&amp;totales!I152="0"&amp;totales!J152="0","l",IF(totales!E152="3"&amp;totales!H152="2"&amp;totales!I152="0"&amp;totales!J152="0","m",
IF(totales!E152="4"&amp;totales!H152="2"&amp;totales!I152="0"&amp;totales!J152="0","n",IF(totales!E152="6"&amp;totales!H152="2"&amp;totales!I152="0"&amp;totales!J152="0","o",IF(totales!E152="1"&amp;totales!H152="0"&amp;totales!I152="1"&amp;totales!J152="0","p",IF(totales!E152="2"&amp;totales!H152="0"&amp;totales!I152="1"&amp;totales!J152="0","q",IF(totales!E152="3"&amp;totales!H152="0"&amp;totales!I152="1"&amp;totales!J152="0","r",IF(totales!E152="4"&amp;totales!H152="0"&amp;totales!I152="1"&amp;totales!J152="0","s",IF(totales!E152="6"&amp;totales!H152="0"&amp;totales!I152="1"&amp;totales!J152="0","t",IF(totales!E152="1"&amp;totales!H152="2"&amp;totales!I152="1"&amp;totales!J152="0","u",IF(totales!E152="2"&amp;totales!H152="2"&amp;totales!I152="1"&amp;totales!J152="0","v",IF(totales!E152="3"&amp;totales!H152="2"&amp;totales!I152="1"&amp;totales!J152="0","w",IF(totales!E152="4"&amp;totales!H152="2"&amp;totales!I152="1"&amp;totales!J152="0","x",
IF(totales!E152="6"&amp;totales!H152="2"&amp;totales!I152="1"&amp;totales!J152="0","y",IF(totales!E152="1"&amp;totales!H152="1"&amp;totales!I152="1"&amp;totales!J152="0","z",IF(totales!E152="2"&amp;totales!H152="1"&amp;totales!I152="1"&amp;totales!J152="0","0",IF(totales!E152="3"&amp;totales!H152="1"&amp;totales!I152="1"&amp;totales!J152="0","1",IF(totales!E152="4"&amp;totales!H152="1"&amp;totales!I152="1"&amp;totales!J152="0","2",IF(totales!E152="6"&amp;totales!H152="1"&amp;totales!I152="1"&amp;totales!J152="0","3",IF(totales!E152="1"&amp;totales!H152="0"&amp;totales!I152="1"&amp;totales!J152="1","4",IF(totales!E152="2"&amp;totales!H152="0"&amp;totales!I152="1"&amp;totales!J152="1","5",IF(totales!E152="3"&amp;totales!H152="0"&amp;totales!I152="1"&amp;totales!J152="1","6",IF(totales!E152="4"&amp;totales!H152="0"&amp;totales!I152="1"&amp;totales!J152="1","7",IF(totales!E152="6"&amp;totales!H152="0"&amp;totales!I152="1"&amp;totales!J152="1","8",IF(totales!E152="1"&amp;totales!H152="1"&amp;totales!I152="0"&amp;totales!J152="1","9"))))))))))))))))))))))))))))))))))))</f>
        <v>0</v>
      </c>
    </row>
    <row r="152" spans="22:22">
      <c r="V152" s="102" t="b">
        <f>IF(totales!E153="1"&amp;totales!H153="0"&amp;totales!I153="0"&amp;totales!J153="0","a",IF(totales!E153="2"&amp;totales!H153="0"&amp;totales!I153="0"&amp;totales!J153="0","b",IF(totales!E153="3"&amp;totales!H153="0"&amp;totales!I153="0"&amp;totales!J153="0","c",IF(totales!E153="4"&amp;totales!H153="0"&amp;totales!I153="0"&amp;totales!J153="0","d",IF(totales!E153="6"&amp;totales!H153="0"&amp;totales!I153="0"&amp;totales!J153="0","e",IF(totales!E153="1"&amp;totales!H153="1"&amp;totales!I153="0"&amp;totales!J153="0","f",IF(totales!E153="2"&amp;totales!H153="1"&amp;totales!I153="0"&amp;totales!J153="0","g",IF(totales!E153="3"&amp;totales!H153="1"&amp;totales!I153="0"&amp;totales!J153="0","h",IF(totales!E153="4"&amp;totales!H153="1"&amp;totales!I153="0"&amp;totales!J153="0","i",IF(totales!E153="6"&amp;totales!H153="1"&amp;totales!I153="0"&amp;totales!J153="0","j",IF(totales!E153="1"&amp;totales!H153="2"&amp;totales!I153="0"&amp;totales!J153="0","k",IF(totales!E153="2"&amp;totales!H153="2"&amp;totales!I153="0"&amp;totales!J153="0","l",IF(totales!E153="3"&amp;totales!H153="2"&amp;totales!I153="0"&amp;totales!J153="0","m",
IF(totales!E153="4"&amp;totales!H153="2"&amp;totales!I153="0"&amp;totales!J153="0","n",IF(totales!E153="6"&amp;totales!H153="2"&amp;totales!I153="0"&amp;totales!J153="0","o",IF(totales!E153="1"&amp;totales!H153="0"&amp;totales!I153="1"&amp;totales!J153="0","p",IF(totales!E153="2"&amp;totales!H153="0"&amp;totales!I153="1"&amp;totales!J153="0","q",IF(totales!E153="3"&amp;totales!H153="0"&amp;totales!I153="1"&amp;totales!J153="0","r",IF(totales!E153="4"&amp;totales!H153="0"&amp;totales!I153="1"&amp;totales!J153="0","s",IF(totales!E153="6"&amp;totales!H153="0"&amp;totales!I153="1"&amp;totales!J153="0","t",IF(totales!E153="1"&amp;totales!H153="2"&amp;totales!I153="1"&amp;totales!J153="0","u",IF(totales!E153="2"&amp;totales!H153="2"&amp;totales!I153="1"&amp;totales!J153="0","v",IF(totales!E153="3"&amp;totales!H153="2"&amp;totales!I153="1"&amp;totales!J153="0","w",IF(totales!E153="4"&amp;totales!H153="2"&amp;totales!I153="1"&amp;totales!J153="0","x",
IF(totales!E153="6"&amp;totales!H153="2"&amp;totales!I153="1"&amp;totales!J153="0","y",IF(totales!E153="1"&amp;totales!H153="1"&amp;totales!I153="1"&amp;totales!J153="0","z",IF(totales!E153="2"&amp;totales!H153="1"&amp;totales!I153="1"&amp;totales!J153="0","0",IF(totales!E153="3"&amp;totales!H153="1"&amp;totales!I153="1"&amp;totales!J153="0","1",IF(totales!E153="4"&amp;totales!H153="1"&amp;totales!I153="1"&amp;totales!J153="0","2",IF(totales!E153="6"&amp;totales!H153="1"&amp;totales!I153="1"&amp;totales!J153="0","3",IF(totales!E153="1"&amp;totales!H153="0"&amp;totales!I153="1"&amp;totales!J153="1","4",IF(totales!E153="2"&amp;totales!H153="0"&amp;totales!I153="1"&amp;totales!J153="1","5",IF(totales!E153="3"&amp;totales!H153="0"&amp;totales!I153="1"&amp;totales!J153="1","6",IF(totales!E153="4"&amp;totales!H153="0"&amp;totales!I153="1"&amp;totales!J153="1","7",IF(totales!E153="6"&amp;totales!H153="0"&amp;totales!I153="1"&amp;totales!J153="1","8",IF(totales!E153="1"&amp;totales!H153="1"&amp;totales!I153="0"&amp;totales!J153="1","9"))))))))))))))))))))))))))))))))))))</f>
        <v>0</v>
      </c>
    </row>
    <row r="153" spans="22:22">
      <c r="V153" s="102" t="b">
        <f>IF(totales!E154="1"&amp;totales!H154="0"&amp;totales!I154="0"&amp;totales!J154="0","a",IF(totales!E154="2"&amp;totales!H154="0"&amp;totales!I154="0"&amp;totales!J154="0","b",IF(totales!E154="3"&amp;totales!H154="0"&amp;totales!I154="0"&amp;totales!J154="0","c",IF(totales!E154="4"&amp;totales!H154="0"&amp;totales!I154="0"&amp;totales!J154="0","d",IF(totales!E154="6"&amp;totales!H154="0"&amp;totales!I154="0"&amp;totales!J154="0","e",IF(totales!E154="1"&amp;totales!H154="1"&amp;totales!I154="0"&amp;totales!J154="0","f",IF(totales!E154="2"&amp;totales!H154="1"&amp;totales!I154="0"&amp;totales!J154="0","g",IF(totales!E154="3"&amp;totales!H154="1"&amp;totales!I154="0"&amp;totales!J154="0","h",IF(totales!E154="4"&amp;totales!H154="1"&amp;totales!I154="0"&amp;totales!J154="0","i",IF(totales!E154="6"&amp;totales!H154="1"&amp;totales!I154="0"&amp;totales!J154="0","j",IF(totales!E154="1"&amp;totales!H154="2"&amp;totales!I154="0"&amp;totales!J154="0","k",IF(totales!E154="2"&amp;totales!H154="2"&amp;totales!I154="0"&amp;totales!J154="0","l",IF(totales!E154="3"&amp;totales!H154="2"&amp;totales!I154="0"&amp;totales!J154="0","m",
IF(totales!E154="4"&amp;totales!H154="2"&amp;totales!I154="0"&amp;totales!J154="0","n",IF(totales!E154="6"&amp;totales!H154="2"&amp;totales!I154="0"&amp;totales!J154="0","o",IF(totales!E154="1"&amp;totales!H154="0"&amp;totales!I154="1"&amp;totales!J154="0","p",IF(totales!E154="2"&amp;totales!H154="0"&amp;totales!I154="1"&amp;totales!J154="0","q",IF(totales!E154="3"&amp;totales!H154="0"&amp;totales!I154="1"&amp;totales!J154="0","r",IF(totales!E154="4"&amp;totales!H154="0"&amp;totales!I154="1"&amp;totales!J154="0","s",IF(totales!E154="6"&amp;totales!H154="0"&amp;totales!I154="1"&amp;totales!J154="0","t",IF(totales!E154="1"&amp;totales!H154="2"&amp;totales!I154="1"&amp;totales!J154="0","u",IF(totales!E154="2"&amp;totales!H154="2"&amp;totales!I154="1"&amp;totales!J154="0","v",IF(totales!E154="3"&amp;totales!H154="2"&amp;totales!I154="1"&amp;totales!J154="0","w",IF(totales!E154="4"&amp;totales!H154="2"&amp;totales!I154="1"&amp;totales!J154="0","x",
IF(totales!E154="6"&amp;totales!H154="2"&amp;totales!I154="1"&amp;totales!J154="0","y",IF(totales!E154="1"&amp;totales!H154="1"&amp;totales!I154="1"&amp;totales!J154="0","z",IF(totales!E154="2"&amp;totales!H154="1"&amp;totales!I154="1"&amp;totales!J154="0","0",IF(totales!E154="3"&amp;totales!H154="1"&amp;totales!I154="1"&amp;totales!J154="0","1",IF(totales!E154="4"&amp;totales!H154="1"&amp;totales!I154="1"&amp;totales!J154="0","2",IF(totales!E154="6"&amp;totales!H154="1"&amp;totales!I154="1"&amp;totales!J154="0","3",IF(totales!E154="1"&amp;totales!H154="0"&amp;totales!I154="1"&amp;totales!J154="1","4",IF(totales!E154="2"&amp;totales!H154="0"&amp;totales!I154="1"&amp;totales!J154="1","5",IF(totales!E154="3"&amp;totales!H154="0"&amp;totales!I154="1"&amp;totales!J154="1","6",IF(totales!E154="4"&amp;totales!H154="0"&amp;totales!I154="1"&amp;totales!J154="1","7",IF(totales!E154="6"&amp;totales!H154="0"&amp;totales!I154="1"&amp;totales!J154="1","8",IF(totales!E154="1"&amp;totales!H154="1"&amp;totales!I154="0"&amp;totales!J154="1","9"))))))))))))))))))))))))))))))))))))</f>
        <v>0</v>
      </c>
    </row>
    <row r="154" spans="22:22">
      <c r="V154" s="102" t="b">
        <f>IF(totales!E155="1"&amp;totales!H155="0"&amp;totales!I155="0"&amp;totales!J155="0","a",IF(totales!E155="2"&amp;totales!H155="0"&amp;totales!I155="0"&amp;totales!J155="0","b",IF(totales!E155="3"&amp;totales!H155="0"&amp;totales!I155="0"&amp;totales!J155="0","c",IF(totales!E155="4"&amp;totales!H155="0"&amp;totales!I155="0"&amp;totales!J155="0","d",IF(totales!E155="6"&amp;totales!H155="0"&amp;totales!I155="0"&amp;totales!J155="0","e",IF(totales!E155="1"&amp;totales!H155="1"&amp;totales!I155="0"&amp;totales!J155="0","f",IF(totales!E155="2"&amp;totales!H155="1"&amp;totales!I155="0"&amp;totales!J155="0","g",IF(totales!E155="3"&amp;totales!H155="1"&amp;totales!I155="0"&amp;totales!J155="0","h",IF(totales!E155="4"&amp;totales!H155="1"&amp;totales!I155="0"&amp;totales!J155="0","i",IF(totales!E155="6"&amp;totales!H155="1"&amp;totales!I155="0"&amp;totales!J155="0","j",IF(totales!E155="1"&amp;totales!H155="2"&amp;totales!I155="0"&amp;totales!J155="0","k",IF(totales!E155="2"&amp;totales!H155="2"&amp;totales!I155="0"&amp;totales!J155="0","l",IF(totales!E155="3"&amp;totales!H155="2"&amp;totales!I155="0"&amp;totales!J155="0","m",
IF(totales!E155="4"&amp;totales!H155="2"&amp;totales!I155="0"&amp;totales!J155="0","n",IF(totales!E155="6"&amp;totales!H155="2"&amp;totales!I155="0"&amp;totales!J155="0","o",IF(totales!E155="1"&amp;totales!H155="0"&amp;totales!I155="1"&amp;totales!J155="0","p",IF(totales!E155="2"&amp;totales!H155="0"&amp;totales!I155="1"&amp;totales!J155="0","q",IF(totales!E155="3"&amp;totales!H155="0"&amp;totales!I155="1"&amp;totales!J155="0","r",IF(totales!E155="4"&amp;totales!H155="0"&amp;totales!I155="1"&amp;totales!J155="0","s",IF(totales!E155="6"&amp;totales!H155="0"&amp;totales!I155="1"&amp;totales!J155="0","t",IF(totales!E155="1"&amp;totales!H155="2"&amp;totales!I155="1"&amp;totales!J155="0","u",IF(totales!E155="2"&amp;totales!H155="2"&amp;totales!I155="1"&amp;totales!J155="0","v",IF(totales!E155="3"&amp;totales!H155="2"&amp;totales!I155="1"&amp;totales!J155="0","w",IF(totales!E155="4"&amp;totales!H155="2"&amp;totales!I155="1"&amp;totales!J155="0","x",
IF(totales!E155="6"&amp;totales!H155="2"&amp;totales!I155="1"&amp;totales!J155="0","y",IF(totales!E155="1"&amp;totales!H155="1"&amp;totales!I155="1"&amp;totales!J155="0","z",IF(totales!E155="2"&amp;totales!H155="1"&amp;totales!I155="1"&amp;totales!J155="0","0",IF(totales!E155="3"&amp;totales!H155="1"&amp;totales!I155="1"&amp;totales!J155="0","1",IF(totales!E155="4"&amp;totales!H155="1"&amp;totales!I155="1"&amp;totales!J155="0","2",IF(totales!E155="6"&amp;totales!H155="1"&amp;totales!I155="1"&amp;totales!J155="0","3",IF(totales!E155="1"&amp;totales!H155="0"&amp;totales!I155="1"&amp;totales!J155="1","4",IF(totales!E155="2"&amp;totales!H155="0"&amp;totales!I155="1"&amp;totales!J155="1","5",IF(totales!E155="3"&amp;totales!H155="0"&amp;totales!I155="1"&amp;totales!J155="1","6",IF(totales!E155="4"&amp;totales!H155="0"&amp;totales!I155="1"&amp;totales!J155="1","7",IF(totales!E155="6"&amp;totales!H155="0"&amp;totales!I155="1"&amp;totales!J155="1","8",IF(totales!E155="1"&amp;totales!H155="1"&amp;totales!I155="0"&amp;totales!J155="1","9"))))))))))))))))))))))))))))))))))))</f>
        <v>0</v>
      </c>
    </row>
    <row r="155" spans="22:22">
      <c r="V155" s="102" t="b">
        <f>IF(totales!E156="1"&amp;totales!H156="0"&amp;totales!I156="0"&amp;totales!J156="0","a",IF(totales!E156="2"&amp;totales!H156="0"&amp;totales!I156="0"&amp;totales!J156="0","b",IF(totales!E156="3"&amp;totales!H156="0"&amp;totales!I156="0"&amp;totales!J156="0","c",IF(totales!E156="4"&amp;totales!H156="0"&amp;totales!I156="0"&amp;totales!J156="0","d",IF(totales!E156="6"&amp;totales!H156="0"&amp;totales!I156="0"&amp;totales!J156="0","e",IF(totales!E156="1"&amp;totales!H156="1"&amp;totales!I156="0"&amp;totales!J156="0","f",IF(totales!E156="2"&amp;totales!H156="1"&amp;totales!I156="0"&amp;totales!J156="0","g",IF(totales!E156="3"&amp;totales!H156="1"&amp;totales!I156="0"&amp;totales!J156="0","h",IF(totales!E156="4"&amp;totales!H156="1"&amp;totales!I156="0"&amp;totales!J156="0","i",IF(totales!E156="6"&amp;totales!H156="1"&amp;totales!I156="0"&amp;totales!J156="0","j",IF(totales!E156="1"&amp;totales!H156="2"&amp;totales!I156="0"&amp;totales!J156="0","k",IF(totales!E156="2"&amp;totales!H156="2"&amp;totales!I156="0"&amp;totales!J156="0","l",IF(totales!E156="3"&amp;totales!H156="2"&amp;totales!I156="0"&amp;totales!J156="0","m",
IF(totales!E156="4"&amp;totales!H156="2"&amp;totales!I156="0"&amp;totales!J156="0","n",IF(totales!E156="6"&amp;totales!H156="2"&amp;totales!I156="0"&amp;totales!J156="0","o",IF(totales!E156="1"&amp;totales!H156="0"&amp;totales!I156="1"&amp;totales!J156="0","p",IF(totales!E156="2"&amp;totales!H156="0"&amp;totales!I156="1"&amp;totales!J156="0","q",IF(totales!E156="3"&amp;totales!H156="0"&amp;totales!I156="1"&amp;totales!J156="0","r",IF(totales!E156="4"&amp;totales!H156="0"&amp;totales!I156="1"&amp;totales!J156="0","s",IF(totales!E156="6"&amp;totales!H156="0"&amp;totales!I156="1"&amp;totales!J156="0","t",IF(totales!E156="1"&amp;totales!H156="2"&amp;totales!I156="1"&amp;totales!J156="0","u",IF(totales!E156="2"&amp;totales!H156="2"&amp;totales!I156="1"&amp;totales!J156="0","v",IF(totales!E156="3"&amp;totales!H156="2"&amp;totales!I156="1"&amp;totales!J156="0","w",IF(totales!E156="4"&amp;totales!H156="2"&amp;totales!I156="1"&amp;totales!J156="0","x",
IF(totales!E156="6"&amp;totales!H156="2"&amp;totales!I156="1"&amp;totales!J156="0","y",IF(totales!E156="1"&amp;totales!H156="1"&amp;totales!I156="1"&amp;totales!J156="0","z",IF(totales!E156="2"&amp;totales!H156="1"&amp;totales!I156="1"&amp;totales!J156="0","0",IF(totales!E156="3"&amp;totales!H156="1"&amp;totales!I156="1"&amp;totales!J156="0","1",IF(totales!E156="4"&amp;totales!H156="1"&amp;totales!I156="1"&amp;totales!J156="0","2",IF(totales!E156="6"&amp;totales!H156="1"&amp;totales!I156="1"&amp;totales!J156="0","3",IF(totales!E156="1"&amp;totales!H156="0"&amp;totales!I156="1"&amp;totales!J156="1","4",IF(totales!E156="2"&amp;totales!H156="0"&amp;totales!I156="1"&amp;totales!J156="1","5",IF(totales!E156="3"&amp;totales!H156="0"&amp;totales!I156="1"&amp;totales!J156="1","6",IF(totales!E156="4"&amp;totales!H156="0"&amp;totales!I156="1"&amp;totales!J156="1","7",IF(totales!E156="6"&amp;totales!H156="0"&amp;totales!I156="1"&amp;totales!J156="1","8",IF(totales!E156="1"&amp;totales!H156="1"&amp;totales!I156="0"&amp;totales!J156="1","9"))))))))))))))))))))))))))))))))))))</f>
        <v>0</v>
      </c>
    </row>
    <row r="156" spans="22:22">
      <c r="V156" s="102" t="b">
        <f>IF(totales!E157="1"&amp;totales!H157="0"&amp;totales!I157="0"&amp;totales!J157="0","a",IF(totales!E157="2"&amp;totales!H157="0"&amp;totales!I157="0"&amp;totales!J157="0","b",IF(totales!E157="3"&amp;totales!H157="0"&amp;totales!I157="0"&amp;totales!J157="0","c",IF(totales!E157="4"&amp;totales!H157="0"&amp;totales!I157="0"&amp;totales!J157="0","d",IF(totales!E157="6"&amp;totales!H157="0"&amp;totales!I157="0"&amp;totales!J157="0","e",IF(totales!E157="1"&amp;totales!H157="1"&amp;totales!I157="0"&amp;totales!J157="0","f",IF(totales!E157="2"&amp;totales!H157="1"&amp;totales!I157="0"&amp;totales!J157="0","g",IF(totales!E157="3"&amp;totales!H157="1"&amp;totales!I157="0"&amp;totales!J157="0","h",IF(totales!E157="4"&amp;totales!H157="1"&amp;totales!I157="0"&amp;totales!J157="0","i",IF(totales!E157="6"&amp;totales!H157="1"&amp;totales!I157="0"&amp;totales!J157="0","j",IF(totales!E157="1"&amp;totales!H157="2"&amp;totales!I157="0"&amp;totales!J157="0","k",IF(totales!E157="2"&amp;totales!H157="2"&amp;totales!I157="0"&amp;totales!J157="0","l",IF(totales!E157="3"&amp;totales!H157="2"&amp;totales!I157="0"&amp;totales!J157="0","m",
IF(totales!E157="4"&amp;totales!H157="2"&amp;totales!I157="0"&amp;totales!J157="0","n",IF(totales!E157="6"&amp;totales!H157="2"&amp;totales!I157="0"&amp;totales!J157="0","o",IF(totales!E157="1"&amp;totales!H157="0"&amp;totales!I157="1"&amp;totales!J157="0","p",IF(totales!E157="2"&amp;totales!H157="0"&amp;totales!I157="1"&amp;totales!J157="0","q",IF(totales!E157="3"&amp;totales!H157="0"&amp;totales!I157="1"&amp;totales!J157="0","r",IF(totales!E157="4"&amp;totales!H157="0"&amp;totales!I157="1"&amp;totales!J157="0","s",IF(totales!E157="6"&amp;totales!H157="0"&amp;totales!I157="1"&amp;totales!J157="0","t",IF(totales!E157="1"&amp;totales!H157="2"&amp;totales!I157="1"&amp;totales!J157="0","u",IF(totales!E157="2"&amp;totales!H157="2"&amp;totales!I157="1"&amp;totales!J157="0","v",IF(totales!E157="3"&amp;totales!H157="2"&amp;totales!I157="1"&amp;totales!J157="0","w",IF(totales!E157="4"&amp;totales!H157="2"&amp;totales!I157="1"&amp;totales!J157="0","x",
IF(totales!E157="6"&amp;totales!H157="2"&amp;totales!I157="1"&amp;totales!J157="0","y",IF(totales!E157="1"&amp;totales!H157="1"&amp;totales!I157="1"&amp;totales!J157="0","z",IF(totales!E157="2"&amp;totales!H157="1"&amp;totales!I157="1"&amp;totales!J157="0","0",IF(totales!E157="3"&amp;totales!H157="1"&amp;totales!I157="1"&amp;totales!J157="0","1",IF(totales!E157="4"&amp;totales!H157="1"&amp;totales!I157="1"&amp;totales!J157="0","2",IF(totales!E157="6"&amp;totales!H157="1"&amp;totales!I157="1"&amp;totales!J157="0","3",IF(totales!E157="1"&amp;totales!H157="0"&amp;totales!I157="1"&amp;totales!J157="1","4",IF(totales!E157="2"&amp;totales!H157="0"&amp;totales!I157="1"&amp;totales!J157="1","5",IF(totales!E157="3"&amp;totales!H157="0"&amp;totales!I157="1"&amp;totales!J157="1","6",IF(totales!E157="4"&amp;totales!H157="0"&amp;totales!I157="1"&amp;totales!J157="1","7",IF(totales!E157="6"&amp;totales!H157="0"&amp;totales!I157="1"&amp;totales!J157="1","8",IF(totales!E157="1"&amp;totales!H157="1"&amp;totales!I157="0"&amp;totales!J157="1","9"))))))))))))))))))))))))))))))))))))</f>
        <v>0</v>
      </c>
    </row>
    <row r="157" spans="22:22">
      <c r="V157" s="102" t="b">
        <f>IF(totales!E158="1"&amp;totales!H158="0"&amp;totales!I158="0"&amp;totales!J158="0","a",IF(totales!E158="2"&amp;totales!H158="0"&amp;totales!I158="0"&amp;totales!J158="0","b",IF(totales!E158="3"&amp;totales!H158="0"&amp;totales!I158="0"&amp;totales!J158="0","c",IF(totales!E158="4"&amp;totales!H158="0"&amp;totales!I158="0"&amp;totales!J158="0","d",IF(totales!E158="6"&amp;totales!H158="0"&amp;totales!I158="0"&amp;totales!J158="0","e",IF(totales!E158="1"&amp;totales!H158="1"&amp;totales!I158="0"&amp;totales!J158="0","f",IF(totales!E158="2"&amp;totales!H158="1"&amp;totales!I158="0"&amp;totales!J158="0","g",IF(totales!E158="3"&amp;totales!H158="1"&amp;totales!I158="0"&amp;totales!J158="0","h",IF(totales!E158="4"&amp;totales!H158="1"&amp;totales!I158="0"&amp;totales!J158="0","i",IF(totales!E158="6"&amp;totales!H158="1"&amp;totales!I158="0"&amp;totales!J158="0","j",IF(totales!E158="1"&amp;totales!H158="2"&amp;totales!I158="0"&amp;totales!J158="0","k",IF(totales!E158="2"&amp;totales!H158="2"&amp;totales!I158="0"&amp;totales!J158="0","l",IF(totales!E158="3"&amp;totales!H158="2"&amp;totales!I158="0"&amp;totales!J158="0","m",
IF(totales!E158="4"&amp;totales!H158="2"&amp;totales!I158="0"&amp;totales!J158="0","n",IF(totales!E158="6"&amp;totales!H158="2"&amp;totales!I158="0"&amp;totales!J158="0","o",IF(totales!E158="1"&amp;totales!H158="0"&amp;totales!I158="1"&amp;totales!J158="0","p",IF(totales!E158="2"&amp;totales!H158="0"&amp;totales!I158="1"&amp;totales!J158="0","q",IF(totales!E158="3"&amp;totales!H158="0"&amp;totales!I158="1"&amp;totales!J158="0","r",IF(totales!E158="4"&amp;totales!H158="0"&amp;totales!I158="1"&amp;totales!J158="0","s",IF(totales!E158="6"&amp;totales!H158="0"&amp;totales!I158="1"&amp;totales!J158="0","t",IF(totales!E158="1"&amp;totales!H158="2"&amp;totales!I158="1"&amp;totales!J158="0","u",IF(totales!E158="2"&amp;totales!H158="2"&amp;totales!I158="1"&amp;totales!J158="0","v",IF(totales!E158="3"&amp;totales!H158="2"&amp;totales!I158="1"&amp;totales!J158="0","w",IF(totales!E158="4"&amp;totales!H158="2"&amp;totales!I158="1"&amp;totales!J158="0","x",
IF(totales!E158="6"&amp;totales!H158="2"&amp;totales!I158="1"&amp;totales!J158="0","y",IF(totales!E158="1"&amp;totales!H158="1"&amp;totales!I158="1"&amp;totales!J158="0","z",IF(totales!E158="2"&amp;totales!H158="1"&amp;totales!I158="1"&amp;totales!J158="0","0",IF(totales!E158="3"&amp;totales!H158="1"&amp;totales!I158="1"&amp;totales!J158="0","1",IF(totales!E158="4"&amp;totales!H158="1"&amp;totales!I158="1"&amp;totales!J158="0","2",IF(totales!E158="6"&amp;totales!H158="1"&amp;totales!I158="1"&amp;totales!J158="0","3",IF(totales!E158="1"&amp;totales!H158="0"&amp;totales!I158="1"&amp;totales!J158="1","4",IF(totales!E158="2"&amp;totales!H158="0"&amp;totales!I158="1"&amp;totales!J158="1","5",IF(totales!E158="3"&amp;totales!H158="0"&amp;totales!I158="1"&amp;totales!J158="1","6",IF(totales!E158="4"&amp;totales!H158="0"&amp;totales!I158="1"&amp;totales!J158="1","7",IF(totales!E158="6"&amp;totales!H158="0"&amp;totales!I158="1"&amp;totales!J158="1","8",IF(totales!E158="1"&amp;totales!H158="1"&amp;totales!I158="0"&amp;totales!J158="1","9"))))))))))))))))))))))))))))))))))))</f>
        <v>0</v>
      </c>
    </row>
    <row r="158" spans="22:22">
      <c r="V158" s="102" t="b">
        <f>IF(totales!E159="1"&amp;totales!H159="0"&amp;totales!I159="0"&amp;totales!J159="0","a",IF(totales!E159="2"&amp;totales!H159="0"&amp;totales!I159="0"&amp;totales!J159="0","b",IF(totales!E159="3"&amp;totales!H159="0"&amp;totales!I159="0"&amp;totales!J159="0","c",IF(totales!E159="4"&amp;totales!H159="0"&amp;totales!I159="0"&amp;totales!J159="0","d",IF(totales!E159="6"&amp;totales!H159="0"&amp;totales!I159="0"&amp;totales!J159="0","e",IF(totales!E159="1"&amp;totales!H159="1"&amp;totales!I159="0"&amp;totales!J159="0","f",IF(totales!E159="2"&amp;totales!H159="1"&amp;totales!I159="0"&amp;totales!J159="0","g",IF(totales!E159="3"&amp;totales!H159="1"&amp;totales!I159="0"&amp;totales!J159="0","h",IF(totales!E159="4"&amp;totales!H159="1"&amp;totales!I159="0"&amp;totales!J159="0","i",IF(totales!E159="6"&amp;totales!H159="1"&amp;totales!I159="0"&amp;totales!J159="0","j",IF(totales!E159="1"&amp;totales!H159="2"&amp;totales!I159="0"&amp;totales!J159="0","k",IF(totales!E159="2"&amp;totales!H159="2"&amp;totales!I159="0"&amp;totales!J159="0","l",IF(totales!E159="3"&amp;totales!H159="2"&amp;totales!I159="0"&amp;totales!J159="0","m",
IF(totales!E159="4"&amp;totales!H159="2"&amp;totales!I159="0"&amp;totales!J159="0","n",IF(totales!E159="6"&amp;totales!H159="2"&amp;totales!I159="0"&amp;totales!J159="0","o",IF(totales!E159="1"&amp;totales!H159="0"&amp;totales!I159="1"&amp;totales!J159="0","p",IF(totales!E159="2"&amp;totales!H159="0"&amp;totales!I159="1"&amp;totales!J159="0","q",IF(totales!E159="3"&amp;totales!H159="0"&amp;totales!I159="1"&amp;totales!J159="0","r",IF(totales!E159="4"&amp;totales!H159="0"&amp;totales!I159="1"&amp;totales!J159="0","s",IF(totales!E159="6"&amp;totales!H159="0"&amp;totales!I159="1"&amp;totales!J159="0","t",IF(totales!E159="1"&amp;totales!H159="2"&amp;totales!I159="1"&amp;totales!J159="0","u",IF(totales!E159="2"&amp;totales!H159="2"&amp;totales!I159="1"&amp;totales!J159="0","v",IF(totales!E159="3"&amp;totales!H159="2"&amp;totales!I159="1"&amp;totales!J159="0","w",IF(totales!E159="4"&amp;totales!H159="2"&amp;totales!I159="1"&amp;totales!J159="0","x",
IF(totales!E159="6"&amp;totales!H159="2"&amp;totales!I159="1"&amp;totales!J159="0","y",IF(totales!E159="1"&amp;totales!H159="1"&amp;totales!I159="1"&amp;totales!J159="0","z",IF(totales!E159="2"&amp;totales!H159="1"&amp;totales!I159="1"&amp;totales!J159="0","0",IF(totales!E159="3"&amp;totales!H159="1"&amp;totales!I159="1"&amp;totales!J159="0","1",IF(totales!E159="4"&amp;totales!H159="1"&amp;totales!I159="1"&amp;totales!J159="0","2",IF(totales!E159="6"&amp;totales!H159="1"&amp;totales!I159="1"&amp;totales!J159="0","3",IF(totales!E159="1"&amp;totales!H159="0"&amp;totales!I159="1"&amp;totales!J159="1","4",IF(totales!E159="2"&amp;totales!H159="0"&amp;totales!I159="1"&amp;totales!J159="1","5",IF(totales!E159="3"&amp;totales!H159="0"&amp;totales!I159="1"&amp;totales!J159="1","6",IF(totales!E159="4"&amp;totales!H159="0"&amp;totales!I159="1"&amp;totales!J159="1","7",IF(totales!E159="6"&amp;totales!H159="0"&amp;totales!I159="1"&amp;totales!J159="1","8",IF(totales!E159="1"&amp;totales!H159="1"&amp;totales!I159="0"&amp;totales!J159="1","9"))))))))))))))))))))))))))))))))))))</f>
        <v>0</v>
      </c>
    </row>
    <row r="159" spans="22:22">
      <c r="V159" s="102" t="b">
        <f>IF(totales!E160="1"&amp;totales!H160="0"&amp;totales!I160="0"&amp;totales!J160="0","a",IF(totales!E160="2"&amp;totales!H160="0"&amp;totales!I160="0"&amp;totales!J160="0","b",IF(totales!E160="3"&amp;totales!H160="0"&amp;totales!I160="0"&amp;totales!J160="0","c",IF(totales!E160="4"&amp;totales!H160="0"&amp;totales!I160="0"&amp;totales!J160="0","d",IF(totales!E160="6"&amp;totales!H160="0"&amp;totales!I160="0"&amp;totales!J160="0","e",IF(totales!E160="1"&amp;totales!H160="1"&amp;totales!I160="0"&amp;totales!J160="0","f",IF(totales!E160="2"&amp;totales!H160="1"&amp;totales!I160="0"&amp;totales!J160="0","g",IF(totales!E160="3"&amp;totales!H160="1"&amp;totales!I160="0"&amp;totales!J160="0","h",IF(totales!E160="4"&amp;totales!H160="1"&amp;totales!I160="0"&amp;totales!J160="0","i",IF(totales!E160="6"&amp;totales!H160="1"&amp;totales!I160="0"&amp;totales!J160="0","j",IF(totales!E160="1"&amp;totales!H160="2"&amp;totales!I160="0"&amp;totales!J160="0","k",IF(totales!E160="2"&amp;totales!H160="2"&amp;totales!I160="0"&amp;totales!J160="0","l",IF(totales!E160="3"&amp;totales!H160="2"&amp;totales!I160="0"&amp;totales!J160="0","m",
IF(totales!E160="4"&amp;totales!H160="2"&amp;totales!I160="0"&amp;totales!J160="0","n",IF(totales!E160="6"&amp;totales!H160="2"&amp;totales!I160="0"&amp;totales!J160="0","o",IF(totales!E160="1"&amp;totales!H160="0"&amp;totales!I160="1"&amp;totales!J160="0","p",IF(totales!E160="2"&amp;totales!H160="0"&amp;totales!I160="1"&amp;totales!J160="0","q",IF(totales!E160="3"&amp;totales!H160="0"&amp;totales!I160="1"&amp;totales!J160="0","r",IF(totales!E160="4"&amp;totales!H160="0"&amp;totales!I160="1"&amp;totales!J160="0","s",IF(totales!E160="6"&amp;totales!H160="0"&amp;totales!I160="1"&amp;totales!J160="0","t",IF(totales!E160="1"&amp;totales!H160="2"&amp;totales!I160="1"&amp;totales!J160="0","u",IF(totales!E160="2"&amp;totales!H160="2"&amp;totales!I160="1"&amp;totales!J160="0","v",IF(totales!E160="3"&amp;totales!H160="2"&amp;totales!I160="1"&amp;totales!J160="0","w",IF(totales!E160="4"&amp;totales!H160="2"&amp;totales!I160="1"&amp;totales!J160="0","x",
IF(totales!E160="6"&amp;totales!H160="2"&amp;totales!I160="1"&amp;totales!J160="0","y",IF(totales!E160="1"&amp;totales!H160="1"&amp;totales!I160="1"&amp;totales!J160="0","z",IF(totales!E160="2"&amp;totales!H160="1"&amp;totales!I160="1"&amp;totales!J160="0","0",IF(totales!E160="3"&amp;totales!H160="1"&amp;totales!I160="1"&amp;totales!J160="0","1",IF(totales!E160="4"&amp;totales!H160="1"&amp;totales!I160="1"&amp;totales!J160="0","2",IF(totales!E160="6"&amp;totales!H160="1"&amp;totales!I160="1"&amp;totales!J160="0","3",IF(totales!E160="1"&amp;totales!H160="0"&amp;totales!I160="1"&amp;totales!J160="1","4",IF(totales!E160="2"&amp;totales!H160="0"&amp;totales!I160="1"&amp;totales!J160="1","5",IF(totales!E160="3"&amp;totales!H160="0"&amp;totales!I160="1"&amp;totales!J160="1","6",IF(totales!E160="4"&amp;totales!H160="0"&amp;totales!I160="1"&amp;totales!J160="1","7",IF(totales!E160="6"&amp;totales!H160="0"&amp;totales!I160="1"&amp;totales!J160="1","8",IF(totales!E160="1"&amp;totales!H160="1"&amp;totales!I160="0"&amp;totales!J160="1","9"))))))))))))))))))))))))))))))))))))</f>
        <v>0</v>
      </c>
    </row>
    <row r="160" spans="22:22">
      <c r="V160" s="102" t="b">
        <f>IF(totales!E161="1"&amp;totales!H161="0"&amp;totales!I161="0"&amp;totales!J161="0","a",IF(totales!E161="2"&amp;totales!H161="0"&amp;totales!I161="0"&amp;totales!J161="0","b",IF(totales!E161="3"&amp;totales!H161="0"&amp;totales!I161="0"&amp;totales!J161="0","c",IF(totales!E161="4"&amp;totales!H161="0"&amp;totales!I161="0"&amp;totales!J161="0","d",IF(totales!E161="6"&amp;totales!H161="0"&amp;totales!I161="0"&amp;totales!J161="0","e",IF(totales!E161="1"&amp;totales!H161="1"&amp;totales!I161="0"&amp;totales!J161="0","f",IF(totales!E161="2"&amp;totales!H161="1"&amp;totales!I161="0"&amp;totales!J161="0","g",IF(totales!E161="3"&amp;totales!H161="1"&amp;totales!I161="0"&amp;totales!J161="0","h",IF(totales!E161="4"&amp;totales!H161="1"&amp;totales!I161="0"&amp;totales!J161="0","i",IF(totales!E161="6"&amp;totales!H161="1"&amp;totales!I161="0"&amp;totales!J161="0","j",IF(totales!E161="1"&amp;totales!H161="2"&amp;totales!I161="0"&amp;totales!J161="0","k",IF(totales!E161="2"&amp;totales!H161="2"&amp;totales!I161="0"&amp;totales!J161="0","l",IF(totales!E161="3"&amp;totales!H161="2"&amp;totales!I161="0"&amp;totales!J161="0","m",
IF(totales!E161="4"&amp;totales!H161="2"&amp;totales!I161="0"&amp;totales!J161="0","n",IF(totales!E161="6"&amp;totales!H161="2"&amp;totales!I161="0"&amp;totales!J161="0","o",IF(totales!E161="1"&amp;totales!H161="0"&amp;totales!I161="1"&amp;totales!J161="0","p",IF(totales!E161="2"&amp;totales!H161="0"&amp;totales!I161="1"&amp;totales!J161="0","q",IF(totales!E161="3"&amp;totales!H161="0"&amp;totales!I161="1"&amp;totales!J161="0","r",IF(totales!E161="4"&amp;totales!H161="0"&amp;totales!I161="1"&amp;totales!J161="0","s",IF(totales!E161="6"&amp;totales!H161="0"&amp;totales!I161="1"&amp;totales!J161="0","t",IF(totales!E161="1"&amp;totales!H161="2"&amp;totales!I161="1"&amp;totales!J161="0","u",IF(totales!E161="2"&amp;totales!H161="2"&amp;totales!I161="1"&amp;totales!J161="0","v",IF(totales!E161="3"&amp;totales!H161="2"&amp;totales!I161="1"&amp;totales!J161="0","w",IF(totales!E161="4"&amp;totales!H161="2"&amp;totales!I161="1"&amp;totales!J161="0","x",
IF(totales!E161="6"&amp;totales!H161="2"&amp;totales!I161="1"&amp;totales!J161="0","y",IF(totales!E161="1"&amp;totales!H161="1"&amp;totales!I161="1"&amp;totales!J161="0","z",IF(totales!E161="2"&amp;totales!H161="1"&amp;totales!I161="1"&amp;totales!J161="0","0",IF(totales!E161="3"&amp;totales!H161="1"&amp;totales!I161="1"&amp;totales!J161="0","1",IF(totales!E161="4"&amp;totales!H161="1"&amp;totales!I161="1"&amp;totales!J161="0","2",IF(totales!E161="6"&amp;totales!H161="1"&amp;totales!I161="1"&amp;totales!J161="0","3",IF(totales!E161="1"&amp;totales!H161="0"&amp;totales!I161="1"&amp;totales!J161="1","4",IF(totales!E161="2"&amp;totales!H161="0"&amp;totales!I161="1"&amp;totales!J161="1","5",IF(totales!E161="3"&amp;totales!H161="0"&amp;totales!I161="1"&amp;totales!J161="1","6",IF(totales!E161="4"&amp;totales!H161="0"&amp;totales!I161="1"&amp;totales!J161="1","7",IF(totales!E161="6"&amp;totales!H161="0"&amp;totales!I161="1"&amp;totales!J161="1","8",IF(totales!E161="1"&amp;totales!H161="1"&amp;totales!I161="0"&amp;totales!J161="1","9"))))))))))))))))))))))))))))))))))))</f>
        <v>0</v>
      </c>
    </row>
    <row r="161" spans="22:22">
      <c r="V161" s="102" t="b">
        <f>IF(totales!E162="1"&amp;totales!H162="0"&amp;totales!I162="0"&amp;totales!J162="0","a",IF(totales!E162="2"&amp;totales!H162="0"&amp;totales!I162="0"&amp;totales!J162="0","b",IF(totales!E162="3"&amp;totales!H162="0"&amp;totales!I162="0"&amp;totales!J162="0","c",IF(totales!E162="4"&amp;totales!H162="0"&amp;totales!I162="0"&amp;totales!J162="0","d",IF(totales!E162="6"&amp;totales!H162="0"&amp;totales!I162="0"&amp;totales!J162="0","e",IF(totales!E162="1"&amp;totales!H162="1"&amp;totales!I162="0"&amp;totales!J162="0","f",IF(totales!E162="2"&amp;totales!H162="1"&amp;totales!I162="0"&amp;totales!J162="0","g",IF(totales!E162="3"&amp;totales!H162="1"&amp;totales!I162="0"&amp;totales!J162="0","h",IF(totales!E162="4"&amp;totales!H162="1"&amp;totales!I162="0"&amp;totales!J162="0","i",IF(totales!E162="6"&amp;totales!H162="1"&amp;totales!I162="0"&amp;totales!J162="0","j",IF(totales!E162="1"&amp;totales!H162="2"&amp;totales!I162="0"&amp;totales!J162="0","k",IF(totales!E162="2"&amp;totales!H162="2"&amp;totales!I162="0"&amp;totales!J162="0","l",IF(totales!E162="3"&amp;totales!H162="2"&amp;totales!I162="0"&amp;totales!J162="0","m",
IF(totales!E162="4"&amp;totales!H162="2"&amp;totales!I162="0"&amp;totales!J162="0","n",IF(totales!E162="6"&amp;totales!H162="2"&amp;totales!I162="0"&amp;totales!J162="0","o",IF(totales!E162="1"&amp;totales!H162="0"&amp;totales!I162="1"&amp;totales!J162="0","p",IF(totales!E162="2"&amp;totales!H162="0"&amp;totales!I162="1"&amp;totales!J162="0","q",IF(totales!E162="3"&amp;totales!H162="0"&amp;totales!I162="1"&amp;totales!J162="0","r",IF(totales!E162="4"&amp;totales!H162="0"&amp;totales!I162="1"&amp;totales!J162="0","s",IF(totales!E162="6"&amp;totales!H162="0"&amp;totales!I162="1"&amp;totales!J162="0","t",IF(totales!E162="1"&amp;totales!H162="2"&amp;totales!I162="1"&amp;totales!J162="0","u",IF(totales!E162="2"&amp;totales!H162="2"&amp;totales!I162="1"&amp;totales!J162="0","v",IF(totales!E162="3"&amp;totales!H162="2"&amp;totales!I162="1"&amp;totales!J162="0","w",IF(totales!E162="4"&amp;totales!H162="2"&amp;totales!I162="1"&amp;totales!J162="0","x",
IF(totales!E162="6"&amp;totales!H162="2"&amp;totales!I162="1"&amp;totales!J162="0","y",IF(totales!E162="1"&amp;totales!H162="1"&amp;totales!I162="1"&amp;totales!J162="0","z",IF(totales!E162="2"&amp;totales!H162="1"&amp;totales!I162="1"&amp;totales!J162="0","0",IF(totales!E162="3"&amp;totales!H162="1"&amp;totales!I162="1"&amp;totales!J162="0","1",IF(totales!E162="4"&amp;totales!H162="1"&amp;totales!I162="1"&amp;totales!J162="0","2",IF(totales!E162="6"&amp;totales!H162="1"&amp;totales!I162="1"&amp;totales!J162="0","3",IF(totales!E162="1"&amp;totales!H162="0"&amp;totales!I162="1"&amp;totales!J162="1","4",IF(totales!E162="2"&amp;totales!H162="0"&amp;totales!I162="1"&amp;totales!J162="1","5",IF(totales!E162="3"&amp;totales!H162="0"&amp;totales!I162="1"&amp;totales!J162="1","6",IF(totales!E162="4"&amp;totales!H162="0"&amp;totales!I162="1"&amp;totales!J162="1","7",IF(totales!E162="6"&amp;totales!H162="0"&amp;totales!I162="1"&amp;totales!J162="1","8",IF(totales!E162="1"&amp;totales!H162="1"&amp;totales!I162="0"&amp;totales!J162="1","9"))))))))))))))))))))))))))))))))))))</f>
        <v>0</v>
      </c>
    </row>
    <row r="162" spans="22:22">
      <c r="V162" s="102" t="b">
        <f>IF(totales!E163="1"&amp;totales!H163="0"&amp;totales!I163="0"&amp;totales!J163="0","a",IF(totales!E163="2"&amp;totales!H163="0"&amp;totales!I163="0"&amp;totales!J163="0","b",IF(totales!E163="3"&amp;totales!H163="0"&amp;totales!I163="0"&amp;totales!J163="0","c",IF(totales!E163="4"&amp;totales!H163="0"&amp;totales!I163="0"&amp;totales!J163="0","d",IF(totales!E163="6"&amp;totales!H163="0"&amp;totales!I163="0"&amp;totales!J163="0","e",IF(totales!E163="1"&amp;totales!H163="1"&amp;totales!I163="0"&amp;totales!J163="0","f",IF(totales!E163="2"&amp;totales!H163="1"&amp;totales!I163="0"&amp;totales!J163="0","g",IF(totales!E163="3"&amp;totales!H163="1"&amp;totales!I163="0"&amp;totales!J163="0","h",IF(totales!E163="4"&amp;totales!H163="1"&amp;totales!I163="0"&amp;totales!J163="0","i",IF(totales!E163="6"&amp;totales!H163="1"&amp;totales!I163="0"&amp;totales!J163="0","j",IF(totales!E163="1"&amp;totales!H163="2"&amp;totales!I163="0"&amp;totales!J163="0","k",IF(totales!E163="2"&amp;totales!H163="2"&amp;totales!I163="0"&amp;totales!J163="0","l",IF(totales!E163="3"&amp;totales!H163="2"&amp;totales!I163="0"&amp;totales!J163="0","m",
IF(totales!E163="4"&amp;totales!H163="2"&amp;totales!I163="0"&amp;totales!J163="0","n",IF(totales!E163="6"&amp;totales!H163="2"&amp;totales!I163="0"&amp;totales!J163="0","o",IF(totales!E163="1"&amp;totales!H163="0"&amp;totales!I163="1"&amp;totales!J163="0","p",IF(totales!E163="2"&amp;totales!H163="0"&amp;totales!I163="1"&amp;totales!J163="0","q",IF(totales!E163="3"&amp;totales!H163="0"&amp;totales!I163="1"&amp;totales!J163="0","r",IF(totales!E163="4"&amp;totales!H163="0"&amp;totales!I163="1"&amp;totales!J163="0","s",IF(totales!E163="6"&amp;totales!H163="0"&amp;totales!I163="1"&amp;totales!J163="0","t",IF(totales!E163="1"&amp;totales!H163="2"&amp;totales!I163="1"&amp;totales!J163="0","u",IF(totales!E163="2"&amp;totales!H163="2"&amp;totales!I163="1"&amp;totales!J163="0","v",IF(totales!E163="3"&amp;totales!H163="2"&amp;totales!I163="1"&amp;totales!J163="0","w",IF(totales!E163="4"&amp;totales!H163="2"&amp;totales!I163="1"&amp;totales!J163="0","x",
IF(totales!E163="6"&amp;totales!H163="2"&amp;totales!I163="1"&amp;totales!J163="0","y",IF(totales!E163="1"&amp;totales!H163="1"&amp;totales!I163="1"&amp;totales!J163="0","z",IF(totales!E163="2"&amp;totales!H163="1"&amp;totales!I163="1"&amp;totales!J163="0","0",IF(totales!E163="3"&amp;totales!H163="1"&amp;totales!I163="1"&amp;totales!J163="0","1",IF(totales!E163="4"&amp;totales!H163="1"&amp;totales!I163="1"&amp;totales!J163="0","2",IF(totales!E163="6"&amp;totales!H163="1"&amp;totales!I163="1"&amp;totales!J163="0","3",IF(totales!E163="1"&amp;totales!H163="0"&amp;totales!I163="1"&amp;totales!J163="1","4",IF(totales!E163="2"&amp;totales!H163="0"&amp;totales!I163="1"&amp;totales!J163="1","5",IF(totales!E163="3"&amp;totales!H163="0"&amp;totales!I163="1"&amp;totales!J163="1","6",IF(totales!E163="4"&amp;totales!H163="0"&amp;totales!I163="1"&amp;totales!J163="1","7",IF(totales!E163="6"&amp;totales!H163="0"&amp;totales!I163="1"&amp;totales!J163="1","8",IF(totales!E163="1"&amp;totales!H163="1"&amp;totales!I163="0"&amp;totales!J163="1","9"))))))))))))))))))))))))))))))))))))</f>
        <v>0</v>
      </c>
    </row>
    <row r="163" spans="22:22">
      <c r="V163" s="102" t="b">
        <f>IF(totales!E164="1"&amp;totales!H164="0"&amp;totales!I164="0"&amp;totales!J164="0","a",IF(totales!E164="2"&amp;totales!H164="0"&amp;totales!I164="0"&amp;totales!J164="0","b",IF(totales!E164="3"&amp;totales!H164="0"&amp;totales!I164="0"&amp;totales!J164="0","c",IF(totales!E164="4"&amp;totales!H164="0"&amp;totales!I164="0"&amp;totales!J164="0","d",IF(totales!E164="6"&amp;totales!H164="0"&amp;totales!I164="0"&amp;totales!J164="0","e",IF(totales!E164="1"&amp;totales!H164="1"&amp;totales!I164="0"&amp;totales!J164="0","f",IF(totales!E164="2"&amp;totales!H164="1"&amp;totales!I164="0"&amp;totales!J164="0","g",IF(totales!E164="3"&amp;totales!H164="1"&amp;totales!I164="0"&amp;totales!J164="0","h",IF(totales!E164="4"&amp;totales!H164="1"&amp;totales!I164="0"&amp;totales!J164="0","i",IF(totales!E164="6"&amp;totales!H164="1"&amp;totales!I164="0"&amp;totales!J164="0","j",IF(totales!E164="1"&amp;totales!H164="2"&amp;totales!I164="0"&amp;totales!J164="0","k",IF(totales!E164="2"&amp;totales!H164="2"&amp;totales!I164="0"&amp;totales!J164="0","l",IF(totales!E164="3"&amp;totales!H164="2"&amp;totales!I164="0"&amp;totales!J164="0","m",
IF(totales!E164="4"&amp;totales!H164="2"&amp;totales!I164="0"&amp;totales!J164="0","n",IF(totales!E164="6"&amp;totales!H164="2"&amp;totales!I164="0"&amp;totales!J164="0","o",IF(totales!E164="1"&amp;totales!H164="0"&amp;totales!I164="1"&amp;totales!J164="0","p",IF(totales!E164="2"&amp;totales!H164="0"&amp;totales!I164="1"&amp;totales!J164="0","q",IF(totales!E164="3"&amp;totales!H164="0"&amp;totales!I164="1"&amp;totales!J164="0","r",IF(totales!E164="4"&amp;totales!H164="0"&amp;totales!I164="1"&amp;totales!J164="0","s",IF(totales!E164="6"&amp;totales!H164="0"&amp;totales!I164="1"&amp;totales!J164="0","t",IF(totales!E164="1"&amp;totales!H164="2"&amp;totales!I164="1"&amp;totales!J164="0","u",IF(totales!E164="2"&amp;totales!H164="2"&amp;totales!I164="1"&amp;totales!J164="0","v",IF(totales!E164="3"&amp;totales!H164="2"&amp;totales!I164="1"&amp;totales!J164="0","w",IF(totales!E164="4"&amp;totales!H164="2"&amp;totales!I164="1"&amp;totales!J164="0","x",
IF(totales!E164="6"&amp;totales!H164="2"&amp;totales!I164="1"&amp;totales!J164="0","y",IF(totales!E164="1"&amp;totales!H164="1"&amp;totales!I164="1"&amp;totales!J164="0","z",IF(totales!E164="2"&amp;totales!H164="1"&amp;totales!I164="1"&amp;totales!J164="0","0",IF(totales!E164="3"&amp;totales!H164="1"&amp;totales!I164="1"&amp;totales!J164="0","1",IF(totales!E164="4"&amp;totales!H164="1"&amp;totales!I164="1"&amp;totales!J164="0","2",IF(totales!E164="6"&amp;totales!H164="1"&amp;totales!I164="1"&amp;totales!J164="0","3",IF(totales!E164="1"&amp;totales!H164="0"&amp;totales!I164="1"&amp;totales!J164="1","4",IF(totales!E164="2"&amp;totales!H164="0"&amp;totales!I164="1"&amp;totales!J164="1","5",IF(totales!E164="3"&amp;totales!H164="0"&amp;totales!I164="1"&amp;totales!J164="1","6",IF(totales!E164="4"&amp;totales!H164="0"&amp;totales!I164="1"&amp;totales!J164="1","7",IF(totales!E164="6"&amp;totales!H164="0"&amp;totales!I164="1"&amp;totales!J164="1","8",IF(totales!E164="1"&amp;totales!H164="1"&amp;totales!I164="0"&amp;totales!J164="1","9"))))))))))))))))))))))))))))))))))))</f>
        <v>0</v>
      </c>
    </row>
    <row r="164" spans="22:22">
      <c r="V164" s="102" t="b">
        <f>IF(totales!E165="1"&amp;totales!H165="0"&amp;totales!I165="0"&amp;totales!J165="0","a",IF(totales!E165="2"&amp;totales!H165="0"&amp;totales!I165="0"&amp;totales!J165="0","b",IF(totales!E165="3"&amp;totales!H165="0"&amp;totales!I165="0"&amp;totales!J165="0","c",IF(totales!E165="4"&amp;totales!H165="0"&amp;totales!I165="0"&amp;totales!J165="0","d",IF(totales!E165="6"&amp;totales!H165="0"&amp;totales!I165="0"&amp;totales!J165="0","e",IF(totales!E165="1"&amp;totales!H165="1"&amp;totales!I165="0"&amp;totales!J165="0","f",IF(totales!E165="2"&amp;totales!H165="1"&amp;totales!I165="0"&amp;totales!J165="0","g",IF(totales!E165="3"&amp;totales!H165="1"&amp;totales!I165="0"&amp;totales!J165="0","h",IF(totales!E165="4"&amp;totales!H165="1"&amp;totales!I165="0"&amp;totales!J165="0","i",IF(totales!E165="6"&amp;totales!H165="1"&amp;totales!I165="0"&amp;totales!J165="0","j",IF(totales!E165="1"&amp;totales!H165="2"&amp;totales!I165="0"&amp;totales!J165="0","k",IF(totales!E165="2"&amp;totales!H165="2"&amp;totales!I165="0"&amp;totales!J165="0","l",IF(totales!E165="3"&amp;totales!H165="2"&amp;totales!I165="0"&amp;totales!J165="0","m",
IF(totales!E165="4"&amp;totales!H165="2"&amp;totales!I165="0"&amp;totales!J165="0","n",IF(totales!E165="6"&amp;totales!H165="2"&amp;totales!I165="0"&amp;totales!J165="0","o",IF(totales!E165="1"&amp;totales!H165="0"&amp;totales!I165="1"&amp;totales!J165="0","p",IF(totales!E165="2"&amp;totales!H165="0"&amp;totales!I165="1"&amp;totales!J165="0","q",IF(totales!E165="3"&amp;totales!H165="0"&amp;totales!I165="1"&amp;totales!J165="0","r",IF(totales!E165="4"&amp;totales!H165="0"&amp;totales!I165="1"&amp;totales!J165="0","s",IF(totales!E165="6"&amp;totales!H165="0"&amp;totales!I165="1"&amp;totales!J165="0","t",IF(totales!E165="1"&amp;totales!H165="2"&amp;totales!I165="1"&amp;totales!J165="0","u",IF(totales!E165="2"&amp;totales!H165="2"&amp;totales!I165="1"&amp;totales!J165="0","v",IF(totales!E165="3"&amp;totales!H165="2"&amp;totales!I165="1"&amp;totales!J165="0","w",IF(totales!E165="4"&amp;totales!H165="2"&amp;totales!I165="1"&amp;totales!J165="0","x",
IF(totales!E165="6"&amp;totales!H165="2"&amp;totales!I165="1"&amp;totales!J165="0","y",IF(totales!E165="1"&amp;totales!H165="1"&amp;totales!I165="1"&amp;totales!J165="0","z",IF(totales!E165="2"&amp;totales!H165="1"&amp;totales!I165="1"&amp;totales!J165="0","0",IF(totales!E165="3"&amp;totales!H165="1"&amp;totales!I165="1"&amp;totales!J165="0","1",IF(totales!E165="4"&amp;totales!H165="1"&amp;totales!I165="1"&amp;totales!J165="0","2",IF(totales!E165="6"&amp;totales!H165="1"&amp;totales!I165="1"&amp;totales!J165="0","3",IF(totales!E165="1"&amp;totales!H165="0"&amp;totales!I165="1"&amp;totales!J165="1","4",IF(totales!E165="2"&amp;totales!H165="0"&amp;totales!I165="1"&amp;totales!J165="1","5",IF(totales!E165="3"&amp;totales!H165="0"&amp;totales!I165="1"&amp;totales!J165="1","6",IF(totales!E165="4"&amp;totales!H165="0"&amp;totales!I165="1"&amp;totales!J165="1","7",IF(totales!E165="6"&amp;totales!H165="0"&amp;totales!I165="1"&amp;totales!J165="1","8",IF(totales!E165="1"&amp;totales!H165="1"&amp;totales!I165="0"&amp;totales!J165="1","9"))))))))))))))))))))))))))))))))))))</f>
        <v>0</v>
      </c>
    </row>
    <row r="165" spans="22:22">
      <c r="V165" s="102" t="b">
        <f>IF(totales!E166="1"&amp;totales!H166="0"&amp;totales!I166="0"&amp;totales!J166="0","a",IF(totales!E166="2"&amp;totales!H166="0"&amp;totales!I166="0"&amp;totales!J166="0","b",IF(totales!E166="3"&amp;totales!H166="0"&amp;totales!I166="0"&amp;totales!J166="0","c",IF(totales!E166="4"&amp;totales!H166="0"&amp;totales!I166="0"&amp;totales!J166="0","d",IF(totales!E166="6"&amp;totales!H166="0"&amp;totales!I166="0"&amp;totales!J166="0","e",IF(totales!E166="1"&amp;totales!H166="1"&amp;totales!I166="0"&amp;totales!J166="0","f",IF(totales!E166="2"&amp;totales!H166="1"&amp;totales!I166="0"&amp;totales!J166="0","g",IF(totales!E166="3"&amp;totales!H166="1"&amp;totales!I166="0"&amp;totales!J166="0","h",IF(totales!E166="4"&amp;totales!H166="1"&amp;totales!I166="0"&amp;totales!J166="0","i",IF(totales!E166="6"&amp;totales!H166="1"&amp;totales!I166="0"&amp;totales!J166="0","j",IF(totales!E166="1"&amp;totales!H166="2"&amp;totales!I166="0"&amp;totales!J166="0","k",IF(totales!E166="2"&amp;totales!H166="2"&amp;totales!I166="0"&amp;totales!J166="0","l",IF(totales!E166="3"&amp;totales!H166="2"&amp;totales!I166="0"&amp;totales!J166="0","m",
IF(totales!E166="4"&amp;totales!H166="2"&amp;totales!I166="0"&amp;totales!J166="0","n",IF(totales!E166="6"&amp;totales!H166="2"&amp;totales!I166="0"&amp;totales!J166="0","o",IF(totales!E166="1"&amp;totales!H166="0"&amp;totales!I166="1"&amp;totales!J166="0","p",IF(totales!E166="2"&amp;totales!H166="0"&amp;totales!I166="1"&amp;totales!J166="0","q",IF(totales!E166="3"&amp;totales!H166="0"&amp;totales!I166="1"&amp;totales!J166="0","r",IF(totales!E166="4"&amp;totales!H166="0"&amp;totales!I166="1"&amp;totales!J166="0","s",IF(totales!E166="6"&amp;totales!H166="0"&amp;totales!I166="1"&amp;totales!J166="0","t",IF(totales!E166="1"&amp;totales!H166="2"&amp;totales!I166="1"&amp;totales!J166="0","u",IF(totales!E166="2"&amp;totales!H166="2"&amp;totales!I166="1"&amp;totales!J166="0","v",IF(totales!E166="3"&amp;totales!H166="2"&amp;totales!I166="1"&amp;totales!J166="0","w",IF(totales!E166="4"&amp;totales!H166="2"&amp;totales!I166="1"&amp;totales!J166="0","x",
IF(totales!E166="6"&amp;totales!H166="2"&amp;totales!I166="1"&amp;totales!J166="0","y",IF(totales!E166="1"&amp;totales!H166="1"&amp;totales!I166="1"&amp;totales!J166="0","z",IF(totales!E166="2"&amp;totales!H166="1"&amp;totales!I166="1"&amp;totales!J166="0","0",IF(totales!E166="3"&amp;totales!H166="1"&amp;totales!I166="1"&amp;totales!J166="0","1",IF(totales!E166="4"&amp;totales!H166="1"&amp;totales!I166="1"&amp;totales!J166="0","2",IF(totales!E166="6"&amp;totales!H166="1"&amp;totales!I166="1"&amp;totales!J166="0","3",IF(totales!E166="1"&amp;totales!H166="0"&amp;totales!I166="1"&amp;totales!J166="1","4",IF(totales!E166="2"&amp;totales!H166="0"&amp;totales!I166="1"&amp;totales!J166="1","5",IF(totales!E166="3"&amp;totales!H166="0"&amp;totales!I166="1"&amp;totales!J166="1","6",IF(totales!E166="4"&amp;totales!H166="0"&amp;totales!I166="1"&amp;totales!J166="1","7",IF(totales!E166="6"&amp;totales!H166="0"&amp;totales!I166="1"&amp;totales!J166="1","8",IF(totales!E166="1"&amp;totales!H166="1"&amp;totales!I166="0"&amp;totales!J166="1","9"))))))))))))))))))))))))))))))))))))</f>
        <v>0</v>
      </c>
    </row>
    <row r="166" spans="22:22">
      <c r="V166" s="102" t="b">
        <f>IF(totales!E167="1"&amp;totales!H167="0"&amp;totales!I167="0"&amp;totales!J167="0","a",IF(totales!E167="2"&amp;totales!H167="0"&amp;totales!I167="0"&amp;totales!J167="0","b",IF(totales!E167="3"&amp;totales!H167="0"&amp;totales!I167="0"&amp;totales!J167="0","c",IF(totales!E167="4"&amp;totales!H167="0"&amp;totales!I167="0"&amp;totales!J167="0","d",IF(totales!E167="6"&amp;totales!H167="0"&amp;totales!I167="0"&amp;totales!J167="0","e",IF(totales!E167="1"&amp;totales!H167="1"&amp;totales!I167="0"&amp;totales!J167="0","f",IF(totales!E167="2"&amp;totales!H167="1"&amp;totales!I167="0"&amp;totales!J167="0","g",IF(totales!E167="3"&amp;totales!H167="1"&amp;totales!I167="0"&amp;totales!J167="0","h",IF(totales!E167="4"&amp;totales!H167="1"&amp;totales!I167="0"&amp;totales!J167="0","i",IF(totales!E167="6"&amp;totales!H167="1"&amp;totales!I167="0"&amp;totales!J167="0","j",IF(totales!E167="1"&amp;totales!H167="2"&amp;totales!I167="0"&amp;totales!J167="0","k",IF(totales!E167="2"&amp;totales!H167="2"&amp;totales!I167="0"&amp;totales!J167="0","l",IF(totales!E167="3"&amp;totales!H167="2"&amp;totales!I167="0"&amp;totales!J167="0","m",
IF(totales!E167="4"&amp;totales!H167="2"&amp;totales!I167="0"&amp;totales!J167="0","n",IF(totales!E167="6"&amp;totales!H167="2"&amp;totales!I167="0"&amp;totales!J167="0","o",IF(totales!E167="1"&amp;totales!H167="0"&amp;totales!I167="1"&amp;totales!J167="0","p",IF(totales!E167="2"&amp;totales!H167="0"&amp;totales!I167="1"&amp;totales!J167="0","q",IF(totales!E167="3"&amp;totales!H167="0"&amp;totales!I167="1"&amp;totales!J167="0","r",IF(totales!E167="4"&amp;totales!H167="0"&amp;totales!I167="1"&amp;totales!J167="0","s",IF(totales!E167="6"&amp;totales!H167="0"&amp;totales!I167="1"&amp;totales!J167="0","t",IF(totales!E167="1"&amp;totales!H167="2"&amp;totales!I167="1"&amp;totales!J167="0","u",IF(totales!E167="2"&amp;totales!H167="2"&amp;totales!I167="1"&amp;totales!J167="0","v",IF(totales!E167="3"&amp;totales!H167="2"&amp;totales!I167="1"&amp;totales!J167="0","w",IF(totales!E167="4"&amp;totales!H167="2"&amp;totales!I167="1"&amp;totales!J167="0","x",
IF(totales!E167="6"&amp;totales!H167="2"&amp;totales!I167="1"&amp;totales!J167="0","y",IF(totales!E167="1"&amp;totales!H167="1"&amp;totales!I167="1"&amp;totales!J167="0","z",IF(totales!E167="2"&amp;totales!H167="1"&amp;totales!I167="1"&amp;totales!J167="0","0",IF(totales!E167="3"&amp;totales!H167="1"&amp;totales!I167="1"&amp;totales!J167="0","1",IF(totales!E167="4"&amp;totales!H167="1"&amp;totales!I167="1"&amp;totales!J167="0","2",IF(totales!E167="6"&amp;totales!H167="1"&amp;totales!I167="1"&amp;totales!J167="0","3",IF(totales!E167="1"&amp;totales!H167="0"&amp;totales!I167="1"&amp;totales!J167="1","4",IF(totales!E167="2"&amp;totales!H167="0"&amp;totales!I167="1"&amp;totales!J167="1","5",IF(totales!E167="3"&amp;totales!H167="0"&amp;totales!I167="1"&amp;totales!J167="1","6",IF(totales!E167="4"&amp;totales!H167="0"&amp;totales!I167="1"&amp;totales!J167="1","7",IF(totales!E167="6"&amp;totales!H167="0"&amp;totales!I167="1"&amp;totales!J167="1","8",IF(totales!E167="1"&amp;totales!H167="1"&amp;totales!I167="0"&amp;totales!J167="1","9"))))))))))))))))))))))))))))))))))))</f>
        <v>0</v>
      </c>
    </row>
    <row r="167" spans="22:22">
      <c r="V167" s="102" t="b">
        <f>IF(totales!E168="1"&amp;totales!H168="0"&amp;totales!I168="0"&amp;totales!J168="0","a",IF(totales!E168="2"&amp;totales!H168="0"&amp;totales!I168="0"&amp;totales!J168="0","b",IF(totales!E168="3"&amp;totales!H168="0"&amp;totales!I168="0"&amp;totales!J168="0","c",IF(totales!E168="4"&amp;totales!H168="0"&amp;totales!I168="0"&amp;totales!J168="0","d",IF(totales!E168="6"&amp;totales!H168="0"&amp;totales!I168="0"&amp;totales!J168="0","e",IF(totales!E168="1"&amp;totales!H168="1"&amp;totales!I168="0"&amp;totales!J168="0","f",IF(totales!E168="2"&amp;totales!H168="1"&amp;totales!I168="0"&amp;totales!J168="0","g",IF(totales!E168="3"&amp;totales!H168="1"&amp;totales!I168="0"&amp;totales!J168="0","h",IF(totales!E168="4"&amp;totales!H168="1"&amp;totales!I168="0"&amp;totales!J168="0","i",IF(totales!E168="6"&amp;totales!H168="1"&amp;totales!I168="0"&amp;totales!J168="0","j",IF(totales!E168="1"&amp;totales!H168="2"&amp;totales!I168="0"&amp;totales!J168="0","k",IF(totales!E168="2"&amp;totales!H168="2"&amp;totales!I168="0"&amp;totales!J168="0","l",IF(totales!E168="3"&amp;totales!H168="2"&amp;totales!I168="0"&amp;totales!J168="0","m",
IF(totales!E168="4"&amp;totales!H168="2"&amp;totales!I168="0"&amp;totales!J168="0","n",IF(totales!E168="6"&amp;totales!H168="2"&amp;totales!I168="0"&amp;totales!J168="0","o",IF(totales!E168="1"&amp;totales!H168="0"&amp;totales!I168="1"&amp;totales!J168="0","p",IF(totales!E168="2"&amp;totales!H168="0"&amp;totales!I168="1"&amp;totales!J168="0","q",IF(totales!E168="3"&amp;totales!H168="0"&amp;totales!I168="1"&amp;totales!J168="0","r",IF(totales!E168="4"&amp;totales!H168="0"&amp;totales!I168="1"&amp;totales!J168="0","s",IF(totales!E168="6"&amp;totales!H168="0"&amp;totales!I168="1"&amp;totales!J168="0","t",IF(totales!E168="1"&amp;totales!H168="2"&amp;totales!I168="1"&amp;totales!J168="0","u",IF(totales!E168="2"&amp;totales!H168="2"&amp;totales!I168="1"&amp;totales!J168="0","v",IF(totales!E168="3"&amp;totales!H168="2"&amp;totales!I168="1"&amp;totales!J168="0","w",IF(totales!E168="4"&amp;totales!H168="2"&amp;totales!I168="1"&amp;totales!J168="0","x",
IF(totales!E168="6"&amp;totales!H168="2"&amp;totales!I168="1"&amp;totales!J168="0","y",IF(totales!E168="1"&amp;totales!H168="1"&amp;totales!I168="1"&amp;totales!J168="0","z",IF(totales!E168="2"&amp;totales!H168="1"&amp;totales!I168="1"&amp;totales!J168="0","0",IF(totales!E168="3"&amp;totales!H168="1"&amp;totales!I168="1"&amp;totales!J168="0","1",IF(totales!E168="4"&amp;totales!H168="1"&amp;totales!I168="1"&amp;totales!J168="0","2",IF(totales!E168="6"&amp;totales!H168="1"&amp;totales!I168="1"&amp;totales!J168="0","3",IF(totales!E168="1"&amp;totales!H168="0"&amp;totales!I168="1"&amp;totales!J168="1","4",IF(totales!E168="2"&amp;totales!H168="0"&amp;totales!I168="1"&amp;totales!J168="1","5",IF(totales!E168="3"&amp;totales!H168="0"&amp;totales!I168="1"&amp;totales!J168="1","6",IF(totales!E168="4"&amp;totales!H168="0"&amp;totales!I168="1"&amp;totales!J168="1","7",IF(totales!E168="6"&amp;totales!H168="0"&amp;totales!I168="1"&amp;totales!J168="1","8",IF(totales!E168="1"&amp;totales!H168="1"&amp;totales!I168="0"&amp;totales!J168="1","9"))))))))))))))))))))))))))))))))))))</f>
        <v>0</v>
      </c>
    </row>
    <row r="168" spans="22:22">
      <c r="V168" s="102" t="b">
        <f>IF(totales!E169="1"&amp;totales!H169="0"&amp;totales!I169="0"&amp;totales!J169="0","a",IF(totales!E169="2"&amp;totales!H169="0"&amp;totales!I169="0"&amp;totales!J169="0","b",IF(totales!E169="3"&amp;totales!H169="0"&amp;totales!I169="0"&amp;totales!J169="0","c",IF(totales!E169="4"&amp;totales!H169="0"&amp;totales!I169="0"&amp;totales!J169="0","d",IF(totales!E169="6"&amp;totales!H169="0"&amp;totales!I169="0"&amp;totales!J169="0","e",IF(totales!E169="1"&amp;totales!H169="1"&amp;totales!I169="0"&amp;totales!J169="0","f",IF(totales!E169="2"&amp;totales!H169="1"&amp;totales!I169="0"&amp;totales!J169="0","g",IF(totales!E169="3"&amp;totales!H169="1"&amp;totales!I169="0"&amp;totales!J169="0","h",IF(totales!E169="4"&amp;totales!H169="1"&amp;totales!I169="0"&amp;totales!J169="0","i",IF(totales!E169="6"&amp;totales!H169="1"&amp;totales!I169="0"&amp;totales!J169="0","j",IF(totales!E169="1"&amp;totales!H169="2"&amp;totales!I169="0"&amp;totales!J169="0","k",IF(totales!E169="2"&amp;totales!H169="2"&amp;totales!I169="0"&amp;totales!J169="0","l",IF(totales!E169="3"&amp;totales!H169="2"&amp;totales!I169="0"&amp;totales!J169="0","m",
IF(totales!E169="4"&amp;totales!H169="2"&amp;totales!I169="0"&amp;totales!J169="0","n",IF(totales!E169="6"&amp;totales!H169="2"&amp;totales!I169="0"&amp;totales!J169="0","o",IF(totales!E169="1"&amp;totales!H169="0"&amp;totales!I169="1"&amp;totales!J169="0","p",IF(totales!E169="2"&amp;totales!H169="0"&amp;totales!I169="1"&amp;totales!J169="0","q",IF(totales!E169="3"&amp;totales!H169="0"&amp;totales!I169="1"&amp;totales!J169="0","r",IF(totales!E169="4"&amp;totales!H169="0"&amp;totales!I169="1"&amp;totales!J169="0","s",IF(totales!E169="6"&amp;totales!H169="0"&amp;totales!I169="1"&amp;totales!J169="0","t",IF(totales!E169="1"&amp;totales!H169="2"&amp;totales!I169="1"&amp;totales!J169="0","u",IF(totales!E169="2"&amp;totales!H169="2"&amp;totales!I169="1"&amp;totales!J169="0","v",IF(totales!E169="3"&amp;totales!H169="2"&amp;totales!I169="1"&amp;totales!J169="0","w",IF(totales!E169="4"&amp;totales!H169="2"&amp;totales!I169="1"&amp;totales!J169="0","x",
IF(totales!E169="6"&amp;totales!H169="2"&amp;totales!I169="1"&amp;totales!J169="0","y",IF(totales!E169="1"&amp;totales!H169="1"&amp;totales!I169="1"&amp;totales!J169="0","z",IF(totales!E169="2"&amp;totales!H169="1"&amp;totales!I169="1"&amp;totales!J169="0","0",IF(totales!E169="3"&amp;totales!H169="1"&amp;totales!I169="1"&amp;totales!J169="0","1",IF(totales!E169="4"&amp;totales!H169="1"&amp;totales!I169="1"&amp;totales!J169="0","2",IF(totales!E169="6"&amp;totales!H169="1"&amp;totales!I169="1"&amp;totales!J169="0","3",IF(totales!E169="1"&amp;totales!H169="0"&amp;totales!I169="1"&amp;totales!J169="1","4",IF(totales!E169="2"&amp;totales!H169="0"&amp;totales!I169="1"&amp;totales!J169="1","5",IF(totales!E169="3"&amp;totales!H169="0"&amp;totales!I169="1"&amp;totales!J169="1","6",IF(totales!E169="4"&amp;totales!H169="0"&amp;totales!I169="1"&amp;totales!J169="1","7",IF(totales!E169="6"&amp;totales!H169="0"&amp;totales!I169="1"&amp;totales!J169="1","8",IF(totales!E169="1"&amp;totales!H169="1"&amp;totales!I169="0"&amp;totales!J169="1","9"))))))))))))))))))))))))))))))))))))</f>
        <v>0</v>
      </c>
    </row>
    <row r="169" spans="22:22">
      <c r="V169" s="102" t="b">
        <f>IF(totales!E170="1"&amp;totales!H170="0"&amp;totales!I170="0"&amp;totales!J170="0","a",IF(totales!E170="2"&amp;totales!H170="0"&amp;totales!I170="0"&amp;totales!J170="0","b",IF(totales!E170="3"&amp;totales!H170="0"&amp;totales!I170="0"&amp;totales!J170="0","c",IF(totales!E170="4"&amp;totales!H170="0"&amp;totales!I170="0"&amp;totales!J170="0","d",IF(totales!E170="6"&amp;totales!H170="0"&amp;totales!I170="0"&amp;totales!J170="0","e",IF(totales!E170="1"&amp;totales!H170="1"&amp;totales!I170="0"&amp;totales!J170="0","f",IF(totales!E170="2"&amp;totales!H170="1"&amp;totales!I170="0"&amp;totales!J170="0","g",IF(totales!E170="3"&amp;totales!H170="1"&amp;totales!I170="0"&amp;totales!J170="0","h",IF(totales!E170="4"&amp;totales!H170="1"&amp;totales!I170="0"&amp;totales!J170="0","i",IF(totales!E170="6"&amp;totales!H170="1"&amp;totales!I170="0"&amp;totales!J170="0","j",IF(totales!E170="1"&amp;totales!H170="2"&amp;totales!I170="0"&amp;totales!J170="0","k",IF(totales!E170="2"&amp;totales!H170="2"&amp;totales!I170="0"&amp;totales!J170="0","l",IF(totales!E170="3"&amp;totales!H170="2"&amp;totales!I170="0"&amp;totales!J170="0","m",
IF(totales!E170="4"&amp;totales!H170="2"&amp;totales!I170="0"&amp;totales!J170="0","n",IF(totales!E170="6"&amp;totales!H170="2"&amp;totales!I170="0"&amp;totales!J170="0","o",IF(totales!E170="1"&amp;totales!H170="0"&amp;totales!I170="1"&amp;totales!J170="0","p",IF(totales!E170="2"&amp;totales!H170="0"&amp;totales!I170="1"&amp;totales!J170="0","q",IF(totales!E170="3"&amp;totales!H170="0"&amp;totales!I170="1"&amp;totales!J170="0","r",IF(totales!E170="4"&amp;totales!H170="0"&amp;totales!I170="1"&amp;totales!J170="0","s",IF(totales!E170="6"&amp;totales!H170="0"&amp;totales!I170="1"&amp;totales!J170="0","t",IF(totales!E170="1"&amp;totales!H170="2"&amp;totales!I170="1"&amp;totales!J170="0","u",IF(totales!E170="2"&amp;totales!H170="2"&amp;totales!I170="1"&amp;totales!J170="0","v",IF(totales!E170="3"&amp;totales!H170="2"&amp;totales!I170="1"&amp;totales!J170="0","w",IF(totales!E170="4"&amp;totales!H170="2"&amp;totales!I170="1"&amp;totales!J170="0","x",
IF(totales!E170="6"&amp;totales!H170="2"&amp;totales!I170="1"&amp;totales!J170="0","y",IF(totales!E170="1"&amp;totales!H170="1"&amp;totales!I170="1"&amp;totales!J170="0","z",IF(totales!E170="2"&amp;totales!H170="1"&amp;totales!I170="1"&amp;totales!J170="0","0",IF(totales!E170="3"&amp;totales!H170="1"&amp;totales!I170="1"&amp;totales!J170="0","1",IF(totales!E170="4"&amp;totales!H170="1"&amp;totales!I170="1"&amp;totales!J170="0","2",IF(totales!E170="6"&amp;totales!H170="1"&amp;totales!I170="1"&amp;totales!J170="0","3",IF(totales!E170="1"&amp;totales!H170="0"&amp;totales!I170="1"&amp;totales!J170="1","4",IF(totales!E170="2"&amp;totales!H170="0"&amp;totales!I170="1"&amp;totales!J170="1","5",IF(totales!E170="3"&amp;totales!H170="0"&amp;totales!I170="1"&amp;totales!J170="1","6",IF(totales!E170="4"&amp;totales!H170="0"&amp;totales!I170="1"&amp;totales!J170="1","7",IF(totales!E170="6"&amp;totales!H170="0"&amp;totales!I170="1"&amp;totales!J170="1","8",IF(totales!E170="1"&amp;totales!H170="1"&amp;totales!I170="0"&amp;totales!J170="1","9"))))))))))))))))))))))))))))))))))))</f>
        <v>0</v>
      </c>
    </row>
    <row r="170" spans="22:22">
      <c r="V170" s="102" t="b">
        <f>IF(totales!E171="1"&amp;totales!H171="0"&amp;totales!I171="0"&amp;totales!J171="0","a",IF(totales!E171="2"&amp;totales!H171="0"&amp;totales!I171="0"&amp;totales!J171="0","b",IF(totales!E171="3"&amp;totales!H171="0"&amp;totales!I171="0"&amp;totales!J171="0","c",IF(totales!E171="4"&amp;totales!H171="0"&amp;totales!I171="0"&amp;totales!J171="0","d",IF(totales!E171="6"&amp;totales!H171="0"&amp;totales!I171="0"&amp;totales!J171="0","e",IF(totales!E171="1"&amp;totales!H171="1"&amp;totales!I171="0"&amp;totales!J171="0","f",IF(totales!E171="2"&amp;totales!H171="1"&amp;totales!I171="0"&amp;totales!J171="0","g",IF(totales!E171="3"&amp;totales!H171="1"&amp;totales!I171="0"&amp;totales!J171="0","h",IF(totales!E171="4"&amp;totales!H171="1"&amp;totales!I171="0"&amp;totales!J171="0","i",IF(totales!E171="6"&amp;totales!H171="1"&amp;totales!I171="0"&amp;totales!J171="0","j",IF(totales!E171="1"&amp;totales!H171="2"&amp;totales!I171="0"&amp;totales!J171="0","k",IF(totales!E171="2"&amp;totales!H171="2"&amp;totales!I171="0"&amp;totales!J171="0","l",IF(totales!E171="3"&amp;totales!H171="2"&amp;totales!I171="0"&amp;totales!J171="0","m",
IF(totales!E171="4"&amp;totales!H171="2"&amp;totales!I171="0"&amp;totales!J171="0","n",IF(totales!E171="6"&amp;totales!H171="2"&amp;totales!I171="0"&amp;totales!J171="0","o",IF(totales!E171="1"&amp;totales!H171="0"&amp;totales!I171="1"&amp;totales!J171="0","p",IF(totales!E171="2"&amp;totales!H171="0"&amp;totales!I171="1"&amp;totales!J171="0","q",IF(totales!E171="3"&amp;totales!H171="0"&amp;totales!I171="1"&amp;totales!J171="0","r",IF(totales!E171="4"&amp;totales!H171="0"&amp;totales!I171="1"&amp;totales!J171="0","s",IF(totales!E171="6"&amp;totales!H171="0"&amp;totales!I171="1"&amp;totales!J171="0","t",IF(totales!E171="1"&amp;totales!H171="2"&amp;totales!I171="1"&amp;totales!J171="0","u",IF(totales!E171="2"&amp;totales!H171="2"&amp;totales!I171="1"&amp;totales!J171="0","v",IF(totales!E171="3"&amp;totales!H171="2"&amp;totales!I171="1"&amp;totales!J171="0","w",IF(totales!E171="4"&amp;totales!H171="2"&amp;totales!I171="1"&amp;totales!J171="0","x",
IF(totales!E171="6"&amp;totales!H171="2"&amp;totales!I171="1"&amp;totales!J171="0","y",IF(totales!E171="1"&amp;totales!H171="1"&amp;totales!I171="1"&amp;totales!J171="0","z",IF(totales!E171="2"&amp;totales!H171="1"&amp;totales!I171="1"&amp;totales!J171="0","0",IF(totales!E171="3"&amp;totales!H171="1"&amp;totales!I171="1"&amp;totales!J171="0","1",IF(totales!E171="4"&amp;totales!H171="1"&amp;totales!I171="1"&amp;totales!J171="0","2",IF(totales!E171="6"&amp;totales!H171="1"&amp;totales!I171="1"&amp;totales!J171="0","3",IF(totales!E171="1"&amp;totales!H171="0"&amp;totales!I171="1"&amp;totales!J171="1","4",IF(totales!E171="2"&amp;totales!H171="0"&amp;totales!I171="1"&amp;totales!J171="1","5",IF(totales!E171="3"&amp;totales!H171="0"&amp;totales!I171="1"&amp;totales!J171="1","6",IF(totales!E171="4"&amp;totales!H171="0"&amp;totales!I171="1"&amp;totales!J171="1","7",IF(totales!E171="6"&amp;totales!H171="0"&amp;totales!I171="1"&amp;totales!J171="1","8",IF(totales!E171="1"&amp;totales!H171="1"&amp;totales!I171="0"&amp;totales!J171="1","9"))))))))))))))))))))))))))))))))))))</f>
        <v>0</v>
      </c>
    </row>
    <row r="171" spans="22:22">
      <c r="V171" s="102" t="b">
        <f>IF(totales!E172="1"&amp;totales!H172="0"&amp;totales!I172="0"&amp;totales!J172="0","a",IF(totales!E172="2"&amp;totales!H172="0"&amp;totales!I172="0"&amp;totales!J172="0","b",IF(totales!E172="3"&amp;totales!H172="0"&amp;totales!I172="0"&amp;totales!J172="0","c",IF(totales!E172="4"&amp;totales!H172="0"&amp;totales!I172="0"&amp;totales!J172="0","d",IF(totales!E172="6"&amp;totales!H172="0"&amp;totales!I172="0"&amp;totales!J172="0","e",IF(totales!E172="1"&amp;totales!H172="1"&amp;totales!I172="0"&amp;totales!J172="0","f",IF(totales!E172="2"&amp;totales!H172="1"&amp;totales!I172="0"&amp;totales!J172="0","g",IF(totales!E172="3"&amp;totales!H172="1"&amp;totales!I172="0"&amp;totales!J172="0","h",IF(totales!E172="4"&amp;totales!H172="1"&amp;totales!I172="0"&amp;totales!J172="0","i",IF(totales!E172="6"&amp;totales!H172="1"&amp;totales!I172="0"&amp;totales!J172="0","j",IF(totales!E172="1"&amp;totales!H172="2"&amp;totales!I172="0"&amp;totales!J172="0","k",IF(totales!E172="2"&amp;totales!H172="2"&amp;totales!I172="0"&amp;totales!J172="0","l",IF(totales!E172="3"&amp;totales!H172="2"&amp;totales!I172="0"&amp;totales!J172="0","m",
IF(totales!E172="4"&amp;totales!H172="2"&amp;totales!I172="0"&amp;totales!J172="0","n",IF(totales!E172="6"&amp;totales!H172="2"&amp;totales!I172="0"&amp;totales!J172="0","o",IF(totales!E172="1"&amp;totales!H172="0"&amp;totales!I172="1"&amp;totales!J172="0","p",IF(totales!E172="2"&amp;totales!H172="0"&amp;totales!I172="1"&amp;totales!J172="0","q",IF(totales!E172="3"&amp;totales!H172="0"&amp;totales!I172="1"&amp;totales!J172="0","r",IF(totales!E172="4"&amp;totales!H172="0"&amp;totales!I172="1"&amp;totales!J172="0","s",IF(totales!E172="6"&amp;totales!H172="0"&amp;totales!I172="1"&amp;totales!J172="0","t",IF(totales!E172="1"&amp;totales!H172="2"&amp;totales!I172="1"&amp;totales!J172="0","u",IF(totales!E172="2"&amp;totales!H172="2"&amp;totales!I172="1"&amp;totales!J172="0","v",IF(totales!E172="3"&amp;totales!H172="2"&amp;totales!I172="1"&amp;totales!J172="0","w",IF(totales!E172="4"&amp;totales!H172="2"&amp;totales!I172="1"&amp;totales!J172="0","x",
IF(totales!E172="6"&amp;totales!H172="2"&amp;totales!I172="1"&amp;totales!J172="0","y",IF(totales!E172="1"&amp;totales!H172="1"&amp;totales!I172="1"&amp;totales!J172="0","z",IF(totales!E172="2"&amp;totales!H172="1"&amp;totales!I172="1"&amp;totales!J172="0","0",IF(totales!E172="3"&amp;totales!H172="1"&amp;totales!I172="1"&amp;totales!J172="0","1",IF(totales!E172="4"&amp;totales!H172="1"&amp;totales!I172="1"&amp;totales!J172="0","2",IF(totales!E172="6"&amp;totales!H172="1"&amp;totales!I172="1"&amp;totales!J172="0","3",IF(totales!E172="1"&amp;totales!H172="0"&amp;totales!I172="1"&amp;totales!J172="1","4",IF(totales!E172="2"&amp;totales!H172="0"&amp;totales!I172="1"&amp;totales!J172="1","5",IF(totales!E172="3"&amp;totales!H172="0"&amp;totales!I172="1"&amp;totales!J172="1","6",IF(totales!E172="4"&amp;totales!H172="0"&amp;totales!I172="1"&amp;totales!J172="1","7",IF(totales!E172="6"&amp;totales!H172="0"&amp;totales!I172="1"&amp;totales!J172="1","8",IF(totales!E172="1"&amp;totales!H172="1"&amp;totales!I172="0"&amp;totales!J172="1","9"))))))))))))))))))))))))))))))))))))</f>
        <v>0</v>
      </c>
    </row>
    <row r="172" spans="22:22">
      <c r="V172" s="102" t="b">
        <f>IF(totales!E173="1"&amp;totales!H173="0"&amp;totales!I173="0"&amp;totales!J173="0","a",IF(totales!E173="2"&amp;totales!H173="0"&amp;totales!I173="0"&amp;totales!J173="0","b",IF(totales!E173="3"&amp;totales!H173="0"&amp;totales!I173="0"&amp;totales!J173="0","c",IF(totales!E173="4"&amp;totales!H173="0"&amp;totales!I173="0"&amp;totales!J173="0","d",IF(totales!E173="6"&amp;totales!H173="0"&amp;totales!I173="0"&amp;totales!J173="0","e",IF(totales!E173="1"&amp;totales!H173="1"&amp;totales!I173="0"&amp;totales!J173="0","f",IF(totales!E173="2"&amp;totales!H173="1"&amp;totales!I173="0"&amp;totales!J173="0","g",IF(totales!E173="3"&amp;totales!H173="1"&amp;totales!I173="0"&amp;totales!J173="0","h",IF(totales!E173="4"&amp;totales!H173="1"&amp;totales!I173="0"&amp;totales!J173="0","i",IF(totales!E173="6"&amp;totales!H173="1"&amp;totales!I173="0"&amp;totales!J173="0","j",IF(totales!E173="1"&amp;totales!H173="2"&amp;totales!I173="0"&amp;totales!J173="0","k",IF(totales!E173="2"&amp;totales!H173="2"&amp;totales!I173="0"&amp;totales!J173="0","l",IF(totales!E173="3"&amp;totales!H173="2"&amp;totales!I173="0"&amp;totales!J173="0","m",
IF(totales!E173="4"&amp;totales!H173="2"&amp;totales!I173="0"&amp;totales!J173="0","n",IF(totales!E173="6"&amp;totales!H173="2"&amp;totales!I173="0"&amp;totales!J173="0","o",IF(totales!E173="1"&amp;totales!H173="0"&amp;totales!I173="1"&amp;totales!J173="0","p",IF(totales!E173="2"&amp;totales!H173="0"&amp;totales!I173="1"&amp;totales!J173="0","q",IF(totales!E173="3"&amp;totales!H173="0"&amp;totales!I173="1"&amp;totales!J173="0","r",IF(totales!E173="4"&amp;totales!H173="0"&amp;totales!I173="1"&amp;totales!J173="0","s",IF(totales!E173="6"&amp;totales!H173="0"&amp;totales!I173="1"&amp;totales!J173="0","t",IF(totales!E173="1"&amp;totales!H173="2"&amp;totales!I173="1"&amp;totales!J173="0","u",IF(totales!E173="2"&amp;totales!H173="2"&amp;totales!I173="1"&amp;totales!J173="0","v",IF(totales!E173="3"&amp;totales!H173="2"&amp;totales!I173="1"&amp;totales!J173="0","w",IF(totales!E173="4"&amp;totales!H173="2"&amp;totales!I173="1"&amp;totales!J173="0","x",
IF(totales!E173="6"&amp;totales!H173="2"&amp;totales!I173="1"&amp;totales!J173="0","y",IF(totales!E173="1"&amp;totales!H173="1"&amp;totales!I173="1"&amp;totales!J173="0","z",IF(totales!E173="2"&amp;totales!H173="1"&amp;totales!I173="1"&amp;totales!J173="0","0",IF(totales!E173="3"&amp;totales!H173="1"&amp;totales!I173="1"&amp;totales!J173="0","1",IF(totales!E173="4"&amp;totales!H173="1"&amp;totales!I173="1"&amp;totales!J173="0","2",IF(totales!E173="6"&amp;totales!H173="1"&amp;totales!I173="1"&amp;totales!J173="0","3",IF(totales!E173="1"&amp;totales!H173="0"&amp;totales!I173="1"&amp;totales!J173="1","4",IF(totales!E173="2"&amp;totales!H173="0"&amp;totales!I173="1"&amp;totales!J173="1","5",IF(totales!E173="3"&amp;totales!H173="0"&amp;totales!I173="1"&amp;totales!J173="1","6",IF(totales!E173="4"&amp;totales!H173="0"&amp;totales!I173="1"&amp;totales!J173="1","7",IF(totales!E173="6"&amp;totales!H173="0"&amp;totales!I173="1"&amp;totales!J173="1","8",IF(totales!E173="1"&amp;totales!H173="1"&amp;totales!I173="0"&amp;totales!J173="1","9"))))))))))))))))))))))))))))))))))))</f>
        <v>0</v>
      </c>
    </row>
    <row r="173" spans="22:22">
      <c r="V173" s="102" t="b">
        <f>IF(totales!E174="1"&amp;totales!H174="0"&amp;totales!I174="0"&amp;totales!J174="0","a",IF(totales!E174="2"&amp;totales!H174="0"&amp;totales!I174="0"&amp;totales!J174="0","b",IF(totales!E174="3"&amp;totales!H174="0"&amp;totales!I174="0"&amp;totales!J174="0","c",IF(totales!E174="4"&amp;totales!H174="0"&amp;totales!I174="0"&amp;totales!J174="0","d",IF(totales!E174="6"&amp;totales!H174="0"&amp;totales!I174="0"&amp;totales!J174="0","e",IF(totales!E174="1"&amp;totales!H174="1"&amp;totales!I174="0"&amp;totales!J174="0","f",IF(totales!E174="2"&amp;totales!H174="1"&amp;totales!I174="0"&amp;totales!J174="0","g",IF(totales!E174="3"&amp;totales!H174="1"&amp;totales!I174="0"&amp;totales!J174="0","h",IF(totales!E174="4"&amp;totales!H174="1"&amp;totales!I174="0"&amp;totales!J174="0","i",IF(totales!E174="6"&amp;totales!H174="1"&amp;totales!I174="0"&amp;totales!J174="0","j",IF(totales!E174="1"&amp;totales!H174="2"&amp;totales!I174="0"&amp;totales!J174="0","k",IF(totales!E174="2"&amp;totales!H174="2"&amp;totales!I174="0"&amp;totales!J174="0","l",IF(totales!E174="3"&amp;totales!H174="2"&amp;totales!I174="0"&amp;totales!J174="0","m",
IF(totales!E174="4"&amp;totales!H174="2"&amp;totales!I174="0"&amp;totales!J174="0","n",IF(totales!E174="6"&amp;totales!H174="2"&amp;totales!I174="0"&amp;totales!J174="0","o",IF(totales!E174="1"&amp;totales!H174="0"&amp;totales!I174="1"&amp;totales!J174="0","p",IF(totales!E174="2"&amp;totales!H174="0"&amp;totales!I174="1"&amp;totales!J174="0","q",IF(totales!E174="3"&amp;totales!H174="0"&amp;totales!I174="1"&amp;totales!J174="0","r",IF(totales!E174="4"&amp;totales!H174="0"&amp;totales!I174="1"&amp;totales!J174="0","s",IF(totales!E174="6"&amp;totales!H174="0"&amp;totales!I174="1"&amp;totales!J174="0","t",IF(totales!E174="1"&amp;totales!H174="2"&amp;totales!I174="1"&amp;totales!J174="0","u",IF(totales!E174="2"&amp;totales!H174="2"&amp;totales!I174="1"&amp;totales!J174="0","v",IF(totales!E174="3"&amp;totales!H174="2"&amp;totales!I174="1"&amp;totales!J174="0","w",IF(totales!E174="4"&amp;totales!H174="2"&amp;totales!I174="1"&amp;totales!J174="0","x",
IF(totales!E174="6"&amp;totales!H174="2"&amp;totales!I174="1"&amp;totales!J174="0","y",IF(totales!E174="1"&amp;totales!H174="1"&amp;totales!I174="1"&amp;totales!J174="0","z",IF(totales!E174="2"&amp;totales!H174="1"&amp;totales!I174="1"&amp;totales!J174="0","0",IF(totales!E174="3"&amp;totales!H174="1"&amp;totales!I174="1"&amp;totales!J174="0","1",IF(totales!E174="4"&amp;totales!H174="1"&amp;totales!I174="1"&amp;totales!J174="0","2",IF(totales!E174="6"&amp;totales!H174="1"&amp;totales!I174="1"&amp;totales!J174="0","3",IF(totales!E174="1"&amp;totales!H174="0"&amp;totales!I174="1"&amp;totales!J174="1","4",IF(totales!E174="2"&amp;totales!H174="0"&amp;totales!I174="1"&amp;totales!J174="1","5",IF(totales!E174="3"&amp;totales!H174="0"&amp;totales!I174="1"&amp;totales!J174="1","6",IF(totales!E174="4"&amp;totales!H174="0"&amp;totales!I174="1"&amp;totales!J174="1","7",IF(totales!E174="6"&amp;totales!H174="0"&amp;totales!I174="1"&amp;totales!J174="1","8",IF(totales!E174="1"&amp;totales!H174="1"&amp;totales!I174="0"&amp;totales!J174="1","9"))))))))))))))))))))))))))))))))))))</f>
        <v>0</v>
      </c>
    </row>
    <row r="174" spans="22:22">
      <c r="V174" s="102" t="b">
        <f>IF(totales!E175="1"&amp;totales!H175="0"&amp;totales!I175="0"&amp;totales!J175="0","a",IF(totales!E175="2"&amp;totales!H175="0"&amp;totales!I175="0"&amp;totales!J175="0","b",IF(totales!E175="3"&amp;totales!H175="0"&amp;totales!I175="0"&amp;totales!J175="0","c",IF(totales!E175="4"&amp;totales!H175="0"&amp;totales!I175="0"&amp;totales!J175="0","d",IF(totales!E175="6"&amp;totales!H175="0"&amp;totales!I175="0"&amp;totales!J175="0","e",IF(totales!E175="1"&amp;totales!H175="1"&amp;totales!I175="0"&amp;totales!J175="0","f",IF(totales!E175="2"&amp;totales!H175="1"&amp;totales!I175="0"&amp;totales!J175="0","g",IF(totales!E175="3"&amp;totales!H175="1"&amp;totales!I175="0"&amp;totales!J175="0","h",IF(totales!E175="4"&amp;totales!H175="1"&amp;totales!I175="0"&amp;totales!J175="0","i",IF(totales!E175="6"&amp;totales!H175="1"&amp;totales!I175="0"&amp;totales!J175="0","j",IF(totales!E175="1"&amp;totales!H175="2"&amp;totales!I175="0"&amp;totales!J175="0","k",IF(totales!E175="2"&amp;totales!H175="2"&amp;totales!I175="0"&amp;totales!J175="0","l",IF(totales!E175="3"&amp;totales!H175="2"&amp;totales!I175="0"&amp;totales!J175="0","m",
IF(totales!E175="4"&amp;totales!H175="2"&amp;totales!I175="0"&amp;totales!J175="0","n",IF(totales!E175="6"&amp;totales!H175="2"&amp;totales!I175="0"&amp;totales!J175="0","o",IF(totales!E175="1"&amp;totales!H175="0"&amp;totales!I175="1"&amp;totales!J175="0","p",IF(totales!E175="2"&amp;totales!H175="0"&amp;totales!I175="1"&amp;totales!J175="0","q",IF(totales!E175="3"&amp;totales!H175="0"&amp;totales!I175="1"&amp;totales!J175="0","r",IF(totales!E175="4"&amp;totales!H175="0"&amp;totales!I175="1"&amp;totales!J175="0","s",IF(totales!E175="6"&amp;totales!H175="0"&amp;totales!I175="1"&amp;totales!J175="0","t",IF(totales!E175="1"&amp;totales!H175="2"&amp;totales!I175="1"&amp;totales!J175="0","u",IF(totales!E175="2"&amp;totales!H175="2"&amp;totales!I175="1"&amp;totales!J175="0","v",IF(totales!E175="3"&amp;totales!H175="2"&amp;totales!I175="1"&amp;totales!J175="0","w",IF(totales!E175="4"&amp;totales!H175="2"&amp;totales!I175="1"&amp;totales!J175="0","x",
IF(totales!E175="6"&amp;totales!H175="2"&amp;totales!I175="1"&amp;totales!J175="0","y",IF(totales!E175="1"&amp;totales!H175="1"&amp;totales!I175="1"&amp;totales!J175="0","z",IF(totales!E175="2"&amp;totales!H175="1"&amp;totales!I175="1"&amp;totales!J175="0","0",IF(totales!E175="3"&amp;totales!H175="1"&amp;totales!I175="1"&amp;totales!J175="0","1",IF(totales!E175="4"&amp;totales!H175="1"&amp;totales!I175="1"&amp;totales!J175="0","2",IF(totales!E175="6"&amp;totales!H175="1"&amp;totales!I175="1"&amp;totales!J175="0","3",IF(totales!E175="1"&amp;totales!H175="0"&amp;totales!I175="1"&amp;totales!J175="1","4",IF(totales!E175="2"&amp;totales!H175="0"&amp;totales!I175="1"&amp;totales!J175="1","5",IF(totales!E175="3"&amp;totales!H175="0"&amp;totales!I175="1"&amp;totales!J175="1","6",IF(totales!E175="4"&amp;totales!H175="0"&amp;totales!I175="1"&amp;totales!J175="1","7",IF(totales!E175="6"&amp;totales!H175="0"&amp;totales!I175="1"&amp;totales!J175="1","8",IF(totales!E175="1"&amp;totales!H175="1"&amp;totales!I175="0"&amp;totales!J175="1","9"))))))))))))))))))))))))))))))))))))</f>
        <v>0</v>
      </c>
    </row>
    <row r="175" spans="22:22">
      <c r="V175" s="102" t="b">
        <f>IF(totales!E176="1"&amp;totales!H176="0"&amp;totales!I176="0"&amp;totales!J176="0","a",IF(totales!E176="2"&amp;totales!H176="0"&amp;totales!I176="0"&amp;totales!J176="0","b",IF(totales!E176="3"&amp;totales!H176="0"&amp;totales!I176="0"&amp;totales!J176="0","c",IF(totales!E176="4"&amp;totales!H176="0"&amp;totales!I176="0"&amp;totales!J176="0","d",IF(totales!E176="6"&amp;totales!H176="0"&amp;totales!I176="0"&amp;totales!J176="0","e",IF(totales!E176="1"&amp;totales!H176="1"&amp;totales!I176="0"&amp;totales!J176="0","f",IF(totales!E176="2"&amp;totales!H176="1"&amp;totales!I176="0"&amp;totales!J176="0","g",IF(totales!E176="3"&amp;totales!H176="1"&amp;totales!I176="0"&amp;totales!J176="0","h",IF(totales!E176="4"&amp;totales!H176="1"&amp;totales!I176="0"&amp;totales!J176="0","i",IF(totales!E176="6"&amp;totales!H176="1"&amp;totales!I176="0"&amp;totales!J176="0","j",IF(totales!E176="1"&amp;totales!H176="2"&amp;totales!I176="0"&amp;totales!J176="0","k",IF(totales!E176="2"&amp;totales!H176="2"&amp;totales!I176="0"&amp;totales!J176="0","l",IF(totales!E176="3"&amp;totales!H176="2"&amp;totales!I176="0"&amp;totales!J176="0","m",
IF(totales!E176="4"&amp;totales!H176="2"&amp;totales!I176="0"&amp;totales!J176="0","n",IF(totales!E176="6"&amp;totales!H176="2"&amp;totales!I176="0"&amp;totales!J176="0","o",IF(totales!E176="1"&amp;totales!H176="0"&amp;totales!I176="1"&amp;totales!J176="0","p",IF(totales!E176="2"&amp;totales!H176="0"&amp;totales!I176="1"&amp;totales!J176="0","q",IF(totales!E176="3"&amp;totales!H176="0"&amp;totales!I176="1"&amp;totales!J176="0","r",IF(totales!E176="4"&amp;totales!H176="0"&amp;totales!I176="1"&amp;totales!J176="0","s",IF(totales!E176="6"&amp;totales!H176="0"&amp;totales!I176="1"&amp;totales!J176="0","t",IF(totales!E176="1"&amp;totales!H176="2"&amp;totales!I176="1"&amp;totales!J176="0","u",IF(totales!E176="2"&amp;totales!H176="2"&amp;totales!I176="1"&amp;totales!J176="0","v",IF(totales!E176="3"&amp;totales!H176="2"&amp;totales!I176="1"&amp;totales!J176="0","w",IF(totales!E176="4"&amp;totales!H176="2"&amp;totales!I176="1"&amp;totales!J176="0","x",
IF(totales!E176="6"&amp;totales!H176="2"&amp;totales!I176="1"&amp;totales!J176="0","y",IF(totales!E176="1"&amp;totales!H176="1"&amp;totales!I176="1"&amp;totales!J176="0","z",IF(totales!E176="2"&amp;totales!H176="1"&amp;totales!I176="1"&amp;totales!J176="0","0",IF(totales!E176="3"&amp;totales!H176="1"&amp;totales!I176="1"&amp;totales!J176="0","1",IF(totales!E176="4"&amp;totales!H176="1"&amp;totales!I176="1"&amp;totales!J176="0","2",IF(totales!E176="6"&amp;totales!H176="1"&amp;totales!I176="1"&amp;totales!J176="0","3",IF(totales!E176="1"&amp;totales!H176="0"&amp;totales!I176="1"&amp;totales!J176="1","4",IF(totales!E176="2"&amp;totales!H176="0"&amp;totales!I176="1"&amp;totales!J176="1","5",IF(totales!E176="3"&amp;totales!H176="0"&amp;totales!I176="1"&amp;totales!J176="1","6",IF(totales!E176="4"&amp;totales!H176="0"&amp;totales!I176="1"&amp;totales!J176="1","7",IF(totales!E176="6"&amp;totales!H176="0"&amp;totales!I176="1"&amp;totales!J176="1","8",IF(totales!E176="1"&amp;totales!H176="1"&amp;totales!I176="0"&amp;totales!J176="1","9"))))))))))))))))))))))))))))))))))))</f>
        <v>0</v>
      </c>
    </row>
    <row r="176" spans="22:22">
      <c r="V176" s="102" t="b">
        <f>IF(totales!E177="1"&amp;totales!H177="0"&amp;totales!I177="0"&amp;totales!J177="0","a",IF(totales!E177="2"&amp;totales!H177="0"&amp;totales!I177="0"&amp;totales!J177="0","b",IF(totales!E177="3"&amp;totales!H177="0"&amp;totales!I177="0"&amp;totales!J177="0","c",IF(totales!E177="4"&amp;totales!H177="0"&amp;totales!I177="0"&amp;totales!J177="0","d",IF(totales!E177="6"&amp;totales!H177="0"&amp;totales!I177="0"&amp;totales!J177="0","e",IF(totales!E177="1"&amp;totales!H177="1"&amp;totales!I177="0"&amp;totales!J177="0","f",IF(totales!E177="2"&amp;totales!H177="1"&amp;totales!I177="0"&amp;totales!J177="0","g",IF(totales!E177="3"&amp;totales!H177="1"&amp;totales!I177="0"&amp;totales!J177="0","h",IF(totales!E177="4"&amp;totales!H177="1"&amp;totales!I177="0"&amp;totales!J177="0","i",IF(totales!E177="6"&amp;totales!H177="1"&amp;totales!I177="0"&amp;totales!J177="0","j",IF(totales!E177="1"&amp;totales!H177="2"&amp;totales!I177="0"&amp;totales!J177="0","k",IF(totales!E177="2"&amp;totales!H177="2"&amp;totales!I177="0"&amp;totales!J177="0","l",IF(totales!E177="3"&amp;totales!H177="2"&amp;totales!I177="0"&amp;totales!J177="0","m",
IF(totales!E177="4"&amp;totales!H177="2"&amp;totales!I177="0"&amp;totales!J177="0","n",IF(totales!E177="6"&amp;totales!H177="2"&amp;totales!I177="0"&amp;totales!J177="0","o",IF(totales!E177="1"&amp;totales!H177="0"&amp;totales!I177="1"&amp;totales!J177="0","p",IF(totales!E177="2"&amp;totales!H177="0"&amp;totales!I177="1"&amp;totales!J177="0","q",IF(totales!E177="3"&amp;totales!H177="0"&amp;totales!I177="1"&amp;totales!J177="0","r",IF(totales!E177="4"&amp;totales!H177="0"&amp;totales!I177="1"&amp;totales!J177="0","s",IF(totales!E177="6"&amp;totales!H177="0"&amp;totales!I177="1"&amp;totales!J177="0","t",IF(totales!E177="1"&amp;totales!H177="2"&amp;totales!I177="1"&amp;totales!J177="0","u",IF(totales!E177="2"&amp;totales!H177="2"&amp;totales!I177="1"&amp;totales!J177="0","v",IF(totales!E177="3"&amp;totales!H177="2"&amp;totales!I177="1"&amp;totales!J177="0","w",IF(totales!E177="4"&amp;totales!H177="2"&amp;totales!I177="1"&amp;totales!J177="0","x",
IF(totales!E177="6"&amp;totales!H177="2"&amp;totales!I177="1"&amp;totales!J177="0","y",IF(totales!E177="1"&amp;totales!H177="1"&amp;totales!I177="1"&amp;totales!J177="0","z",IF(totales!E177="2"&amp;totales!H177="1"&amp;totales!I177="1"&amp;totales!J177="0","0",IF(totales!E177="3"&amp;totales!H177="1"&amp;totales!I177="1"&amp;totales!J177="0","1",IF(totales!E177="4"&amp;totales!H177="1"&amp;totales!I177="1"&amp;totales!J177="0","2",IF(totales!E177="6"&amp;totales!H177="1"&amp;totales!I177="1"&amp;totales!J177="0","3",IF(totales!E177="1"&amp;totales!H177="0"&amp;totales!I177="1"&amp;totales!J177="1","4",IF(totales!E177="2"&amp;totales!H177="0"&amp;totales!I177="1"&amp;totales!J177="1","5",IF(totales!E177="3"&amp;totales!H177="0"&amp;totales!I177="1"&amp;totales!J177="1","6",IF(totales!E177="4"&amp;totales!H177="0"&amp;totales!I177="1"&amp;totales!J177="1","7",IF(totales!E177="6"&amp;totales!H177="0"&amp;totales!I177="1"&amp;totales!J177="1","8",IF(totales!E177="1"&amp;totales!H177="1"&amp;totales!I177="0"&amp;totales!J177="1","9"))))))))))))))))))))))))))))))))))))</f>
        <v>0</v>
      </c>
    </row>
    <row r="177" spans="22:22">
      <c r="V177" s="102" t="b">
        <f>IF(totales!E178="1"&amp;totales!H178="0"&amp;totales!I178="0"&amp;totales!J178="0","a",IF(totales!E178="2"&amp;totales!H178="0"&amp;totales!I178="0"&amp;totales!J178="0","b",IF(totales!E178="3"&amp;totales!H178="0"&amp;totales!I178="0"&amp;totales!J178="0","c",IF(totales!E178="4"&amp;totales!H178="0"&amp;totales!I178="0"&amp;totales!J178="0","d",IF(totales!E178="6"&amp;totales!H178="0"&amp;totales!I178="0"&amp;totales!J178="0","e",IF(totales!E178="1"&amp;totales!H178="1"&amp;totales!I178="0"&amp;totales!J178="0","f",IF(totales!E178="2"&amp;totales!H178="1"&amp;totales!I178="0"&amp;totales!J178="0","g",IF(totales!E178="3"&amp;totales!H178="1"&amp;totales!I178="0"&amp;totales!J178="0","h",IF(totales!E178="4"&amp;totales!H178="1"&amp;totales!I178="0"&amp;totales!J178="0","i",IF(totales!E178="6"&amp;totales!H178="1"&amp;totales!I178="0"&amp;totales!J178="0","j",IF(totales!E178="1"&amp;totales!H178="2"&amp;totales!I178="0"&amp;totales!J178="0","k",IF(totales!E178="2"&amp;totales!H178="2"&amp;totales!I178="0"&amp;totales!J178="0","l",IF(totales!E178="3"&amp;totales!H178="2"&amp;totales!I178="0"&amp;totales!J178="0","m",
IF(totales!E178="4"&amp;totales!H178="2"&amp;totales!I178="0"&amp;totales!J178="0","n",IF(totales!E178="6"&amp;totales!H178="2"&amp;totales!I178="0"&amp;totales!J178="0","o",IF(totales!E178="1"&amp;totales!H178="0"&amp;totales!I178="1"&amp;totales!J178="0","p",IF(totales!E178="2"&amp;totales!H178="0"&amp;totales!I178="1"&amp;totales!J178="0","q",IF(totales!E178="3"&amp;totales!H178="0"&amp;totales!I178="1"&amp;totales!J178="0","r",IF(totales!E178="4"&amp;totales!H178="0"&amp;totales!I178="1"&amp;totales!J178="0","s",IF(totales!E178="6"&amp;totales!H178="0"&amp;totales!I178="1"&amp;totales!J178="0","t",IF(totales!E178="1"&amp;totales!H178="2"&amp;totales!I178="1"&amp;totales!J178="0","u",IF(totales!E178="2"&amp;totales!H178="2"&amp;totales!I178="1"&amp;totales!J178="0","v",IF(totales!E178="3"&amp;totales!H178="2"&amp;totales!I178="1"&amp;totales!J178="0","w",IF(totales!E178="4"&amp;totales!H178="2"&amp;totales!I178="1"&amp;totales!J178="0","x",
IF(totales!E178="6"&amp;totales!H178="2"&amp;totales!I178="1"&amp;totales!J178="0","y",IF(totales!E178="1"&amp;totales!H178="1"&amp;totales!I178="1"&amp;totales!J178="0","z",IF(totales!E178="2"&amp;totales!H178="1"&amp;totales!I178="1"&amp;totales!J178="0","0",IF(totales!E178="3"&amp;totales!H178="1"&amp;totales!I178="1"&amp;totales!J178="0","1",IF(totales!E178="4"&amp;totales!H178="1"&amp;totales!I178="1"&amp;totales!J178="0","2",IF(totales!E178="6"&amp;totales!H178="1"&amp;totales!I178="1"&amp;totales!J178="0","3",IF(totales!E178="1"&amp;totales!H178="0"&amp;totales!I178="1"&amp;totales!J178="1","4",IF(totales!E178="2"&amp;totales!H178="0"&amp;totales!I178="1"&amp;totales!J178="1","5",IF(totales!E178="3"&amp;totales!H178="0"&amp;totales!I178="1"&amp;totales!J178="1","6",IF(totales!E178="4"&amp;totales!H178="0"&amp;totales!I178="1"&amp;totales!J178="1","7",IF(totales!E178="6"&amp;totales!H178="0"&amp;totales!I178="1"&amp;totales!J178="1","8",IF(totales!E178="1"&amp;totales!H178="1"&amp;totales!I178="0"&amp;totales!J178="1","9"))))))))))))))))))))))))))))))))))))</f>
        <v>0</v>
      </c>
    </row>
    <row r="178" spans="22:22">
      <c r="V178" s="102" t="b">
        <f>IF(totales!E179="1"&amp;totales!H179="0"&amp;totales!I179="0"&amp;totales!J179="0","a",IF(totales!E179="2"&amp;totales!H179="0"&amp;totales!I179="0"&amp;totales!J179="0","b",IF(totales!E179="3"&amp;totales!H179="0"&amp;totales!I179="0"&amp;totales!J179="0","c",IF(totales!E179="4"&amp;totales!H179="0"&amp;totales!I179="0"&amp;totales!J179="0","d",IF(totales!E179="6"&amp;totales!H179="0"&amp;totales!I179="0"&amp;totales!J179="0","e",IF(totales!E179="1"&amp;totales!H179="1"&amp;totales!I179="0"&amp;totales!J179="0","f",IF(totales!E179="2"&amp;totales!H179="1"&amp;totales!I179="0"&amp;totales!J179="0","g",IF(totales!E179="3"&amp;totales!H179="1"&amp;totales!I179="0"&amp;totales!J179="0","h",IF(totales!E179="4"&amp;totales!H179="1"&amp;totales!I179="0"&amp;totales!J179="0","i",IF(totales!E179="6"&amp;totales!H179="1"&amp;totales!I179="0"&amp;totales!J179="0","j",IF(totales!E179="1"&amp;totales!H179="2"&amp;totales!I179="0"&amp;totales!J179="0","k",IF(totales!E179="2"&amp;totales!H179="2"&amp;totales!I179="0"&amp;totales!J179="0","l",IF(totales!E179="3"&amp;totales!H179="2"&amp;totales!I179="0"&amp;totales!J179="0","m",
IF(totales!E179="4"&amp;totales!H179="2"&amp;totales!I179="0"&amp;totales!J179="0","n",IF(totales!E179="6"&amp;totales!H179="2"&amp;totales!I179="0"&amp;totales!J179="0","o",IF(totales!E179="1"&amp;totales!H179="0"&amp;totales!I179="1"&amp;totales!J179="0","p",IF(totales!E179="2"&amp;totales!H179="0"&amp;totales!I179="1"&amp;totales!J179="0","q",IF(totales!E179="3"&amp;totales!H179="0"&amp;totales!I179="1"&amp;totales!J179="0","r",IF(totales!E179="4"&amp;totales!H179="0"&amp;totales!I179="1"&amp;totales!J179="0","s",IF(totales!E179="6"&amp;totales!H179="0"&amp;totales!I179="1"&amp;totales!J179="0","t",IF(totales!E179="1"&amp;totales!H179="2"&amp;totales!I179="1"&amp;totales!J179="0","u",IF(totales!E179="2"&amp;totales!H179="2"&amp;totales!I179="1"&amp;totales!J179="0","v",IF(totales!E179="3"&amp;totales!H179="2"&amp;totales!I179="1"&amp;totales!J179="0","w",IF(totales!E179="4"&amp;totales!H179="2"&amp;totales!I179="1"&amp;totales!J179="0","x",
IF(totales!E179="6"&amp;totales!H179="2"&amp;totales!I179="1"&amp;totales!J179="0","y",IF(totales!E179="1"&amp;totales!H179="1"&amp;totales!I179="1"&amp;totales!J179="0","z",IF(totales!E179="2"&amp;totales!H179="1"&amp;totales!I179="1"&amp;totales!J179="0","0",IF(totales!E179="3"&amp;totales!H179="1"&amp;totales!I179="1"&amp;totales!J179="0","1",IF(totales!E179="4"&amp;totales!H179="1"&amp;totales!I179="1"&amp;totales!J179="0","2",IF(totales!E179="6"&amp;totales!H179="1"&amp;totales!I179="1"&amp;totales!J179="0","3",IF(totales!E179="1"&amp;totales!H179="0"&amp;totales!I179="1"&amp;totales!J179="1","4",IF(totales!E179="2"&amp;totales!H179="0"&amp;totales!I179="1"&amp;totales!J179="1","5",IF(totales!E179="3"&amp;totales!H179="0"&amp;totales!I179="1"&amp;totales!J179="1","6",IF(totales!E179="4"&amp;totales!H179="0"&amp;totales!I179="1"&amp;totales!J179="1","7",IF(totales!E179="6"&amp;totales!H179="0"&amp;totales!I179="1"&amp;totales!J179="1","8",IF(totales!E179="1"&amp;totales!H179="1"&amp;totales!I179="0"&amp;totales!J179="1","9"))))))))))))))))))))))))))))))))))))</f>
        <v>0</v>
      </c>
    </row>
    <row r="179" spans="22:22">
      <c r="V179" s="102" t="b">
        <f>IF(totales!E180="1"&amp;totales!H180="0"&amp;totales!I180="0"&amp;totales!J180="0","a",IF(totales!E180="2"&amp;totales!H180="0"&amp;totales!I180="0"&amp;totales!J180="0","b",IF(totales!E180="3"&amp;totales!H180="0"&amp;totales!I180="0"&amp;totales!J180="0","c",IF(totales!E180="4"&amp;totales!H180="0"&amp;totales!I180="0"&amp;totales!J180="0","d",IF(totales!E180="6"&amp;totales!H180="0"&amp;totales!I180="0"&amp;totales!J180="0","e",IF(totales!E180="1"&amp;totales!H180="1"&amp;totales!I180="0"&amp;totales!J180="0","f",IF(totales!E180="2"&amp;totales!H180="1"&amp;totales!I180="0"&amp;totales!J180="0","g",IF(totales!E180="3"&amp;totales!H180="1"&amp;totales!I180="0"&amp;totales!J180="0","h",IF(totales!E180="4"&amp;totales!H180="1"&amp;totales!I180="0"&amp;totales!J180="0","i",IF(totales!E180="6"&amp;totales!H180="1"&amp;totales!I180="0"&amp;totales!J180="0","j",IF(totales!E180="1"&amp;totales!H180="2"&amp;totales!I180="0"&amp;totales!J180="0","k",IF(totales!E180="2"&amp;totales!H180="2"&amp;totales!I180="0"&amp;totales!J180="0","l",IF(totales!E180="3"&amp;totales!H180="2"&amp;totales!I180="0"&amp;totales!J180="0","m",
IF(totales!E180="4"&amp;totales!H180="2"&amp;totales!I180="0"&amp;totales!J180="0","n",IF(totales!E180="6"&amp;totales!H180="2"&amp;totales!I180="0"&amp;totales!J180="0","o",IF(totales!E180="1"&amp;totales!H180="0"&amp;totales!I180="1"&amp;totales!J180="0","p",IF(totales!E180="2"&amp;totales!H180="0"&amp;totales!I180="1"&amp;totales!J180="0","q",IF(totales!E180="3"&amp;totales!H180="0"&amp;totales!I180="1"&amp;totales!J180="0","r",IF(totales!E180="4"&amp;totales!H180="0"&amp;totales!I180="1"&amp;totales!J180="0","s",IF(totales!E180="6"&amp;totales!H180="0"&amp;totales!I180="1"&amp;totales!J180="0","t",IF(totales!E180="1"&amp;totales!H180="2"&amp;totales!I180="1"&amp;totales!J180="0","u",IF(totales!E180="2"&amp;totales!H180="2"&amp;totales!I180="1"&amp;totales!J180="0","v",IF(totales!E180="3"&amp;totales!H180="2"&amp;totales!I180="1"&amp;totales!J180="0","w",IF(totales!E180="4"&amp;totales!H180="2"&amp;totales!I180="1"&amp;totales!J180="0","x",
IF(totales!E180="6"&amp;totales!H180="2"&amp;totales!I180="1"&amp;totales!J180="0","y",IF(totales!E180="1"&amp;totales!H180="1"&amp;totales!I180="1"&amp;totales!J180="0","z",IF(totales!E180="2"&amp;totales!H180="1"&amp;totales!I180="1"&amp;totales!J180="0","0",IF(totales!E180="3"&amp;totales!H180="1"&amp;totales!I180="1"&amp;totales!J180="0","1",IF(totales!E180="4"&amp;totales!H180="1"&amp;totales!I180="1"&amp;totales!J180="0","2",IF(totales!E180="6"&amp;totales!H180="1"&amp;totales!I180="1"&amp;totales!J180="0","3",IF(totales!E180="1"&amp;totales!H180="0"&amp;totales!I180="1"&amp;totales!J180="1","4",IF(totales!E180="2"&amp;totales!H180="0"&amp;totales!I180="1"&amp;totales!J180="1","5",IF(totales!E180="3"&amp;totales!H180="0"&amp;totales!I180="1"&amp;totales!J180="1","6",IF(totales!E180="4"&amp;totales!H180="0"&amp;totales!I180="1"&amp;totales!J180="1","7",IF(totales!E180="6"&amp;totales!H180="0"&amp;totales!I180="1"&amp;totales!J180="1","8",IF(totales!E180="1"&amp;totales!H180="1"&amp;totales!I180="0"&amp;totales!J180="1","9"))))))))))))))))))))))))))))))))))))</f>
        <v>0</v>
      </c>
    </row>
    <row r="180" spans="22:22">
      <c r="V180" s="102" t="b">
        <f>IF(totales!E181="1"&amp;totales!H181="0"&amp;totales!I181="0"&amp;totales!J181="0","a",IF(totales!E181="2"&amp;totales!H181="0"&amp;totales!I181="0"&amp;totales!J181="0","b",IF(totales!E181="3"&amp;totales!H181="0"&amp;totales!I181="0"&amp;totales!J181="0","c",IF(totales!E181="4"&amp;totales!H181="0"&amp;totales!I181="0"&amp;totales!J181="0","d",IF(totales!E181="6"&amp;totales!H181="0"&amp;totales!I181="0"&amp;totales!J181="0","e",IF(totales!E181="1"&amp;totales!H181="1"&amp;totales!I181="0"&amp;totales!J181="0","f",IF(totales!E181="2"&amp;totales!H181="1"&amp;totales!I181="0"&amp;totales!J181="0","g",IF(totales!E181="3"&amp;totales!H181="1"&amp;totales!I181="0"&amp;totales!J181="0","h",IF(totales!E181="4"&amp;totales!H181="1"&amp;totales!I181="0"&amp;totales!J181="0","i",IF(totales!E181="6"&amp;totales!H181="1"&amp;totales!I181="0"&amp;totales!J181="0","j",IF(totales!E181="1"&amp;totales!H181="2"&amp;totales!I181="0"&amp;totales!J181="0","k",IF(totales!E181="2"&amp;totales!H181="2"&amp;totales!I181="0"&amp;totales!J181="0","l",IF(totales!E181="3"&amp;totales!H181="2"&amp;totales!I181="0"&amp;totales!J181="0","m",
IF(totales!E181="4"&amp;totales!H181="2"&amp;totales!I181="0"&amp;totales!J181="0","n",IF(totales!E181="6"&amp;totales!H181="2"&amp;totales!I181="0"&amp;totales!J181="0","o",IF(totales!E181="1"&amp;totales!H181="0"&amp;totales!I181="1"&amp;totales!J181="0","p",IF(totales!E181="2"&amp;totales!H181="0"&amp;totales!I181="1"&amp;totales!J181="0","q",IF(totales!E181="3"&amp;totales!H181="0"&amp;totales!I181="1"&amp;totales!J181="0","r",IF(totales!E181="4"&amp;totales!H181="0"&amp;totales!I181="1"&amp;totales!J181="0","s",IF(totales!E181="6"&amp;totales!H181="0"&amp;totales!I181="1"&amp;totales!J181="0","t",IF(totales!E181="1"&amp;totales!H181="2"&amp;totales!I181="1"&amp;totales!J181="0","u",IF(totales!E181="2"&amp;totales!H181="2"&amp;totales!I181="1"&amp;totales!J181="0","v",IF(totales!E181="3"&amp;totales!H181="2"&amp;totales!I181="1"&amp;totales!J181="0","w",IF(totales!E181="4"&amp;totales!H181="2"&amp;totales!I181="1"&amp;totales!J181="0","x",
IF(totales!E181="6"&amp;totales!H181="2"&amp;totales!I181="1"&amp;totales!J181="0","y",IF(totales!E181="1"&amp;totales!H181="1"&amp;totales!I181="1"&amp;totales!J181="0","z",IF(totales!E181="2"&amp;totales!H181="1"&amp;totales!I181="1"&amp;totales!J181="0","0",IF(totales!E181="3"&amp;totales!H181="1"&amp;totales!I181="1"&amp;totales!J181="0","1",IF(totales!E181="4"&amp;totales!H181="1"&amp;totales!I181="1"&amp;totales!J181="0","2",IF(totales!E181="6"&amp;totales!H181="1"&amp;totales!I181="1"&amp;totales!J181="0","3",IF(totales!E181="1"&amp;totales!H181="0"&amp;totales!I181="1"&amp;totales!J181="1","4",IF(totales!E181="2"&amp;totales!H181="0"&amp;totales!I181="1"&amp;totales!J181="1","5",IF(totales!E181="3"&amp;totales!H181="0"&amp;totales!I181="1"&amp;totales!J181="1","6",IF(totales!E181="4"&amp;totales!H181="0"&amp;totales!I181="1"&amp;totales!J181="1","7",IF(totales!E181="6"&amp;totales!H181="0"&amp;totales!I181="1"&amp;totales!J181="1","8",IF(totales!E181="1"&amp;totales!H181="1"&amp;totales!I181="0"&amp;totales!J181="1","9"))))))))))))))))))))))))))))))))))))</f>
        <v>0</v>
      </c>
    </row>
    <row r="181" spans="22:22">
      <c r="V181" s="102" t="b">
        <f>IF(totales!E182="1"&amp;totales!H182="0"&amp;totales!I182="0"&amp;totales!J182="0","a",IF(totales!E182="2"&amp;totales!H182="0"&amp;totales!I182="0"&amp;totales!J182="0","b",IF(totales!E182="3"&amp;totales!H182="0"&amp;totales!I182="0"&amp;totales!J182="0","c",IF(totales!E182="4"&amp;totales!H182="0"&amp;totales!I182="0"&amp;totales!J182="0","d",IF(totales!E182="6"&amp;totales!H182="0"&amp;totales!I182="0"&amp;totales!J182="0","e",IF(totales!E182="1"&amp;totales!H182="1"&amp;totales!I182="0"&amp;totales!J182="0","f",IF(totales!E182="2"&amp;totales!H182="1"&amp;totales!I182="0"&amp;totales!J182="0","g",IF(totales!E182="3"&amp;totales!H182="1"&amp;totales!I182="0"&amp;totales!J182="0","h",IF(totales!E182="4"&amp;totales!H182="1"&amp;totales!I182="0"&amp;totales!J182="0","i",IF(totales!E182="6"&amp;totales!H182="1"&amp;totales!I182="0"&amp;totales!J182="0","j",IF(totales!E182="1"&amp;totales!H182="2"&amp;totales!I182="0"&amp;totales!J182="0","k",IF(totales!E182="2"&amp;totales!H182="2"&amp;totales!I182="0"&amp;totales!J182="0","l",IF(totales!E182="3"&amp;totales!H182="2"&amp;totales!I182="0"&amp;totales!J182="0","m",
IF(totales!E182="4"&amp;totales!H182="2"&amp;totales!I182="0"&amp;totales!J182="0","n",IF(totales!E182="6"&amp;totales!H182="2"&amp;totales!I182="0"&amp;totales!J182="0","o",IF(totales!E182="1"&amp;totales!H182="0"&amp;totales!I182="1"&amp;totales!J182="0","p",IF(totales!E182="2"&amp;totales!H182="0"&amp;totales!I182="1"&amp;totales!J182="0","q",IF(totales!E182="3"&amp;totales!H182="0"&amp;totales!I182="1"&amp;totales!J182="0","r",IF(totales!E182="4"&amp;totales!H182="0"&amp;totales!I182="1"&amp;totales!J182="0","s",IF(totales!E182="6"&amp;totales!H182="0"&amp;totales!I182="1"&amp;totales!J182="0","t",IF(totales!E182="1"&amp;totales!H182="2"&amp;totales!I182="1"&amp;totales!J182="0","u",IF(totales!E182="2"&amp;totales!H182="2"&amp;totales!I182="1"&amp;totales!J182="0","v",IF(totales!E182="3"&amp;totales!H182="2"&amp;totales!I182="1"&amp;totales!J182="0","w",IF(totales!E182="4"&amp;totales!H182="2"&amp;totales!I182="1"&amp;totales!J182="0","x",
IF(totales!E182="6"&amp;totales!H182="2"&amp;totales!I182="1"&amp;totales!J182="0","y",IF(totales!E182="1"&amp;totales!H182="1"&amp;totales!I182="1"&amp;totales!J182="0","z",IF(totales!E182="2"&amp;totales!H182="1"&amp;totales!I182="1"&amp;totales!J182="0","0",IF(totales!E182="3"&amp;totales!H182="1"&amp;totales!I182="1"&amp;totales!J182="0","1",IF(totales!E182="4"&amp;totales!H182="1"&amp;totales!I182="1"&amp;totales!J182="0","2",IF(totales!E182="6"&amp;totales!H182="1"&amp;totales!I182="1"&amp;totales!J182="0","3",IF(totales!E182="1"&amp;totales!H182="0"&amp;totales!I182="1"&amp;totales!J182="1","4",IF(totales!E182="2"&amp;totales!H182="0"&amp;totales!I182="1"&amp;totales!J182="1","5",IF(totales!E182="3"&amp;totales!H182="0"&amp;totales!I182="1"&amp;totales!J182="1","6",IF(totales!E182="4"&amp;totales!H182="0"&amp;totales!I182="1"&amp;totales!J182="1","7",IF(totales!E182="6"&amp;totales!H182="0"&amp;totales!I182="1"&amp;totales!J182="1","8",IF(totales!E182="1"&amp;totales!H182="1"&amp;totales!I182="0"&amp;totales!J182="1","9"))))))))))))))))))))))))))))))))))))</f>
        <v>0</v>
      </c>
    </row>
    <row r="182" spans="22:22">
      <c r="V182" s="102" t="b">
        <f>IF(totales!E183="1"&amp;totales!H183="0"&amp;totales!I183="0"&amp;totales!J183="0","a",IF(totales!E183="2"&amp;totales!H183="0"&amp;totales!I183="0"&amp;totales!J183="0","b",IF(totales!E183="3"&amp;totales!H183="0"&amp;totales!I183="0"&amp;totales!J183="0","c",IF(totales!E183="4"&amp;totales!H183="0"&amp;totales!I183="0"&amp;totales!J183="0","d",IF(totales!E183="6"&amp;totales!H183="0"&amp;totales!I183="0"&amp;totales!J183="0","e",IF(totales!E183="1"&amp;totales!H183="1"&amp;totales!I183="0"&amp;totales!J183="0","f",IF(totales!E183="2"&amp;totales!H183="1"&amp;totales!I183="0"&amp;totales!J183="0","g",IF(totales!E183="3"&amp;totales!H183="1"&amp;totales!I183="0"&amp;totales!J183="0","h",IF(totales!E183="4"&amp;totales!H183="1"&amp;totales!I183="0"&amp;totales!J183="0","i",IF(totales!E183="6"&amp;totales!H183="1"&amp;totales!I183="0"&amp;totales!J183="0","j",IF(totales!E183="1"&amp;totales!H183="2"&amp;totales!I183="0"&amp;totales!J183="0","k",IF(totales!E183="2"&amp;totales!H183="2"&amp;totales!I183="0"&amp;totales!J183="0","l",IF(totales!E183="3"&amp;totales!H183="2"&amp;totales!I183="0"&amp;totales!J183="0","m",
IF(totales!E183="4"&amp;totales!H183="2"&amp;totales!I183="0"&amp;totales!J183="0","n",IF(totales!E183="6"&amp;totales!H183="2"&amp;totales!I183="0"&amp;totales!J183="0","o",IF(totales!E183="1"&amp;totales!H183="0"&amp;totales!I183="1"&amp;totales!J183="0","p",IF(totales!E183="2"&amp;totales!H183="0"&amp;totales!I183="1"&amp;totales!J183="0","q",IF(totales!E183="3"&amp;totales!H183="0"&amp;totales!I183="1"&amp;totales!J183="0","r",IF(totales!E183="4"&amp;totales!H183="0"&amp;totales!I183="1"&amp;totales!J183="0","s",IF(totales!E183="6"&amp;totales!H183="0"&amp;totales!I183="1"&amp;totales!J183="0","t",IF(totales!E183="1"&amp;totales!H183="2"&amp;totales!I183="1"&amp;totales!J183="0","u",IF(totales!E183="2"&amp;totales!H183="2"&amp;totales!I183="1"&amp;totales!J183="0","v",IF(totales!E183="3"&amp;totales!H183="2"&amp;totales!I183="1"&amp;totales!J183="0","w",IF(totales!E183="4"&amp;totales!H183="2"&amp;totales!I183="1"&amp;totales!J183="0","x",
IF(totales!E183="6"&amp;totales!H183="2"&amp;totales!I183="1"&amp;totales!J183="0","y",IF(totales!E183="1"&amp;totales!H183="1"&amp;totales!I183="1"&amp;totales!J183="0","z",IF(totales!E183="2"&amp;totales!H183="1"&amp;totales!I183="1"&amp;totales!J183="0","0",IF(totales!E183="3"&amp;totales!H183="1"&amp;totales!I183="1"&amp;totales!J183="0","1",IF(totales!E183="4"&amp;totales!H183="1"&amp;totales!I183="1"&amp;totales!J183="0","2",IF(totales!E183="6"&amp;totales!H183="1"&amp;totales!I183="1"&amp;totales!J183="0","3",IF(totales!E183="1"&amp;totales!H183="0"&amp;totales!I183="1"&amp;totales!J183="1","4",IF(totales!E183="2"&amp;totales!H183="0"&amp;totales!I183="1"&amp;totales!J183="1","5",IF(totales!E183="3"&amp;totales!H183="0"&amp;totales!I183="1"&amp;totales!J183="1","6",IF(totales!E183="4"&amp;totales!H183="0"&amp;totales!I183="1"&amp;totales!J183="1","7",IF(totales!E183="6"&amp;totales!H183="0"&amp;totales!I183="1"&amp;totales!J183="1","8",IF(totales!E183="1"&amp;totales!H183="1"&amp;totales!I183="0"&amp;totales!J183="1","9"))))))))))))))))))))))))))))))))))))</f>
        <v>0</v>
      </c>
    </row>
    <row r="183" spans="22:22">
      <c r="V183" s="102" t="b">
        <f>IF(totales!E184="1"&amp;totales!H184="0"&amp;totales!I184="0"&amp;totales!J184="0","a",IF(totales!E184="2"&amp;totales!H184="0"&amp;totales!I184="0"&amp;totales!J184="0","b",IF(totales!E184="3"&amp;totales!H184="0"&amp;totales!I184="0"&amp;totales!J184="0","c",IF(totales!E184="4"&amp;totales!H184="0"&amp;totales!I184="0"&amp;totales!J184="0","d",IF(totales!E184="6"&amp;totales!H184="0"&amp;totales!I184="0"&amp;totales!J184="0","e",IF(totales!E184="1"&amp;totales!H184="1"&amp;totales!I184="0"&amp;totales!J184="0","f",IF(totales!E184="2"&amp;totales!H184="1"&amp;totales!I184="0"&amp;totales!J184="0","g",IF(totales!E184="3"&amp;totales!H184="1"&amp;totales!I184="0"&amp;totales!J184="0","h",IF(totales!E184="4"&amp;totales!H184="1"&amp;totales!I184="0"&amp;totales!J184="0","i",IF(totales!E184="6"&amp;totales!H184="1"&amp;totales!I184="0"&amp;totales!J184="0","j",IF(totales!E184="1"&amp;totales!H184="2"&amp;totales!I184="0"&amp;totales!J184="0","k",IF(totales!E184="2"&amp;totales!H184="2"&amp;totales!I184="0"&amp;totales!J184="0","l",IF(totales!E184="3"&amp;totales!H184="2"&amp;totales!I184="0"&amp;totales!J184="0","m",
IF(totales!E184="4"&amp;totales!H184="2"&amp;totales!I184="0"&amp;totales!J184="0","n",IF(totales!E184="6"&amp;totales!H184="2"&amp;totales!I184="0"&amp;totales!J184="0","o",IF(totales!E184="1"&amp;totales!H184="0"&amp;totales!I184="1"&amp;totales!J184="0","p",IF(totales!E184="2"&amp;totales!H184="0"&amp;totales!I184="1"&amp;totales!J184="0","q",IF(totales!E184="3"&amp;totales!H184="0"&amp;totales!I184="1"&amp;totales!J184="0","r",IF(totales!E184="4"&amp;totales!H184="0"&amp;totales!I184="1"&amp;totales!J184="0","s",IF(totales!E184="6"&amp;totales!H184="0"&amp;totales!I184="1"&amp;totales!J184="0","t",IF(totales!E184="1"&amp;totales!H184="2"&amp;totales!I184="1"&amp;totales!J184="0","u",IF(totales!E184="2"&amp;totales!H184="2"&amp;totales!I184="1"&amp;totales!J184="0","v",IF(totales!E184="3"&amp;totales!H184="2"&amp;totales!I184="1"&amp;totales!J184="0","w",IF(totales!E184="4"&amp;totales!H184="2"&amp;totales!I184="1"&amp;totales!J184="0","x",
IF(totales!E184="6"&amp;totales!H184="2"&amp;totales!I184="1"&amp;totales!J184="0","y",IF(totales!E184="1"&amp;totales!H184="1"&amp;totales!I184="1"&amp;totales!J184="0","z",IF(totales!E184="2"&amp;totales!H184="1"&amp;totales!I184="1"&amp;totales!J184="0","0",IF(totales!E184="3"&amp;totales!H184="1"&amp;totales!I184="1"&amp;totales!J184="0","1",IF(totales!E184="4"&amp;totales!H184="1"&amp;totales!I184="1"&amp;totales!J184="0","2",IF(totales!E184="6"&amp;totales!H184="1"&amp;totales!I184="1"&amp;totales!J184="0","3",IF(totales!E184="1"&amp;totales!H184="0"&amp;totales!I184="1"&amp;totales!J184="1","4",IF(totales!E184="2"&amp;totales!H184="0"&amp;totales!I184="1"&amp;totales!J184="1","5",IF(totales!E184="3"&amp;totales!H184="0"&amp;totales!I184="1"&amp;totales!J184="1","6",IF(totales!E184="4"&amp;totales!H184="0"&amp;totales!I184="1"&amp;totales!J184="1","7",IF(totales!E184="6"&amp;totales!H184="0"&amp;totales!I184="1"&amp;totales!J184="1","8",IF(totales!E184="1"&amp;totales!H184="1"&amp;totales!I184="0"&amp;totales!J184="1","9"))))))))))))))))))))))))))))))))))))</f>
        <v>0</v>
      </c>
    </row>
    <row r="184" spans="22:22">
      <c r="V184" s="102" t="b">
        <f>IF(totales!E185="1"&amp;totales!H185="0"&amp;totales!I185="0"&amp;totales!J185="0","a",IF(totales!E185="2"&amp;totales!H185="0"&amp;totales!I185="0"&amp;totales!J185="0","b",IF(totales!E185="3"&amp;totales!H185="0"&amp;totales!I185="0"&amp;totales!J185="0","c",IF(totales!E185="4"&amp;totales!H185="0"&amp;totales!I185="0"&amp;totales!J185="0","d",IF(totales!E185="6"&amp;totales!H185="0"&amp;totales!I185="0"&amp;totales!J185="0","e",IF(totales!E185="1"&amp;totales!H185="1"&amp;totales!I185="0"&amp;totales!J185="0","f",IF(totales!E185="2"&amp;totales!H185="1"&amp;totales!I185="0"&amp;totales!J185="0","g",IF(totales!E185="3"&amp;totales!H185="1"&amp;totales!I185="0"&amp;totales!J185="0","h",IF(totales!E185="4"&amp;totales!H185="1"&amp;totales!I185="0"&amp;totales!J185="0","i",IF(totales!E185="6"&amp;totales!H185="1"&amp;totales!I185="0"&amp;totales!J185="0","j",IF(totales!E185="1"&amp;totales!H185="2"&amp;totales!I185="0"&amp;totales!J185="0","k",IF(totales!E185="2"&amp;totales!H185="2"&amp;totales!I185="0"&amp;totales!J185="0","l",IF(totales!E185="3"&amp;totales!H185="2"&amp;totales!I185="0"&amp;totales!J185="0","m",
IF(totales!E185="4"&amp;totales!H185="2"&amp;totales!I185="0"&amp;totales!J185="0","n",IF(totales!E185="6"&amp;totales!H185="2"&amp;totales!I185="0"&amp;totales!J185="0","o",IF(totales!E185="1"&amp;totales!H185="0"&amp;totales!I185="1"&amp;totales!J185="0","p",IF(totales!E185="2"&amp;totales!H185="0"&amp;totales!I185="1"&amp;totales!J185="0","q",IF(totales!E185="3"&amp;totales!H185="0"&amp;totales!I185="1"&amp;totales!J185="0","r",IF(totales!E185="4"&amp;totales!H185="0"&amp;totales!I185="1"&amp;totales!J185="0","s",IF(totales!E185="6"&amp;totales!H185="0"&amp;totales!I185="1"&amp;totales!J185="0","t",IF(totales!E185="1"&amp;totales!H185="2"&amp;totales!I185="1"&amp;totales!J185="0","u",IF(totales!E185="2"&amp;totales!H185="2"&amp;totales!I185="1"&amp;totales!J185="0","v",IF(totales!E185="3"&amp;totales!H185="2"&amp;totales!I185="1"&amp;totales!J185="0","w",IF(totales!E185="4"&amp;totales!H185="2"&amp;totales!I185="1"&amp;totales!J185="0","x",
IF(totales!E185="6"&amp;totales!H185="2"&amp;totales!I185="1"&amp;totales!J185="0","y",IF(totales!E185="1"&amp;totales!H185="1"&amp;totales!I185="1"&amp;totales!J185="0","z",IF(totales!E185="2"&amp;totales!H185="1"&amp;totales!I185="1"&amp;totales!J185="0","0",IF(totales!E185="3"&amp;totales!H185="1"&amp;totales!I185="1"&amp;totales!J185="0","1",IF(totales!E185="4"&amp;totales!H185="1"&amp;totales!I185="1"&amp;totales!J185="0","2",IF(totales!E185="6"&amp;totales!H185="1"&amp;totales!I185="1"&amp;totales!J185="0","3",IF(totales!E185="1"&amp;totales!H185="0"&amp;totales!I185="1"&amp;totales!J185="1","4",IF(totales!E185="2"&amp;totales!H185="0"&amp;totales!I185="1"&amp;totales!J185="1","5",IF(totales!E185="3"&amp;totales!H185="0"&amp;totales!I185="1"&amp;totales!J185="1","6",IF(totales!E185="4"&amp;totales!H185="0"&amp;totales!I185="1"&amp;totales!J185="1","7",IF(totales!E185="6"&amp;totales!H185="0"&amp;totales!I185="1"&amp;totales!J185="1","8",IF(totales!E185="1"&amp;totales!H185="1"&amp;totales!I185="0"&amp;totales!J185="1","9"))))))))))))))))))))))))))))))))))))</f>
        <v>0</v>
      </c>
    </row>
    <row r="185" spans="22:22">
      <c r="V185" s="102" t="b">
        <f>IF(totales!E186="1"&amp;totales!H186="0"&amp;totales!I186="0"&amp;totales!J186="0","a",IF(totales!E186="2"&amp;totales!H186="0"&amp;totales!I186="0"&amp;totales!J186="0","b",IF(totales!E186="3"&amp;totales!H186="0"&amp;totales!I186="0"&amp;totales!J186="0","c",IF(totales!E186="4"&amp;totales!H186="0"&amp;totales!I186="0"&amp;totales!J186="0","d",IF(totales!E186="6"&amp;totales!H186="0"&amp;totales!I186="0"&amp;totales!J186="0","e",IF(totales!E186="1"&amp;totales!H186="1"&amp;totales!I186="0"&amp;totales!J186="0","f",IF(totales!E186="2"&amp;totales!H186="1"&amp;totales!I186="0"&amp;totales!J186="0","g",IF(totales!E186="3"&amp;totales!H186="1"&amp;totales!I186="0"&amp;totales!J186="0","h",IF(totales!E186="4"&amp;totales!H186="1"&amp;totales!I186="0"&amp;totales!J186="0","i",IF(totales!E186="6"&amp;totales!H186="1"&amp;totales!I186="0"&amp;totales!J186="0","j",IF(totales!E186="1"&amp;totales!H186="2"&amp;totales!I186="0"&amp;totales!J186="0","k",IF(totales!E186="2"&amp;totales!H186="2"&amp;totales!I186="0"&amp;totales!J186="0","l",IF(totales!E186="3"&amp;totales!H186="2"&amp;totales!I186="0"&amp;totales!J186="0","m",
IF(totales!E186="4"&amp;totales!H186="2"&amp;totales!I186="0"&amp;totales!J186="0","n",IF(totales!E186="6"&amp;totales!H186="2"&amp;totales!I186="0"&amp;totales!J186="0","o",IF(totales!E186="1"&amp;totales!H186="0"&amp;totales!I186="1"&amp;totales!J186="0","p",IF(totales!E186="2"&amp;totales!H186="0"&amp;totales!I186="1"&amp;totales!J186="0","q",IF(totales!E186="3"&amp;totales!H186="0"&amp;totales!I186="1"&amp;totales!J186="0","r",IF(totales!E186="4"&amp;totales!H186="0"&amp;totales!I186="1"&amp;totales!J186="0","s",IF(totales!E186="6"&amp;totales!H186="0"&amp;totales!I186="1"&amp;totales!J186="0","t",IF(totales!E186="1"&amp;totales!H186="2"&amp;totales!I186="1"&amp;totales!J186="0","u",IF(totales!E186="2"&amp;totales!H186="2"&amp;totales!I186="1"&amp;totales!J186="0","v",IF(totales!E186="3"&amp;totales!H186="2"&amp;totales!I186="1"&amp;totales!J186="0","w",IF(totales!E186="4"&amp;totales!H186="2"&amp;totales!I186="1"&amp;totales!J186="0","x",
IF(totales!E186="6"&amp;totales!H186="2"&amp;totales!I186="1"&amp;totales!J186="0","y",IF(totales!E186="1"&amp;totales!H186="1"&amp;totales!I186="1"&amp;totales!J186="0","z",IF(totales!E186="2"&amp;totales!H186="1"&amp;totales!I186="1"&amp;totales!J186="0","0",IF(totales!E186="3"&amp;totales!H186="1"&amp;totales!I186="1"&amp;totales!J186="0","1",IF(totales!E186="4"&amp;totales!H186="1"&amp;totales!I186="1"&amp;totales!J186="0","2",IF(totales!E186="6"&amp;totales!H186="1"&amp;totales!I186="1"&amp;totales!J186="0","3",IF(totales!E186="1"&amp;totales!H186="0"&amp;totales!I186="1"&amp;totales!J186="1","4",IF(totales!E186="2"&amp;totales!H186="0"&amp;totales!I186="1"&amp;totales!J186="1","5",IF(totales!E186="3"&amp;totales!H186="0"&amp;totales!I186="1"&amp;totales!J186="1","6",IF(totales!E186="4"&amp;totales!H186="0"&amp;totales!I186="1"&amp;totales!J186="1","7",IF(totales!E186="6"&amp;totales!H186="0"&amp;totales!I186="1"&amp;totales!J186="1","8",IF(totales!E186="1"&amp;totales!H186="1"&amp;totales!I186="0"&amp;totales!J186="1","9"))))))))))))))))))))))))))))))))))))</f>
        <v>0</v>
      </c>
    </row>
    <row r="186" spans="22:22">
      <c r="V186" s="102" t="b">
        <f>IF(totales!E187="1"&amp;totales!H187="0"&amp;totales!I187="0"&amp;totales!J187="0","a",IF(totales!E187="2"&amp;totales!H187="0"&amp;totales!I187="0"&amp;totales!J187="0","b",IF(totales!E187="3"&amp;totales!H187="0"&amp;totales!I187="0"&amp;totales!J187="0","c",IF(totales!E187="4"&amp;totales!H187="0"&amp;totales!I187="0"&amp;totales!J187="0","d",IF(totales!E187="6"&amp;totales!H187="0"&amp;totales!I187="0"&amp;totales!J187="0","e",IF(totales!E187="1"&amp;totales!H187="1"&amp;totales!I187="0"&amp;totales!J187="0","f",IF(totales!E187="2"&amp;totales!H187="1"&amp;totales!I187="0"&amp;totales!J187="0","g",IF(totales!E187="3"&amp;totales!H187="1"&amp;totales!I187="0"&amp;totales!J187="0","h",IF(totales!E187="4"&amp;totales!H187="1"&amp;totales!I187="0"&amp;totales!J187="0","i",IF(totales!E187="6"&amp;totales!H187="1"&amp;totales!I187="0"&amp;totales!J187="0","j",IF(totales!E187="1"&amp;totales!H187="2"&amp;totales!I187="0"&amp;totales!J187="0","k",IF(totales!E187="2"&amp;totales!H187="2"&amp;totales!I187="0"&amp;totales!J187="0","l",IF(totales!E187="3"&amp;totales!H187="2"&amp;totales!I187="0"&amp;totales!J187="0","m",
IF(totales!E187="4"&amp;totales!H187="2"&amp;totales!I187="0"&amp;totales!J187="0","n",IF(totales!E187="6"&amp;totales!H187="2"&amp;totales!I187="0"&amp;totales!J187="0","o",IF(totales!E187="1"&amp;totales!H187="0"&amp;totales!I187="1"&amp;totales!J187="0","p",IF(totales!E187="2"&amp;totales!H187="0"&amp;totales!I187="1"&amp;totales!J187="0","q",IF(totales!E187="3"&amp;totales!H187="0"&amp;totales!I187="1"&amp;totales!J187="0","r",IF(totales!E187="4"&amp;totales!H187="0"&amp;totales!I187="1"&amp;totales!J187="0","s",IF(totales!E187="6"&amp;totales!H187="0"&amp;totales!I187="1"&amp;totales!J187="0","t",IF(totales!E187="1"&amp;totales!H187="2"&amp;totales!I187="1"&amp;totales!J187="0","u",IF(totales!E187="2"&amp;totales!H187="2"&amp;totales!I187="1"&amp;totales!J187="0","v",IF(totales!E187="3"&amp;totales!H187="2"&amp;totales!I187="1"&amp;totales!J187="0","w",IF(totales!E187="4"&amp;totales!H187="2"&amp;totales!I187="1"&amp;totales!J187="0","x",
IF(totales!E187="6"&amp;totales!H187="2"&amp;totales!I187="1"&amp;totales!J187="0","y",IF(totales!E187="1"&amp;totales!H187="1"&amp;totales!I187="1"&amp;totales!J187="0","z",IF(totales!E187="2"&amp;totales!H187="1"&amp;totales!I187="1"&amp;totales!J187="0","0",IF(totales!E187="3"&amp;totales!H187="1"&amp;totales!I187="1"&amp;totales!J187="0","1",IF(totales!E187="4"&amp;totales!H187="1"&amp;totales!I187="1"&amp;totales!J187="0","2",IF(totales!E187="6"&amp;totales!H187="1"&amp;totales!I187="1"&amp;totales!J187="0","3",IF(totales!E187="1"&amp;totales!H187="0"&amp;totales!I187="1"&amp;totales!J187="1","4",IF(totales!E187="2"&amp;totales!H187="0"&amp;totales!I187="1"&amp;totales!J187="1","5",IF(totales!E187="3"&amp;totales!H187="0"&amp;totales!I187="1"&amp;totales!J187="1","6",IF(totales!E187="4"&amp;totales!H187="0"&amp;totales!I187="1"&amp;totales!J187="1","7",IF(totales!E187="6"&amp;totales!H187="0"&amp;totales!I187="1"&amp;totales!J187="1","8",IF(totales!E187="1"&amp;totales!H187="1"&amp;totales!I187="0"&amp;totales!J187="1","9"))))))))))))))))))))))))))))))))))))</f>
        <v>0</v>
      </c>
    </row>
    <row r="187" spans="22:22">
      <c r="V187" s="102" t="b">
        <f>IF(totales!E188="1"&amp;totales!H188="0"&amp;totales!I188="0"&amp;totales!J188="0","a",IF(totales!E188="2"&amp;totales!H188="0"&amp;totales!I188="0"&amp;totales!J188="0","b",IF(totales!E188="3"&amp;totales!H188="0"&amp;totales!I188="0"&amp;totales!J188="0","c",IF(totales!E188="4"&amp;totales!H188="0"&amp;totales!I188="0"&amp;totales!J188="0","d",IF(totales!E188="6"&amp;totales!H188="0"&amp;totales!I188="0"&amp;totales!J188="0","e",IF(totales!E188="1"&amp;totales!H188="1"&amp;totales!I188="0"&amp;totales!J188="0","f",IF(totales!E188="2"&amp;totales!H188="1"&amp;totales!I188="0"&amp;totales!J188="0","g",IF(totales!E188="3"&amp;totales!H188="1"&amp;totales!I188="0"&amp;totales!J188="0","h",IF(totales!E188="4"&amp;totales!H188="1"&amp;totales!I188="0"&amp;totales!J188="0","i",IF(totales!E188="6"&amp;totales!H188="1"&amp;totales!I188="0"&amp;totales!J188="0","j",IF(totales!E188="1"&amp;totales!H188="2"&amp;totales!I188="0"&amp;totales!J188="0","k",IF(totales!E188="2"&amp;totales!H188="2"&amp;totales!I188="0"&amp;totales!J188="0","l",IF(totales!E188="3"&amp;totales!H188="2"&amp;totales!I188="0"&amp;totales!J188="0","m",
IF(totales!E188="4"&amp;totales!H188="2"&amp;totales!I188="0"&amp;totales!J188="0","n",IF(totales!E188="6"&amp;totales!H188="2"&amp;totales!I188="0"&amp;totales!J188="0","o",IF(totales!E188="1"&amp;totales!H188="0"&amp;totales!I188="1"&amp;totales!J188="0","p",IF(totales!E188="2"&amp;totales!H188="0"&amp;totales!I188="1"&amp;totales!J188="0","q",IF(totales!E188="3"&amp;totales!H188="0"&amp;totales!I188="1"&amp;totales!J188="0","r",IF(totales!E188="4"&amp;totales!H188="0"&amp;totales!I188="1"&amp;totales!J188="0","s",IF(totales!E188="6"&amp;totales!H188="0"&amp;totales!I188="1"&amp;totales!J188="0","t",IF(totales!E188="1"&amp;totales!H188="2"&amp;totales!I188="1"&amp;totales!J188="0","u",IF(totales!E188="2"&amp;totales!H188="2"&amp;totales!I188="1"&amp;totales!J188="0","v",IF(totales!E188="3"&amp;totales!H188="2"&amp;totales!I188="1"&amp;totales!J188="0","w",IF(totales!E188="4"&amp;totales!H188="2"&amp;totales!I188="1"&amp;totales!J188="0","x",
IF(totales!E188="6"&amp;totales!H188="2"&amp;totales!I188="1"&amp;totales!J188="0","y",IF(totales!E188="1"&amp;totales!H188="1"&amp;totales!I188="1"&amp;totales!J188="0","z",IF(totales!E188="2"&amp;totales!H188="1"&amp;totales!I188="1"&amp;totales!J188="0","0",IF(totales!E188="3"&amp;totales!H188="1"&amp;totales!I188="1"&amp;totales!J188="0","1",IF(totales!E188="4"&amp;totales!H188="1"&amp;totales!I188="1"&amp;totales!J188="0","2",IF(totales!E188="6"&amp;totales!H188="1"&amp;totales!I188="1"&amp;totales!J188="0","3",IF(totales!E188="1"&amp;totales!H188="0"&amp;totales!I188="1"&amp;totales!J188="1","4",IF(totales!E188="2"&amp;totales!H188="0"&amp;totales!I188="1"&amp;totales!J188="1","5",IF(totales!E188="3"&amp;totales!H188="0"&amp;totales!I188="1"&amp;totales!J188="1","6",IF(totales!E188="4"&amp;totales!H188="0"&amp;totales!I188="1"&amp;totales!J188="1","7",IF(totales!E188="6"&amp;totales!H188="0"&amp;totales!I188="1"&amp;totales!J188="1","8",IF(totales!E188="1"&amp;totales!H188="1"&amp;totales!I188="0"&amp;totales!J188="1","9"))))))))))))))))))))))))))))))))))))</f>
        <v>0</v>
      </c>
    </row>
    <row r="188" spans="22:22">
      <c r="V188" s="102" t="b">
        <f>IF(totales!E189="1"&amp;totales!H189="0"&amp;totales!I189="0"&amp;totales!J189="0","a",IF(totales!E189="2"&amp;totales!H189="0"&amp;totales!I189="0"&amp;totales!J189="0","b",IF(totales!E189="3"&amp;totales!H189="0"&amp;totales!I189="0"&amp;totales!J189="0","c",IF(totales!E189="4"&amp;totales!H189="0"&amp;totales!I189="0"&amp;totales!J189="0","d",IF(totales!E189="6"&amp;totales!H189="0"&amp;totales!I189="0"&amp;totales!J189="0","e",IF(totales!E189="1"&amp;totales!H189="1"&amp;totales!I189="0"&amp;totales!J189="0","f",IF(totales!E189="2"&amp;totales!H189="1"&amp;totales!I189="0"&amp;totales!J189="0","g",IF(totales!E189="3"&amp;totales!H189="1"&amp;totales!I189="0"&amp;totales!J189="0","h",IF(totales!E189="4"&amp;totales!H189="1"&amp;totales!I189="0"&amp;totales!J189="0","i",IF(totales!E189="6"&amp;totales!H189="1"&amp;totales!I189="0"&amp;totales!J189="0","j",IF(totales!E189="1"&amp;totales!H189="2"&amp;totales!I189="0"&amp;totales!J189="0","k",IF(totales!E189="2"&amp;totales!H189="2"&amp;totales!I189="0"&amp;totales!J189="0","l",IF(totales!E189="3"&amp;totales!H189="2"&amp;totales!I189="0"&amp;totales!J189="0","m",
IF(totales!E189="4"&amp;totales!H189="2"&amp;totales!I189="0"&amp;totales!J189="0","n",IF(totales!E189="6"&amp;totales!H189="2"&amp;totales!I189="0"&amp;totales!J189="0","o",IF(totales!E189="1"&amp;totales!H189="0"&amp;totales!I189="1"&amp;totales!J189="0","p",IF(totales!E189="2"&amp;totales!H189="0"&amp;totales!I189="1"&amp;totales!J189="0","q",IF(totales!E189="3"&amp;totales!H189="0"&amp;totales!I189="1"&amp;totales!J189="0","r",IF(totales!E189="4"&amp;totales!H189="0"&amp;totales!I189="1"&amp;totales!J189="0","s",IF(totales!E189="6"&amp;totales!H189="0"&amp;totales!I189="1"&amp;totales!J189="0","t",IF(totales!E189="1"&amp;totales!H189="2"&amp;totales!I189="1"&amp;totales!J189="0","u",IF(totales!E189="2"&amp;totales!H189="2"&amp;totales!I189="1"&amp;totales!J189="0","v",IF(totales!E189="3"&amp;totales!H189="2"&amp;totales!I189="1"&amp;totales!J189="0","w",IF(totales!E189="4"&amp;totales!H189="2"&amp;totales!I189="1"&amp;totales!J189="0","x",
IF(totales!E189="6"&amp;totales!H189="2"&amp;totales!I189="1"&amp;totales!J189="0","y",IF(totales!E189="1"&amp;totales!H189="1"&amp;totales!I189="1"&amp;totales!J189="0","z",IF(totales!E189="2"&amp;totales!H189="1"&amp;totales!I189="1"&amp;totales!J189="0","0",IF(totales!E189="3"&amp;totales!H189="1"&amp;totales!I189="1"&amp;totales!J189="0","1",IF(totales!E189="4"&amp;totales!H189="1"&amp;totales!I189="1"&amp;totales!J189="0","2",IF(totales!E189="6"&amp;totales!H189="1"&amp;totales!I189="1"&amp;totales!J189="0","3",IF(totales!E189="1"&amp;totales!H189="0"&amp;totales!I189="1"&amp;totales!J189="1","4",IF(totales!E189="2"&amp;totales!H189="0"&amp;totales!I189="1"&amp;totales!J189="1","5",IF(totales!E189="3"&amp;totales!H189="0"&amp;totales!I189="1"&amp;totales!J189="1","6",IF(totales!E189="4"&amp;totales!H189="0"&amp;totales!I189="1"&amp;totales!J189="1","7",IF(totales!E189="6"&amp;totales!H189="0"&amp;totales!I189="1"&amp;totales!J189="1","8",IF(totales!E189="1"&amp;totales!H189="1"&amp;totales!I189="0"&amp;totales!J189="1","9"))))))))))))))))))))))))))))))))))))</f>
        <v>0</v>
      </c>
    </row>
    <row r="189" spans="22:22">
      <c r="V189" s="102" t="b">
        <f>IF(totales!E190="1"&amp;totales!H190="0"&amp;totales!I190="0"&amp;totales!J190="0","a",IF(totales!E190="2"&amp;totales!H190="0"&amp;totales!I190="0"&amp;totales!J190="0","b",IF(totales!E190="3"&amp;totales!H190="0"&amp;totales!I190="0"&amp;totales!J190="0","c",IF(totales!E190="4"&amp;totales!H190="0"&amp;totales!I190="0"&amp;totales!J190="0","d",IF(totales!E190="6"&amp;totales!H190="0"&amp;totales!I190="0"&amp;totales!J190="0","e",IF(totales!E190="1"&amp;totales!H190="1"&amp;totales!I190="0"&amp;totales!J190="0","f",IF(totales!E190="2"&amp;totales!H190="1"&amp;totales!I190="0"&amp;totales!J190="0","g",IF(totales!E190="3"&amp;totales!H190="1"&amp;totales!I190="0"&amp;totales!J190="0","h",IF(totales!E190="4"&amp;totales!H190="1"&amp;totales!I190="0"&amp;totales!J190="0","i",IF(totales!E190="6"&amp;totales!H190="1"&amp;totales!I190="0"&amp;totales!J190="0","j",IF(totales!E190="1"&amp;totales!H190="2"&amp;totales!I190="0"&amp;totales!J190="0","k",IF(totales!E190="2"&amp;totales!H190="2"&amp;totales!I190="0"&amp;totales!J190="0","l",IF(totales!E190="3"&amp;totales!H190="2"&amp;totales!I190="0"&amp;totales!J190="0","m",
IF(totales!E190="4"&amp;totales!H190="2"&amp;totales!I190="0"&amp;totales!J190="0","n",IF(totales!E190="6"&amp;totales!H190="2"&amp;totales!I190="0"&amp;totales!J190="0","o",IF(totales!E190="1"&amp;totales!H190="0"&amp;totales!I190="1"&amp;totales!J190="0","p",IF(totales!E190="2"&amp;totales!H190="0"&amp;totales!I190="1"&amp;totales!J190="0","q",IF(totales!E190="3"&amp;totales!H190="0"&amp;totales!I190="1"&amp;totales!J190="0","r",IF(totales!E190="4"&amp;totales!H190="0"&amp;totales!I190="1"&amp;totales!J190="0","s",IF(totales!E190="6"&amp;totales!H190="0"&amp;totales!I190="1"&amp;totales!J190="0","t",IF(totales!E190="1"&amp;totales!H190="2"&amp;totales!I190="1"&amp;totales!J190="0","u",IF(totales!E190="2"&amp;totales!H190="2"&amp;totales!I190="1"&amp;totales!J190="0","v",IF(totales!E190="3"&amp;totales!H190="2"&amp;totales!I190="1"&amp;totales!J190="0","w",IF(totales!E190="4"&amp;totales!H190="2"&amp;totales!I190="1"&amp;totales!J190="0","x",
IF(totales!E190="6"&amp;totales!H190="2"&amp;totales!I190="1"&amp;totales!J190="0","y",IF(totales!E190="1"&amp;totales!H190="1"&amp;totales!I190="1"&amp;totales!J190="0","z",IF(totales!E190="2"&amp;totales!H190="1"&amp;totales!I190="1"&amp;totales!J190="0","0",IF(totales!E190="3"&amp;totales!H190="1"&amp;totales!I190="1"&amp;totales!J190="0","1",IF(totales!E190="4"&amp;totales!H190="1"&amp;totales!I190="1"&amp;totales!J190="0","2",IF(totales!E190="6"&amp;totales!H190="1"&amp;totales!I190="1"&amp;totales!J190="0","3",IF(totales!E190="1"&amp;totales!H190="0"&amp;totales!I190="1"&amp;totales!J190="1","4",IF(totales!E190="2"&amp;totales!H190="0"&amp;totales!I190="1"&amp;totales!J190="1","5",IF(totales!E190="3"&amp;totales!H190="0"&amp;totales!I190="1"&amp;totales!J190="1","6",IF(totales!E190="4"&amp;totales!H190="0"&amp;totales!I190="1"&amp;totales!J190="1","7",IF(totales!E190="6"&amp;totales!H190="0"&amp;totales!I190="1"&amp;totales!J190="1","8",IF(totales!E190="1"&amp;totales!H190="1"&amp;totales!I190="0"&amp;totales!J190="1","9"))))))))))))))))))))))))))))))))))))</f>
        <v>0</v>
      </c>
    </row>
    <row r="190" spans="22:22">
      <c r="V190" s="102" t="b">
        <f>IF(totales!E191="1"&amp;totales!H191="0"&amp;totales!I191="0"&amp;totales!J191="0","a",IF(totales!E191="2"&amp;totales!H191="0"&amp;totales!I191="0"&amp;totales!J191="0","b",IF(totales!E191="3"&amp;totales!H191="0"&amp;totales!I191="0"&amp;totales!J191="0","c",IF(totales!E191="4"&amp;totales!H191="0"&amp;totales!I191="0"&amp;totales!J191="0","d",IF(totales!E191="6"&amp;totales!H191="0"&amp;totales!I191="0"&amp;totales!J191="0","e",IF(totales!E191="1"&amp;totales!H191="1"&amp;totales!I191="0"&amp;totales!J191="0","f",IF(totales!E191="2"&amp;totales!H191="1"&amp;totales!I191="0"&amp;totales!J191="0","g",IF(totales!E191="3"&amp;totales!H191="1"&amp;totales!I191="0"&amp;totales!J191="0","h",IF(totales!E191="4"&amp;totales!H191="1"&amp;totales!I191="0"&amp;totales!J191="0","i",IF(totales!E191="6"&amp;totales!H191="1"&amp;totales!I191="0"&amp;totales!J191="0","j",IF(totales!E191="1"&amp;totales!H191="2"&amp;totales!I191="0"&amp;totales!J191="0","k",IF(totales!E191="2"&amp;totales!H191="2"&amp;totales!I191="0"&amp;totales!J191="0","l",IF(totales!E191="3"&amp;totales!H191="2"&amp;totales!I191="0"&amp;totales!J191="0","m",
IF(totales!E191="4"&amp;totales!H191="2"&amp;totales!I191="0"&amp;totales!J191="0","n",IF(totales!E191="6"&amp;totales!H191="2"&amp;totales!I191="0"&amp;totales!J191="0","o",IF(totales!E191="1"&amp;totales!H191="0"&amp;totales!I191="1"&amp;totales!J191="0","p",IF(totales!E191="2"&amp;totales!H191="0"&amp;totales!I191="1"&amp;totales!J191="0","q",IF(totales!E191="3"&amp;totales!H191="0"&amp;totales!I191="1"&amp;totales!J191="0","r",IF(totales!E191="4"&amp;totales!H191="0"&amp;totales!I191="1"&amp;totales!J191="0","s",IF(totales!E191="6"&amp;totales!H191="0"&amp;totales!I191="1"&amp;totales!J191="0","t",IF(totales!E191="1"&amp;totales!H191="2"&amp;totales!I191="1"&amp;totales!J191="0","u",IF(totales!E191="2"&amp;totales!H191="2"&amp;totales!I191="1"&amp;totales!J191="0","v",IF(totales!E191="3"&amp;totales!H191="2"&amp;totales!I191="1"&amp;totales!J191="0","w",IF(totales!E191="4"&amp;totales!H191="2"&amp;totales!I191="1"&amp;totales!J191="0","x",
IF(totales!E191="6"&amp;totales!H191="2"&amp;totales!I191="1"&amp;totales!J191="0","y",IF(totales!E191="1"&amp;totales!H191="1"&amp;totales!I191="1"&amp;totales!J191="0","z",IF(totales!E191="2"&amp;totales!H191="1"&amp;totales!I191="1"&amp;totales!J191="0","0",IF(totales!E191="3"&amp;totales!H191="1"&amp;totales!I191="1"&amp;totales!J191="0","1",IF(totales!E191="4"&amp;totales!H191="1"&amp;totales!I191="1"&amp;totales!J191="0","2",IF(totales!E191="6"&amp;totales!H191="1"&amp;totales!I191="1"&amp;totales!J191="0","3",IF(totales!E191="1"&amp;totales!H191="0"&amp;totales!I191="1"&amp;totales!J191="1","4",IF(totales!E191="2"&amp;totales!H191="0"&amp;totales!I191="1"&amp;totales!J191="1","5",IF(totales!E191="3"&amp;totales!H191="0"&amp;totales!I191="1"&amp;totales!J191="1","6",IF(totales!E191="4"&amp;totales!H191="0"&amp;totales!I191="1"&amp;totales!J191="1","7",IF(totales!E191="6"&amp;totales!H191="0"&amp;totales!I191="1"&amp;totales!J191="1","8",IF(totales!E191="1"&amp;totales!H191="1"&amp;totales!I191="0"&amp;totales!J191="1","9"))))))))))))))))))))))))))))))))))))</f>
        <v>0</v>
      </c>
    </row>
    <row r="191" spans="22:22">
      <c r="V191" s="102" t="b">
        <f>IF(totales!E192="1"&amp;totales!H192="0"&amp;totales!I192="0"&amp;totales!J192="0","a",IF(totales!E192="2"&amp;totales!H192="0"&amp;totales!I192="0"&amp;totales!J192="0","b",IF(totales!E192="3"&amp;totales!H192="0"&amp;totales!I192="0"&amp;totales!J192="0","c",IF(totales!E192="4"&amp;totales!H192="0"&amp;totales!I192="0"&amp;totales!J192="0","d",IF(totales!E192="6"&amp;totales!H192="0"&amp;totales!I192="0"&amp;totales!J192="0","e",IF(totales!E192="1"&amp;totales!H192="1"&amp;totales!I192="0"&amp;totales!J192="0","f",IF(totales!E192="2"&amp;totales!H192="1"&amp;totales!I192="0"&amp;totales!J192="0","g",IF(totales!E192="3"&amp;totales!H192="1"&amp;totales!I192="0"&amp;totales!J192="0","h",IF(totales!E192="4"&amp;totales!H192="1"&amp;totales!I192="0"&amp;totales!J192="0","i",IF(totales!E192="6"&amp;totales!H192="1"&amp;totales!I192="0"&amp;totales!J192="0","j",IF(totales!E192="1"&amp;totales!H192="2"&amp;totales!I192="0"&amp;totales!J192="0","k",IF(totales!E192="2"&amp;totales!H192="2"&amp;totales!I192="0"&amp;totales!J192="0","l",IF(totales!E192="3"&amp;totales!H192="2"&amp;totales!I192="0"&amp;totales!J192="0","m",
IF(totales!E192="4"&amp;totales!H192="2"&amp;totales!I192="0"&amp;totales!J192="0","n",IF(totales!E192="6"&amp;totales!H192="2"&amp;totales!I192="0"&amp;totales!J192="0","o",IF(totales!E192="1"&amp;totales!H192="0"&amp;totales!I192="1"&amp;totales!J192="0","p",IF(totales!E192="2"&amp;totales!H192="0"&amp;totales!I192="1"&amp;totales!J192="0","q",IF(totales!E192="3"&amp;totales!H192="0"&amp;totales!I192="1"&amp;totales!J192="0","r",IF(totales!E192="4"&amp;totales!H192="0"&amp;totales!I192="1"&amp;totales!J192="0","s",IF(totales!E192="6"&amp;totales!H192="0"&amp;totales!I192="1"&amp;totales!J192="0","t",IF(totales!E192="1"&amp;totales!H192="2"&amp;totales!I192="1"&amp;totales!J192="0","u",IF(totales!E192="2"&amp;totales!H192="2"&amp;totales!I192="1"&amp;totales!J192="0","v",IF(totales!E192="3"&amp;totales!H192="2"&amp;totales!I192="1"&amp;totales!J192="0","w",IF(totales!E192="4"&amp;totales!H192="2"&amp;totales!I192="1"&amp;totales!J192="0","x",
IF(totales!E192="6"&amp;totales!H192="2"&amp;totales!I192="1"&amp;totales!J192="0","y",IF(totales!E192="1"&amp;totales!H192="1"&amp;totales!I192="1"&amp;totales!J192="0","z",IF(totales!E192="2"&amp;totales!H192="1"&amp;totales!I192="1"&amp;totales!J192="0","0",IF(totales!E192="3"&amp;totales!H192="1"&amp;totales!I192="1"&amp;totales!J192="0","1",IF(totales!E192="4"&amp;totales!H192="1"&amp;totales!I192="1"&amp;totales!J192="0","2",IF(totales!E192="6"&amp;totales!H192="1"&amp;totales!I192="1"&amp;totales!J192="0","3",IF(totales!E192="1"&amp;totales!H192="0"&amp;totales!I192="1"&amp;totales!J192="1","4",IF(totales!E192="2"&amp;totales!H192="0"&amp;totales!I192="1"&amp;totales!J192="1","5",IF(totales!E192="3"&amp;totales!H192="0"&amp;totales!I192="1"&amp;totales!J192="1","6",IF(totales!E192="4"&amp;totales!H192="0"&amp;totales!I192="1"&amp;totales!J192="1","7",IF(totales!E192="6"&amp;totales!H192="0"&amp;totales!I192="1"&amp;totales!J192="1","8",IF(totales!E192="1"&amp;totales!H192="1"&amp;totales!I192="0"&amp;totales!J192="1","9"))))))))))))))))))))))))))))))))))))</f>
        <v>0</v>
      </c>
    </row>
    <row r="192" spans="22:22">
      <c r="V192" s="102" t="b">
        <f>IF(totales!E193="1"&amp;totales!H193="0"&amp;totales!I193="0"&amp;totales!J193="0","a",IF(totales!E193="2"&amp;totales!H193="0"&amp;totales!I193="0"&amp;totales!J193="0","b",IF(totales!E193="3"&amp;totales!H193="0"&amp;totales!I193="0"&amp;totales!J193="0","c",IF(totales!E193="4"&amp;totales!H193="0"&amp;totales!I193="0"&amp;totales!J193="0","d",IF(totales!E193="6"&amp;totales!H193="0"&amp;totales!I193="0"&amp;totales!J193="0","e",IF(totales!E193="1"&amp;totales!H193="1"&amp;totales!I193="0"&amp;totales!J193="0","f",IF(totales!E193="2"&amp;totales!H193="1"&amp;totales!I193="0"&amp;totales!J193="0","g",IF(totales!E193="3"&amp;totales!H193="1"&amp;totales!I193="0"&amp;totales!J193="0","h",IF(totales!E193="4"&amp;totales!H193="1"&amp;totales!I193="0"&amp;totales!J193="0","i",IF(totales!E193="6"&amp;totales!H193="1"&amp;totales!I193="0"&amp;totales!J193="0","j",IF(totales!E193="1"&amp;totales!H193="2"&amp;totales!I193="0"&amp;totales!J193="0","k",IF(totales!E193="2"&amp;totales!H193="2"&amp;totales!I193="0"&amp;totales!J193="0","l",IF(totales!E193="3"&amp;totales!H193="2"&amp;totales!I193="0"&amp;totales!J193="0","m",
IF(totales!E193="4"&amp;totales!H193="2"&amp;totales!I193="0"&amp;totales!J193="0","n",IF(totales!E193="6"&amp;totales!H193="2"&amp;totales!I193="0"&amp;totales!J193="0","o",IF(totales!E193="1"&amp;totales!H193="0"&amp;totales!I193="1"&amp;totales!J193="0","p",IF(totales!E193="2"&amp;totales!H193="0"&amp;totales!I193="1"&amp;totales!J193="0","q",IF(totales!E193="3"&amp;totales!H193="0"&amp;totales!I193="1"&amp;totales!J193="0","r",IF(totales!E193="4"&amp;totales!H193="0"&amp;totales!I193="1"&amp;totales!J193="0","s",IF(totales!E193="6"&amp;totales!H193="0"&amp;totales!I193="1"&amp;totales!J193="0","t",IF(totales!E193="1"&amp;totales!H193="2"&amp;totales!I193="1"&amp;totales!J193="0","u",IF(totales!E193="2"&amp;totales!H193="2"&amp;totales!I193="1"&amp;totales!J193="0","v",IF(totales!E193="3"&amp;totales!H193="2"&amp;totales!I193="1"&amp;totales!J193="0","w",IF(totales!E193="4"&amp;totales!H193="2"&amp;totales!I193="1"&amp;totales!J193="0","x",
IF(totales!E193="6"&amp;totales!H193="2"&amp;totales!I193="1"&amp;totales!J193="0","y",IF(totales!E193="1"&amp;totales!H193="1"&amp;totales!I193="1"&amp;totales!J193="0","z",IF(totales!E193="2"&amp;totales!H193="1"&amp;totales!I193="1"&amp;totales!J193="0","0",IF(totales!E193="3"&amp;totales!H193="1"&amp;totales!I193="1"&amp;totales!J193="0","1",IF(totales!E193="4"&amp;totales!H193="1"&amp;totales!I193="1"&amp;totales!J193="0","2",IF(totales!E193="6"&amp;totales!H193="1"&amp;totales!I193="1"&amp;totales!J193="0","3",IF(totales!E193="1"&amp;totales!H193="0"&amp;totales!I193="1"&amp;totales!J193="1","4",IF(totales!E193="2"&amp;totales!H193="0"&amp;totales!I193="1"&amp;totales!J193="1","5",IF(totales!E193="3"&amp;totales!H193="0"&amp;totales!I193="1"&amp;totales!J193="1","6",IF(totales!E193="4"&amp;totales!H193="0"&amp;totales!I193="1"&amp;totales!J193="1","7",IF(totales!E193="6"&amp;totales!H193="0"&amp;totales!I193="1"&amp;totales!J193="1","8",IF(totales!E193="1"&amp;totales!H193="1"&amp;totales!I193="0"&amp;totales!J193="1","9"))))))))))))))))))))))))))))))))))))</f>
        <v>0</v>
      </c>
    </row>
    <row r="193" spans="22:22">
      <c r="V193" s="102" t="b">
        <f>IF(totales!E194="1"&amp;totales!H194="0"&amp;totales!I194="0"&amp;totales!J194="0","a",IF(totales!E194="2"&amp;totales!H194="0"&amp;totales!I194="0"&amp;totales!J194="0","b",IF(totales!E194="3"&amp;totales!H194="0"&amp;totales!I194="0"&amp;totales!J194="0","c",IF(totales!E194="4"&amp;totales!H194="0"&amp;totales!I194="0"&amp;totales!J194="0","d",IF(totales!E194="6"&amp;totales!H194="0"&amp;totales!I194="0"&amp;totales!J194="0","e",IF(totales!E194="1"&amp;totales!H194="1"&amp;totales!I194="0"&amp;totales!J194="0","f",IF(totales!E194="2"&amp;totales!H194="1"&amp;totales!I194="0"&amp;totales!J194="0","g",IF(totales!E194="3"&amp;totales!H194="1"&amp;totales!I194="0"&amp;totales!J194="0","h",IF(totales!E194="4"&amp;totales!H194="1"&amp;totales!I194="0"&amp;totales!J194="0","i",IF(totales!E194="6"&amp;totales!H194="1"&amp;totales!I194="0"&amp;totales!J194="0","j",IF(totales!E194="1"&amp;totales!H194="2"&amp;totales!I194="0"&amp;totales!J194="0","k",IF(totales!E194="2"&amp;totales!H194="2"&amp;totales!I194="0"&amp;totales!J194="0","l",IF(totales!E194="3"&amp;totales!H194="2"&amp;totales!I194="0"&amp;totales!J194="0","m",
IF(totales!E194="4"&amp;totales!H194="2"&amp;totales!I194="0"&amp;totales!J194="0","n",IF(totales!E194="6"&amp;totales!H194="2"&amp;totales!I194="0"&amp;totales!J194="0","o",IF(totales!E194="1"&amp;totales!H194="0"&amp;totales!I194="1"&amp;totales!J194="0","p",IF(totales!E194="2"&amp;totales!H194="0"&amp;totales!I194="1"&amp;totales!J194="0","q",IF(totales!E194="3"&amp;totales!H194="0"&amp;totales!I194="1"&amp;totales!J194="0","r",IF(totales!E194="4"&amp;totales!H194="0"&amp;totales!I194="1"&amp;totales!J194="0","s",IF(totales!E194="6"&amp;totales!H194="0"&amp;totales!I194="1"&amp;totales!J194="0","t",IF(totales!E194="1"&amp;totales!H194="2"&amp;totales!I194="1"&amp;totales!J194="0","u",IF(totales!E194="2"&amp;totales!H194="2"&amp;totales!I194="1"&amp;totales!J194="0","v",IF(totales!E194="3"&amp;totales!H194="2"&amp;totales!I194="1"&amp;totales!J194="0","w",IF(totales!E194="4"&amp;totales!H194="2"&amp;totales!I194="1"&amp;totales!J194="0","x",
IF(totales!E194="6"&amp;totales!H194="2"&amp;totales!I194="1"&amp;totales!J194="0","y",IF(totales!E194="1"&amp;totales!H194="1"&amp;totales!I194="1"&amp;totales!J194="0","z",IF(totales!E194="2"&amp;totales!H194="1"&amp;totales!I194="1"&amp;totales!J194="0","0",IF(totales!E194="3"&amp;totales!H194="1"&amp;totales!I194="1"&amp;totales!J194="0","1",IF(totales!E194="4"&amp;totales!H194="1"&amp;totales!I194="1"&amp;totales!J194="0","2",IF(totales!E194="6"&amp;totales!H194="1"&amp;totales!I194="1"&amp;totales!J194="0","3",IF(totales!E194="1"&amp;totales!H194="0"&amp;totales!I194="1"&amp;totales!J194="1","4",IF(totales!E194="2"&amp;totales!H194="0"&amp;totales!I194="1"&amp;totales!J194="1","5",IF(totales!E194="3"&amp;totales!H194="0"&amp;totales!I194="1"&amp;totales!J194="1","6",IF(totales!E194="4"&amp;totales!H194="0"&amp;totales!I194="1"&amp;totales!J194="1","7",IF(totales!E194="6"&amp;totales!H194="0"&amp;totales!I194="1"&amp;totales!J194="1","8",IF(totales!E194="1"&amp;totales!H194="1"&amp;totales!I194="0"&amp;totales!J194="1","9"))))))))))))))))))))))))))))))))))))</f>
        <v>0</v>
      </c>
    </row>
    <row r="194" spans="22:22">
      <c r="V194" s="102" t="b">
        <f>IF(totales!E195="1"&amp;totales!H195="0"&amp;totales!I195="0"&amp;totales!J195="0","a",IF(totales!E195="2"&amp;totales!H195="0"&amp;totales!I195="0"&amp;totales!J195="0","b",IF(totales!E195="3"&amp;totales!H195="0"&amp;totales!I195="0"&amp;totales!J195="0","c",IF(totales!E195="4"&amp;totales!H195="0"&amp;totales!I195="0"&amp;totales!J195="0","d",IF(totales!E195="6"&amp;totales!H195="0"&amp;totales!I195="0"&amp;totales!J195="0","e",IF(totales!E195="1"&amp;totales!H195="1"&amp;totales!I195="0"&amp;totales!J195="0","f",IF(totales!E195="2"&amp;totales!H195="1"&amp;totales!I195="0"&amp;totales!J195="0","g",IF(totales!E195="3"&amp;totales!H195="1"&amp;totales!I195="0"&amp;totales!J195="0","h",IF(totales!E195="4"&amp;totales!H195="1"&amp;totales!I195="0"&amp;totales!J195="0","i",IF(totales!E195="6"&amp;totales!H195="1"&amp;totales!I195="0"&amp;totales!J195="0","j",IF(totales!E195="1"&amp;totales!H195="2"&amp;totales!I195="0"&amp;totales!J195="0","k",IF(totales!E195="2"&amp;totales!H195="2"&amp;totales!I195="0"&amp;totales!J195="0","l",IF(totales!E195="3"&amp;totales!H195="2"&amp;totales!I195="0"&amp;totales!J195="0","m",
IF(totales!E195="4"&amp;totales!H195="2"&amp;totales!I195="0"&amp;totales!J195="0","n",IF(totales!E195="6"&amp;totales!H195="2"&amp;totales!I195="0"&amp;totales!J195="0","o",IF(totales!E195="1"&amp;totales!H195="0"&amp;totales!I195="1"&amp;totales!J195="0","p",IF(totales!E195="2"&amp;totales!H195="0"&amp;totales!I195="1"&amp;totales!J195="0","q",IF(totales!E195="3"&amp;totales!H195="0"&amp;totales!I195="1"&amp;totales!J195="0","r",IF(totales!E195="4"&amp;totales!H195="0"&amp;totales!I195="1"&amp;totales!J195="0","s",IF(totales!E195="6"&amp;totales!H195="0"&amp;totales!I195="1"&amp;totales!J195="0","t",IF(totales!E195="1"&amp;totales!H195="2"&amp;totales!I195="1"&amp;totales!J195="0","u",IF(totales!E195="2"&amp;totales!H195="2"&amp;totales!I195="1"&amp;totales!J195="0","v",IF(totales!E195="3"&amp;totales!H195="2"&amp;totales!I195="1"&amp;totales!J195="0","w",IF(totales!E195="4"&amp;totales!H195="2"&amp;totales!I195="1"&amp;totales!J195="0","x",
IF(totales!E195="6"&amp;totales!H195="2"&amp;totales!I195="1"&amp;totales!J195="0","y",IF(totales!E195="1"&amp;totales!H195="1"&amp;totales!I195="1"&amp;totales!J195="0","z",IF(totales!E195="2"&amp;totales!H195="1"&amp;totales!I195="1"&amp;totales!J195="0","0",IF(totales!E195="3"&amp;totales!H195="1"&amp;totales!I195="1"&amp;totales!J195="0","1",IF(totales!E195="4"&amp;totales!H195="1"&amp;totales!I195="1"&amp;totales!J195="0","2",IF(totales!E195="6"&amp;totales!H195="1"&amp;totales!I195="1"&amp;totales!J195="0","3",IF(totales!E195="1"&amp;totales!H195="0"&amp;totales!I195="1"&amp;totales!J195="1","4",IF(totales!E195="2"&amp;totales!H195="0"&amp;totales!I195="1"&amp;totales!J195="1","5",IF(totales!E195="3"&amp;totales!H195="0"&amp;totales!I195="1"&amp;totales!J195="1","6",IF(totales!E195="4"&amp;totales!H195="0"&amp;totales!I195="1"&amp;totales!J195="1","7",IF(totales!E195="6"&amp;totales!H195="0"&amp;totales!I195="1"&amp;totales!J195="1","8",IF(totales!E195="1"&amp;totales!H195="1"&amp;totales!I195="0"&amp;totales!J195="1","9"))))))))))))))))))))))))))))))))))))</f>
        <v>0</v>
      </c>
    </row>
    <row r="195" spans="22:22">
      <c r="V195" s="102" t="b">
        <f>IF(totales!E196="1"&amp;totales!H196="0"&amp;totales!I196="0"&amp;totales!J196="0","a",IF(totales!E196="2"&amp;totales!H196="0"&amp;totales!I196="0"&amp;totales!J196="0","b",IF(totales!E196="3"&amp;totales!H196="0"&amp;totales!I196="0"&amp;totales!J196="0","c",IF(totales!E196="4"&amp;totales!H196="0"&amp;totales!I196="0"&amp;totales!J196="0","d",IF(totales!E196="6"&amp;totales!H196="0"&amp;totales!I196="0"&amp;totales!J196="0","e",IF(totales!E196="1"&amp;totales!H196="1"&amp;totales!I196="0"&amp;totales!J196="0","f",IF(totales!E196="2"&amp;totales!H196="1"&amp;totales!I196="0"&amp;totales!J196="0","g",IF(totales!E196="3"&amp;totales!H196="1"&amp;totales!I196="0"&amp;totales!J196="0","h",IF(totales!E196="4"&amp;totales!H196="1"&amp;totales!I196="0"&amp;totales!J196="0","i",IF(totales!E196="6"&amp;totales!H196="1"&amp;totales!I196="0"&amp;totales!J196="0","j",IF(totales!E196="1"&amp;totales!H196="2"&amp;totales!I196="0"&amp;totales!J196="0","k",IF(totales!E196="2"&amp;totales!H196="2"&amp;totales!I196="0"&amp;totales!J196="0","l",IF(totales!E196="3"&amp;totales!H196="2"&amp;totales!I196="0"&amp;totales!J196="0","m",
IF(totales!E196="4"&amp;totales!H196="2"&amp;totales!I196="0"&amp;totales!J196="0","n",IF(totales!E196="6"&amp;totales!H196="2"&amp;totales!I196="0"&amp;totales!J196="0","o",IF(totales!E196="1"&amp;totales!H196="0"&amp;totales!I196="1"&amp;totales!J196="0","p",IF(totales!E196="2"&amp;totales!H196="0"&amp;totales!I196="1"&amp;totales!J196="0","q",IF(totales!E196="3"&amp;totales!H196="0"&amp;totales!I196="1"&amp;totales!J196="0","r",IF(totales!E196="4"&amp;totales!H196="0"&amp;totales!I196="1"&amp;totales!J196="0","s",IF(totales!E196="6"&amp;totales!H196="0"&amp;totales!I196="1"&amp;totales!J196="0","t",IF(totales!E196="1"&amp;totales!H196="2"&amp;totales!I196="1"&amp;totales!J196="0","u",IF(totales!E196="2"&amp;totales!H196="2"&amp;totales!I196="1"&amp;totales!J196="0","v",IF(totales!E196="3"&amp;totales!H196="2"&amp;totales!I196="1"&amp;totales!J196="0","w",IF(totales!E196="4"&amp;totales!H196="2"&amp;totales!I196="1"&amp;totales!J196="0","x",
IF(totales!E196="6"&amp;totales!H196="2"&amp;totales!I196="1"&amp;totales!J196="0","y",IF(totales!E196="1"&amp;totales!H196="1"&amp;totales!I196="1"&amp;totales!J196="0","z",IF(totales!E196="2"&amp;totales!H196="1"&amp;totales!I196="1"&amp;totales!J196="0","0",IF(totales!E196="3"&amp;totales!H196="1"&amp;totales!I196="1"&amp;totales!J196="0","1",IF(totales!E196="4"&amp;totales!H196="1"&amp;totales!I196="1"&amp;totales!J196="0","2",IF(totales!E196="6"&amp;totales!H196="1"&amp;totales!I196="1"&amp;totales!J196="0","3",IF(totales!E196="1"&amp;totales!H196="0"&amp;totales!I196="1"&amp;totales!J196="1","4",IF(totales!E196="2"&amp;totales!H196="0"&amp;totales!I196="1"&amp;totales!J196="1","5",IF(totales!E196="3"&amp;totales!H196="0"&amp;totales!I196="1"&amp;totales!J196="1","6",IF(totales!E196="4"&amp;totales!H196="0"&amp;totales!I196="1"&amp;totales!J196="1","7",IF(totales!E196="6"&amp;totales!H196="0"&amp;totales!I196="1"&amp;totales!J196="1","8",IF(totales!E196="1"&amp;totales!H196="1"&amp;totales!I196="0"&amp;totales!J196="1","9"))))))))))))))))))))))))))))))))))))</f>
        <v>0</v>
      </c>
    </row>
    <row r="196" spans="22:22">
      <c r="V196" s="102" t="b">
        <f>IF(totales!E197="1"&amp;totales!H197="0"&amp;totales!I197="0"&amp;totales!J197="0","a",IF(totales!E197="2"&amp;totales!H197="0"&amp;totales!I197="0"&amp;totales!J197="0","b",IF(totales!E197="3"&amp;totales!H197="0"&amp;totales!I197="0"&amp;totales!J197="0","c",IF(totales!E197="4"&amp;totales!H197="0"&amp;totales!I197="0"&amp;totales!J197="0","d",IF(totales!E197="6"&amp;totales!H197="0"&amp;totales!I197="0"&amp;totales!J197="0","e",IF(totales!E197="1"&amp;totales!H197="1"&amp;totales!I197="0"&amp;totales!J197="0","f",IF(totales!E197="2"&amp;totales!H197="1"&amp;totales!I197="0"&amp;totales!J197="0","g",IF(totales!E197="3"&amp;totales!H197="1"&amp;totales!I197="0"&amp;totales!J197="0","h",IF(totales!E197="4"&amp;totales!H197="1"&amp;totales!I197="0"&amp;totales!J197="0","i",IF(totales!E197="6"&amp;totales!H197="1"&amp;totales!I197="0"&amp;totales!J197="0","j",IF(totales!E197="1"&amp;totales!H197="2"&amp;totales!I197="0"&amp;totales!J197="0","k",IF(totales!E197="2"&amp;totales!H197="2"&amp;totales!I197="0"&amp;totales!J197="0","l",IF(totales!E197="3"&amp;totales!H197="2"&amp;totales!I197="0"&amp;totales!J197="0","m",
IF(totales!E197="4"&amp;totales!H197="2"&amp;totales!I197="0"&amp;totales!J197="0","n",IF(totales!E197="6"&amp;totales!H197="2"&amp;totales!I197="0"&amp;totales!J197="0","o",IF(totales!E197="1"&amp;totales!H197="0"&amp;totales!I197="1"&amp;totales!J197="0","p",IF(totales!E197="2"&amp;totales!H197="0"&amp;totales!I197="1"&amp;totales!J197="0","q",IF(totales!E197="3"&amp;totales!H197="0"&amp;totales!I197="1"&amp;totales!J197="0","r",IF(totales!E197="4"&amp;totales!H197="0"&amp;totales!I197="1"&amp;totales!J197="0","s",IF(totales!E197="6"&amp;totales!H197="0"&amp;totales!I197="1"&amp;totales!J197="0","t",IF(totales!E197="1"&amp;totales!H197="2"&amp;totales!I197="1"&amp;totales!J197="0","u",IF(totales!E197="2"&amp;totales!H197="2"&amp;totales!I197="1"&amp;totales!J197="0","v",IF(totales!E197="3"&amp;totales!H197="2"&amp;totales!I197="1"&amp;totales!J197="0","w",IF(totales!E197="4"&amp;totales!H197="2"&amp;totales!I197="1"&amp;totales!J197="0","x",
IF(totales!E197="6"&amp;totales!H197="2"&amp;totales!I197="1"&amp;totales!J197="0","y",IF(totales!E197="1"&amp;totales!H197="1"&amp;totales!I197="1"&amp;totales!J197="0","z",IF(totales!E197="2"&amp;totales!H197="1"&amp;totales!I197="1"&amp;totales!J197="0","0",IF(totales!E197="3"&amp;totales!H197="1"&amp;totales!I197="1"&amp;totales!J197="0","1",IF(totales!E197="4"&amp;totales!H197="1"&amp;totales!I197="1"&amp;totales!J197="0","2",IF(totales!E197="6"&amp;totales!H197="1"&amp;totales!I197="1"&amp;totales!J197="0","3",IF(totales!E197="1"&amp;totales!H197="0"&amp;totales!I197="1"&amp;totales!J197="1","4",IF(totales!E197="2"&amp;totales!H197="0"&amp;totales!I197="1"&amp;totales!J197="1","5",IF(totales!E197="3"&amp;totales!H197="0"&amp;totales!I197="1"&amp;totales!J197="1","6",IF(totales!E197="4"&amp;totales!H197="0"&amp;totales!I197="1"&amp;totales!J197="1","7",IF(totales!E197="6"&amp;totales!H197="0"&amp;totales!I197="1"&amp;totales!J197="1","8",IF(totales!E197="1"&amp;totales!H197="1"&amp;totales!I197="0"&amp;totales!J197="1","9"))))))))))))))))))))))))))))))))))))</f>
        <v>0</v>
      </c>
    </row>
    <row r="197" spans="22:22">
      <c r="V197" s="102" t="b">
        <f>IF(totales!E198="1"&amp;totales!H198="0"&amp;totales!I198="0"&amp;totales!J198="0","a",IF(totales!E198="2"&amp;totales!H198="0"&amp;totales!I198="0"&amp;totales!J198="0","b",IF(totales!E198="3"&amp;totales!H198="0"&amp;totales!I198="0"&amp;totales!J198="0","c",IF(totales!E198="4"&amp;totales!H198="0"&amp;totales!I198="0"&amp;totales!J198="0","d",IF(totales!E198="6"&amp;totales!H198="0"&amp;totales!I198="0"&amp;totales!J198="0","e",IF(totales!E198="1"&amp;totales!H198="1"&amp;totales!I198="0"&amp;totales!J198="0","f",IF(totales!E198="2"&amp;totales!H198="1"&amp;totales!I198="0"&amp;totales!J198="0","g",IF(totales!E198="3"&amp;totales!H198="1"&amp;totales!I198="0"&amp;totales!J198="0","h",IF(totales!E198="4"&amp;totales!H198="1"&amp;totales!I198="0"&amp;totales!J198="0","i",IF(totales!E198="6"&amp;totales!H198="1"&amp;totales!I198="0"&amp;totales!J198="0","j",IF(totales!E198="1"&amp;totales!H198="2"&amp;totales!I198="0"&amp;totales!J198="0","k",IF(totales!E198="2"&amp;totales!H198="2"&amp;totales!I198="0"&amp;totales!J198="0","l",IF(totales!E198="3"&amp;totales!H198="2"&amp;totales!I198="0"&amp;totales!J198="0","m",
IF(totales!E198="4"&amp;totales!H198="2"&amp;totales!I198="0"&amp;totales!J198="0","n",IF(totales!E198="6"&amp;totales!H198="2"&amp;totales!I198="0"&amp;totales!J198="0","o",IF(totales!E198="1"&amp;totales!H198="0"&amp;totales!I198="1"&amp;totales!J198="0","p",IF(totales!E198="2"&amp;totales!H198="0"&amp;totales!I198="1"&amp;totales!J198="0","q",IF(totales!E198="3"&amp;totales!H198="0"&amp;totales!I198="1"&amp;totales!J198="0","r",IF(totales!E198="4"&amp;totales!H198="0"&amp;totales!I198="1"&amp;totales!J198="0","s",IF(totales!E198="6"&amp;totales!H198="0"&amp;totales!I198="1"&amp;totales!J198="0","t",IF(totales!E198="1"&amp;totales!H198="2"&amp;totales!I198="1"&amp;totales!J198="0","u",IF(totales!E198="2"&amp;totales!H198="2"&amp;totales!I198="1"&amp;totales!J198="0","v",IF(totales!E198="3"&amp;totales!H198="2"&amp;totales!I198="1"&amp;totales!J198="0","w",IF(totales!E198="4"&amp;totales!H198="2"&amp;totales!I198="1"&amp;totales!J198="0","x",
IF(totales!E198="6"&amp;totales!H198="2"&amp;totales!I198="1"&amp;totales!J198="0","y",IF(totales!E198="1"&amp;totales!H198="1"&amp;totales!I198="1"&amp;totales!J198="0","z",IF(totales!E198="2"&amp;totales!H198="1"&amp;totales!I198="1"&amp;totales!J198="0","0",IF(totales!E198="3"&amp;totales!H198="1"&amp;totales!I198="1"&amp;totales!J198="0","1",IF(totales!E198="4"&amp;totales!H198="1"&amp;totales!I198="1"&amp;totales!J198="0","2",IF(totales!E198="6"&amp;totales!H198="1"&amp;totales!I198="1"&amp;totales!J198="0","3",IF(totales!E198="1"&amp;totales!H198="0"&amp;totales!I198="1"&amp;totales!J198="1","4",IF(totales!E198="2"&amp;totales!H198="0"&amp;totales!I198="1"&amp;totales!J198="1","5",IF(totales!E198="3"&amp;totales!H198="0"&amp;totales!I198="1"&amp;totales!J198="1","6",IF(totales!E198="4"&amp;totales!H198="0"&amp;totales!I198="1"&amp;totales!J198="1","7",IF(totales!E198="6"&amp;totales!H198="0"&amp;totales!I198="1"&amp;totales!J198="1","8",IF(totales!E198="1"&amp;totales!H198="1"&amp;totales!I198="0"&amp;totales!J198="1","9"))))))))))))))))))))))))))))))))))))</f>
        <v>0</v>
      </c>
    </row>
    <row r="198" spans="22:22">
      <c r="V198" s="102" t="b">
        <f>IF(totales!E199="1"&amp;totales!H199="0"&amp;totales!I199="0"&amp;totales!J199="0","a",IF(totales!E199="2"&amp;totales!H199="0"&amp;totales!I199="0"&amp;totales!J199="0","b",IF(totales!E199="3"&amp;totales!H199="0"&amp;totales!I199="0"&amp;totales!J199="0","c",IF(totales!E199="4"&amp;totales!H199="0"&amp;totales!I199="0"&amp;totales!J199="0","d",IF(totales!E199="6"&amp;totales!H199="0"&amp;totales!I199="0"&amp;totales!J199="0","e",IF(totales!E199="1"&amp;totales!H199="1"&amp;totales!I199="0"&amp;totales!J199="0","f",IF(totales!E199="2"&amp;totales!H199="1"&amp;totales!I199="0"&amp;totales!J199="0","g",IF(totales!E199="3"&amp;totales!H199="1"&amp;totales!I199="0"&amp;totales!J199="0","h",IF(totales!E199="4"&amp;totales!H199="1"&amp;totales!I199="0"&amp;totales!J199="0","i",IF(totales!E199="6"&amp;totales!H199="1"&amp;totales!I199="0"&amp;totales!J199="0","j",IF(totales!E199="1"&amp;totales!H199="2"&amp;totales!I199="0"&amp;totales!J199="0","k",IF(totales!E199="2"&amp;totales!H199="2"&amp;totales!I199="0"&amp;totales!J199="0","l",IF(totales!E199="3"&amp;totales!H199="2"&amp;totales!I199="0"&amp;totales!J199="0","m",
IF(totales!E199="4"&amp;totales!H199="2"&amp;totales!I199="0"&amp;totales!J199="0","n",IF(totales!E199="6"&amp;totales!H199="2"&amp;totales!I199="0"&amp;totales!J199="0","o",IF(totales!E199="1"&amp;totales!H199="0"&amp;totales!I199="1"&amp;totales!J199="0","p",IF(totales!E199="2"&amp;totales!H199="0"&amp;totales!I199="1"&amp;totales!J199="0","q",IF(totales!E199="3"&amp;totales!H199="0"&amp;totales!I199="1"&amp;totales!J199="0","r",IF(totales!E199="4"&amp;totales!H199="0"&amp;totales!I199="1"&amp;totales!J199="0","s",IF(totales!E199="6"&amp;totales!H199="0"&amp;totales!I199="1"&amp;totales!J199="0","t",IF(totales!E199="1"&amp;totales!H199="2"&amp;totales!I199="1"&amp;totales!J199="0","u",IF(totales!E199="2"&amp;totales!H199="2"&amp;totales!I199="1"&amp;totales!J199="0","v",IF(totales!E199="3"&amp;totales!H199="2"&amp;totales!I199="1"&amp;totales!J199="0","w",IF(totales!E199="4"&amp;totales!H199="2"&amp;totales!I199="1"&amp;totales!J199="0","x",
IF(totales!E199="6"&amp;totales!H199="2"&amp;totales!I199="1"&amp;totales!J199="0","y",IF(totales!E199="1"&amp;totales!H199="1"&amp;totales!I199="1"&amp;totales!J199="0","z",IF(totales!E199="2"&amp;totales!H199="1"&amp;totales!I199="1"&amp;totales!J199="0","0",IF(totales!E199="3"&amp;totales!H199="1"&amp;totales!I199="1"&amp;totales!J199="0","1",IF(totales!E199="4"&amp;totales!H199="1"&amp;totales!I199="1"&amp;totales!J199="0","2",IF(totales!E199="6"&amp;totales!H199="1"&amp;totales!I199="1"&amp;totales!J199="0","3",IF(totales!E199="1"&amp;totales!H199="0"&amp;totales!I199="1"&amp;totales!J199="1","4",IF(totales!E199="2"&amp;totales!H199="0"&amp;totales!I199="1"&amp;totales!J199="1","5",IF(totales!E199="3"&amp;totales!H199="0"&amp;totales!I199="1"&amp;totales!J199="1","6",IF(totales!E199="4"&amp;totales!H199="0"&amp;totales!I199="1"&amp;totales!J199="1","7",IF(totales!E199="6"&amp;totales!H199="0"&amp;totales!I199="1"&amp;totales!J199="1","8",IF(totales!E199="1"&amp;totales!H199="1"&amp;totales!I199="0"&amp;totales!J199="1","9"))))))))))))))))))))))))))))))))))))</f>
        <v>0</v>
      </c>
    </row>
    <row r="199" spans="22:22">
      <c r="V199" s="102" t="b">
        <f>IF(totales!E200="1"&amp;totales!H200="0"&amp;totales!I200="0"&amp;totales!J200="0","a",IF(totales!E200="2"&amp;totales!H200="0"&amp;totales!I200="0"&amp;totales!J200="0","b",IF(totales!E200="3"&amp;totales!H200="0"&amp;totales!I200="0"&amp;totales!J200="0","c",IF(totales!E200="4"&amp;totales!H200="0"&amp;totales!I200="0"&amp;totales!J200="0","d",IF(totales!E200="6"&amp;totales!H200="0"&amp;totales!I200="0"&amp;totales!J200="0","e",IF(totales!E200="1"&amp;totales!H200="1"&amp;totales!I200="0"&amp;totales!J200="0","f",IF(totales!E200="2"&amp;totales!H200="1"&amp;totales!I200="0"&amp;totales!J200="0","g",IF(totales!E200="3"&amp;totales!H200="1"&amp;totales!I200="0"&amp;totales!J200="0","h",IF(totales!E200="4"&amp;totales!H200="1"&amp;totales!I200="0"&amp;totales!J200="0","i",IF(totales!E200="6"&amp;totales!H200="1"&amp;totales!I200="0"&amp;totales!J200="0","j",IF(totales!E200="1"&amp;totales!H200="2"&amp;totales!I200="0"&amp;totales!J200="0","k",IF(totales!E200="2"&amp;totales!H200="2"&amp;totales!I200="0"&amp;totales!J200="0","l",IF(totales!E200="3"&amp;totales!H200="2"&amp;totales!I200="0"&amp;totales!J200="0","m",
IF(totales!E200="4"&amp;totales!H200="2"&amp;totales!I200="0"&amp;totales!J200="0","n",IF(totales!E200="6"&amp;totales!H200="2"&amp;totales!I200="0"&amp;totales!J200="0","o",IF(totales!E200="1"&amp;totales!H200="0"&amp;totales!I200="1"&amp;totales!J200="0","p",IF(totales!E200="2"&amp;totales!H200="0"&amp;totales!I200="1"&amp;totales!J200="0","q",IF(totales!E200="3"&amp;totales!H200="0"&amp;totales!I200="1"&amp;totales!J200="0","r",IF(totales!E200="4"&amp;totales!H200="0"&amp;totales!I200="1"&amp;totales!J200="0","s",IF(totales!E200="6"&amp;totales!H200="0"&amp;totales!I200="1"&amp;totales!J200="0","t",IF(totales!E200="1"&amp;totales!H200="2"&amp;totales!I200="1"&amp;totales!J200="0","u",IF(totales!E200="2"&amp;totales!H200="2"&amp;totales!I200="1"&amp;totales!J200="0","v",IF(totales!E200="3"&amp;totales!H200="2"&amp;totales!I200="1"&amp;totales!J200="0","w",IF(totales!E200="4"&amp;totales!H200="2"&amp;totales!I200="1"&amp;totales!J200="0","x",
IF(totales!E200="6"&amp;totales!H200="2"&amp;totales!I200="1"&amp;totales!J200="0","y",IF(totales!E200="1"&amp;totales!H200="1"&amp;totales!I200="1"&amp;totales!J200="0","z",IF(totales!E200="2"&amp;totales!H200="1"&amp;totales!I200="1"&amp;totales!J200="0","0",IF(totales!E200="3"&amp;totales!H200="1"&amp;totales!I200="1"&amp;totales!J200="0","1",IF(totales!E200="4"&amp;totales!H200="1"&amp;totales!I200="1"&amp;totales!J200="0","2",IF(totales!E200="6"&amp;totales!H200="1"&amp;totales!I200="1"&amp;totales!J200="0","3",IF(totales!E200="1"&amp;totales!H200="0"&amp;totales!I200="1"&amp;totales!J200="1","4",IF(totales!E200="2"&amp;totales!H200="0"&amp;totales!I200="1"&amp;totales!J200="1","5",IF(totales!E200="3"&amp;totales!H200="0"&amp;totales!I200="1"&amp;totales!J200="1","6",IF(totales!E200="4"&amp;totales!H200="0"&amp;totales!I200="1"&amp;totales!J200="1","7",IF(totales!E200="6"&amp;totales!H200="0"&amp;totales!I200="1"&amp;totales!J200="1","8",IF(totales!E200="1"&amp;totales!H200="1"&amp;totales!I200="0"&amp;totales!J200="1","9"))))))))))))))))))))))))))))))))))))</f>
        <v>0</v>
      </c>
    </row>
    <row r="200" spans="22:22">
      <c r="V200" s="102" t="b">
        <f>IF(totales!E201="1"&amp;totales!H201="0"&amp;totales!I201="0"&amp;totales!J201="0","a",IF(totales!E201="2"&amp;totales!H201="0"&amp;totales!I201="0"&amp;totales!J201="0","b",IF(totales!E201="3"&amp;totales!H201="0"&amp;totales!I201="0"&amp;totales!J201="0","c",IF(totales!E201="4"&amp;totales!H201="0"&amp;totales!I201="0"&amp;totales!J201="0","d",IF(totales!E201="6"&amp;totales!H201="0"&amp;totales!I201="0"&amp;totales!J201="0","e",IF(totales!E201="1"&amp;totales!H201="1"&amp;totales!I201="0"&amp;totales!J201="0","f",IF(totales!E201="2"&amp;totales!H201="1"&amp;totales!I201="0"&amp;totales!J201="0","g",IF(totales!E201="3"&amp;totales!H201="1"&amp;totales!I201="0"&amp;totales!J201="0","h",IF(totales!E201="4"&amp;totales!H201="1"&amp;totales!I201="0"&amp;totales!J201="0","i",IF(totales!E201="6"&amp;totales!H201="1"&amp;totales!I201="0"&amp;totales!J201="0","j",IF(totales!E201="1"&amp;totales!H201="2"&amp;totales!I201="0"&amp;totales!J201="0","k",IF(totales!E201="2"&amp;totales!H201="2"&amp;totales!I201="0"&amp;totales!J201="0","l",IF(totales!E201="3"&amp;totales!H201="2"&amp;totales!I201="0"&amp;totales!J201="0","m",
IF(totales!E201="4"&amp;totales!H201="2"&amp;totales!I201="0"&amp;totales!J201="0","n",IF(totales!E201="6"&amp;totales!H201="2"&amp;totales!I201="0"&amp;totales!J201="0","o",IF(totales!E201="1"&amp;totales!H201="0"&amp;totales!I201="1"&amp;totales!J201="0","p",IF(totales!E201="2"&amp;totales!H201="0"&amp;totales!I201="1"&amp;totales!J201="0","q",IF(totales!E201="3"&amp;totales!H201="0"&amp;totales!I201="1"&amp;totales!J201="0","r",IF(totales!E201="4"&amp;totales!H201="0"&amp;totales!I201="1"&amp;totales!J201="0","s",IF(totales!E201="6"&amp;totales!H201="0"&amp;totales!I201="1"&amp;totales!J201="0","t",IF(totales!E201="1"&amp;totales!H201="2"&amp;totales!I201="1"&amp;totales!J201="0","u",IF(totales!E201="2"&amp;totales!H201="2"&amp;totales!I201="1"&amp;totales!J201="0","v",IF(totales!E201="3"&amp;totales!H201="2"&amp;totales!I201="1"&amp;totales!J201="0","w",IF(totales!E201="4"&amp;totales!H201="2"&amp;totales!I201="1"&amp;totales!J201="0","x",
IF(totales!E201="6"&amp;totales!H201="2"&amp;totales!I201="1"&amp;totales!J201="0","y",IF(totales!E201="1"&amp;totales!H201="1"&amp;totales!I201="1"&amp;totales!J201="0","z",IF(totales!E201="2"&amp;totales!H201="1"&amp;totales!I201="1"&amp;totales!J201="0","0",IF(totales!E201="3"&amp;totales!H201="1"&amp;totales!I201="1"&amp;totales!J201="0","1",IF(totales!E201="4"&amp;totales!H201="1"&amp;totales!I201="1"&amp;totales!J201="0","2",IF(totales!E201="6"&amp;totales!H201="1"&amp;totales!I201="1"&amp;totales!J201="0","3",IF(totales!E201="1"&amp;totales!H201="0"&amp;totales!I201="1"&amp;totales!J201="1","4",IF(totales!E201="2"&amp;totales!H201="0"&amp;totales!I201="1"&amp;totales!J201="1","5",IF(totales!E201="3"&amp;totales!H201="0"&amp;totales!I201="1"&amp;totales!J201="1","6",IF(totales!E201="4"&amp;totales!H201="0"&amp;totales!I201="1"&amp;totales!J201="1","7",IF(totales!E201="6"&amp;totales!H201="0"&amp;totales!I201="1"&amp;totales!J201="1","8",IF(totales!E201="1"&amp;totales!H201="1"&amp;totales!I201="0"&amp;totales!J201="1","9"))))))))))))))))))))))))))))))))))))</f>
        <v>0</v>
      </c>
    </row>
    <row r="201" spans="22:22">
      <c r="V201" s="102" t="b">
        <f>IF(totales!E202="1"&amp;totales!H202="0"&amp;totales!I202="0"&amp;totales!J202="0","a",IF(totales!E202="2"&amp;totales!H202="0"&amp;totales!I202="0"&amp;totales!J202="0","b",IF(totales!E202="3"&amp;totales!H202="0"&amp;totales!I202="0"&amp;totales!J202="0","c",IF(totales!E202="4"&amp;totales!H202="0"&amp;totales!I202="0"&amp;totales!J202="0","d",IF(totales!E202="6"&amp;totales!H202="0"&amp;totales!I202="0"&amp;totales!J202="0","e",IF(totales!E202="1"&amp;totales!H202="1"&amp;totales!I202="0"&amp;totales!J202="0","f",IF(totales!E202="2"&amp;totales!H202="1"&amp;totales!I202="0"&amp;totales!J202="0","g",IF(totales!E202="3"&amp;totales!H202="1"&amp;totales!I202="0"&amp;totales!J202="0","h",IF(totales!E202="4"&amp;totales!H202="1"&amp;totales!I202="0"&amp;totales!J202="0","i",IF(totales!E202="6"&amp;totales!H202="1"&amp;totales!I202="0"&amp;totales!J202="0","j",IF(totales!E202="1"&amp;totales!H202="2"&amp;totales!I202="0"&amp;totales!J202="0","k",IF(totales!E202="2"&amp;totales!H202="2"&amp;totales!I202="0"&amp;totales!J202="0","l",IF(totales!E202="3"&amp;totales!H202="2"&amp;totales!I202="0"&amp;totales!J202="0","m",
IF(totales!E202="4"&amp;totales!H202="2"&amp;totales!I202="0"&amp;totales!J202="0","n",IF(totales!E202="6"&amp;totales!H202="2"&amp;totales!I202="0"&amp;totales!J202="0","o",IF(totales!E202="1"&amp;totales!H202="0"&amp;totales!I202="1"&amp;totales!J202="0","p",IF(totales!E202="2"&amp;totales!H202="0"&amp;totales!I202="1"&amp;totales!J202="0","q",IF(totales!E202="3"&amp;totales!H202="0"&amp;totales!I202="1"&amp;totales!J202="0","r",IF(totales!E202="4"&amp;totales!H202="0"&amp;totales!I202="1"&amp;totales!J202="0","s",IF(totales!E202="6"&amp;totales!H202="0"&amp;totales!I202="1"&amp;totales!J202="0","t",IF(totales!E202="1"&amp;totales!H202="2"&amp;totales!I202="1"&amp;totales!J202="0","u",IF(totales!E202="2"&amp;totales!H202="2"&amp;totales!I202="1"&amp;totales!J202="0","v",IF(totales!E202="3"&amp;totales!H202="2"&amp;totales!I202="1"&amp;totales!J202="0","w",IF(totales!E202="4"&amp;totales!H202="2"&amp;totales!I202="1"&amp;totales!J202="0","x",
IF(totales!E202="6"&amp;totales!H202="2"&amp;totales!I202="1"&amp;totales!J202="0","y",IF(totales!E202="1"&amp;totales!H202="1"&amp;totales!I202="1"&amp;totales!J202="0","z",IF(totales!E202="2"&amp;totales!H202="1"&amp;totales!I202="1"&amp;totales!J202="0","0",IF(totales!E202="3"&amp;totales!H202="1"&amp;totales!I202="1"&amp;totales!J202="0","1",IF(totales!E202="4"&amp;totales!H202="1"&amp;totales!I202="1"&amp;totales!J202="0","2",IF(totales!E202="6"&amp;totales!H202="1"&amp;totales!I202="1"&amp;totales!J202="0","3",IF(totales!E202="1"&amp;totales!H202="0"&amp;totales!I202="1"&amp;totales!J202="1","4",IF(totales!E202="2"&amp;totales!H202="0"&amp;totales!I202="1"&amp;totales!J202="1","5",IF(totales!E202="3"&amp;totales!H202="0"&amp;totales!I202="1"&amp;totales!J202="1","6",IF(totales!E202="4"&amp;totales!H202="0"&amp;totales!I202="1"&amp;totales!J202="1","7",IF(totales!E202="6"&amp;totales!H202="0"&amp;totales!I202="1"&amp;totales!J202="1","8",IF(totales!E202="1"&amp;totales!H202="1"&amp;totales!I202="0"&amp;totales!J202="1","9"))))))))))))))))))))))))))))))))))))</f>
        <v>0</v>
      </c>
    </row>
    <row r="202" spans="22:22">
      <c r="V202" s="102" t="b">
        <f>IF(totales!E203="1"&amp;totales!H203="0"&amp;totales!I203="0"&amp;totales!J203="0","a",IF(totales!E203="2"&amp;totales!H203="0"&amp;totales!I203="0"&amp;totales!J203="0","b",IF(totales!E203="3"&amp;totales!H203="0"&amp;totales!I203="0"&amp;totales!J203="0","c",IF(totales!E203="4"&amp;totales!H203="0"&amp;totales!I203="0"&amp;totales!J203="0","d",IF(totales!E203="6"&amp;totales!H203="0"&amp;totales!I203="0"&amp;totales!J203="0","e",IF(totales!E203="1"&amp;totales!H203="1"&amp;totales!I203="0"&amp;totales!J203="0","f",IF(totales!E203="2"&amp;totales!H203="1"&amp;totales!I203="0"&amp;totales!J203="0","g",IF(totales!E203="3"&amp;totales!H203="1"&amp;totales!I203="0"&amp;totales!J203="0","h",IF(totales!E203="4"&amp;totales!H203="1"&amp;totales!I203="0"&amp;totales!J203="0","i",IF(totales!E203="6"&amp;totales!H203="1"&amp;totales!I203="0"&amp;totales!J203="0","j",IF(totales!E203="1"&amp;totales!H203="2"&amp;totales!I203="0"&amp;totales!J203="0","k",IF(totales!E203="2"&amp;totales!H203="2"&amp;totales!I203="0"&amp;totales!J203="0","l",IF(totales!E203="3"&amp;totales!H203="2"&amp;totales!I203="0"&amp;totales!J203="0","m",
IF(totales!E203="4"&amp;totales!H203="2"&amp;totales!I203="0"&amp;totales!J203="0","n",IF(totales!E203="6"&amp;totales!H203="2"&amp;totales!I203="0"&amp;totales!J203="0","o",IF(totales!E203="1"&amp;totales!H203="0"&amp;totales!I203="1"&amp;totales!J203="0","p",IF(totales!E203="2"&amp;totales!H203="0"&amp;totales!I203="1"&amp;totales!J203="0","q",IF(totales!E203="3"&amp;totales!H203="0"&amp;totales!I203="1"&amp;totales!J203="0","r",IF(totales!E203="4"&amp;totales!H203="0"&amp;totales!I203="1"&amp;totales!J203="0","s",IF(totales!E203="6"&amp;totales!H203="0"&amp;totales!I203="1"&amp;totales!J203="0","t",IF(totales!E203="1"&amp;totales!H203="2"&amp;totales!I203="1"&amp;totales!J203="0","u",IF(totales!E203="2"&amp;totales!H203="2"&amp;totales!I203="1"&amp;totales!J203="0","v",IF(totales!E203="3"&amp;totales!H203="2"&amp;totales!I203="1"&amp;totales!J203="0","w",IF(totales!E203="4"&amp;totales!H203="2"&amp;totales!I203="1"&amp;totales!J203="0","x",
IF(totales!E203="6"&amp;totales!H203="2"&amp;totales!I203="1"&amp;totales!J203="0","y",IF(totales!E203="1"&amp;totales!H203="1"&amp;totales!I203="1"&amp;totales!J203="0","z",IF(totales!E203="2"&amp;totales!H203="1"&amp;totales!I203="1"&amp;totales!J203="0","0",IF(totales!E203="3"&amp;totales!H203="1"&amp;totales!I203="1"&amp;totales!J203="0","1",IF(totales!E203="4"&amp;totales!H203="1"&amp;totales!I203="1"&amp;totales!J203="0","2",IF(totales!E203="6"&amp;totales!H203="1"&amp;totales!I203="1"&amp;totales!J203="0","3",IF(totales!E203="1"&amp;totales!H203="0"&amp;totales!I203="1"&amp;totales!J203="1","4",IF(totales!E203="2"&amp;totales!H203="0"&amp;totales!I203="1"&amp;totales!J203="1","5",IF(totales!E203="3"&amp;totales!H203="0"&amp;totales!I203="1"&amp;totales!J203="1","6",IF(totales!E203="4"&amp;totales!H203="0"&amp;totales!I203="1"&amp;totales!J203="1","7",IF(totales!E203="6"&amp;totales!H203="0"&amp;totales!I203="1"&amp;totales!J203="1","8",IF(totales!E203="1"&amp;totales!H203="1"&amp;totales!I203="0"&amp;totales!J203="1","9"))))))))))))))))))))))))))))))))))))</f>
        <v>0</v>
      </c>
    </row>
    <row r="203" spans="22:22">
      <c r="V203" s="102" t="b">
        <f>IF(totales!E204="1"&amp;totales!H204="0"&amp;totales!I204="0"&amp;totales!J204="0","a",IF(totales!E204="2"&amp;totales!H204="0"&amp;totales!I204="0"&amp;totales!J204="0","b",IF(totales!E204="3"&amp;totales!H204="0"&amp;totales!I204="0"&amp;totales!J204="0","c",IF(totales!E204="4"&amp;totales!H204="0"&amp;totales!I204="0"&amp;totales!J204="0","d",IF(totales!E204="6"&amp;totales!H204="0"&amp;totales!I204="0"&amp;totales!J204="0","e",IF(totales!E204="1"&amp;totales!H204="1"&amp;totales!I204="0"&amp;totales!J204="0","f",IF(totales!E204="2"&amp;totales!H204="1"&amp;totales!I204="0"&amp;totales!J204="0","g",IF(totales!E204="3"&amp;totales!H204="1"&amp;totales!I204="0"&amp;totales!J204="0","h",IF(totales!E204="4"&amp;totales!H204="1"&amp;totales!I204="0"&amp;totales!J204="0","i",IF(totales!E204="6"&amp;totales!H204="1"&amp;totales!I204="0"&amp;totales!J204="0","j",IF(totales!E204="1"&amp;totales!H204="2"&amp;totales!I204="0"&amp;totales!J204="0","k",IF(totales!E204="2"&amp;totales!H204="2"&amp;totales!I204="0"&amp;totales!J204="0","l",IF(totales!E204="3"&amp;totales!H204="2"&amp;totales!I204="0"&amp;totales!J204="0","m",
IF(totales!E204="4"&amp;totales!H204="2"&amp;totales!I204="0"&amp;totales!J204="0","n",IF(totales!E204="6"&amp;totales!H204="2"&amp;totales!I204="0"&amp;totales!J204="0","o",IF(totales!E204="1"&amp;totales!H204="0"&amp;totales!I204="1"&amp;totales!J204="0","p",IF(totales!E204="2"&amp;totales!H204="0"&amp;totales!I204="1"&amp;totales!J204="0","q",IF(totales!E204="3"&amp;totales!H204="0"&amp;totales!I204="1"&amp;totales!J204="0","r",IF(totales!E204="4"&amp;totales!H204="0"&amp;totales!I204="1"&amp;totales!J204="0","s",IF(totales!E204="6"&amp;totales!H204="0"&amp;totales!I204="1"&amp;totales!J204="0","t",IF(totales!E204="1"&amp;totales!H204="2"&amp;totales!I204="1"&amp;totales!J204="0","u",IF(totales!E204="2"&amp;totales!H204="2"&amp;totales!I204="1"&amp;totales!J204="0","v",IF(totales!E204="3"&amp;totales!H204="2"&amp;totales!I204="1"&amp;totales!J204="0","w",IF(totales!E204="4"&amp;totales!H204="2"&amp;totales!I204="1"&amp;totales!J204="0","x",
IF(totales!E204="6"&amp;totales!H204="2"&amp;totales!I204="1"&amp;totales!J204="0","y",IF(totales!E204="1"&amp;totales!H204="1"&amp;totales!I204="1"&amp;totales!J204="0","z",IF(totales!E204="2"&amp;totales!H204="1"&amp;totales!I204="1"&amp;totales!J204="0","0",IF(totales!E204="3"&amp;totales!H204="1"&amp;totales!I204="1"&amp;totales!J204="0","1",IF(totales!E204="4"&amp;totales!H204="1"&amp;totales!I204="1"&amp;totales!J204="0","2",IF(totales!E204="6"&amp;totales!H204="1"&amp;totales!I204="1"&amp;totales!J204="0","3",IF(totales!E204="1"&amp;totales!H204="0"&amp;totales!I204="1"&amp;totales!J204="1","4",IF(totales!E204="2"&amp;totales!H204="0"&amp;totales!I204="1"&amp;totales!J204="1","5",IF(totales!E204="3"&amp;totales!H204="0"&amp;totales!I204="1"&amp;totales!J204="1","6",IF(totales!E204="4"&amp;totales!H204="0"&amp;totales!I204="1"&amp;totales!J204="1","7",IF(totales!E204="6"&amp;totales!H204="0"&amp;totales!I204="1"&amp;totales!J204="1","8",IF(totales!E204="1"&amp;totales!H204="1"&amp;totales!I204="0"&amp;totales!J204="1","9"))))))))))))))))))))))))))))))))))))</f>
        <v>0</v>
      </c>
    </row>
    <row r="204" spans="22:22">
      <c r="V204" s="102" t="b">
        <f>IF(totales!E205="1"&amp;totales!H205="0"&amp;totales!I205="0"&amp;totales!J205="0","a",IF(totales!E205="2"&amp;totales!H205="0"&amp;totales!I205="0"&amp;totales!J205="0","b",IF(totales!E205="3"&amp;totales!H205="0"&amp;totales!I205="0"&amp;totales!J205="0","c",IF(totales!E205="4"&amp;totales!H205="0"&amp;totales!I205="0"&amp;totales!J205="0","d",IF(totales!E205="6"&amp;totales!H205="0"&amp;totales!I205="0"&amp;totales!J205="0","e",IF(totales!E205="1"&amp;totales!H205="1"&amp;totales!I205="0"&amp;totales!J205="0","f",IF(totales!E205="2"&amp;totales!H205="1"&amp;totales!I205="0"&amp;totales!J205="0","g",IF(totales!E205="3"&amp;totales!H205="1"&amp;totales!I205="0"&amp;totales!J205="0","h",IF(totales!E205="4"&amp;totales!H205="1"&amp;totales!I205="0"&amp;totales!J205="0","i",IF(totales!E205="6"&amp;totales!H205="1"&amp;totales!I205="0"&amp;totales!J205="0","j",IF(totales!E205="1"&amp;totales!H205="2"&amp;totales!I205="0"&amp;totales!J205="0","k",IF(totales!E205="2"&amp;totales!H205="2"&amp;totales!I205="0"&amp;totales!J205="0","l",IF(totales!E205="3"&amp;totales!H205="2"&amp;totales!I205="0"&amp;totales!J205="0","m",
IF(totales!E205="4"&amp;totales!H205="2"&amp;totales!I205="0"&amp;totales!J205="0","n",IF(totales!E205="6"&amp;totales!H205="2"&amp;totales!I205="0"&amp;totales!J205="0","o",IF(totales!E205="1"&amp;totales!H205="0"&amp;totales!I205="1"&amp;totales!J205="0","p",IF(totales!E205="2"&amp;totales!H205="0"&amp;totales!I205="1"&amp;totales!J205="0","q",IF(totales!E205="3"&amp;totales!H205="0"&amp;totales!I205="1"&amp;totales!J205="0","r",IF(totales!E205="4"&amp;totales!H205="0"&amp;totales!I205="1"&amp;totales!J205="0","s",IF(totales!E205="6"&amp;totales!H205="0"&amp;totales!I205="1"&amp;totales!J205="0","t",IF(totales!E205="1"&amp;totales!H205="2"&amp;totales!I205="1"&amp;totales!J205="0","u",IF(totales!E205="2"&amp;totales!H205="2"&amp;totales!I205="1"&amp;totales!J205="0","v",IF(totales!E205="3"&amp;totales!H205="2"&amp;totales!I205="1"&amp;totales!J205="0","w",IF(totales!E205="4"&amp;totales!H205="2"&amp;totales!I205="1"&amp;totales!J205="0","x",
IF(totales!E205="6"&amp;totales!H205="2"&amp;totales!I205="1"&amp;totales!J205="0","y",IF(totales!E205="1"&amp;totales!H205="1"&amp;totales!I205="1"&amp;totales!J205="0","z",IF(totales!E205="2"&amp;totales!H205="1"&amp;totales!I205="1"&amp;totales!J205="0","0",IF(totales!E205="3"&amp;totales!H205="1"&amp;totales!I205="1"&amp;totales!J205="0","1",IF(totales!E205="4"&amp;totales!H205="1"&amp;totales!I205="1"&amp;totales!J205="0","2",IF(totales!E205="6"&amp;totales!H205="1"&amp;totales!I205="1"&amp;totales!J205="0","3",IF(totales!E205="1"&amp;totales!H205="0"&amp;totales!I205="1"&amp;totales!J205="1","4",IF(totales!E205="2"&amp;totales!H205="0"&amp;totales!I205="1"&amp;totales!J205="1","5",IF(totales!E205="3"&amp;totales!H205="0"&amp;totales!I205="1"&amp;totales!J205="1","6",IF(totales!E205="4"&amp;totales!H205="0"&amp;totales!I205="1"&amp;totales!J205="1","7",IF(totales!E205="6"&amp;totales!H205="0"&amp;totales!I205="1"&amp;totales!J205="1","8",IF(totales!E205="1"&amp;totales!H205="1"&amp;totales!I205="0"&amp;totales!J205="1","9"))))))))))))))))))))))))))))))))))))</f>
        <v>0</v>
      </c>
    </row>
    <row r="205" spans="22:22">
      <c r="V205" s="102" t="b">
        <f>IF(totales!E206="1"&amp;totales!H206="0"&amp;totales!I206="0"&amp;totales!J206="0","a",IF(totales!E206="2"&amp;totales!H206="0"&amp;totales!I206="0"&amp;totales!J206="0","b",IF(totales!E206="3"&amp;totales!H206="0"&amp;totales!I206="0"&amp;totales!J206="0","c",IF(totales!E206="4"&amp;totales!H206="0"&amp;totales!I206="0"&amp;totales!J206="0","d",IF(totales!E206="6"&amp;totales!H206="0"&amp;totales!I206="0"&amp;totales!J206="0","e",IF(totales!E206="1"&amp;totales!H206="1"&amp;totales!I206="0"&amp;totales!J206="0","f",IF(totales!E206="2"&amp;totales!H206="1"&amp;totales!I206="0"&amp;totales!J206="0","g",IF(totales!E206="3"&amp;totales!H206="1"&amp;totales!I206="0"&amp;totales!J206="0","h",IF(totales!E206="4"&amp;totales!H206="1"&amp;totales!I206="0"&amp;totales!J206="0","i",IF(totales!E206="6"&amp;totales!H206="1"&amp;totales!I206="0"&amp;totales!J206="0","j",IF(totales!E206="1"&amp;totales!H206="2"&amp;totales!I206="0"&amp;totales!J206="0","k",IF(totales!E206="2"&amp;totales!H206="2"&amp;totales!I206="0"&amp;totales!J206="0","l",IF(totales!E206="3"&amp;totales!H206="2"&amp;totales!I206="0"&amp;totales!J206="0","m",
IF(totales!E206="4"&amp;totales!H206="2"&amp;totales!I206="0"&amp;totales!J206="0","n",IF(totales!E206="6"&amp;totales!H206="2"&amp;totales!I206="0"&amp;totales!J206="0","o",IF(totales!E206="1"&amp;totales!H206="0"&amp;totales!I206="1"&amp;totales!J206="0","p",IF(totales!E206="2"&amp;totales!H206="0"&amp;totales!I206="1"&amp;totales!J206="0","q",IF(totales!E206="3"&amp;totales!H206="0"&amp;totales!I206="1"&amp;totales!J206="0","r",IF(totales!E206="4"&amp;totales!H206="0"&amp;totales!I206="1"&amp;totales!J206="0","s",IF(totales!E206="6"&amp;totales!H206="0"&amp;totales!I206="1"&amp;totales!J206="0","t",IF(totales!E206="1"&amp;totales!H206="2"&amp;totales!I206="1"&amp;totales!J206="0","u",IF(totales!E206="2"&amp;totales!H206="2"&amp;totales!I206="1"&amp;totales!J206="0","v",IF(totales!E206="3"&amp;totales!H206="2"&amp;totales!I206="1"&amp;totales!J206="0","w",IF(totales!E206="4"&amp;totales!H206="2"&amp;totales!I206="1"&amp;totales!J206="0","x",
IF(totales!E206="6"&amp;totales!H206="2"&amp;totales!I206="1"&amp;totales!J206="0","y",IF(totales!E206="1"&amp;totales!H206="1"&amp;totales!I206="1"&amp;totales!J206="0","z",IF(totales!E206="2"&amp;totales!H206="1"&amp;totales!I206="1"&amp;totales!J206="0","0",IF(totales!E206="3"&amp;totales!H206="1"&amp;totales!I206="1"&amp;totales!J206="0","1",IF(totales!E206="4"&amp;totales!H206="1"&amp;totales!I206="1"&amp;totales!J206="0","2",IF(totales!E206="6"&amp;totales!H206="1"&amp;totales!I206="1"&amp;totales!J206="0","3",IF(totales!E206="1"&amp;totales!H206="0"&amp;totales!I206="1"&amp;totales!J206="1","4",IF(totales!E206="2"&amp;totales!H206="0"&amp;totales!I206="1"&amp;totales!J206="1","5",IF(totales!E206="3"&amp;totales!H206="0"&amp;totales!I206="1"&amp;totales!J206="1","6",IF(totales!E206="4"&amp;totales!H206="0"&amp;totales!I206="1"&amp;totales!J206="1","7",IF(totales!E206="6"&amp;totales!H206="0"&amp;totales!I206="1"&amp;totales!J206="1","8",IF(totales!E206="1"&amp;totales!H206="1"&amp;totales!I206="0"&amp;totales!J206="1","9"))))))))))))))))))))))))))))))))))))</f>
        <v>0</v>
      </c>
    </row>
    <row r="206" spans="22:22">
      <c r="V206" s="102" t="b">
        <f>IF(totales!E207="1"&amp;totales!H207="0"&amp;totales!I207="0"&amp;totales!J207="0","a",IF(totales!E207="2"&amp;totales!H207="0"&amp;totales!I207="0"&amp;totales!J207="0","b",IF(totales!E207="3"&amp;totales!H207="0"&amp;totales!I207="0"&amp;totales!J207="0","c",IF(totales!E207="4"&amp;totales!H207="0"&amp;totales!I207="0"&amp;totales!J207="0","d",IF(totales!E207="6"&amp;totales!H207="0"&amp;totales!I207="0"&amp;totales!J207="0","e",IF(totales!E207="1"&amp;totales!H207="1"&amp;totales!I207="0"&amp;totales!J207="0","f",IF(totales!E207="2"&amp;totales!H207="1"&amp;totales!I207="0"&amp;totales!J207="0","g",IF(totales!E207="3"&amp;totales!H207="1"&amp;totales!I207="0"&amp;totales!J207="0","h",IF(totales!E207="4"&amp;totales!H207="1"&amp;totales!I207="0"&amp;totales!J207="0","i",IF(totales!E207="6"&amp;totales!H207="1"&amp;totales!I207="0"&amp;totales!J207="0","j",IF(totales!E207="1"&amp;totales!H207="2"&amp;totales!I207="0"&amp;totales!J207="0","k",IF(totales!E207="2"&amp;totales!H207="2"&amp;totales!I207="0"&amp;totales!J207="0","l",IF(totales!E207="3"&amp;totales!H207="2"&amp;totales!I207="0"&amp;totales!J207="0","m",
IF(totales!E207="4"&amp;totales!H207="2"&amp;totales!I207="0"&amp;totales!J207="0","n",IF(totales!E207="6"&amp;totales!H207="2"&amp;totales!I207="0"&amp;totales!J207="0","o",IF(totales!E207="1"&amp;totales!H207="0"&amp;totales!I207="1"&amp;totales!J207="0","p",IF(totales!E207="2"&amp;totales!H207="0"&amp;totales!I207="1"&amp;totales!J207="0","q",IF(totales!E207="3"&amp;totales!H207="0"&amp;totales!I207="1"&amp;totales!J207="0","r",IF(totales!E207="4"&amp;totales!H207="0"&amp;totales!I207="1"&amp;totales!J207="0","s",IF(totales!E207="6"&amp;totales!H207="0"&amp;totales!I207="1"&amp;totales!J207="0","t",IF(totales!E207="1"&amp;totales!H207="2"&amp;totales!I207="1"&amp;totales!J207="0","u",IF(totales!E207="2"&amp;totales!H207="2"&amp;totales!I207="1"&amp;totales!J207="0","v",IF(totales!E207="3"&amp;totales!H207="2"&amp;totales!I207="1"&amp;totales!J207="0","w",IF(totales!E207="4"&amp;totales!H207="2"&amp;totales!I207="1"&amp;totales!J207="0","x",
IF(totales!E207="6"&amp;totales!H207="2"&amp;totales!I207="1"&amp;totales!J207="0","y",IF(totales!E207="1"&amp;totales!H207="1"&amp;totales!I207="1"&amp;totales!J207="0","z",IF(totales!E207="2"&amp;totales!H207="1"&amp;totales!I207="1"&amp;totales!J207="0","0",IF(totales!E207="3"&amp;totales!H207="1"&amp;totales!I207="1"&amp;totales!J207="0","1",IF(totales!E207="4"&amp;totales!H207="1"&amp;totales!I207="1"&amp;totales!J207="0","2",IF(totales!E207="6"&amp;totales!H207="1"&amp;totales!I207="1"&amp;totales!J207="0","3",IF(totales!E207="1"&amp;totales!H207="0"&amp;totales!I207="1"&amp;totales!J207="1","4",IF(totales!E207="2"&amp;totales!H207="0"&amp;totales!I207="1"&amp;totales!J207="1","5",IF(totales!E207="3"&amp;totales!H207="0"&amp;totales!I207="1"&amp;totales!J207="1","6",IF(totales!E207="4"&amp;totales!H207="0"&amp;totales!I207="1"&amp;totales!J207="1","7",IF(totales!E207="6"&amp;totales!H207="0"&amp;totales!I207="1"&amp;totales!J207="1","8",IF(totales!E207="1"&amp;totales!H207="1"&amp;totales!I207="0"&amp;totales!J207="1","9"))))))))))))))))))))))))))))))))))))</f>
        <v>0</v>
      </c>
    </row>
    <row r="207" spans="22:22">
      <c r="V207" s="102" t="b">
        <f>IF(totales!E208="1"&amp;totales!H208="0"&amp;totales!I208="0"&amp;totales!J208="0","a",IF(totales!E208="2"&amp;totales!H208="0"&amp;totales!I208="0"&amp;totales!J208="0","b",IF(totales!E208="3"&amp;totales!H208="0"&amp;totales!I208="0"&amp;totales!J208="0","c",IF(totales!E208="4"&amp;totales!H208="0"&amp;totales!I208="0"&amp;totales!J208="0","d",IF(totales!E208="6"&amp;totales!H208="0"&amp;totales!I208="0"&amp;totales!J208="0","e",IF(totales!E208="1"&amp;totales!H208="1"&amp;totales!I208="0"&amp;totales!J208="0","f",IF(totales!E208="2"&amp;totales!H208="1"&amp;totales!I208="0"&amp;totales!J208="0","g",IF(totales!E208="3"&amp;totales!H208="1"&amp;totales!I208="0"&amp;totales!J208="0","h",IF(totales!E208="4"&amp;totales!H208="1"&amp;totales!I208="0"&amp;totales!J208="0","i",IF(totales!E208="6"&amp;totales!H208="1"&amp;totales!I208="0"&amp;totales!J208="0","j",IF(totales!E208="1"&amp;totales!H208="2"&amp;totales!I208="0"&amp;totales!J208="0","k",IF(totales!E208="2"&amp;totales!H208="2"&amp;totales!I208="0"&amp;totales!J208="0","l",IF(totales!E208="3"&amp;totales!H208="2"&amp;totales!I208="0"&amp;totales!J208="0","m",
IF(totales!E208="4"&amp;totales!H208="2"&amp;totales!I208="0"&amp;totales!J208="0","n",IF(totales!E208="6"&amp;totales!H208="2"&amp;totales!I208="0"&amp;totales!J208="0","o",IF(totales!E208="1"&amp;totales!H208="0"&amp;totales!I208="1"&amp;totales!J208="0","p",IF(totales!E208="2"&amp;totales!H208="0"&amp;totales!I208="1"&amp;totales!J208="0","q",IF(totales!E208="3"&amp;totales!H208="0"&amp;totales!I208="1"&amp;totales!J208="0","r",IF(totales!E208="4"&amp;totales!H208="0"&amp;totales!I208="1"&amp;totales!J208="0","s",IF(totales!E208="6"&amp;totales!H208="0"&amp;totales!I208="1"&amp;totales!J208="0","t",IF(totales!E208="1"&amp;totales!H208="2"&amp;totales!I208="1"&amp;totales!J208="0","u",IF(totales!E208="2"&amp;totales!H208="2"&amp;totales!I208="1"&amp;totales!J208="0","v",IF(totales!E208="3"&amp;totales!H208="2"&amp;totales!I208="1"&amp;totales!J208="0","w",IF(totales!E208="4"&amp;totales!H208="2"&amp;totales!I208="1"&amp;totales!J208="0","x",
IF(totales!E208="6"&amp;totales!H208="2"&amp;totales!I208="1"&amp;totales!J208="0","y",IF(totales!E208="1"&amp;totales!H208="1"&amp;totales!I208="1"&amp;totales!J208="0","z",IF(totales!E208="2"&amp;totales!H208="1"&amp;totales!I208="1"&amp;totales!J208="0","0",IF(totales!E208="3"&amp;totales!H208="1"&amp;totales!I208="1"&amp;totales!J208="0","1",IF(totales!E208="4"&amp;totales!H208="1"&amp;totales!I208="1"&amp;totales!J208="0","2",IF(totales!E208="6"&amp;totales!H208="1"&amp;totales!I208="1"&amp;totales!J208="0","3",IF(totales!E208="1"&amp;totales!H208="0"&amp;totales!I208="1"&amp;totales!J208="1","4",IF(totales!E208="2"&amp;totales!H208="0"&amp;totales!I208="1"&amp;totales!J208="1","5",IF(totales!E208="3"&amp;totales!H208="0"&amp;totales!I208="1"&amp;totales!J208="1","6",IF(totales!E208="4"&amp;totales!H208="0"&amp;totales!I208="1"&amp;totales!J208="1","7",IF(totales!E208="6"&amp;totales!H208="0"&amp;totales!I208="1"&amp;totales!J208="1","8",IF(totales!E208="1"&amp;totales!H208="1"&amp;totales!I208="0"&amp;totales!J208="1","9"))))))))))))))))))))))))))))))))))))</f>
        <v>0</v>
      </c>
    </row>
    <row r="208" spans="22:22">
      <c r="V208" s="102" t="b">
        <f>IF(totales!E209="1"&amp;totales!H209="0"&amp;totales!I209="0"&amp;totales!J209="0","a",IF(totales!E209="2"&amp;totales!H209="0"&amp;totales!I209="0"&amp;totales!J209="0","b",IF(totales!E209="3"&amp;totales!H209="0"&amp;totales!I209="0"&amp;totales!J209="0","c",IF(totales!E209="4"&amp;totales!H209="0"&amp;totales!I209="0"&amp;totales!J209="0","d",IF(totales!E209="6"&amp;totales!H209="0"&amp;totales!I209="0"&amp;totales!J209="0","e",IF(totales!E209="1"&amp;totales!H209="1"&amp;totales!I209="0"&amp;totales!J209="0","f",IF(totales!E209="2"&amp;totales!H209="1"&amp;totales!I209="0"&amp;totales!J209="0","g",IF(totales!E209="3"&amp;totales!H209="1"&amp;totales!I209="0"&amp;totales!J209="0","h",IF(totales!E209="4"&amp;totales!H209="1"&amp;totales!I209="0"&amp;totales!J209="0","i",IF(totales!E209="6"&amp;totales!H209="1"&amp;totales!I209="0"&amp;totales!J209="0","j",IF(totales!E209="1"&amp;totales!H209="2"&amp;totales!I209="0"&amp;totales!J209="0","k",IF(totales!E209="2"&amp;totales!H209="2"&amp;totales!I209="0"&amp;totales!J209="0","l",IF(totales!E209="3"&amp;totales!H209="2"&amp;totales!I209="0"&amp;totales!J209="0","m",
IF(totales!E209="4"&amp;totales!H209="2"&amp;totales!I209="0"&amp;totales!J209="0","n",IF(totales!E209="6"&amp;totales!H209="2"&amp;totales!I209="0"&amp;totales!J209="0","o",IF(totales!E209="1"&amp;totales!H209="0"&amp;totales!I209="1"&amp;totales!J209="0","p",IF(totales!E209="2"&amp;totales!H209="0"&amp;totales!I209="1"&amp;totales!J209="0","q",IF(totales!E209="3"&amp;totales!H209="0"&amp;totales!I209="1"&amp;totales!J209="0","r",IF(totales!E209="4"&amp;totales!H209="0"&amp;totales!I209="1"&amp;totales!J209="0","s",IF(totales!E209="6"&amp;totales!H209="0"&amp;totales!I209="1"&amp;totales!J209="0","t",IF(totales!E209="1"&amp;totales!H209="2"&amp;totales!I209="1"&amp;totales!J209="0","u",IF(totales!E209="2"&amp;totales!H209="2"&amp;totales!I209="1"&amp;totales!J209="0","v",IF(totales!E209="3"&amp;totales!H209="2"&amp;totales!I209="1"&amp;totales!J209="0","w",IF(totales!E209="4"&amp;totales!H209="2"&amp;totales!I209="1"&amp;totales!J209="0","x",
IF(totales!E209="6"&amp;totales!H209="2"&amp;totales!I209="1"&amp;totales!J209="0","y",IF(totales!E209="1"&amp;totales!H209="1"&amp;totales!I209="1"&amp;totales!J209="0","z",IF(totales!E209="2"&amp;totales!H209="1"&amp;totales!I209="1"&amp;totales!J209="0","0",IF(totales!E209="3"&amp;totales!H209="1"&amp;totales!I209="1"&amp;totales!J209="0","1",IF(totales!E209="4"&amp;totales!H209="1"&amp;totales!I209="1"&amp;totales!J209="0","2",IF(totales!E209="6"&amp;totales!H209="1"&amp;totales!I209="1"&amp;totales!J209="0","3",IF(totales!E209="1"&amp;totales!H209="0"&amp;totales!I209="1"&amp;totales!J209="1","4",IF(totales!E209="2"&amp;totales!H209="0"&amp;totales!I209="1"&amp;totales!J209="1","5",IF(totales!E209="3"&amp;totales!H209="0"&amp;totales!I209="1"&amp;totales!J209="1","6",IF(totales!E209="4"&amp;totales!H209="0"&amp;totales!I209="1"&amp;totales!J209="1","7",IF(totales!E209="6"&amp;totales!H209="0"&amp;totales!I209="1"&amp;totales!J209="1","8",IF(totales!E209="1"&amp;totales!H209="1"&amp;totales!I209="0"&amp;totales!J209="1","9"))))))))))))))))))))))))))))))))))))</f>
        <v>0</v>
      </c>
    </row>
    <row r="209" spans="22:22">
      <c r="V209" s="102" t="b">
        <f>IF(totales!E210="1"&amp;totales!H210="0"&amp;totales!I210="0"&amp;totales!J210="0","a",IF(totales!E210="2"&amp;totales!H210="0"&amp;totales!I210="0"&amp;totales!J210="0","b",IF(totales!E210="3"&amp;totales!H210="0"&amp;totales!I210="0"&amp;totales!J210="0","c",IF(totales!E210="4"&amp;totales!H210="0"&amp;totales!I210="0"&amp;totales!J210="0","d",IF(totales!E210="6"&amp;totales!H210="0"&amp;totales!I210="0"&amp;totales!J210="0","e",IF(totales!E210="1"&amp;totales!H210="1"&amp;totales!I210="0"&amp;totales!J210="0","f",IF(totales!E210="2"&amp;totales!H210="1"&amp;totales!I210="0"&amp;totales!J210="0","g",IF(totales!E210="3"&amp;totales!H210="1"&amp;totales!I210="0"&amp;totales!J210="0","h",IF(totales!E210="4"&amp;totales!H210="1"&amp;totales!I210="0"&amp;totales!J210="0","i",IF(totales!E210="6"&amp;totales!H210="1"&amp;totales!I210="0"&amp;totales!J210="0","j",IF(totales!E210="1"&amp;totales!H210="2"&amp;totales!I210="0"&amp;totales!J210="0","k",IF(totales!E210="2"&amp;totales!H210="2"&amp;totales!I210="0"&amp;totales!J210="0","l",IF(totales!E210="3"&amp;totales!H210="2"&amp;totales!I210="0"&amp;totales!J210="0","m",
IF(totales!E210="4"&amp;totales!H210="2"&amp;totales!I210="0"&amp;totales!J210="0","n",IF(totales!E210="6"&amp;totales!H210="2"&amp;totales!I210="0"&amp;totales!J210="0","o",IF(totales!E210="1"&amp;totales!H210="0"&amp;totales!I210="1"&amp;totales!J210="0","p",IF(totales!E210="2"&amp;totales!H210="0"&amp;totales!I210="1"&amp;totales!J210="0","q",IF(totales!E210="3"&amp;totales!H210="0"&amp;totales!I210="1"&amp;totales!J210="0","r",IF(totales!E210="4"&amp;totales!H210="0"&amp;totales!I210="1"&amp;totales!J210="0","s",IF(totales!E210="6"&amp;totales!H210="0"&amp;totales!I210="1"&amp;totales!J210="0","t",IF(totales!E210="1"&amp;totales!H210="2"&amp;totales!I210="1"&amp;totales!J210="0","u",IF(totales!E210="2"&amp;totales!H210="2"&amp;totales!I210="1"&amp;totales!J210="0","v",IF(totales!E210="3"&amp;totales!H210="2"&amp;totales!I210="1"&amp;totales!J210="0","w",IF(totales!E210="4"&amp;totales!H210="2"&amp;totales!I210="1"&amp;totales!J210="0","x",
IF(totales!E210="6"&amp;totales!H210="2"&amp;totales!I210="1"&amp;totales!J210="0","y",IF(totales!E210="1"&amp;totales!H210="1"&amp;totales!I210="1"&amp;totales!J210="0","z",IF(totales!E210="2"&amp;totales!H210="1"&amp;totales!I210="1"&amp;totales!J210="0","0",IF(totales!E210="3"&amp;totales!H210="1"&amp;totales!I210="1"&amp;totales!J210="0","1",IF(totales!E210="4"&amp;totales!H210="1"&amp;totales!I210="1"&amp;totales!J210="0","2",IF(totales!E210="6"&amp;totales!H210="1"&amp;totales!I210="1"&amp;totales!J210="0","3",IF(totales!E210="1"&amp;totales!H210="0"&amp;totales!I210="1"&amp;totales!J210="1","4",IF(totales!E210="2"&amp;totales!H210="0"&amp;totales!I210="1"&amp;totales!J210="1","5",IF(totales!E210="3"&amp;totales!H210="0"&amp;totales!I210="1"&amp;totales!J210="1","6",IF(totales!E210="4"&amp;totales!H210="0"&amp;totales!I210="1"&amp;totales!J210="1","7",IF(totales!E210="6"&amp;totales!H210="0"&amp;totales!I210="1"&amp;totales!J210="1","8",IF(totales!E210="1"&amp;totales!H210="1"&amp;totales!I210="0"&amp;totales!J210="1","9"))))))))))))))))))))))))))))))))))))</f>
        <v>0</v>
      </c>
    </row>
    <row r="210" spans="22:22">
      <c r="V210" s="102" t="b">
        <f>IF(totales!E211="1"&amp;totales!H211="0"&amp;totales!I211="0"&amp;totales!J211="0","a",IF(totales!E211="2"&amp;totales!H211="0"&amp;totales!I211="0"&amp;totales!J211="0","b",IF(totales!E211="3"&amp;totales!H211="0"&amp;totales!I211="0"&amp;totales!J211="0","c",IF(totales!E211="4"&amp;totales!H211="0"&amp;totales!I211="0"&amp;totales!J211="0","d",IF(totales!E211="6"&amp;totales!H211="0"&amp;totales!I211="0"&amp;totales!J211="0","e",IF(totales!E211="1"&amp;totales!H211="1"&amp;totales!I211="0"&amp;totales!J211="0","f",IF(totales!E211="2"&amp;totales!H211="1"&amp;totales!I211="0"&amp;totales!J211="0","g",IF(totales!E211="3"&amp;totales!H211="1"&amp;totales!I211="0"&amp;totales!J211="0","h",IF(totales!E211="4"&amp;totales!H211="1"&amp;totales!I211="0"&amp;totales!J211="0","i",IF(totales!E211="6"&amp;totales!H211="1"&amp;totales!I211="0"&amp;totales!J211="0","j",IF(totales!E211="1"&amp;totales!H211="2"&amp;totales!I211="0"&amp;totales!J211="0","k",IF(totales!E211="2"&amp;totales!H211="2"&amp;totales!I211="0"&amp;totales!J211="0","l",IF(totales!E211="3"&amp;totales!H211="2"&amp;totales!I211="0"&amp;totales!J211="0","m",
IF(totales!E211="4"&amp;totales!H211="2"&amp;totales!I211="0"&amp;totales!J211="0","n",IF(totales!E211="6"&amp;totales!H211="2"&amp;totales!I211="0"&amp;totales!J211="0","o",IF(totales!E211="1"&amp;totales!H211="0"&amp;totales!I211="1"&amp;totales!J211="0","p",IF(totales!E211="2"&amp;totales!H211="0"&amp;totales!I211="1"&amp;totales!J211="0","q",IF(totales!E211="3"&amp;totales!H211="0"&amp;totales!I211="1"&amp;totales!J211="0","r",IF(totales!E211="4"&amp;totales!H211="0"&amp;totales!I211="1"&amp;totales!J211="0","s",IF(totales!E211="6"&amp;totales!H211="0"&amp;totales!I211="1"&amp;totales!J211="0","t",IF(totales!E211="1"&amp;totales!H211="2"&amp;totales!I211="1"&amp;totales!J211="0","u",IF(totales!E211="2"&amp;totales!H211="2"&amp;totales!I211="1"&amp;totales!J211="0","v",IF(totales!E211="3"&amp;totales!H211="2"&amp;totales!I211="1"&amp;totales!J211="0","w",IF(totales!E211="4"&amp;totales!H211="2"&amp;totales!I211="1"&amp;totales!J211="0","x",
IF(totales!E211="6"&amp;totales!H211="2"&amp;totales!I211="1"&amp;totales!J211="0","y",IF(totales!E211="1"&amp;totales!H211="1"&amp;totales!I211="1"&amp;totales!J211="0","z",IF(totales!E211="2"&amp;totales!H211="1"&amp;totales!I211="1"&amp;totales!J211="0","0",IF(totales!E211="3"&amp;totales!H211="1"&amp;totales!I211="1"&amp;totales!J211="0","1",IF(totales!E211="4"&amp;totales!H211="1"&amp;totales!I211="1"&amp;totales!J211="0","2",IF(totales!E211="6"&amp;totales!H211="1"&amp;totales!I211="1"&amp;totales!J211="0","3",IF(totales!E211="1"&amp;totales!H211="0"&amp;totales!I211="1"&amp;totales!J211="1","4",IF(totales!E211="2"&amp;totales!H211="0"&amp;totales!I211="1"&amp;totales!J211="1","5",IF(totales!E211="3"&amp;totales!H211="0"&amp;totales!I211="1"&amp;totales!J211="1","6",IF(totales!E211="4"&amp;totales!H211="0"&amp;totales!I211="1"&amp;totales!J211="1","7",IF(totales!E211="6"&amp;totales!H211="0"&amp;totales!I211="1"&amp;totales!J211="1","8",IF(totales!E211="1"&amp;totales!H211="1"&amp;totales!I211="0"&amp;totales!J211="1","9"))))))))))))))))))))))))))))))))))))</f>
        <v>0</v>
      </c>
    </row>
    <row r="211" spans="22:22">
      <c r="V211" s="102" t="b">
        <f>IF(totales!E212="1"&amp;totales!H212="0"&amp;totales!I212="0"&amp;totales!J212="0","a",IF(totales!E212="2"&amp;totales!H212="0"&amp;totales!I212="0"&amp;totales!J212="0","b",IF(totales!E212="3"&amp;totales!H212="0"&amp;totales!I212="0"&amp;totales!J212="0","c",IF(totales!E212="4"&amp;totales!H212="0"&amp;totales!I212="0"&amp;totales!J212="0","d",IF(totales!E212="6"&amp;totales!H212="0"&amp;totales!I212="0"&amp;totales!J212="0","e",IF(totales!E212="1"&amp;totales!H212="1"&amp;totales!I212="0"&amp;totales!J212="0","f",IF(totales!E212="2"&amp;totales!H212="1"&amp;totales!I212="0"&amp;totales!J212="0","g",IF(totales!E212="3"&amp;totales!H212="1"&amp;totales!I212="0"&amp;totales!J212="0","h",IF(totales!E212="4"&amp;totales!H212="1"&amp;totales!I212="0"&amp;totales!J212="0","i",IF(totales!E212="6"&amp;totales!H212="1"&amp;totales!I212="0"&amp;totales!J212="0","j",IF(totales!E212="1"&amp;totales!H212="2"&amp;totales!I212="0"&amp;totales!J212="0","k",IF(totales!E212="2"&amp;totales!H212="2"&amp;totales!I212="0"&amp;totales!J212="0","l",IF(totales!E212="3"&amp;totales!H212="2"&amp;totales!I212="0"&amp;totales!J212="0","m",
IF(totales!E212="4"&amp;totales!H212="2"&amp;totales!I212="0"&amp;totales!J212="0","n",IF(totales!E212="6"&amp;totales!H212="2"&amp;totales!I212="0"&amp;totales!J212="0","o",IF(totales!E212="1"&amp;totales!H212="0"&amp;totales!I212="1"&amp;totales!J212="0","p",IF(totales!E212="2"&amp;totales!H212="0"&amp;totales!I212="1"&amp;totales!J212="0","q",IF(totales!E212="3"&amp;totales!H212="0"&amp;totales!I212="1"&amp;totales!J212="0","r",IF(totales!E212="4"&amp;totales!H212="0"&amp;totales!I212="1"&amp;totales!J212="0","s",IF(totales!E212="6"&amp;totales!H212="0"&amp;totales!I212="1"&amp;totales!J212="0","t",IF(totales!E212="1"&amp;totales!H212="2"&amp;totales!I212="1"&amp;totales!J212="0","u",IF(totales!E212="2"&amp;totales!H212="2"&amp;totales!I212="1"&amp;totales!J212="0","v",IF(totales!E212="3"&amp;totales!H212="2"&amp;totales!I212="1"&amp;totales!J212="0","w",IF(totales!E212="4"&amp;totales!H212="2"&amp;totales!I212="1"&amp;totales!J212="0","x",
IF(totales!E212="6"&amp;totales!H212="2"&amp;totales!I212="1"&amp;totales!J212="0","y",IF(totales!E212="1"&amp;totales!H212="1"&amp;totales!I212="1"&amp;totales!J212="0","z",IF(totales!E212="2"&amp;totales!H212="1"&amp;totales!I212="1"&amp;totales!J212="0","0",IF(totales!E212="3"&amp;totales!H212="1"&amp;totales!I212="1"&amp;totales!J212="0","1",IF(totales!E212="4"&amp;totales!H212="1"&amp;totales!I212="1"&amp;totales!J212="0","2",IF(totales!E212="6"&amp;totales!H212="1"&amp;totales!I212="1"&amp;totales!J212="0","3",IF(totales!E212="1"&amp;totales!H212="0"&amp;totales!I212="1"&amp;totales!J212="1","4",IF(totales!E212="2"&amp;totales!H212="0"&amp;totales!I212="1"&amp;totales!J212="1","5",IF(totales!E212="3"&amp;totales!H212="0"&amp;totales!I212="1"&amp;totales!J212="1","6",IF(totales!E212="4"&amp;totales!H212="0"&amp;totales!I212="1"&amp;totales!J212="1","7",IF(totales!E212="6"&amp;totales!H212="0"&amp;totales!I212="1"&amp;totales!J212="1","8",IF(totales!E212="1"&amp;totales!H212="1"&amp;totales!I212="0"&amp;totales!J212="1","9"))))))))))))))))))))))))))))))))))))</f>
        <v>0</v>
      </c>
    </row>
    <row r="212" spans="22:22">
      <c r="V212" s="102" t="b">
        <f>IF(totales!E213="1"&amp;totales!H213="0"&amp;totales!I213="0"&amp;totales!J213="0","a",IF(totales!E213="2"&amp;totales!H213="0"&amp;totales!I213="0"&amp;totales!J213="0","b",IF(totales!E213="3"&amp;totales!H213="0"&amp;totales!I213="0"&amp;totales!J213="0","c",IF(totales!E213="4"&amp;totales!H213="0"&amp;totales!I213="0"&amp;totales!J213="0","d",IF(totales!E213="6"&amp;totales!H213="0"&amp;totales!I213="0"&amp;totales!J213="0","e",IF(totales!E213="1"&amp;totales!H213="1"&amp;totales!I213="0"&amp;totales!J213="0","f",IF(totales!E213="2"&amp;totales!H213="1"&amp;totales!I213="0"&amp;totales!J213="0","g",IF(totales!E213="3"&amp;totales!H213="1"&amp;totales!I213="0"&amp;totales!J213="0","h",IF(totales!E213="4"&amp;totales!H213="1"&amp;totales!I213="0"&amp;totales!J213="0","i",IF(totales!E213="6"&amp;totales!H213="1"&amp;totales!I213="0"&amp;totales!J213="0","j",IF(totales!E213="1"&amp;totales!H213="2"&amp;totales!I213="0"&amp;totales!J213="0","k",IF(totales!E213="2"&amp;totales!H213="2"&amp;totales!I213="0"&amp;totales!J213="0","l",IF(totales!E213="3"&amp;totales!H213="2"&amp;totales!I213="0"&amp;totales!J213="0","m",
IF(totales!E213="4"&amp;totales!H213="2"&amp;totales!I213="0"&amp;totales!J213="0","n",IF(totales!E213="6"&amp;totales!H213="2"&amp;totales!I213="0"&amp;totales!J213="0","o",IF(totales!E213="1"&amp;totales!H213="0"&amp;totales!I213="1"&amp;totales!J213="0","p",IF(totales!E213="2"&amp;totales!H213="0"&amp;totales!I213="1"&amp;totales!J213="0","q",IF(totales!E213="3"&amp;totales!H213="0"&amp;totales!I213="1"&amp;totales!J213="0","r",IF(totales!E213="4"&amp;totales!H213="0"&amp;totales!I213="1"&amp;totales!J213="0","s",IF(totales!E213="6"&amp;totales!H213="0"&amp;totales!I213="1"&amp;totales!J213="0","t",IF(totales!E213="1"&amp;totales!H213="2"&amp;totales!I213="1"&amp;totales!J213="0","u",IF(totales!E213="2"&amp;totales!H213="2"&amp;totales!I213="1"&amp;totales!J213="0","v",IF(totales!E213="3"&amp;totales!H213="2"&amp;totales!I213="1"&amp;totales!J213="0","w",IF(totales!E213="4"&amp;totales!H213="2"&amp;totales!I213="1"&amp;totales!J213="0","x",
IF(totales!E213="6"&amp;totales!H213="2"&amp;totales!I213="1"&amp;totales!J213="0","y",IF(totales!E213="1"&amp;totales!H213="1"&amp;totales!I213="1"&amp;totales!J213="0","z",IF(totales!E213="2"&amp;totales!H213="1"&amp;totales!I213="1"&amp;totales!J213="0","0",IF(totales!E213="3"&amp;totales!H213="1"&amp;totales!I213="1"&amp;totales!J213="0","1",IF(totales!E213="4"&amp;totales!H213="1"&amp;totales!I213="1"&amp;totales!J213="0","2",IF(totales!E213="6"&amp;totales!H213="1"&amp;totales!I213="1"&amp;totales!J213="0","3",IF(totales!E213="1"&amp;totales!H213="0"&amp;totales!I213="1"&amp;totales!J213="1","4",IF(totales!E213="2"&amp;totales!H213="0"&amp;totales!I213="1"&amp;totales!J213="1","5",IF(totales!E213="3"&amp;totales!H213="0"&amp;totales!I213="1"&amp;totales!J213="1","6",IF(totales!E213="4"&amp;totales!H213="0"&amp;totales!I213="1"&amp;totales!J213="1","7",IF(totales!E213="6"&amp;totales!H213="0"&amp;totales!I213="1"&amp;totales!J213="1","8",IF(totales!E213="1"&amp;totales!H213="1"&amp;totales!I213="0"&amp;totales!J213="1","9"))))))))))))))))))))))))))))))))))))</f>
        <v>0</v>
      </c>
    </row>
    <row r="213" spans="22:22">
      <c r="V213" s="102" t="b">
        <f>IF(totales!E214="1"&amp;totales!H214="0"&amp;totales!I214="0"&amp;totales!J214="0","a",IF(totales!E214="2"&amp;totales!H214="0"&amp;totales!I214="0"&amp;totales!J214="0","b",IF(totales!E214="3"&amp;totales!H214="0"&amp;totales!I214="0"&amp;totales!J214="0","c",IF(totales!E214="4"&amp;totales!H214="0"&amp;totales!I214="0"&amp;totales!J214="0","d",IF(totales!E214="6"&amp;totales!H214="0"&amp;totales!I214="0"&amp;totales!J214="0","e",IF(totales!E214="1"&amp;totales!H214="1"&amp;totales!I214="0"&amp;totales!J214="0","f",IF(totales!E214="2"&amp;totales!H214="1"&amp;totales!I214="0"&amp;totales!J214="0","g",IF(totales!E214="3"&amp;totales!H214="1"&amp;totales!I214="0"&amp;totales!J214="0","h",IF(totales!E214="4"&amp;totales!H214="1"&amp;totales!I214="0"&amp;totales!J214="0","i",IF(totales!E214="6"&amp;totales!H214="1"&amp;totales!I214="0"&amp;totales!J214="0","j",IF(totales!E214="1"&amp;totales!H214="2"&amp;totales!I214="0"&amp;totales!J214="0","k",IF(totales!E214="2"&amp;totales!H214="2"&amp;totales!I214="0"&amp;totales!J214="0","l",IF(totales!E214="3"&amp;totales!H214="2"&amp;totales!I214="0"&amp;totales!J214="0","m",
IF(totales!E214="4"&amp;totales!H214="2"&amp;totales!I214="0"&amp;totales!J214="0","n",IF(totales!E214="6"&amp;totales!H214="2"&amp;totales!I214="0"&amp;totales!J214="0","o",IF(totales!E214="1"&amp;totales!H214="0"&amp;totales!I214="1"&amp;totales!J214="0","p",IF(totales!E214="2"&amp;totales!H214="0"&amp;totales!I214="1"&amp;totales!J214="0","q",IF(totales!E214="3"&amp;totales!H214="0"&amp;totales!I214="1"&amp;totales!J214="0","r",IF(totales!E214="4"&amp;totales!H214="0"&amp;totales!I214="1"&amp;totales!J214="0","s",IF(totales!E214="6"&amp;totales!H214="0"&amp;totales!I214="1"&amp;totales!J214="0","t",IF(totales!E214="1"&amp;totales!H214="2"&amp;totales!I214="1"&amp;totales!J214="0","u",IF(totales!E214="2"&amp;totales!H214="2"&amp;totales!I214="1"&amp;totales!J214="0","v",IF(totales!E214="3"&amp;totales!H214="2"&amp;totales!I214="1"&amp;totales!J214="0","w",IF(totales!E214="4"&amp;totales!H214="2"&amp;totales!I214="1"&amp;totales!J214="0","x",
IF(totales!E214="6"&amp;totales!H214="2"&amp;totales!I214="1"&amp;totales!J214="0","y",IF(totales!E214="1"&amp;totales!H214="1"&amp;totales!I214="1"&amp;totales!J214="0","z",IF(totales!E214="2"&amp;totales!H214="1"&amp;totales!I214="1"&amp;totales!J214="0","0",IF(totales!E214="3"&amp;totales!H214="1"&amp;totales!I214="1"&amp;totales!J214="0","1",IF(totales!E214="4"&amp;totales!H214="1"&amp;totales!I214="1"&amp;totales!J214="0","2",IF(totales!E214="6"&amp;totales!H214="1"&amp;totales!I214="1"&amp;totales!J214="0","3",IF(totales!E214="1"&amp;totales!H214="0"&amp;totales!I214="1"&amp;totales!J214="1","4",IF(totales!E214="2"&amp;totales!H214="0"&amp;totales!I214="1"&amp;totales!J214="1","5",IF(totales!E214="3"&amp;totales!H214="0"&amp;totales!I214="1"&amp;totales!J214="1","6",IF(totales!E214="4"&amp;totales!H214="0"&amp;totales!I214="1"&amp;totales!J214="1","7",IF(totales!E214="6"&amp;totales!H214="0"&amp;totales!I214="1"&amp;totales!J214="1","8",IF(totales!E214="1"&amp;totales!H214="1"&amp;totales!I214="0"&amp;totales!J214="1","9"))))))))))))))))))))))))))))))))))))</f>
        <v>0</v>
      </c>
    </row>
    <row r="214" spans="22:22">
      <c r="V214" s="102" t="b">
        <f>IF(totales!E215="1"&amp;totales!H215="0"&amp;totales!I215="0"&amp;totales!J215="0","a",IF(totales!E215="2"&amp;totales!H215="0"&amp;totales!I215="0"&amp;totales!J215="0","b",IF(totales!E215="3"&amp;totales!H215="0"&amp;totales!I215="0"&amp;totales!J215="0","c",IF(totales!E215="4"&amp;totales!H215="0"&amp;totales!I215="0"&amp;totales!J215="0","d",IF(totales!E215="6"&amp;totales!H215="0"&amp;totales!I215="0"&amp;totales!J215="0","e",IF(totales!E215="1"&amp;totales!H215="1"&amp;totales!I215="0"&amp;totales!J215="0","f",IF(totales!E215="2"&amp;totales!H215="1"&amp;totales!I215="0"&amp;totales!J215="0","g",IF(totales!E215="3"&amp;totales!H215="1"&amp;totales!I215="0"&amp;totales!J215="0","h",IF(totales!E215="4"&amp;totales!H215="1"&amp;totales!I215="0"&amp;totales!J215="0","i",IF(totales!E215="6"&amp;totales!H215="1"&amp;totales!I215="0"&amp;totales!J215="0","j",IF(totales!E215="1"&amp;totales!H215="2"&amp;totales!I215="0"&amp;totales!J215="0","k",IF(totales!E215="2"&amp;totales!H215="2"&amp;totales!I215="0"&amp;totales!J215="0","l",IF(totales!E215="3"&amp;totales!H215="2"&amp;totales!I215="0"&amp;totales!J215="0","m",
IF(totales!E215="4"&amp;totales!H215="2"&amp;totales!I215="0"&amp;totales!J215="0","n",IF(totales!E215="6"&amp;totales!H215="2"&amp;totales!I215="0"&amp;totales!J215="0","o",IF(totales!E215="1"&amp;totales!H215="0"&amp;totales!I215="1"&amp;totales!J215="0","p",IF(totales!E215="2"&amp;totales!H215="0"&amp;totales!I215="1"&amp;totales!J215="0","q",IF(totales!E215="3"&amp;totales!H215="0"&amp;totales!I215="1"&amp;totales!J215="0","r",IF(totales!E215="4"&amp;totales!H215="0"&amp;totales!I215="1"&amp;totales!J215="0","s",IF(totales!E215="6"&amp;totales!H215="0"&amp;totales!I215="1"&amp;totales!J215="0","t",IF(totales!E215="1"&amp;totales!H215="2"&amp;totales!I215="1"&amp;totales!J215="0","u",IF(totales!E215="2"&amp;totales!H215="2"&amp;totales!I215="1"&amp;totales!J215="0","v",IF(totales!E215="3"&amp;totales!H215="2"&amp;totales!I215="1"&amp;totales!J215="0","w",IF(totales!E215="4"&amp;totales!H215="2"&amp;totales!I215="1"&amp;totales!J215="0","x",
IF(totales!E215="6"&amp;totales!H215="2"&amp;totales!I215="1"&amp;totales!J215="0","y",IF(totales!E215="1"&amp;totales!H215="1"&amp;totales!I215="1"&amp;totales!J215="0","z",IF(totales!E215="2"&amp;totales!H215="1"&amp;totales!I215="1"&amp;totales!J215="0","0",IF(totales!E215="3"&amp;totales!H215="1"&amp;totales!I215="1"&amp;totales!J215="0","1",IF(totales!E215="4"&amp;totales!H215="1"&amp;totales!I215="1"&amp;totales!J215="0","2",IF(totales!E215="6"&amp;totales!H215="1"&amp;totales!I215="1"&amp;totales!J215="0","3",IF(totales!E215="1"&amp;totales!H215="0"&amp;totales!I215="1"&amp;totales!J215="1","4",IF(totales!E215="2"&amp;totales!H215="0"&amp;totales!I215="1"&amp;totales!J215="1","5",IF(totales!E215="3"&amp;totales!H215="0"&amp;totales!I215="1"&amp;totales!J215="1","6",IF(totales!E215="4"&amp;totales!H215="0"&amp;totales!I215="1"&amp;totales!J215="1","7",IF(totales!E215="6"&amp;totales!H215="0"&amp;totales!I215="1"&amp;totales!J215="1","8",IF(totales!E215="1"&amp;totales!H215="1"&amp;totales!I215="0"&amp;totales!J215="1","9"))))))))))))))))))))))))))))))))))))</f>
        <v>0</v>
      </c>
    </row>
    <row r="215" spans="22:22">
      <c r="V215" s="102" t="b">
        <f>IF(totales!E216="1"&amp;totales!H216="0"&amp;totales!I216="0"&amp;totales!J216="0","a",IF(totales!E216="2"&amp;totales!H216="0"&amp;totales!I216="0"&amp;totales!J216="0","b",IF(totales!E216="3"&amp;totales!H216="0"&amp;totales!I216="0"&amp;totales!J216="0","c",IF(totales!E216="4"&amp;totales!H216="0"&amp;totales!I216="0"&amp;totales!J216="0","d",IF(totales!E216="6"&amp;totales!H216="0"&amp;totales!I216="0"&amp;totales!J216="0","e",IF(totales!E216="1"&amp;totales!H216="1"&amp;totales!I216="0"&amp;totales!J216="0","f",IF(totales!E216="2"&amp;totales!H216="1"&amp;totales!I216="0"&amp;totales!J216="0","g",IF(totales!E216="3"&amp;totales!H216="1"&amp;totales!I216="0"&amp;totales!J216="0","h",IF(totales!E216="4"&amp;totales!H216="1"&amp;totales!I216="0"&amp;totales!J216="0","i",IF(totales!E216="6"&amp;totales!H216="1"&amp;totales!I216="0"&amp;totales!J216="0","j",IF(totales!E216="1"&amp;totales!H216="2"&amp;totales!I216="0"&amp;totales!J216="0","k",IF(totales!E216="2"&amp;totales!H216="2"&amp;totales!I216="0"&amp;totales!J216="0","l",IF(totales!E216="3"&amp;totales!H216="2"&amp;totales!I216="0"&amp;totales!J216="0","m",
IF(totales!E216="4"&amp;totales!H216="2"&amp;totales!I216="0"&amp;totales!J216="0","n",IF(totales!E216="6"&amp;totales!H216="2"&amp;totales!I216="0"&amp;totales!J216="0","o",IF(totales!E216="1"&amp;totales!H216="0"&amp;totales!I216="1"&amp;totales!J216="0","p",IF(totales!E216="2"&amp;totales!H216="0"&amp;totales!I216="1"&amp;totales!J216="0","q",IF(totales!E216="3"&amp;totales!H216="0"&amp;totales!I216="1"&amp;totales!J216="0","r",IF(totales!E216="4"&amp;totales!H216="0"&amp;totales!I216="1"&amp;totales!J216="0","s",IF(totales!E216="6"&amp;totales!H216="0"&amp;totales!I216="1"&amp;totales!J216="0","t",IF(totales!E216="1"&amp;totales!H216="2"&amp;totales!I216="1"&amp;totales!J216="0","u",IF(totales!E216="2"&amp;totales!H216="2"&amp;totales!I216="1"&amp;totales!J216="0","v",IF(totales!E216="3"&amp;totales!H216="2"&amp;totales!I216="1"&amp;totales!J216="0","w",IF(totales!E216="4"&amp;totales!H216="2"&amp;totales!I216="1"&amp;totales!J216="0","x",
IF(totales!E216="6"&amp;totales!H216="2"&amp;totales!I216="1"&amp;totales!J216="0","y",IF(totales!E216="1"&amp;totales!H216="1"&amp;totales!I216="1"&amp;totales!J216="0","z",IF(totales!E216="2"&amp;totales!H216="1"&amp;totales!I216="1"&amp;totales!J216="0","0",IF(totales!E216="3"&amp;totales!H216="1"&amp;totales!I216="1"&amp;totales!J216="0","1",IF(totales!E216="4"&amp;totales!H216="1"&amp;totales!I216="1"&amp;totales!J216="0","2",IF(totales!E216="6"&amp;totales!H216="1"&amp;totales!I216="1"&amp;totales!J216="0","3",IF(totales!E216="1"&amp;totales!H216="0"&amp;totales!I216="1"&amp;totales!J216="1","4",IF(totales!E216="2"&amp;totales!H216="0"&amp;totales!I216="1"&amp;totales!J216="1","5",IF(totales!E216="3"&amp;totales!H216="0"&amp;totales!I216="1"&amp;totales!J216="1","6",IF(totales!E216="4"&amp;totales!H216="0"&amp;totales!I216="1"&amp;totales!J216="1","7",IF(totales!E216="6"&amp;totales!H216="0"&amp;totales!I216="1"&amp;totales!J216="1","8",IF(totales!E216="1"&amp;totales!H216="1"&amp;totales!I216="0"&amp;totales!J216="1","9"))))))))))))))))))))))))))))))))))))</f>
        <v>0</v>
      </c>
    </row>
    <row r="216" spans="22:22">
      <c r="V216" s="102" t="b">
        <f>IF(totales!E217="1"&amp;totales!H217="0"&amp;totales!I217="0"&amp;totales!J217="0","a",IF(totales!E217="2"&amp;totales!H217="0"&amp;totales!I217="0"&amp;totales!J217="0","b",IF(totales!E217="3"&amp;totales!H217="0"&amp;totales!I217="0"&amp;totales!J217="0","c",IF(totales!E217="4"&amp;totales!H217="0"&amp;totales!I217="0"&amp;totales!J217="0","d",IF(totales!E217="6"&amp;totales!H217="0"&amp;totales!I217="0"&amp;totales!J217="0","e",IF(totales!E217="1"&amp;totales!H217="1"&amp;totales!I217="0"&amp;totales!J217="0","f",IF(totales!E217="2"&amp;totales!H217="1"&amp;totales!I217="0"&amp;totales!J217="0","g",IF(totales!E217="3"&amp;totales!H217="1"&amp;totales!I217="0"&amp;totales!J217="0","h",IF(totales!E217="4"&amp;totales!H217="1"&amp;totales!I217="0"&amp;totales!J217="0","i",IF(totales!E217="6"&amp;totales!H217="1"&amp;totales!I217="0"&amp;totales!J217="0","j",IF(totales!E217="1"&amp;totales!H217="2"&amp;totales!I217="0"&amp;totales!J217="0","k",IF(totales!E217="2"&amp;totales!H217="2"&amp;totales!I217="0"&amp;totales!J217="0","l",IF(totales!E217="3"&amp;totales!H217="2"&amp;totales!I217="0"&amp;totales!J217="0","m",
IF(totales!E217="4"&amp;totales!H217="2"&amp;totales!I217="0"&amp;totales!J217="0","n",IF(totales!E217="6"&amp;totales!H217="2"&amp;totales!I217="0"&amp;totales!J217="0","o",IF(totales!E217="1"&amp;totales!H217="0"&amp;totales!I217="1"&amp;totales!J217="0","p",IF(totales!E217="2"&amp;totales!H217="0"&amp;totales!I217="1"&amp;totales!J217="0","q",IF(totales!E217="3"&amp;totales!H217="0"&amp;totales!I217="1"&amp;totales!J217="0","r",IF(totales!E217="4"&amp;totales!H217="0"&amp;totales!I217="1"&amp;totales!J217="0","s",IF(totales!E217="6"&amp;totales!H217="0"&amp;totales!I217="1"&amp;totales!J217="0","t",IF(totales!E217="1"&amp;totales!H217="2"&amp;totales!I217="1"&amp;totales!J217="0","u",IF(totales!E217="2"&amp;totales!H217="2"&amp;totales!I217="1"&amp;totales!J217="0","v",IF(totales!E217="3"&amp;totales!H217="2"&amp;totales!I217="1"&amp;totales!J217="0","w",IF(totales!E217="4"&amp;totales!H217="2"&amp;totales!I217="1"&amp;totales!J217="0","x",
IF(totales!E217="6"&amp;totales!H217="2"&amp;totales!I217="1"&amp;totales!J217="0","y",IF(totales!E217="1"&amp;totales!H217="1"&amp;totales!I217="1"&amp;totales!J217="0","z",IF(totales!E217="2"&amp;totales!H217="1"&amp;totales!I217="1"&amp;totales!J217="0","0",IF(totales!E217="3"&amp;totales!H217="1"&amp;totales!I217="1"&amp;totales!J217="0","1",IF(totales!E217="4"&amp;totales!H217="1"&amp;totales!I217="1"&amp;totales!J217="0","2",IF(totales!E217="6"&amp;totales!H217="1"&amp;totales!I217="1"&amp;totales!J217="0","3",IF(totales!E217="1"&amp;totales!H217="0"&amp;totales!I217="1"&amp;totales!J217="1","4",IF(totales!E217="2"&amp;totales!H217="0"&amp;totales!I217="1"&amp;totales!J217="1","5",IF(totales!E217="3"&amp;totales!H217="0"&amp;totales!I217="1"&amp;totales!J217="1","6",IF(totales!E217="4"&amp;totales!H217="0"&amp;totales!I217="1"&amp;totales!J217="1","7",IF(totales!E217="6"&amp;totales!H217="0"&amp;totales!I217="1"&amp;totales!J217="1","8",IF(totales!E217="1"&amp;totales!H217="1"&amp;totales!I217="0"&amp;totales!J217="1","9"))))))))))))))))))))))))))))))))))))</f>
        <v>0</v>
      </c>
    </row>
    <row r="217" spans="22:22">
      <c r="V217" s="102" t="b">
        <f>IF(totales!E218="1"&amp;totales!H218="0"&amp;totales!I218="0"&amp;totales!J218="0","a",IF(totales!E218="2"&amp;totales!H218="0"&amp;totales!I218="0"&amp;totales!J218="0","b",IF(totales!E218="3"&amp;totales!H218="0"&amp;totales!I218="0"&amp;totales!J218="0","c",IF(totales!E218="4"&amp;totales!H218="0"&amp;totales!I218="0"&amp;totales!J218="0","d",IF(totales!E218="6"&amp;totales!H218="0"&amp;totales!I218="0"&amp;totales!J218="0","e",IF(totales!E218="1"&amp;totales!H218="1"&amp;totales!I218="0"&amp;totales!J218="0","f",IF(totales!E218="2"&amp;totales!H218="1"&amp;totales!I218="0"&amp;totales!J218="0","g",IF(totales!E218="3"&amp;totales!H218="1"&amp;totales!I218="0"&amp;totales!J218="0","h",IF(totales!E218="4"&amp;totales!H218="1"&amp;totales!I218="0"&amp;totales!J218="0","i",IF(totales!E218="6"&amp;totales!H218="1"&amp;totales!I218="0"&amp;totales!J218="0","j",IF(totales!E218="1"&amp;totales!H218="2"&amp;totales!I218="0"&amp;totales!J218="0","k",IF(totales!E218="2"&amp;totales!H218="2"&amp;totales!I218="0"&amp;totales!J218="0","l",IF(totales!E218="3"&amp;totales!H218="2"&amp;totales!I218="0"&amp;totales!J218="0","m",
IF(totales!E218="4"&amp;totales!H218="2"&amp;totales!I218="0"&amp;totales!J218="0","n",IF(totales!E218="6"&amp;totales!H218="2"&amp;totales!I218="0"&amp;totales!J218="0","o",IF(totales!E218="1"&amp;totales!H218="0"&amp;totales!I218="1"&amp;totales!J218="0","p",IF(totales!E218="2"&amp;totales!H218="0"&amp;totales!I218="1"&amp;totales!J218="0","q",IF(totales!E218="3"&amp;totales!H218="0"&amp;totales!I218="1"&amp;totales!J218="0","r",IF(totales!E218="4"&amp;totales!H218="0"&amp;totales!I218="1"&amp;totales!J218="0","s",IF(totales!E218="6"&amp;totales!H218="0"&amp;totales!I218="1"&amp;totales!J218="0","t",IF(totales!E218="1"&amp;totales!H218="2"&amp;totales!I218="1"&amp;totales!J218="0","u",IF(totales!E218="2"&amp;totales!H218="2"&amp;totales!I218="1"&amp;totales!J218="0","v",IF(totales!E218="3"&amp;totales!H218="2"&amp;totales!I218="1"&amp;totales!J218="0","w",IF(totales!E218="4"&amp;totales!H218="2"&amp;totales!I218="1"&amp;totales!J218="0","x",
IF(totales!E218="6"&amp;totales!H218="2"&amp;totales!I218="1"&amp;totales!J218="0","y",IF(totales!E218="1"&amp;totales!H218="1"&amp;totales!I218="1"&amp;totales!J218="0","z",IF(totales!E218="2"&amp;totales!H218="1"&amp;totales!I218="1"&amp;totales!J218="0","0",IF(totales!E218="3"&amp;totales!H218="1"&amp;totales!I218="1"&amp;totales!J218="0","1",IF(totales!E218="4"&amp;totales!H218="1"&amp;totales!I218="1"&amp;totales!J218="0","2",IF(totales!E218="6"&amp;totales!H218="1"&amp;totales!I218="1"&amp;totales!J218="0","3",IF(totales!E218="1"&amp;totales!H218="0"&amp;totales!I218="1"&amp;totales!J218="1","4",IF(totales!E218="2"&amp;totales!H218="0"&amp;totales!I218="1"&amp;totales!J218="1","5",IF(totales!E218="3"&amp;totales!H218="0"&amp;totales!I218="1"&amp;totales!J218="1","6",IF(totales!E218="4"&amp;totales!H218="0"&amp;totales!I218="1"&amp;totales!J218="1","7",IF(totales!E218="6"&amp;totales!H218="0"&amp;totales!I218="1"&amp;totales!J218="1","8",IF(totales!E218="1"&amp;totales!H218="1"&amp;totales!I218="0"&amp;totales!J218="1","9"))))))))))))))))))))))))))))))))))))</f>
        <v>0</v>
      </c>
    </row>
    <row r="218" spans="22:22">
      <c r="V218" s="102" t="b">
        <f>IF(totales!E219="1"&amp;totales!H219="0"&amp;totales!I219="0"&amp;totales!J219="0","a",IF(totales!E219="2"&amp;totales!H219="0"&amp;totales!I219="0"&amp;totales!J219="0","b",IF(totales!E219="3"&amp;totales!H219="0"&amp;totales!I219="0"&amp;totales!J219="0","c",IF(totales!E219="4"&amp;totales!H219="0"&amp;totales!I219="0"&amp;totales!J219="0","d",IF(totales!E219="6"&amp;totales!H219="0"&amp;totales!I219="0"&amp;totales!J219="0","e",IF(totales!E219="1"&amp;totales!H219="1"&amp;totales!I219="0"&amp;totales!J219="0","f",IF(totales!E219="2"&amp;totales!H219="1"&amp;totales!I219="0"&amp;totales!J219="0","g",IF(totales!E219="3"&amp;totales!H219="1"&amp;totales!I219="0"&amp;totales!J219="0","h",IF(totales!E219="4"&amp;totales!H219="1"&amp;totales!I219="0"&amp;totales!J219="0","i",IF(totales!E219="6"&amp;totales!H219="1"&amp;totales!I219="0"&amp;totales!J219="0","j",IF(totales!E219="1"&amp;totales!H219="2"&amp;totales!I219="0"&amp;totales!J219="0","k",IF(totales!E219="2"&amp;totales!H219="2"&amp;totales!I219="0"&amp;totales!J219="0","l",IF(totales!E219="3"&amp;totales!H219="2"&amp;totales!I219="0"&amp;totales!J219="0","m",
IF(totales!E219="4"&amp;totales!H219="2"&amp;totales!I219="0"&amp;totales!J219="0","n",IF(totales!E219="6"&amp;totales!H219="2"&amp;totales!I219="0"&amp;totales!J219="0","o",IF(totales!E219="1"&amp;totales!H219="0"&amp;totales!I219="1"&amp;totales!J219="0","p",IF(totales!E219="2"&amp;totales!H219="0"&amp;totales!I219="1"&amp;totales!J219="0","q",IF(totales!E219="3"&amp;totales!H219="0"&amp;totales!I219="1"&amp;totales!J219="0","r",IF(totales!E219="4"&amp;totales!H219="0"&amp;totales!I219="1"&amp;totales!J219="0","s",IF(totales!E219="6"&amp;totales!H219="0"&amp;totales!I219="1"&amp;totales!J219="0","t",IF(totales!E219="1"&amp;totales!H219="2"&amp;totales!I219="1"&amp;totales!J219="0","u",IF(totales!E219="2"&amp;totales!H219="2"&amp;totales!I219="1"&amp;totales!J219="0","v",IF(totales!E219="3"&amp;totales!H219="2"&amp;totales!I219="1"&amp;totales!J219="0","w",IF(totales!E219="4"&amp;totales!H219="2"&amp;totales!I219="1"&amp;totales!J219="0","x",
IF(totales!E219="6"&amp;totales!H219="2"&amp;totales!I219="1"&amp;totales!J219="0","y",IF(totales!E219="1"&amp;totales!H219="1"&amp;totales!I219="1"&amp;totales!J219="0","z",IF(totales!E219="2"&amp;totales!H219="1"&amp;totales!I219="1"&amp;totales!J219="0","0",IF(totales!E219="3"&amp;totales!H219="1"&amp;totales!I219="1"&amp;totales!J219="0","1",IF(totales!E219="4"&amp;totales!H219="1"&amp;totales!I219="1"&amp;totales!J219="0","2",IF(totales!E219="6"&amp;totales!H219="1"&amp;totales!I219="1"&amp;totales!J219="0","3",IF(totales!E219="1"&amp;totales!H219="0"&amp;totales!I219="1"&amp;totales!J219="1","4",IF(totales!E219="2"&amp;totales!H219="0"&amp;totales!I219="1"&amp;totales!J219="1","5",IF(totales!E219="3"&amp;totales!H219="0"&amp;totales!I219="1"&amp;totales!J219="1","6",IF(totales!E219="4"&amp;totales!H219="0"&amp;totales!I219="1"&amp;totales!J219="1","7",IF(totales!E219="6"&amp;totales!H219="0"&amp;totales!I219="1"&amp;totales!J219="1","8",IF(totales!E219="1"&amp;totales!H219="1"&amp;totales!I219="0"&amp;totales!J219="1","9"))))))))))))))))))))))))))))))))))))</f>
        <v>0</v>
      </c>
    </row>
    <row r="219" spans="22:22">
      <c r="V219" s="102" t="b">
        <f>IF(totales!E220="1"&amp;totales!H220="0"&amp;totales!I220="0"&amp;totales!J220="0","a",IF(totales!E220="2"&amp;totales!H220="0"&amp;totales!I220="0"&amp;totales!J220="0","b",IF(totales!E220="3"&amp;totales!H220="0"&amp;totales!I220="0"&amp;totales!J220="0","c",IF(totales!E220="4"&amp;totales!H220="0"&amp;totales!I220="0"&amp;totales!J220="0","d",IF(totales!E220="6"&amp;totales!H220="0"&amp;totales!I220="0"&amp;totales!J220="0","e",IF(totales!E220="1"&amp;totales!H220="1"&amp;totales!I220="0"&amp;totales!J220="0","f",IF(totales!E220="2"&amp;totales!H220="1"&amp;totales!I220="0"&amp;totales!J220="0","g",IF(totales!E220="3"&amp;totales!H220="1"&amp;totales!I220="0"&amp;totales!J220="0","h",IF(totales!E220="4"&amp;totales!H220="1"&amp;totales!I220="0"&amp;totales!J220="0","i",IF(totales!E220="6"&amp;totales!H220="1"&amp;totales!I220="0"&amp;totales!J220="0","j",IF(totales!E220="1"&amp;totales!H220="2"&amp;totales!I220="0"&amp;totales!J220="0","k",IF(totales!E220="2"&amp;totales!H220="2"&amp;totales!I220="0"&amp;totales!J220="0","l",IF(totales!E220="3"&amp;totales!H220="2"&amp;totales!I220="0"&amp;totales!J220="0","m",
IF(totales!E220="4"&amp;totales!H220="2"&amp;totales!I220="0"&amp;totales!J220="0","n",IF(totales!E220="6"&amp;totales!H220="2"&amp;totales!I220="0"&amp;totales!J220="0","o",IF(totales!E220="1"&amp;totales!H220="0"&amp;totales!I220="1"&amp;totales!J220="0","p",IF(totales!E220="2"&amp;totales!H220="0"&amp;totales!I220="1"&amp;totales!J220="0","q",IF(totales!E220="3"&amp;totales!H220="0"&amp;totales!I220="1"&amp;totales!J220="0","r",IF(totales!E220="4"&amp;totales!H220="0"&amp;totales!I220="1"&amp;totales!J220="0","s",IF(totales!E220="6"&amp;totales!H220="0"&amp;totales!I220="1"&amp;totales!J220="0","t",IF(totales!E220="1"&amp;totales!H220="2"&amp;totales!I220="1"&amp;totales!J220="0","u",IF(totales!E220="2"&amp;totales!H220="2"&amp;totales!I220="1"&amp;totales!J220="0","v",IF(totales!E220="3"&amp;totales!H220="2"&amp;totales!I220="1"&amp;totales!J220="0","w",IF(totales!E220="4"&amp;totales!H220="2"&amp;totales!I220="1"&amp;totales!J220="0","x",
IF(totales!E220="6"&amp;totales!H220="2"&amp;totales!I220="1"&amp;totales!J220="0","y",IF(totales!E220="1"&amp;totales!H220="1"&amp;totales!I220="1"&amp;totales!J220="0","z",IF(totales!E220="2"&amp;totales!H220="1"&amp;totales!I220="1"&amp;totales!J220="0","0",IF(totales!E220="3"&amp;totales!H220="1"&amp;totales!I220="1"&amp;totales!J220="0","1",IF(totales!E220="4"&amp;totales!H220="1"&amp;totales!I220="1"&amp;totales!J220="0","2",IF(totales!E220="6"&amp;totales!H220="1"&amp;totales!I220="1"&amp;totales!J220="0","3",IF(totales!E220="1"&amp;totales!H220="0"&amp;totales!I220="1"&amp;totales!J220="1","4",IF(totales!E220="2"&amp;totales!H220="0"&amp;totales!I220="1"&amp;totales!J220="1","5",IF(totales!E220="3"&amp;totales!H220="0"&amp;totales!I220="1"&amp;totales!J220="1","6",IF(totales!E220="4"&amp;totales!H220="0"&amp;totales!I220="1"&amp;totales!J220="1","7",IF(totales!E220="6"&amp;totales!H220="0"&amp;totales!I220="1"&amp;totales!J220="1","8",IF(totales!E220="1"&amp;totales!H220="1"&amp;totales!I220="0"&amp;totales!J220="1","9"))))))))))))))))))))))))))))))))))))</f>
        <v>0</v>
      </c>
    </row>
    <row r="220" spans="22:22">
      <c r="V220" s="102" t="b">
        <f>IF(totales!E221="1"&amp;totales!H221="0"&amp;totales!I221="0"&amp;totales!J221="0","a",IF(totales!E221="2"&amp;totales!H221="0"&amp;totales!I221="0"&amp;totales!J221="0","b",IF(totales!E221="3"&amp;totales!H221="0"&amp;totales!I221="0"&amp;totales!J221="0","c",IF(totales!E221="4"&amp;totales!H221="0"&amp;totales!I221="0"&amp;totales!J221="0","d",IF(totales!E221="6"&amp;totales!H221="0"&amp;totales!I221="0"&amp;totales!J221="0","e",IF(totales!E221="1"&amp;totales!H221="1"&amp;totales!I221="0"&amp;totales!J221="0","f",IF(totales!E221="2"&amp;totales!H221="1"&amp;totales!I221="0"&amp;totales!J221="0","g",IF(totales!E221="3"&amp;totales!H221="1"&amp;totales!I221="0"&amp;totales!J221="0","h",IF(totales!E221="4"&amp;totales!H221="1"&amp;totales!I221="0"&amp;totales!J221="0","i",IF(totales!E221="6"&amp;totales!H221="1"&amp;totales!I221="0"&amp;totales!J221="0","j",IF(totales!E221="1"&amp;totales!H221="2"&amp;totales!I221="0"&amp;totales!J221="0","k",IF(totales!E221="2"&amp;totales!H221="2"&amp;totales!I221="0"&amp;totales!J221="0","l",IF(totales!E221="3"&amp;totales!H221="2"&amp;totales!I221="0"&amp;totales!J221="0","m",
IF(totales!E221="4"&amp;totales!H221="2"&amp;totales!I221="0"&amp;totales!J221="0","n",IF(totales!E221="6"&amp;totales!H221="2"&amp;totales!I221="0"&amp;totales!J221="0","o",IF(totales!E221="1"&amp;totales!H221="0"&amp;totales!I221="1"&amp;totales!J221="0","p",IF(totales!E221="2"&amp;totales!H221="0"&amp;totales!I221="1"&amp;totales!J221="0","q",IF(totales!E221="3"&amp;totales!H221="0"&amp;totales!I221="1"&amp;totales!J221="0","r",IF(totales!E221="4"&amp;totales!H221="0"&amp;totales!I221="1"&amp;totales!J221="0","s",IF(totales!E221="6"&amp;totales!H221="0"&amp;totales!I221="1"&amp;totales!J221="0","t",IF(totales!E221="1"&amp;totales!H221="2"&amp;totales!I221="1"&amp;totales!J221="0","u",IF(totales!E221="2"&amp;totales!H221="2"&amp;totales!I221="1"&amp;totales!J221="0","v",IF(totales!E221="3"&amp;totales!H221="2"&amp;totales!I221="1"&amp;totales!J221="0","w",IF(totales!E221="4"&amp;totales!H221="2"&amp;totales!I221="1"&amp;totales!J221="0","x",
IF(totales!E221="6"&amp;totales!H221="2"&amp;totales!I221="1"&amp;totales!J221="0","y",IF(totales!E221="1"&amp;totales!H221="1"&amp;totales!I221="1"&amp;totales!J221="0","z",IF(totales!E221="2"&amp;totales!H221="1"&amp;totales!I221="1"&amp;totales!J221="0","0",IF(totales!E221="3"&amp;totales!H221="1"&amp;totales!I221="1"&amp;totales!J221="0","1",IF(totales!E221="4"&amp;totales!H221="1"&amp;totales!I221="1"&amp;totales!J221="0","2",IF(totales!E221="6"&amp;totales!H221="1"&amp;totales!I221="1"&amp;totales!J221="0","3",IF(totales!E221="1"&amp;totales!H221="0"&amp;totales!I221="1"&amp;totales!J221="1","4",IF(totales!E221="2"&amp;totales!H221="0"&amp;totales!I221="1"&amp;totales!J221="1","5",IF(totales!E221="3"&amp;totales!H221="0"&amp;totales!I221="1"&amp;totales!J221="1","6",IF(totales!E221="4"&amp;totales!H221="0"&amp;totales!I221="1"&amp;totales!J221="1","7",IF(totales!E221="6"&amp;totales!H221="0"&amp;totales!I221="1"&amp;totales!J221="1","8",IF(totales!E221="1"&amp;totales!H221="1"&amp;totales!I221="0"&amp;totales!J221="1","9"))))))))))))))))))))))))))))))))))))</f>
        <v>0</v>
      </c>
    </row>
    <row r="221" spans="22:22">
      <c r="V221" s="102" t="b">
        <f>IF(totales!E222="1"&amp;totales!H222="0"&amp;totales!I222="0"&amp;totales!J222="0","a",IF(totales!E222="2"&amp;totales!H222="0"&amp;totales!I222="0"&amp;totales!J222="0","b",IF(totales!E222="3"&amp;totales!H222="0"&amp;totales!I222="0"&amp;totales!J222="0","c",IF(totales!E222="4"&amp;totales!H222="0"&amp;totales!I222="0"&amp;totales!J222="0","d",IF(totales!E222="6"&amp;totales!H222="0"&amp;totales!I222="0"&amp;totales!J222="0","e",IF(totales!E222="1"&amp;totales!H222="1"&amp;totales!I222="0"&amp;totales!J222="0","f",IF(totales!E222="2"&amp;totales!H222="1"&amp;totales!I222="0"&amp;totales!J222="0","g",IF(totales!E222="3"&amp;totales!H222="1"&amp;totales!I222="0"&amp;totales!J222="0","h",IF(totales!E222="4"&amp;totales!H222="1"&amp;totales!I222="0"&amp;totales!J222="0","i",IF(totales!E222="6"&amp;totales!H222="1"&amp;totales!I222="0"&amp;totales!J222="0","j",IF(totales!E222="1"&amp;totales!H222="2"&amp;totales!I222="0"&amp;totales!J222="0","k",IF(totales!E222="2"&amp;totales!H222="2"&amp;totales!I222="0"&amp;totales!J222="0","l",IF(totales!E222="3"&amp;totales!H222="2"&amp;totales!I222="0"&amp;totales!J222="0","m",
IF(totales!E222="4"&amp;totales!H222="2"&amp;totales!I222="0"&amp;totales!J222="0","n",IF(totales!E222="6"&amp;totales!H222="2"&amp;totales!I222="0"&amp;totales!J222="0","o",IF(totales!E222="1"&amp;totales!H222="0"&amp;totales!I222="1"&amp;totales!J222="0","p",IF(totales!E222="2"&amp;totales!H222="0"&amp;totales!I222="1"&amp;totales!J222="0","q",IF(totales!E222="3"&amp;totales!H222="0"&amp;totales!I222="1"&amp;totales!J222="0","r",IF(totales!E222="4"&amp;totales!H222="0"&amp;totales!I222="1"&amp;totales!J222="0","s",IF(totales!E222="6"&amp;totales!H222="0"&amp;totales!I222="1"&amp;totales!J222="0","t",IF(totales!E222="1"&amp;totales!H222="2"&amp;totales!I222="1"&amp;totales!J222="0","u",IF(totales!E222="2"&amp;totales!H222="2"&amp;totales!I222="1"&amp;totales!J222="0","v",IF(totales!E222="3"&amp;totales!H222="2"&amp;totales!I222="1"&amp;totales!J222="0","w",IF(totales!E222="4"&amp;totales!H222="2"&amp;totales!I222="1"&amp;totales!J222="0","x",
IF(totales!E222="6"&amp;totales!H222="2"&amp;totales!I222="1"&amp;totales!J222="0","y",IF(totales!E222="1"&amp;totales!H222="1"&amp;totales!I222="1"&amp;totales!J222="0","z",IF(totales!E222="2"&amp;totales!H222="1"&amp;totales!I222="1"&amp;totales!J222="0","0",IF(totales!E222="3"&amp;totales!H222="1"&amp;totales!I222="1"&amp;totales!J222="0","1",IF(totales!E222="4"&amp;totales!H222="1"&amp;totales!I222="1"&amp;totales!J222="0","2",IF(totales!E222="6"&amp;totales!H222="1"&amp;totales!I222="1"&amp;totales!J222="0","3",IF(totales!E222="1"&amp;totales!H222="0"&amp;totales!I222="1"&amp;totales!J222="1","4",IF(totales!E222="2"&amp;totales!H222="0"&amp;totales!I222="1"&amp;totales!J222="1","5",IF(totales!E222="3"&amp;totales!H222="0"&amp;totales!I222="1"&amp;totales!J222="1","6",IF(totales!E222="4"&amp;totales!H222="0"&amp;totales!I222="1"&amp;totales!J222="1","7",IF(totales!E222="6"&amp;totales!H222="0"&amp;totales!I222="1"&amp;totales!J222="1","8",IF(totales!E222="1"&amp;totales!H222="1"&amp;totales!I222="0"&amp;totales!J222="1","9"))))))))))))))))))))))))))))))))))))</f>
        <v>0</v>
      </c>
    </row>
    <row r="222" spans="22:22">
      <c r="V222" s="102" t="b">
        <f>IF(totales!E223="1"&amp;totales!H223="0"&amp;totales!I223="0"&amp;totales!J223="0","a",IF(totales!E223="2"&amp;totales!H223="0"&amp;totales!I223="0"&amp;totales!J223="0","b",IF(totales!E223="3"&amp;totales!H223="0"&amp;totales!I223="0"&amp;totales!J223="0","c",IF(totales!E223="4"&amp;totales!H223="0"&amp;totales!I223="0"&amp;totales!J223="0","d",IF(totales!E223="6"&amp;totales!H223="0"&amp;totales!I223="0"&amp;totales!J223="0","e",IF(totales!E223="1"&amp;totales!H223="1"&amp;totales!I223="0"&amp;totales!J223="0","f",IF(totales!E223="2"&amp;totales!H223="1"&amp;totales!I223="0"&amp;totales!J223="0","g",IF(totales!E223="3"&amp;totales!H223="1"&amp;totales!I223="0"&amp;totales!J223="0","h",IF(totales!E223="4"&amp;totales!H223="1"&amp;totales!I223="0"&amp;totales!J223="0","i",IF(totales!E223="6"&amp;totales!H223="1"&amp;totales!I223="0"&amp;totales!J223="0","j",IF(totales!E223="1"&amp;totales!H223="2"&amp;totales!I223="0"&amp;totales!J223="0","k",IF(totales!E223="2"&amp;totales!H223="2"&amp;totales!I223="0"&amp;totales!J223="0","l",IF(totales!E223="3"&amp;totales!H223="2"&amp;totales!I223="0"&amp;totales!J223="0","m",
IF(totales!E223="4"&amp;totales!H223="2"&amp;totales!I223="0"&amp;totales!J223="0","n",IF(totales!E223="6"&amp;totales!H223="2"&amp;totales!I223="0"&amp;totales!J223="0","o",IF(totales!E223="1"&amp;totales!H223="0"&amp;totales!I223="1"&amp;totales!J223="0","p",IF(totales!E223="2"&amp;totales!H223="0"&amp;totales!I223="1"&amp;totales!J223="0","q",IF(totales!E223="3"&amp;totales!H223="0"&amp;totales!I223="1"&amp;totales!J223="0","r",IF(totales!E223="4"&amp;totales!H223="0"&amp;totales!I223="1"&amp;totales!J223="0","s",IF(totales!E223="6"&amp;totales!H223="0"&amp;totales!I223="1"&amp;totales!J223="0","t",IF(totales!E223="1"&amp;totales!H223="2"&amp;totales!I223="1"&amp;totales!J223="0","u",IF(totales!E223="2"&amp;totales!H223="2"&amp;totales!I223="1"&amp;totales!J223="0","v",IF(totales!E223="3"&amp;totales!H223="2"&amp;totales!I223="1"&amp;totales!J223="0","w",IF(totales!E223="4"&amp;totales!H223="2"&amp;totales!I223="1"&amp;totales!J223="0","x",
IF(totales!E223="6"&amp;totales!H223="2"&amp;totales!I223="1"&amp;totales!J223="0","y",IF(totales!E223="1"&amp;totales!H223="1"&amp;totales!I223="1"&amp;totales!J223="0","z",IF(totales!E223="2"&amp;totales!H223="1"&amp;totales!I223="1"&amp;totales!J223="0","0",IF(totales!E223="3"&amp;totales!H223="1"&amp;totales!I223="1"&amp;totales!J223="0","1",IF(totales!E223="4"&amp;totales!H223="1"&amp;totales!I223="1"&amp;totales!J223="0","2",IF(totales!E223="6"&amp;totales!H223="1"&amp;totales!I223="1"&amp;totales!J223="0","3",IF(totales!E223="1"&amp;totales!H223="0"&amp;totales!I223="1"&amp;totales!J223="1","4",IF(totales!E223="2"&amp;totales!H223="0"&amp;totales!I223="1"&amp;totales!J223="1","5",IF(totales!E223="3"&amp;totales!H223="0"&amp;totales!I223="1"&amp;totales!J223="1","6",IF(totales!E223="4"&amp;totales!H223="0"&amp;totales!I223="1"&amp;totales!J223="1","7",IF(totales!E223="6"&amp;totales!H223="0"&amp;totales!I223="1"&amp;totales!J223="1","8",IF(totales!E223="1"&amp;totales!H223="1"&amp;totales!I223="0"&amp;totales!J223="1","9"))))))))))))))))))))))))))))))))))))</f>
        <v>0</v>
      </c>
    </row>
    <row r="223" spans="22:22">
      <c r="V223" s="102" t="b">
        <f>IF(totales!E224="1"&amp;totales!H224="0"&amp;totales!I224="0"&amp;totales!J224="0","a",IF(totales!E224="2"&amp;totales!H224="0"&amp;totales!I224="0"&amp;totales!J224="0","b",IF(totales!E224="3"&amp;totales!H224="0"&amp;totales!I224="0"&amp;totales!J224="0","c",IF(totales!E224="4"&amp;totales!H224="0"&amp;totales!I224="0"&amp;totales!J224="0","d",IF(totales!E224="6"&amp;totales!H224="0"&amp;totales!I224="0"&amp;totales!J224="0","e",IF(totales!E224="1"&amp;totales!H224="1"&amp;totales!I224="0"&amp;totales!J224="0","f",IF(totales!E224="2"&amp;totales!H224="1"&amp;totales!I224="0"&amp;totales!J224="0","g",IF(totales!E224="3"&amp;totales!H224="1"&amp;totales!I224="0"&amp;totales!J224="0","h",IF(totales!E224="4"&amp;totales!H224="1"&amp;totales!I224="0"&amp;totales!J224="0","i",IF(totales!E224="6"&amp;totales!H224="1"&amp;totales!I224="0"&amp;totales!J224="0","j",IF(totales!E224="1"&amp;totales!H224="2"&amp;totales!I224="0"&amp;totales!J224="0","k",IF(totales!E224="2"&amp;totales!H224="2"&amp;totales!I224="0"&amp;totales!J224="0","l",IF(totales!E224="3"&amp;totales!H224="2"&amp;totales!I224="0"&amp;totales!J224="0","m",
IF(totales!E224="4"&amp;totales!H224="2"&amp;totales!I224="0"&amp;totales!J224="0","n",IF(totales!E224="6"&amp;totales!H224="2"&amp;totales!I224="0"&amp;totales!J224="0","o",IF(totales!E224="1"&amp;totales!H224="0"&amp;totales!I224="1"&amp;totales!J224="0","p",IF(totales!E224="2"&amp;totales!H224="0"&amp;totales!I224="1"&amp;totales!J224="0","q",IF(totales!E224="3"&amp;totales!H224="0"&amp;totales!I224="1"&amp;totales!J224="0","r",IF(totales!E224="4"&amp;totales!H224="0"&amp;totales!I224="1"&amp;totales!J224="0","s",IF(totales!E224="6"&amp;totales!H224="0"&amp;totales!I224="1"&amp;totales!J224="0","t",IF(totales!E224="1"&amp;totales!H224="2"&amp;totales!I224="1"&amp;totales!J224="0","u",IF(totales!E224="2"&amp;totales!H224="2"&amp;totales!I224="1"&amp;totales!J224="0","v",IF(totales!E224="3"&amp;totales!H224="2"&amp;totales!I224="1"&amp;totales!J224="0","w",IF(totales!E224="4"&amp;totales!H224="2"&amp;totales!I224="1"&amp;totales!J224="0","x",
IF(totales!E224="6"&amp;totales!H224="2"&amp;totales!I224="1"&amp;totales!J224="0","y",IF(totales!E224="1"&amp;totales!H224="1"&amp;totales!I224="1"&amp;totales!J224="0","z",IF(totales!E224="2"&amp;totales!H224="1"&amp;totales!I224="1"&amp;totales!J224="0","0",IF(totales!E224="3"&amp;totales!H224="1"&amp;totales!I224="1"&amp;totales!J224="0","1",IF(totales!E224="4"&amp;totales!H224="1"&amp;totales!I224="1"&amp;totales!J224="0","2",IF(totales!E224="6"&amp;totales!H224="1"&amp;totales!I224="1"&amp;totales!J224="0","3",IF(totales!E224="1"&amp;totales!H224="0"&amp;totales!I224="1"&amp;totales!J224="1","4",IF(totales!E224="2"&amp;totales!H224="0"&amp;totales!I224="1"&amp;totales!J224="1","5",IF(totales!E224="3"&amp;totales!H224="0"&amp;totales!I224="1"&amp;totales!J224="1","6",IF(totales!E224="4"&amp;totales!H224="0"&amp;totales!I224="1"&amp;totales!J224="1","7",IF(totales!E224="6"&amp;totales!H224="0"&amp;totales!I224="1"&amp;totales!J224="1","8",IF(totales!E224="1"&amp;totales!H224="1"&amp;totales!I224="0"&amp;totales!J224="1","9"))))))))))))))))))))))))))))))))))))</f>
        <v>0</v>
      </c>
    </row>
    <row r="224" spans="22:22">
      <c r="V224" s="102" t="b">
        <f>IF(totales!E225="1"&amp;totales!H225="0"&amp;totales!I225="0"&amp;totales!J225="0","a",IF(totales!E225="2"&amp;totales!H225="0"&amp;totales!I225="0"&amp;totales!J225="0","b",IF(totales!E225="3"&amp;totales!H225="0"&amp;totales!I225="0"&amp;totales!J225="0","c",IF(totales!E225="4"&amp;totales!H225="0"&amp;totales!I225="0"&amp;totales!J225="0","d",IF(totales!E225="6"&amp;totales!H225="0"&amp;totales!I225="0"&amp;totales!J225="0","e",IF(totales!E225="1"&amp;totales!H225="1"&amp;totales!I225="0"&amp;totales!J225="0","f",IF(totales!E225="2"&amp;totales!H225="1"&amp;totales!I225="0"&amp;totales!J225="0","g",IF(totales!E225="3"&amp;totales!H225="1"&amp;totales!I225="0"&amp;totales!J225="0","h",IF(totales!E225="4"&amp;totales!H225="1"&amp;totales!I225="0"&amp;totales!J225="0","i",IF(totales!E225="6"&amp;totales!H225="1"&amp;totales!I225="0"&amp;totales!J225="0","j",IF(totales!E225="1"&amp;totales!H225="2"&amp;totales!I225="0"&amp;totales!J225="0","k",IF(totales!E225="2"&amp;totales!H225="2"&amp;totales!I225="0"&amp;totales!J225="0","l",IF(totales!E225="3"&amp;totales!H225="2"&amp;totales!I225="0"&amp;totales!J225="0","m",
IF(totales!E225="4"&amp;totales!H225="2"&amp;totales!I225="0"&amp;totales!J225="0","n",IF(totales!E225="6"&amp;totales!H225="2"&amp;totales!I225="0"&amp;totales!J225="0","o",IF(totales!E225="1"&amp;totales!H225="0"&amp;totales!I225="1"&amp;totales!J225="0","p",IF(totales!E225="2"&amp;totales!H225="0"&amp;totales!I225="1"&amp;totales!J225="0","q",IF(totales!E225="3"&amp;totales!H225="0"&amp;totales!I225="1"&amp;totales!J225="0","r",IF(totales!E225="4"&amp;totales!H225="0"&amp;totales!I225="1"&amp;totales!J225="0","s",IF(totales!E225="6"&amp;totales!H225="0"&amp;totales!I225="1"&amp;totales!J225="0","t",IF(totales!E225="1"&amp;totales!H225="2"&amp;totales!I225="1"&amp;totales!J225="0","u",IF(totales!E225="2"&amp;totales!H225="2"&amp;totales!I225="1"&amp;totales!J225="0","v",IF(totales!E225="3"&amp;totales!H225="2"&amp;totales!I225="1"&amp;totales!J225="0","w",IF(totales!E225="4"&amp;totales!H225="2"&amp;totales!I225="1"&amp;totales!J225="0","x",
IF(totales!E225="6"&amp;totales!H225="2"&amp;totales!I225="1"&amp;totales!J225="0","y",IF(totales!E225="1"&amp;totales!H225="1"&amp;totales!I225="1"&amp;totales!J225="0","z",IF(totales!E225="2"&amp;totales!H225="1"&amp;totales!I225="1"&amp;totales!J225="0","0",IF(totales!E225="3"&amp;totales!H225="1"&amp;totales!I225="1"&amp;totales!J225="0","1",IF(totales!E225="4"&amp;totales!H225="1"&amp;totales!I225="1"&amp;totales!J225="0","2",IF(totales!E225="6"&amp;totales!H225="1"&amp;totales!I225="1"&amp;totales!J225="0","3",IF(totales!E225="1"&amp;totales!H225="0"&amp;totales!I225="1"&amp;totales!J225="1","4",IF(totales!E225="2"&amp;totales!H225="0"&amp;totales!I225="1"&amp;totales!J225="1","5",IF(totales!E225="3"&amp;totales!H225="0"&amp;totales!I225="1"&amp;totales!J225="1","6",IF(totales!E225="4"&amp;totales!H225="0"&amp;totales!I225="1"&amp;totales!J225="1","7",IF(totales!E225="6"&amp;totales!H225="0"&amp;totales!I225="1"&amp;totales!J225="1","8",IF(totales!E225="1"&amp;totales!H225="1"&amp;totales!I225="0"&amp;totales!J225="1","9"))))))))))))))))))))))))))))))))))))</f>
        <v>0</v>
      </c>
    </row>
    <row r="225" spans="22:22">
      <c r="V225" s="102" t="b">
        <f>IF(totales!E226="1"&amp;totales!H226="0"&amp;totales!I226="0"&amp;totales!J226="0","a",IF(totales!E226="2"&amp;totales!H226="0"&amp;totales!I226="0"&amp;totales!J226="0","b",IF(totales!E226="3"&amp;totales!H226="0"&amp;totales!I226="0"&amp;totales!J226="0","c",IF(totales!E226="4"&amp;totales!H226="0"&amp;totales!I226="0"&amp;totales!J226="0","d",IF(totales!E226="6"&amp;totales!H226="0"&amp;totales!I226="0"&amp;totales!J226="0","e",IF(totales!E226="1"&amp;totales!H226="1"&amp;totales!I226="0"&amp;totales!J226="0","f",IF(totales!E226="2"&amp;totales!H226="1"&amp;totales!I226="0"&amp;totales!J226="0","g",IF(totales!E226="3"&amp;totales!H226="1"&amp;totales!I226="0"&amp;totales!J226="0","h",IF(totales!E226="4"&amp;totales!H226="1"&amp;totales!I226="0"&amp;totales!J226="0","i",IF(totales!E226="6"&amp;totales!H226="1"&amp;totales!I226="0"&amp;totales!J226="0","j",IF(totales!E226="1"&amp;totales!H226="2"&amp;totales!I226="0"&amp;totales!J226="0","k",IF(totales!E226="2"&amp;totales!H226="2"&amp;totales!I226="0"&amp;totales!J226="0","l",IF(totales!E226="3"&amp;totales!H226="2"&amp;totales!I226="0"&amp;totales!J226="0","m",
IF(totales!E226="4"&amp;totales!H226="2"&amp;totales!I226="0"&amp;totales!J226="0","n",IF(totales!E226="6"&amp;totales!H226="2"&amp;totales!I226="0"&amp;totales!J226="0","o",IF(totales!E226="1"&amp;totales!H226="0"&amp;totales!I226="1"&amp;totales!J226="0","p",IF(totales!E226="2"&amp;totales!H226="0"&amp;totales!I226="1"&amp;totales!J226="0","q",IF(totales!E226="3"&amp;totales!H226="0"&amp;totales!I226="1"&amp;totales!J226="0","r",IF(totales!E226="4"&amp;totales!H226="0"&amp;totales!I226="1"&amp;totales!J226="0","s",IF(totales!E226="6"&amp;totales!H226="0"&amp;totales!I226="1"&amp;totales!J226="0","t",IF(totales!E226="1"&amp;totales!H226="2"&amp;totales!I226="1"&amp;totales!J226="0","u",IF(totales!E226="2"&amp;totales!H226="2"&amp;totales!I226="1"&amp;totales!J226="0","v",IF(totales!E226="3"&amp;totales!H226="2"&amp;totales!I226="1"&amp;totales!J226="0","w",IF(totales!E226="4"&amp;totales!H226="2"&amp;totales!I226="1"&amp;totales!J226="0","x",
IF(totales!E226="6"&amp;totales!H226="2"&amp;totales!I226="1"&amp;totales!J226="0","y",IF(totales!E226="1"&amp;totales!H226="1"&amp;totales!I226="1"&amp;totales!J226="0","z",IF(totales!E226="2"&amp;totales!H226="1"&amp;totales!I226="1"&amp;totales!J226="0","0",IF(totales!E226="3"&amp;totales!H226="1"&amp;totales!I226="1"&amp;totales!J226="0","1",IF(totales!E226="4"&amp;totales!H226="1"&amp;totales!I226="1"&amp;totales!J226="0","2",IF(totales!E226="6"&amp;totales!H226="1"&amp;totales!I226="1"&amp;totales!J226="0","3",IF(totales!E226="1"&amp;totales!H226="0"&amp;totales!I226="1"&amp;totales!J226="1","4",IF(totales!E226="2"&amp;totales!H226="0"&amp;totales!I226="1"&amp;totales!J226="1","5",IF(totales!E226="3"&amp;totales!H226="0"&amp;totales!I226="1"&amp;totales!J226="1","6",IF(totales!E226="4"&amp;totales!H226="0"&amp;totales!I226="1"&amp;totales!J226="1","7",IF(totales!E226="6"&amp;totales!H226="0"&amp;totales!I226="1"&amp;totales!J226="1","8",IF(totales!E226="1"&amp;totales!H226="1"&amp;totales!I226="0"&amp;totales!J226="1","9"))))))))))))))))))))))))))))))))))))</f>
        <v>0</v>
      </c>
    </row>
    <row r="226" spans="22:22">
      <c r="V226" s="102" t="b">
        <f>IF(totales!E227="1"&amp;totales!H227="0"&amp;totales!I227="0"&amp;totales!J227="0","a",IF(totales!E227="2"&amp;totales!H227="0"&amp;totales!I227="0"&amp;totales!J227="0","b",IF(totales!E227="3"&amp;totales!H227="0"&amp;totales!I227="0"&amp;totales!J227="0","c",IF(totales!E227="4"&amp;totales!H227="0"&amp;totales!I227="0"&amp;totales!J227="0","d",IF(totales!E227="6"&amp;totales!H227="0"&amp;totales!I227="0"&amp;totales!J227="0","e",IF(totales!E227="1"&amp;totales!H227="1"&amp;totales!I227="0"&amp;totales!J227="0","f",IF(totales!E227="2"&amp;totales!H227="1"&amp;totales!I227="0"&amp;totales!J227="0","g",IF(totales!E227="3"&amp;totales!H227="1"&amp;totales!I227="0"&amp;totales!J227="0","h",IF(totales!E227="4"&amp;totales!H227="1"&amp;totales!I227="0"&amp;totales!J227="0","i",IF(totales!E227="6"&amp;totales!H227="1"&amp;totales!I227="0"&amp;totales!J227="0","j",IF(totales!E227="1"&amp;totales!H227="2"&amp;totales!I227="0"&amp;totales!J227="0","k",IF(totales!E227="2"&amp;totales!H227="2"&amp;totales!I227="0"&amp;totales!J227="0","l",IF(totales!E227="3"&amp;totales!H227="2"&amp;totales!I227="0"&amp;totales!J227="0","m",
IF(totales!E227="4"&amp;totales!H227="2"&amp;totales!I227="0"&amp;totales!J227="0","n",IF(totales!E227="6"&amp;totales!H227="2"&amp;totales!I227="0"&amp;totales!J227="0","o",IF(totales!E227="1"&amp;totales!H227="0"&amp;totales!I227="1"&amp;totales!J227="0","p",IF(totales!E227="2"&amp;totales!H227="0"&amp;totales!I227="1"&amp;totales!J227="0","q",IF(totales!E227="3"&amp;totales!H227="0"&amp;totales!I227="1"&amp;totales!J227="0","r",IF(totales!E227="4"&amp;totales!H227="0"&amp;totales!I227="1"&amp;totales!J227="0","s",IF(totales!E227="6"&amp;totales!H227="0"&amp;totales!I227="1"&amp;totales!J227="0","t",IF(totales!E227="1"&amp;totales!H227="2"&amp;totales!I227="1"&amp;totales!J227="0","u",IF(totales!E227="2"&amp;totales!H227="2"&amp;totales!I227="1"&amp;totales!J227="0","v",IF(totales!E227="3"&amp;totales!H227="2"&amp;totales!I227="1"&amp;totales!J227="0","w",IF(totales!E227="4"&amp;totales!H227="2"&amp;totales!I227="1"&amp;totales!J227="0","x",
IF(totales!E227="6"&amp;totales!H227="2"&amp;totales!I227="1"&amp;totales!J227="0","y",IF(totales!E227="1"&amp;totales!H227="1"&amp;totales!I227="1"&amp;totales!J227="0","z",IF(totales!E227="2"&amp;totales!H227="1"&amp;totales!I227="1"&amp;totales!J227="0","0",IF(totales!E227="3"&amp;totales!H227="1"&amp;totales!I227="1"&amp;totales!J227="0","1",IF(totales!E227="4"&amp;totales!H227="1"&amp;totales!I227="1"&amp;totales!J227="0","2",IF(totales!E227="6"&amp;totales!H227="1"&amp;totales!I227="1"&amp;totales!J227="0","3",IF(totales!E227="1"&amp;totales!H227="0"&amp;totales!I227="1"&amp;totales!J227="1","4",IF(totales!E227="2"&amp;totales!H227="0"&amp;totales!I227="1"&amp;totales!J227="1","5",IF(totales!E227="3"&amp;totales!H227="0"&amp;totales!I227="1"&amp;totales!J227="1","6",IF(totales!E227="4"&amp;totales!H227="0"&amp;totales!I227="1"&amp;totales!J227="1","7",IF(totales!E227="6"&amp;totales!H227="0"&amp;totales!I227="1"&amp;totales!J227="1","8",IF(totales!E227="1"&amp;totales!H227="1"&amp;totales!I227="0"&amp;totales!J227="1","9"))))))))))))))))))))))))))))))))))))</f>
        <v>0</v>
      </c>
    </row>
    <row r="227" spans="22:22">
      <c r="V227" s="102" t="b">
        <f>IF(totales!E228="1"&amp;totales!H228="0"&amp;totales!I228="0"&amp;totales!J228="0","a",IF(totales!E228="2"&amp;totales!H228="0"&amp;totales!I228="0"&amp;totales!J228="0","b",IF(totales!E228="3"&amp;totales!H228="0"&amp;totales!I228="0"&amp;totales!J228="0","c",IF(totales!E228="4"&amp;totales!H228="0"&amp;totales!I228="0"&amp;totales!J228="0","d",IF(totales!E228="6"&amp;totales!H228="0"&amp;totales!I228="0"&amp;totales!J228="0","e",IF(totales!E228="1"&amp;totales!H228="1"&amp;totales!I228="0"&amp;totales!J228="0","f",IF(totales!E228="2"&amp;totales!H228="1"&amp;totales!I228="0"&amp;totales!J228="0","g",IF(totales!E228="3"&amp;totales!H228="1"&amp;totales!I228="0"&amp;totales!J228="0","h",IF(totales!E228="4"&amp;totales!H228="1"&amp;totales!I228="0"&amp;totales!J228="0","i",IF(totales!E228="6"&amp;totales!H228="1"&amp;totales!I228="0"&amp;totales!J228="0","j",IF(totales!E228="1"&amp;totales!H228="2"&amp;totales!I228="0"&amp;totales!J228="0","k",IF(totales!E228="2"&amp;totales!H228="2"&amp;totales!I228="0"&amp;totales!J228="0","l",IF(totales!E228="3"&amp;totales!H228="2"&amp;totales!I228="0"&amp;totales!J228="0","m",
IF(totales!E228="4"&amp;totales!H228="2"&amp;totales!I228="0"&amp;totales!J228="0","n",IF(totales!E228="6"&amp;totales!H228="2"&amp;totales!I228="0"&amp;totales!J228="0","o",IF(totales!E228="1"&amp;totales!H228="0"&amp;totales!I228="1"&amp;totales!J228="0","p",IF(totales!E228="2"&amp;totales!H228="0"&amp;totales!I228="1"&amp;totales!J228="0","q",IF(totales!E228="3"&amp;totales!H228="0"&amp;totales!I228="1"&amp;totales!J228="0","r",IF(totales!E228="4"&amp;totales!H228="0"&amp;totales!I228="1"&amp;totales!J228="0","s",IF(totales!E228="6"&amp;totales!H228="0"&amp;totales!I228="1"&amp;totales!J228="0","t",IF(totales!E228="1"&amp;totales!H228="2"&amp;totales!I228="1"&amp;totales!J228="0","u",IF(totales!E228="2"&amp;totales!H228="2"&amp;totales!I228="1"&amp;totales!J228="0","v",IF(totales!E228="3"&amp;totales!H228="2"&amp;totales!I228="1"&amp;totales!J228="0","w",IF(totales!E228="4"&amp;totales!H228="2"&amp;totales!I228="1"&amp;totales!J228="0","x",
IF(totales!E228="6"&amp;totales!H228="2"&amp;totales!I228="1"&amp;totales!J228="0","y",IF(totales!E228="1"&amp;totales!H228="1"&amp;totales!I228="1"&amp;totales!J228="0","z",IF(totales!E228="2"&amp;totales!H228="1"&amp;totales!I228="1"&amp;totales!J228="0","0",IF(totales!E228="3"&amp;totales!H228="1"&amp;totales!I228="1"&amp;totales!J228="0","1",IF(totales!E228="4"&amp;totales!H228="1"&amp;totales!I228="1"&amp;totales!J228="0","2",IF(totales!E228="6"&amp;totales!H228="1"&amp;totales!I228="1"&amp;totales!J228="0","3",IF(totales!E228="1"&amp;totales!H228="0"&amp;totales!I228="1"&amp;totales!J228="1","4",IF(totales!E228="2"&amp;totales!H228="0"&amp;totales!I228="1"&amp;totales!J228="1","5",IF(totales!E228="3"&amp;totales!H228="0"&amp;totales!I228="1"&amp;totales!J228="1","6",IF(totales!E228="4"&amp;totales!H228="0"&amp;totales!I228="1"&amp;totales!J228="1","7",IF(totales!E228="6"&amp;totales!H228="0"&amp;totales!I228="1"&amp;totales!J228="1","8",IF(totales!E228="1"&amp;totales!H228="1"&amp;totales!I228="0"&amp;totales!J228="1","9"))))))))))))))))))))))))))))))))))))</f>
        <v>0</v>
      </c>
    </row>
    <row r="228" spans="22:22">
      <c r="V228" s="102" t="b">
        <f>IF(totales!E229="1"&amp;totales!H229="0"&amp;totales!I229="0"&amp;totales!J229="0","a",IF(totales!E229="2"&amp;totales!H229="0"&amp;totales!I229="0"&amp;totales!J229="0","b",IF(totales!E229="3"&amp;totales!H229="0"&amp;totales!I229="0"&amp;totales!J229="0","c",IF(totales!E229="4"&amp;totales!H229="0"&amp;totales!I229="0"&amp;totales!J229="0","d",IF(totales!E229="6"&amp;totales!H229="0"&amp;totales!I229="0"&amp;totales!J229="0","e",IF(totales!E229="1"&amp;totales!H229="1"&amp;totales!I229="0"&amp;totales!J229="0","f",IF(totales!E229="2"&amp;totales!H229="1"&amp;totales!I229="0"&amp;totales!J229="0","g",IF(totales!E229="3"&amp;totales!H229="1"&amp;totales!I229="0"&amp;totales!J229="0","h",IF(totales!E229="4"&amp;totales!H229="1"&amp;totales!I229="0"&amp;totales!J229="0","i",IF(totales!E229="6"&amp;totales!H229="1"&amp;totales!I229="0"&amp;totales!J229="0","j",IF(totales!E229="1"&amp;totales!H229="2"&amp;totales!I229="0"&amp;totales!J229="0","k",IF(totales!E229="2"&amp;totales!H229="2"&amp;totales!I229="0"&amp;totales!J229="0","l",IF(totales!E229="3"&amp;totales!H229="2"&amp;totales!I229="0"&amp;totales!J229="0","m",
IF(totales!E229="4"&amp;totales!H229="2"&amp;totales!I229="0"&amp;totales!J229="0","n",IF(totales!E229="6"&amp;totales!H229="2"&amp;totales!I229="0"&amp;totales!J229="0","o",IF(totales!E229="1"&amp;totales!H229="0"&amp;totales!I229="1"&amp;totales!J229="0","p",IF(totales!E229="2"&amp;totales!H229="0"&amp;totales!I229="1"&amp;totales!J229="0","q",IF(totales!E229="3"&amp;totales!H229="0"&amp;totales!I229="1"&amp;totales!J229="0","r",IF(totales!E229="4"&amp;totales!H229="0"&amp;totales!I229="1"&amp;totales!J229="0","s",IF(totales!E229="6"&amp;totales!H229="0"&amp;totales!I229="1"&amp;totales!J229="0","t",IF(totales!E229="1"&amp;totales!H229="2"&amp;totales!I229="1"&amp;totales!J229="0","u",IF(totales!E229="2"&amp;totales!H229="2"&amp;totales!I229="1"&amp;totales!J229="0","v",IF(totales!E229="3"&amp;totales!H229="2"&amp;totales!I229="1"&amp;totales!J229="0","w",IF(totales!E229="4"&amp;totales!H229="2"&amp;totales!I229="1"&amp;totales!J229="0","x",
IF(totales!E229="6"&amp;totales!H229="2"&amp;totales!I229="1"&amp;totales!J229="0","y",IF(totales!E229="1"&amp;totales!H229="1"&amp;totales!I229="1"&amp;totales!J229="0","z",IF(totales!E229="2"&amp;totales!H229="1"&amp;totales!I229="1"&amp;totales!J229="0","0",IF(totales!E229="3"&amp;totales!H229="1"&amp;totales!I229="1"&amp;totales!J229="0","1",IF(totales!E229="4"&amp;totales!H229="1"&amp;totales!I229="1"&amp;totales!J229="0","2",IF(totales!E229="6"&amp;totales!H229="1"&amp;totales!I229="1"&amp;totales!J229="0","3",IF(totales!E229="1"&amp;totales!H229="0"&amp;totales!I229="1"&amp;totales!J229="1","4",IF(totales!E229="2"&amp;totales!H229="0"&amp;totales!I229="1"&amp;totales!J229="1","5",IF(totales!E229="3"&amp;totales!H229="0"&amp;totales!I229="1"&amp;totales!J229="1","6",IF(totales!E229="4"&amp;totales!H229="0"&amp;totales!I229="1"&amp;totales!J229="1","7",IF(totales!E229="6"&amp;totales!H229="0"&amp;totales!I229="1"&amp;totales!J229="1","8",IF(totales!E229="1"&amp;totales!H229="1"&amp;totales!I229="0"&amp;totales!J229="1","9"))))))))))))))))))))))))))))))))))))</f>
        <v>0</v>
      </c>
    </row>
    <row r="229" spans="22:22">
      <c r="V229" s="102" t="b">
        <f>IF(totales!E230="1"&amp;totales!H230="0"&amp;totales!I230="0"&amp;totales!J230="0","a",IF(totales!E230="2"&amp;totales!H230="0"&amp;totales!I230="0"&amp;totales!J230="0","b",IF(totales!E230="3"&amp;totales!H230="0"&amp;totales!I230="0"&amp;totales!J230="0","c",IF(totales!E230="4"&amp;totales!H230="0"&amp;totales!I230="0"&amp;totales!J230="0","d",IF(totales!E230="6"&amp;totales!H230="0"&amp;totales!I230="0"&amp;totales!J230="0","e",IF(totales!E230="1"&amp;totales!H230="1"&amp;totales!I230="0"&amp;totales!J230="0","f",IF(totales!E230="2"&amp;totales!H230="1"&amp;totales!I230="0"&amp;totales!J230="0","g",IF(totales!E230="3"&amp;totales!H230="1"&amp;totales!I230="0"&amp;totales!J230="0","h",IF(totales!E230="4"&amp;totales!H230="1"&amp;totales!I230="0"&amp;totales!J230="0","i",IF(totales!E230="6"&amp;totales!H230="1"&amp;totales!I230="0"&amp;totales!J230="0","j",IF(totales!E230="1"&amp;totales!H230="2"&amp;totales!I230="0"&amp;totales!J230="0","k",IF(totales!E230="2"&amp;totales!H230="2"&amp;totales!I230="0"&amp;totales!J230="0","l",IF(totales!E230="3"&amp;totales!H230="2"&amp;totales!I230="0"&amp;totales!J230="0","m",
IF(totales!E230="4"&amp;totales!H230="2"&amp;totales!I230="0"&amp;totales!J230="0","n",IF(totales!E230="6"&amp;totales!H230="2"&amp;totales!I230="0"&amp;totales!J230="0","o",IF(totales!E230="1"&amp;totales!H230="0"&amp;totales!I230="1"&amp;totales!J230="0","p",IF(totales!E230="2"&amp;totales!H230="0"&amp;totales!I230="1"&amp;totales!J230="0","q",IF(totales!E230="3"&amp;totales!H230="0"&amp;totales!I230="1"&amp;totales!J230="0","r",IF(totales!E230="4"&amp;totales!H230="0"&amp;totales!I230="1"&amp;totales!J230="0","s",IF(totales!E230="6"&amp;totales!H230="0"&amp;totales!I230="1"&amp;totales!J230="0","t",IF(totales!E230="1"&amp;totales!H230="2"&amp;totales!I230="1"&amp;totales!J230="0","u",IF(totales!E230="2"&amp;totales!H230="2"&amp;totales!I230="1"&amp;totales!J230="0","v",IF(totales!E230="3"&amp;totales!H230="2"&amp;totales!I230="1"&amp;totales!J230="0","w",IF(totales!E230="4"&amp;totales!H230="2"&amp;totales!I230="1"&amp;totales!J230="0","x",
IF(totales!E230="6"&amp;totales!H230="2"&amp;totales!I230="1"&amp;totales!J230="0","y",IF(totales!E230="1"&amp;totales!H230="1"&amp;totales!I230="1"&amp;totales!J230="0","z",IF(totales!E230="2"&amp;totales!H230="1"&amp;totales!I230="1"&amp;totales!J230="0","0",IF(totales!E230="3"&amp;totales!H230="1"&amp;totales!I230="1"&amp;totales!J230="0","1",IF(totales!E230="4"&amp;totales!H230="1"&amp;totales!I230="1"&amp;totales!J230="0","2",IF(totales!E230="6"&amp;totales!H230="1"&amp;totales!I230="1"&amp;totales!J230="0","3",IF(totales!E230="1"&amp;totales!H230="0"&amp;totales!I230="1"&amp;totales!J230="1","4",IF(totales!E230="2"&amp;totales!H230="0"&amp;totales!I230="1"&amp;totales!J230="1","5",IF(totales!E230="3"&amp;totales!H230="0"&amp;totales!I230="1"&amp;totales!J230="1","6",IF(totales!E230="4"&amp;totales!H230="0"&amp;totales!I230="1"&amp;totales!J230="1","7",IF(totales!E230="6"&amp;totales!H230="0"&amp;totales!I230="1"&amp;totales!J230="1","8",IF(totales!E230="1"&amp;totales!H230="1"&amp;totales!I230="0"&amp;totales!J230="1","9"))))))))))))))))))))))))))))))))))))</f>
        <v>0</v>
      </c>
    </row>
    <row r="230" spans="22:22">
      <c r="V230" s="102" t="b">
        <f>IF(totales!E231="1"&amp;totales!H231="0"&amp;totales!I231="0"&amp;totales!J231="0","a",IF(totales!E231="2"&amp;totales!H231="0"&amp;totales!I231="0"&amp;totales!J231="0","b",IF(totales!E231="3"&amp;totales!H231="0"&amp;totales!I231="0"&amp;totales!J231="0","c",IF(totales!E231="4"&amp;totales!H231="0"&amp;totales!I231="0"&amp;totales!J231="0","d",IF(totales!E231="6"&amp;totales!H231="0"&amp;totales!I231="0"&amp;totales!J231="0","e",IF(totales!E231="1"&amp;totales!H231="1"&amp;totales!I231="0"&amp;totales!J231="0","f",IF(totales!E231="2"&amp;totales!H231="1"&amp;totales!I231="0"&amp;totales!J231="0","g",IF(totales!E231="3"&amp;totales!H231="1"&amp;totales!I231="0"&amp;totales!J231="0","h",IF(totales!E231="4"&amp;totales!H231="1"&amp;totales!I231="0"&amp;totales!J231="0","i",IF(totales!E231="6"&amp;totales!H231="1"&amp;totales!I231="0"&amp;totales!J231="0","j",IF(totales!E231="1"&amp;totales!H231="2"&amp;totales!I231="0"&amp;totales!J231="0","k",IF(totales!E231="2"&amp;totales!H231="2"&amp;totales!I231="0"&amp;totales!J231="0","l",IF(totales!E231="3"&amp;totales!H231="2"&amp;totales!I231="0"&amp;totales!J231="0","m",
IF(totales!E231="4"&amp;totales!H231="2"&amp;totales!I231="0"&amp;totales!J231="0","n",IF(totales!E231="6"&amp;totales!H231="2"&amp;totales!I231="0"&amp;totales!J231="0","o",IF(totales!E231="1"&amp;totales!H231="0"&amp;totales!I231="1"&amp;totales!J231="0","p",IF(totales!E231="2"&amp;totales!H231="0"&amp;totales!I231="1"&amp;totales!J231="0","q",IF(totales!E231="3"&amp;totales!H231="0"&amp;totales!I231="1"&amp;totales!J231="0","r",IF(totales!E231="4"&amp;totales!H231="0"&amp;totales!I231="1"&amp;totales!J231="0","s",IF(totales!E231="6"&amp;totales!H231="0"&amp;totales!I231="1"&amp;totales!J231="0","t",IF(totales!E231="1"&amp;totales!H231="2"&amp;totales!I231="1"&amp;totales!J231="0","u",IF(totales!E231="2"&amp;totales!H231="2"&amp;totales!I231="1"&amp;totales!J231="0","v",IF(totales!E231="3"&amp;totales!H231="2"&amp;totales!I231="1"&amp;totales!J231="0","w",IF(totales!E231="4"&amp;totales!H231="2"&amp;totales!I231="1"&amp;totales!J231="0","x",
IF(totales!E231="6"&amp;totales!H231="2"&amp;totales!I231="1"&amp;totales!J231="0","y",IF(totales!E231="1"&amp;totales!H231="1"&amp;totales!I231="1"&amp;totales!J231="0","z",IF(totales!E231="2"&amp;totales!H231="1"&amp;totales!I231="1"&amp;totales!J231="0","0",IF(totales!E231="3"&amp;totales!H231="1"&amp;totales!I231="1"&amp;totales!J231="0","1",IF(totales!E231="4"&amp;totales!H231="1"&amp;totales!I231="1"&amp;totales!J231="0","2",IF(totales!E231="6"&amp;totales!H231="1"&amp;totales!I231="1"&amp;totales!J231="0","3",IF(totales!E231="1"&amp;totales!H231="0"&amp;totales!I231="1"&amp;totales!J231="1","4",IF(totales!E231="2"&amp;totales!H231="0"&amp;totales!I231="1"&amp;totales!J231="1","5",IF(totales!E231="3"&amp;totales!H231="0"&amp;totales!I231="1"&amp;totales!J231="1","6",IF(totales!E231="4"&amp;totales!H231="0"&amp;totales!I231="1"&amp;totales!J231="1","7",IF(totales!E231="6"&amp;totales!H231="0"&amp;totales!I231="1"&amp;totales!J231="1","8",IF(totales!E231="1"&amp;totales!H231="1"&amp;totales!I231="0"&amp;totales!J231="1","9"))))))))))))))))))))))))))))))))))))</f>
        <v>0</v>
      </c>
    </row>
    <row r="231" spans="22:22">
      <c r="V231" s="102" t="b">
        <f>IF(totales!E232="1"&amp;totales!H232="0"&amp;totales!I232="0"&amp;totales!J232="0","a",IF(totales!E232="2"&amp;totales!H232="0"&amp;totales!I232="0"&amp;totales!J232="0","b",IF(totales!E232="3"&amp;totales!H232="0"&amp;totales!I232="0"&amp;totales!J232="0","c",IF(totales!E232="4"&amp;totales!H232="0"&amp;totales!I232="0"&amp;totales!J232="0","d",IF(totales!E232="6"&amp;totales!H232="0"&amp;totales!I232="0"&amp;totales!J232="0","e",IF(totales!E232="1"&amp;totales!H232="1"&amp;totales!I232="0"&amp;totales!J232="0","f",IF(totales!E232="2"&amp;totales!H232="1"&amp;totales!I232="0"&amp;totales!J232="0","g",IF(totales!E232="3"&amp;totales!H232="1"&amp;totales!I232="0"&amp;totales!J232="0","h",IF(totales!E232="4"&amp;totales!H232="1"&amp;totales!I232="0"&amp;totales!J232="0","i",IF(totales!E232="6"&amp;totales!H232="1"&amp;totales!I232="0"&amp;totales!J232="0","j",IF(totales!E232="1"&amp;totales!H232="2"&amp;totales!I232="0"&amp;totales!J232="0","k",IF(totales!E232="2"&amp;totales!H232="2"&amp;totales!I232="0"&amp;totales!J232="0","l",IF(totales!E232="3"&amp;totales!H232="2"&amp;totales!I232="0"&amp;totales!J232="0","m",
IF(totales!E232="4"&amp;totales!H232="2"&amp;totales!I232="0"&amp;totales!J232="0","n",IF(totales!E232="6"&amp;totales!H232="2"&amp;totales!I232="0"&amp;totales!J232="0","o",IF(totales!E232="1"&amp;totales!H232="0"&amp;totales!I232="1"&amp;totales!J232="0","p",IF(totales!E232="2"&amp;totales!H232="0"&amp;totales!I232="1"&amp;totales!J232="0","q",IF(totales!E232="3"&amp;totales!H232="0"&amp;totales!I232="1"&amp;totales!J232="0","r",IF(totales!E232="4"&amp;totales!H232="0"&amp;totales!I232="1"&amp;totales!J232="0","s",IF(totales!E232="6"&amp;totales!H232="0"&amp;totales!I232="1"&amp;totales!J232="0","t",IF(totales!E232="1"&amp;totales!H232="2"&amp;totales!I232="1"&amp;totales!J232="0","u",IF(totales!E232="2"&amp;totales!H232="2"&amp;totales!I232="1"&amp;totales!J232="0","v",IF(totales!E232="3"&amp;totales!H232="2"&amp;totales!I232="1"&amp;totales!J232="0","w",IF(totales!E232="4"&amp;totales!H232="2"&amp;totales!I232="1"&amp;totales!J232="0","x",
IF(totales!E232="6"&amp;totales!H232="2"&amp;totales!I232="1"&amp;totales!J232="0","y",IF(totales!E232="1"&amp;totales!H232="1"&amp;totales!I232="1"&amp;totales!J232="0","z",IF(totales!E232="2"&amp;totales!H232="1"&amp;totales!I232="1"&amp;totales!J232="0","0",IF(totales!E232="3"&amp;totales!H232="1"&amp;totales!I232="1"&amp;totales!J232="0","1",IF(totales!E232="4"&amp;totales!H232="1"&amp;totales!I232="1"&amp;totales!J232="0","2",IF(totales!E232="6"&amp;totales!H232="1"&amp;totales!I232="1"&amp;totales!J232="0","3",IF(totales!E232="1"&amp;totales!H232="0"&amp;totales!I232="1"&amp;totales!J232="1","4",IF(totales!E232="2"&amp;totales!H232="0"&amp;totales!I232="1"&amp;totales!J232="1","5",IF(totales!E232="3"&amp;totales!H232="0"&amp;totales!I232="1"&amp;totales!J232="1","6",IF(totales!E232="4"&amp;totales!H232="0"&amp;totales!I232="1"&amp;totales!J232="1","7",IF(totales!E232="6"&amp;totales!H232="0"&amp;totales!I232="1"&amp;totales!J232="1","8",IF(totales!E232="1"&amp;totales!H232="1"&amp;totales!I232="0"&amp;totales!J232="1","9"))))))))))))))))))))))))))))))))))))</f>
        <v>0</v>
      </c>
    </row>
    <row r="232" spans="22:22">
      <c r="V232" s="102" t="b">
        <f>IF(totales!E233="1"&amp;totales!H233="0"&amp;totales!I233="0"&amp;totales!J233="0","a",IF(totales!E233="2"&amp;totales!H233="0"&amp;totales!I233="0"&amp;totales!J233="0","b",IF(totales!E233="3"&amp;totales!H233="0"&amp;totales!I233="0"&amp;totales!J233="0","c",IF(totales!E233="4"&amp;totales!H233="0"&amp;totales!I233="0"&amp;totales!J233="0","d",IF(totales!E233="6"&amp;totales!H233="0"&amp;totales!I233="0"&amp;totales!J233="0","e",IF(totales!E233="1"&amp;totales!H233="1"&amp;totales!I233="0"&amp;totales!J233="0","f",IF(totales!E233="2"&amp;totales!H233="1"&amp;totales!I233="0"&amp;totales!J233="0","g",IF(totales!E233="3"&amp;totales!H233="1"&amp;totales!I233="0"&amp;totales!J233="0","h",IF(totales!E233="4"&amp;totales!H233="1"&amp;totales!I233="0"&amp;totales!J233="0","i",IF(totales!E233="6"&amp;totales!H233="1"&amp;totales!I233="0"&amp;totales!J233="0","j",IF(totales!E233="1"&amp;totales!H233="2"&amp;totales!I233="0"&amp;totales!J233="0","k",IF(totales!E233="2"&amp;totales!H233="2"&amp;totales!I233="0"&amp;totales!J233="0","l",IF(totales!E233="3"&amp;totales!H233="2"&amp;totales!I233="0"&amp;totales!J233="0","m",
IF(totales!E233="4"&amp;totales!H233="2"&amp;totales!I233="0"&amp;totales!J233="0","n",IF(totales!E233="6"&amp;totales!H233="2"&amp;totales!I233="0"&amp;totales!J233="0","o",IF(totales!E233="1"&amp;totales!H233="0"&amp;totales!I233="1"&amp;totales!J233="0","p",IF(totales!E233="2"&amp;totales!H233="0"&amp;totales!I233="1"&amp;totales!J233="0","q",IF(totales!E233="3"&amp;totales!H233="0"&amp;totales!I233="1"&amp;totales!J233="0","r",IF(totales!E233="4"&amp;totales!H233="0"&amp;totales!I233="1"&amp;totales!J233="0","s",IF(totales!E233="6"&amp;totales!H233="0"&amp;totales!I233="1"&amp;totales!J233="0","t",IF(totales!E233="1"&amp;totales!H233="2"&amp;totales!I233="1"&amp;totales!J233="0","u",IF(totales!E233="2"&amp;totales!H233="2"&amp;totales!I233="1"&amp;totales!J233="0","v",IF(totales!E233="3"&amp;totales!H233="2"&amp;totales!I233="1"&amp;totales!J233="0","w",IF(totales!E233="4"&amp;totales!H233="2"&amp;totales!I233="1"&amp;totales!J233="0","x",
IF(totales!E233="6"&amp;totales!H233="2"&amp;totales!I233="1"&amp;totales!J233="0","y",IF(totales!E233="1"&amp;totales!H233="1"&amp;totales!I233="1"&amp;totales!J233="0","z",IF(totales!E233="2"&amp;totales!H233="1"&amp;totales!I233="1"&amp;totales!J233="0","0",IF(totales!E233="3"&amp;totales!H233="1"&amp;totales!I233="1"&amp;totales!J233="0","1",IF(totales!E233="4"&amp;totales!H233="1"&amp;totales!I233="1"&amp;totales!J233="0","2",IF(totales!E233="6"&amp;totales!H233="1"&amp;totales!I233="1"&amp;totales!J233="0","3",IF(totales!E233="1"&amp;totales!H233="0"&amp;totales!I233="1"&amp;totales!J233="1","4",IF(totales!E233="2"&amp;totales!H233="0"&amp;totales!I233="1"&amp;totales!J233="1","5",IF(totales!E233="3"&amp;totales!H233="0"&amp;totales!I233="1"&amp;totales!J233="1","6",IF(totales!E233="4"&amp;totales!H233="0"&amp;totales!I233="1"&amp;totales!J233="1","7",IF(totales!E233="6"&amp;totales!H233="0"&amp;totales!I233="1"&amp;totales!J233="1","8",IF(totales!E233="1"&amp;totales!H233="1"&amp;totales!I233="0"&amp;totales!J233="1","9"))))))))))))))))))))))))))))))))))))</f>
        <v>0</v>
      </c>
    </row>
    <row r="233" spans="22:22">
      <c r="V233" s="102" t="b">
        <f>IF(totales!E234="1"&amp;totales!H234="0"&amp;totales!I234="0"&amp;totales!J234="0","a",IF(totales!E234="2"&amp;totales!H234="0"&amp;totales!I234="0"&amp;totales!J234="0","b",IF(totales!E234="3"&amp;totales!H234="0"&amp;totales!I234="0"&amp;totales!J234="0","c",IF(totales!E234="4"&amp;totales!H234="0"&amp;totales!I234="0"&amp;totales!J234="0","d",IF(totales!E234="6"&amp;totales!H234="0"&amp;totales!I234="0"&amp;totales!J234="0","e",IF(totales!E234="1"&amp;totales!H234="1"&amp;totales!I234="0"&amp;totales!J234="0","f",IF(totales!E234="2"&amp;totales!H234="1"&amp;totales!I234="0"&amp;totales!J234="0","g",IF(totales!E234="3"&amp;totales!H234="1"&amp;totales!I234="0"&amp;totales!J234="0","h",IF(totales!E234="4"&amp;totales!H234="1"&amp;totales!I234="0"&amp;totales!J234="0","i",IF(totales!E234="6"&amp;totales!H234="1"&amp;totales!I234="0"&amp;totales!J234="0","j",IF(totales!E234="1"&amp;totales!H234="2"&amp;totales!I234="0"&amp;totales!J234="0","k",IF(totales!E234="2"&amp;totales!H234="2"&amp;totales!I234="0"&amp;totales!J234="0","l",IF(totales!E234="3"&amp;totales!H234="2"&amp;totales!I234="0"&amp;totales!J234="0","m",
IF(totales!E234="4"&amp;totales!H234="2"&amp;totales!I234="0"&amp;totales!J234="0","n",IF(totales!E234="6"&amp;totales!H234="2"&amp;totales!I234="0"&amp;totales!J234="0","o",IF(totales!E234="1"&amp;totales!H234="0"&amp;totales!I234="1"&amp;totales!J234="0","p",IF(totales!E234="2"&amp;totales!H234="0"&amp;totales!I234="1"&amp;totales!J234="0","q",IF(totales!E234="3"&amp;totales!H234="0"&amp;totales!I234="1"&amp;totales!J234="0","r",IF(totales!E234="4"&amp;totales!H234="0"&amp;totales!I234="1"&amp;totales!J234="0","s",IF(totales!E234="6"&amp;totales!H234="0"&amp;totales!I234="1"&amp;totales!J234="0","t",IF(totales!E234="1"&amp;totales!H234="2"&amp;totales!I234="1"&amp;totales!J234="0","u",IF(totales!E234="2"&amp;totales!H234="2"&amp;totales!I234="1"&amp;totales!J234="0","v",IF(totales!E234="3"&amp;totales!H234="2"&amp;totales!I234="1"&amp;totales!J234="0","w",IF(totales!E234="4"&amp;totales!H234="2"&amp;totales!I234="1"&amp;totales!J234="0","x",
IF(totales!E234="6"&amp;totales!H234="2"&amp;totales!I234="1"&amp;totales!J234="0","y",IF(totales!E234="1"&amp;totales!H234="1"&amp;totales!I234="1"&amp;totales!J234="0","z",IF(totales!E234="2"&amp;totales!H234="1"&amp;totales!I234="1"&amp;totales!J234="0","0",IF(totales!E234="3"&amp;totales!H234="1"&amp;totales!I234="1"&amp;totales!J234="0","1",IF(totales!E234="4"&amp;totales!H234="1"&amp;totales!I234="1"&amp;totales!J234="0","2",IF(totales!E234="6"&amp;totales!H234="1"&amp;totales!I234="1"&amp;totales!J234="0","3",IF(totales!E234="1"&amp;totales!H234="0"&amp;totales!I234="1"&amp;totales!J234="1","4",IF(totales!E234="2"&amp;totales!H234="0"&amp;totales!I234="1"&amp;totales!J234="1","5",IF(totales!E234="3"&amp;totales!H234="0"&amp;totales!I234="1"&amp;totales!J234="1","6",IF(totales!E234="4"&amp;totales!H234="0"&amp;totales!I234="1"&amp;totales!J234="1","7",IF(totales!E234="6"&amp;totales!H234="0"&amp;totales!I234="1"&amp;totales!J234="1","8",IF(totales!E234="1"&amp;totales!H234="1"&amp;totales!I234="0"&amp;totales!J234="1","9"))))))))))))))))))))))))))))))))))))</f>
        <v>0</v>
      </c>
    </row>
    <row r="234" spans="22:22">
      <c r="V234" s="102" t="b">
        <f>IF(totales!E235="1"&amp;totales!H235="0"&amp;totales!I235="0"&amp;totales!J235="0","a",IF(totales!E235="2"&amp;totales!H235="0"&amp;totales!I235="0"&amp;totales!J235="0","b",IF(totales!E235="3"&amp;totales!H235="0"&amp;totales!I235="0"&amp;totales!J235="0","c",IF(totales!E235="4"&amp;totales!H235="0"&amp;totales!I235="0"&amp;totales!J235="0","d",IF(totales!E235="6"&amp;totales!H235="0"&amp;totales!I235="0"&amp;totales!J235="0","e",IF(totales!E235="1"&amp;totales!H235="1"&amp;totales!I235="0"&amp;totales!J235="0","f",IF(totales!E235="2"&amp;totales!H235="1"&amp;totales!I235="0"&amp;totales!J235="0","g",IF(totales!E235="3"&amp;totales!H235="1"&amp;totales!I235="0"&amp;totales!J235="0","h",IF(totales!E235="4"&amp;totales!H235="1"&amp;totales!I235="0"&amp;totales!J235="0","i",IF(totales!E235="6"&amp;totales!H235="1"&amp;totales!I235="0"&amp;totales!J235="0","j",IF(totales!E235="1"&amp;totales!H235="2"&amp;totales!I235="0"&amp;totales!J235="0","k",IF(totales!E235="2"&amp;totales!H235="2"&amp;totales!I235="0"&amp;totales!J235="0","l",IF(totales!E235="3"&amp;totales!H235="2"&amp;totales!I235="0"&amp;totales!J235="0","m",
IF(totales!E235="4"&amp;totales!H235="2"&amp;totales!I235="0"&amp;totales!J235="0","n",IF(totales!E235="6"&amp;totales!H235="2"&amp;totales!I235="0"&amp;totales!J235="0","o",IF(totales!E235="1"&amp;totales!H235="0"&amp;totales!I235="1"&amp;totales!J235="0","p",IF(totales!E235="2"&amp;totales!H235="0"&amp;totales!I235="1"&amp;totales!J235="0","q",IF(totales!E235="3"&amp;totales!H235="0"&amp;totales!I235="1"&amp;totales!J235="0","r",IF(totales!E235="4"&amp;totales!H235="0"&amp;totales!I235="1"&amp;totales!J235="0","s",IF(totales!E235="6"&amp;totales!H235="0"&amp;totales!I235="1"&amp;totales!J235="0","t",IF(totales!E235="1"&amp;totales!H235="2"&amp;totales!I235="1"&amp;totales!J235="0","u",IF(totales!E235="2"&amp;totales!H235="2"&amp;totales!I235="1"&amp;totales!J235="0","v",IF(totales!E235="3"&amp;totales!H235="2"&amp;totales!I235="1"&amp;totales!J235="0","w",IF(totales!E235="4"&amp;totales!H235="2"&amp;totales!I235="1"&amp;totales!J235="0","x",
IF(totales!E235="6"&amp;totales!H235="2"&amp;totales!I235="1"&amp;totales!J235="0","y",IF(totales!E235="1"&amp;totales!H235="1"&amp;totales!I235="1"&amp;totales!J235="0","z",IF(totales!E235="2"&amp;totales!H235="1"&amp;totales!I235="1"&amp;totales!J235="0","0",IF(totales!E235="3"&amp;totales!H235="1"&amp;totales!I235="1"&amp;totales!J235="0","1",IF(totales!E235="4"&amp;totales!H235="1"&amp;totales!I235="1"&amp;totales!J235="0","2",IF(totales!E235="6"&amp;totales!H235="1"&amp;totales!I235="1"&amp;totales!J235="0","3",IF(totales!E235="1"&amp;totales!H235="0"&amp;totales!I235="1"&amp;totales!J235="1","4",IF(totales!E235="2"&amp;totales!H235="0"&amp;totales!I235="1"&amp;totales!J235="1","5",IF(totales!E235="3"&amp;totales!H235="0"&amp;totales!I235="1"&amp;totales!J235="1","6",IF(totales!E235="4"&amp;totales!H235="0"&amp;totales!I235="1"&amp;totales!J235="1","7",IF(totales!E235="6"&amp;totales!H235="0"&amp;totales!I235="1"&amp;totales!J235="1","8",IF(totales!E235="1"&amp;totales!H235="1"&amp;totales!I235="0"&amp;totales!J235="1","9"))))))))))))))))))))))))))))))))))))</f>
        <v>0</v>
      </c>
    </row>
    <row r="235" spans="22:22">
      <c r="V235" s="102" t="b">
        <f>IF(totales!E236="1"&amp;totales!H236="0"&amp;totales!I236="0"&amp;totales!J236="0","a",IF(totales!E236="2"&amp;totales!H236="0"&amp;totales!I236="0"&amp;totales!J236="0","b",IF(totales!E236="3"&amp;totales!H236="0"&amp;totales!I236="0"&amp;totales!J236="0","c",IF(totales!E236="4"&amp;totales!H236="0"&amp;totales!I236="0"&amp;totales!J236="0","d",IF(totales!E236="6"&amp;totales!H236="0"&amp;totales!I236="0"&amp;totales!J236="0","e",IF(totales!E236="1"&amp;totales!H236="1"&amp;totales!I236="0"&amp;totales!J236="0","f",IF(totales!E236="2"&amp;totales!H236="1"&amp;totales!I236="0"&amp;totales!J236="0","g",IF(totales!E236="3"&amp;totales!H236="1"&amp;totales!I236="0"&amp;totales!J236="0","h",IF(totales!E236="4"&amp;totales!H236="1"&amp;totales!I236="0"&amp;totales!J236="0","i",IF(totales!E236="6"&amp;totales!H236="1"&amp;totales!I236="0"&amp;totales!J236="0","j",IF(totales!E236="1"&amp;totales!H236="2"&amp;totales!I236="0"&amp;totales!J236="0","k",IF(totales!E236="2"&amp;totales!H236="2"&amp;totales!I236="0"&amp;totales!J236="0","l",IF(totales!E236="3"&amp;totales!H236="2"&amp;totales!I236="0"&amp;totales!J236="0","m",
IF(totales!E236="4"&amp;totales!H236="2"&amp;totales!I236="0"&amp;totales!J236="0","n",IF(totales!E236="6"&amp;totales!H236="2"&amp;totales!I236="0"&amp;totales!J236="0","o",IF(totales!E236="1"&amp;totales!H236="0"&amp;totales!I236="1"&amp;totales!J236="0","p",IF(totales!E236="2"&amp;totales!H236="0"&amp;totales!I236="1"&amp;totales!J236="0","q",IF(totales!E236="3"&amp;totales!H236="0"&amp;totales!I236="1"&amp;totales!J236="0","r",IF(totales!E236="4"&amp;totales!H236="0"&amp;totales!I236="1"&amp;totales!J236="0","s",IF(totales!E236="6"&amp;totales!H236="0"&amp;totales!I236="1"&amp;totales!J236="0","t",IF(totales!E236="1"&amp;totales!H236="2"&amp;totales!I236="1"&amp;totales!J236="0","u",IF(totales!E236="2"&amp;totales!H236="2"&amp;totales!I236="1"&amp;totales!J236="0","v",IF(totales!E236="3"&amp;totales!H236="2"&amp;totales!I236="1"&amp;totales!J236="0","w",IF(totales!E236="4"&amp;totales!H236="2"&amp;totales!I236="1"&amp;totales!J236="0","x",
IF(totales!E236="6"&amp;totales!H236="2"&amp;totales!I236="1"&amp;totales!J236="0","y",IF(totales!E236="1"&amp;totales!H236="1"&amp;totales!I236="1"&amp;totales!J236="0","z",IF(totales!E236="2"&amp;totales!H236="1"&amp;totales!I236="1"&amp;totales!J236="0","0",IF(totales!E236="3"&amp;totales!H236="1"&amp;totales!I236="1"&amp;totales!J236="0","1",IF(totales!E236="4"&amp;totales!H236="1"&amp;totales!I236="1"&amp;totales!J236="0","2",IF(totales!E236="6"&amp;totales!H236="1"&amp;totales!I236="1"&amp;totales!J236="0","3",IF(totales!E236="1"&amp;totales!H236="0"&amp;totales!I236="1"&amp;totales!J236="1","4",IF(totales!E236="2"&amp;totales!H236="0"&amp;totales!I236="1"&amp;totales!J236="1","5",IF(totales!E236="3"&amp;totales!H236="0"&amp;totales!I236="1"&amp;totales!J236="1","6",IF(totales!E236="4"&amp;totales!H236="0"&amp;totales!I236="1"&amp;totales!J236="1","7",IF(totales!E236="6"&amp;totales!H236="0"&amp;totales!I236="1"&amp;totales!J236="1","8",IF(totales!E236="1"&amp;totales!H236="1"&amp;totales!I236="0"&amp;totales!J236="1","9"))))))))))))))))))))))))))))))))))))</f>
        <v>0</v>
      </c>
    </row>
    <row r="236" spans="22:22">
      <c r="V236" s="102" t="b">
        <f>IF(totales!E237="1"&amp;totales!H237="0"&amp;totales!I237="0"&amp;totales!J237="0","a",IF(totales!E237="2"&amp;totales!H237="0"&amp;totales!I237="0"&amp;totales!J237="0","b",IF(totales!E237="3"&amp;totales!H237="0"&amp;totales!I237="0"&amp;totales!J237="0","c",IF(totales!E237="4"&amp;totales!H237="0"&amp;totales!I237="0"&amp;totales!J237="0","d",IF(totales!E237="6"&amp;totales!H237="0"&amp;totales!I237="0"&amp;totales!J237="0","e",IF(totales!E237="1"&amp;totales!H237="1"&amp;totales!I237="0"&amp;totales!J237="0","f",IF(totales!E237="2"&amp;totales!H237="1"&amp;totales!I237="0"&amp;totales!J237="0","g",IF(totales!E237="3"&amp;totales!H237="1"&amp;totales!I237="0"&amp;totales!J237="0","h",IF(totales!E237="4"&amp;totales!H237="1"&amp;totales!I237="0"&amp;totales!J237="0","i",IF(totales!E237="6"&amp;totales!H237="1"&amp;totales!I237="0"&amp;totales!J237="0","j",IF(totales!E237="1"&amp;totales!H237="2"&amp;totales!I237="0"&amp;totales!J237="0","k",IF(totales!E237="2"&amp;totales!H237="2"&amp;totales!I237="0"&amp;totales!J237="0","l",IF(totales!E237="3"&amp;totales!H237="2"&amp;totales!I237="0"&amp;totales!J237="0","m",
IF(totales!E237="4"&amp;totales!H237="2"&amp;totales!I237="0"&amp;totales!J237="0","n",IF(totales!E237="6"&amp;totales!H237="2"&amp;totales!I237="0"&amp;totales!J237="0","o",IF(totales!E237="1"&amp;totales!H237="0"&amp;totales!I237="1"&amp;totales!J237="0","p",IF(totales!E237="2"&amp;totales!H237="0"&amp;totales!I237="1"&amp;totales!J237="0","q",IF(totales!E237="3"&amp;totales!H237="0"&amp;totales!I237="1"&amp;totales!J237="0","r",IF(totales!E237="4"&amp;totales!H237="0"&amp;totales!I237="1"&amp;totales!J237="0","s",IF(totales!E237="6"&amp;totales!H237="0"&amp;totales!I237="1"&amp;totales!J237="0","t",IF(totales!E237="1"&amp;totales!H237="2"&amp;totales!I237="1"&amp;totales!J237="0","u",IF(totales!E237="2"&amp;totales!H237="2"&amp;totales!I237="1"&amp;totales!J237="0","v",IF(totales!E237="3"&amp;totales!H237="2"&amp;totales!I237="1"&amp;totales!J237="0","w",IF(totales!E237="4"&amp;totales!H237="2"&amp;totales!I237="1"&amp;totales!J237="0","x",
IF(totales!E237="6"&amp;totales!H237="2"&amp;totales!I237="1"&amp;totales!J237="0","y",IF(totales!E237="1"&amp;totales!H237="1"&amp;totales!I237="1"&amp;totales!J237="0","z",IF(totales!E237="2"&amp;totales!H237="1"&amp;totales!I237="1"&amp;totales!J237="0","0",IF(totales!E237="3"&amp;totales!H237="1"&amp;totales!I237="1"&amp;totales!J237="0","1",IF(totales!E237="4"&amp;totales!H237="1"&amp;totales!I237="1"&amp;totales!J237="0","2",IF(totales!E237="6"&amp;totales!H237="1"&amp;totales!I237="1"&amp;totales!J237="0","3",IF(totales!E237="1"&amp;totales!H237="0"&amp;totales!I237="1"&amp;totales!J237="1","4",IF(totales!E237="2"&amp;totales!H237="0"&amp;totales!I237="1"&amp;totales!J237="1","5",IF(totales!E237="3"&amp;totales!H237="0"&amp;totales!I237="1"&amp;totales!J237="1","6",IF(totales!E237="4"&amp;totales!H237="0"&amp;totales!I237="1"&amp;totales!J237="1","7",IF(totales!E237="6"&amp;totales!H237="0"&amp;totales!I237="1"&amp;totales!J237="1","8",IF(totales!E237="1"&amp;totales!H237="1"&amp;totales!I237="0"&amp;totales!J237="1","9"))))))))))))))))))))))))))))))))))))</f>
        <v>0</v>
      </c>
    </row>
    <row r="237" spans="22:22">
      <c r="V237" s="102" t="b">
        <f>IF(totales!E238="1"&amp;totales!H238="0"&amp;totales!I238="0"&amp;totales!J238="0","a",IF(totales!E238="2"&amp;totales!H238="0"&amp;totales!I238="0"&amp;totales!J238="0","b",IF(totales!E238="3"&amp;totales!H238="0"&amp;totales!I238="0"&amp;totales!J238="0","c",IF(totales!E238="4"&amp;totales!H238="0"&amp;totales!I238="0"&amp;totales!J238="0","d",IF(totales!E238="6"&amp;totales!H238="0"&amp;totales!I238="0"&amp;totales!J238="0","e",IF(totales!E238="1"&amp;totales!H238="1"&amp;totales!I238="0"&amp;totales!J238="0","f",IF(totales!E238="2"&amp;totales!H238="1"&amp;totales!I238="0"&amp;totales!J238="0","g",IF(totales!E238="3"&amp;totales!H238="1"&amp;totales!I238="0"&amp;totales!J238="0","h",IF(totales!E238="4"&amp;totales!H238="1"&amp;totales!I238="0"&amp;totales!J238="0","i",IF(totales!E238="6"&amp;totales!H238="1"&amp;totales!I238="0"&amp;totales!J238="0","j",IF(totales!E238="1"&amp;totales!H238="2"&amp;totales!I238="0"&amp;totales!J238="0","k",IF(totales!E238="2"&amp;totales!H238="2"&amp;totales!I238="0"&amp;totales!J238="0","l",IF(totales!E238="3"&amp;totales!H238="2"&amp;totales!I238="0"&amp;totales!J238="0","m",
IF(totales!E238="4"&amp;totales!H238="2"&amp;totales!I238="0"&amp;totales!J238="0","n",IF(totales!E238="6"&amp;totales!H238="2"&amp;totales!I238="0"&amp;totales!J238="0","o",IF(totales!E238="1"&amp;totales!H238="0"&amp;totales!I238="1"&amp;totales!J238="0","p",IF(totales!E238="2"&amp;totales!H238="0"&amp;totales!I238="1"&amp;totales!J238="0","q",IF(totales!E238="3"&amp;totales!H238="0"&amp;totales!I238="1"&amp;totales!J238="0","r",IF(totales!E238="4"&amp;totales!H238="0"&amp;totales!I238="1"&amp;totales!J238="0","s",IF(totales!E238="6"&amp;totales!H238="0"&amp;totales!I238="1"&amp;totales!J238="0","t",IF(totales!E238="1"&amp;totales!H238="2"&amp;totales!I238="1"&amp;totales!J238="0","u",IF(totales!E238="2"&amp;totales!H238="2"&amp;totales!I238="1"&amp;totales!J238="0","v",IF(totales!E238="3"&amp;totales!H238="2"&amp;totales!I238="1"&amp;totales!J238="0","w",IF(totales!E238="4"&amp;totales!H238="2"&amp;totales!I238="1"&amp;totales!J238="0","x",
IF(totales!E238="6"&amp;totales!H238="2"&amp;totales!I238="1"&amp;totales!J238="0","y",IF(totales!E238="1"&amp;totales!H238="1"&amp;totales!I238="1"&amp;totales!J238="0","z",IF(totales!E238="2"&amp;totales!H238="1"&amp;totales!I238="1"&amp;totales!J238="0","0",IF(totales!E238="3"&amp;totales!H238="1"&amp;totales!I238="1"&amp;totales!J238="0","1",IF(totales!E238="4"&amp;totales!H238="1"&amp;totales!I238="1"&amp;totales!J238="0","2",IF(totales!E238="6"&amp;totales!H238="1"&amp;totales!I238="1"&amp;totales!J238="0","3",IF(totales!E238="1"&amp;totales!H238="0"&amp;totales!I238="1"&amp;totales!J238="1","4",IF(totales!E238="2"&amp;totales!H238="0"&amp;totales!I238="1"&amp;totales!J238="1","5",IF(totales!E238="3"&amp;totales!H238="0"&amp;totales!I238="1"&amp;totales!J238="1","6",IF(totales!E238="4"&amp;totales!H238="0"&amp;totales!I238="1"&amp;totales!J238="1","7",IF(totales!E238="6"&amp;totales!H238="0"&amp;totales!I238="1"&amp;totales!J238="1","8",IF(totales!E238="1"&amp;totales!H238="1"&amp;totales!I238="0"&amp;totales!J238="1","9"))))))))))))))))))))))))))))))))))))</f>
        <v>0</v>
      </c>
    </row>
    <row r="238" spans="22:22">
      <c r="V238" s="102" t="b">
        <f>IF(totales!E239="1"&amp;totales!H239="0"&amp;totales!I239="0"&amp;totales!J239="0","a",IF(totales!E239="2"&amp;totales!H239="0"&amp;totales!I239="0"&amp;totales!J239="0","b",IF(totales!E239="3"&amp;totales!H239="0"&amp;totales!I239="0"&amp;totales!J239="0","c",IF(totales!E239="4"&amp;totales!H239="0"&amp;totales!I239="0"&amp;totales!J239="0","d",IF(totales!E239="6"&amp;totales!H239="0"&amp;totales!I239="0"&amp;totales!J239="0","e",IF(totales!E239="1"&amp;totales!H239="1"&amp;totales!I239="0"&amp;totales!J239="0","f",IF(totales!E239="2"&amp;totales!H239="1"&amp;totales!I239="0"&amp;totales!J239="0","g",IF(totales!E239="3"&amp;totales!H239="1"&amp;totales!I239="0"&amp;totales!J239="0","h",IF(totales!E239="4"&amp;totales!H239="1"&amp;totales!I239="0"&amp;totales!J239="0","i",IF(totales!E239="6"&amp;totales!H239="1"&amp;totales!I239="0"&amp;totales!J239="0","j",IF(totales!E239="1"&amp;totales!H239="2"&amp;totales!I239="0"&amp;totales!J239="0","k",IF(totales!E239="2"&amp;totales!H239="2"&amp;totales!I239="0"&amp;totales!J239="0","l",IF(totales!E239="3"&amp;totales!H239="2"&amp;totales!I239="0"&amp;totales!J239="0","m",
IF(totales!E239="4"&amp;totales!H239="2"&amp;totales!I239="0"&amp;totales!J239="0","n",IF(totales!E239="6"&amp;totales!H239="2"&amp;totales!I239="0"&amp;totales!J239="0","o",IF(totales!E239="1"&amp;totales!H239="0"&amp;totales!I239="1"&amp;totales!J239="0","p",IF(totales!E239="2"&amp;totales!H239="0"&amp;totales!I239="1"&amp;totales!J239="0","q",IF(totales!E239="3"&amp;totales!H239="0"&amp;totales!I239="1"&amp;totales!J239="0","r",IF(totales!E239="4"&amp;totales!H239="0"&amp;totales!I239="1"&amp;totales!J239="0","s",IF(totales!E239="6"&amp;totales!H239="0"&amp;totales!I239="1"&amp;totales!J239="0","t",IF(totales!E239="1"&amp;totales!H239="2"&amp;totales!I239="1"&amp;totales!J239="0","u",IF(totales!E239="2"&amp;totales!H239="2"&amp;totales!I239="1"&amp;totales!J239="0","v",IF(totales!E239="3"&amp;totales!H239="2"&amp;totales!I239="1"&amp;totales!J239="0","w",IF(totales!E239="4"&amp;totales!H239="2"&amp;totales!I239="1"&amp;totales!J239="0","x",
IF(totales!E239="6"&amp;totales!H239="2"&amp;totales!I239="1"&amp;totales!J239="0","y",IF(totales!E239="1"&amp;totales!H239="1"&amp;totales!I239="1"&amp;totales!J239="0","z",IF(totales!E239="2"&amp;totales!H239="1"&amp;totales!I239="1"&amp;totales!J239="0","0",IF(totales!E239="3"&amp;totales!H239="1"&amp;totales!I239="1"&amp;totales!J239="0","1",IF(totales!E239="4"&amp;totales!H239="1"&amp;totales!I239="1"&amp;totales!J239="0","2",IF(totales!E239="6"&amp;totales!H239="1"&amp;totales!I239="1"&amp;totales!J239="0","3",IF(totales!E239="1"&amp;totales!H239="0"&amp;totales!I239="1"&amp;totales!J239="1","4",IF(totales!E239="2"&amp;totales!H239="0"&amp;totales!I239="1"&amp;totales!J239="1","5",IF(totales!E239="3"&amp;totales!H239="0"&amp;totales!I239="1"&amp;totales!J239="1","6",IF(totales!E239="4"&amp;totales!H239="0"&amp;totales!I239="1"&amp;totales!J239="1","7",IF(totales!E239="6"&amp;totales!H239="0"&amp;totales!I239="1"&amp;totales!J239="1","8",IF(totales!E239="1"&amp;totales!H239="1"&amp;totales!I239="0"&amp;totales!J239="1","9"))))))))))))))))))))))))))))))))))))</f>
        <v>0</v>
      </c>
    </row>
    <row r="239" spans="22:22">
      <c r="V239" s="102" t="b">
        <f>IF(totales!E240="1"&amp;totales!H240="0"&amp;totales!I240="0"&amp;totales!J240="0","a",IF(totales!E240="2"&amp;totales!H240="0"&amp;totales!I240="0"&amp;totales!J240="0","b",IF(totales!E240="3"&amp;totales!H240="0"&amp;totales!I240="0"&amp;totales!J240="0","c",IF(totales!E240="4"&amp;totales!H240="0"&amp;totales!I240="0"&amp;totales!J240="0","d",IF(totales!E240="6"&amp;totales!H240="0"&amp;totales!I240="0"&amp;totales!J240="0","e",IF(totales!E240="1"&amp;totales!H240="1"&amp;totales!I240="0"&amp;totales!J240="0","f",IF(totales!E240="2"&amp;totales!H240="1"&amp;totales!I240="0"&amp;totales!J240="0","g",IF(totales!E240="3"&amp;totales!H240="1"&amp;totales!I240="0"&amp;totales!J240="0","h",IF(totales!E240="4"&amp;totales!H240="1"&amp;totales!I240="0"&amp;totales!J240="0","i",IF(totales!E240="6"&amp;totales!H240="1"&amp;totales!I240="0"&amp;totales!J240="0","j",IF(totales!E240="1"&amp;totales!H240="2"&amp;totales!I240="0"&amp;totales!J240="0","k",IF(totales!E240="2"&amp;totales!H240="2"&amp;totales!I240="0"&amp;totales!J240="0","l",IF(totales!E240="3"&amp;totales!H240="2"&amp;totales!I240="0"&amp;totales!J240="0","m",
IF(totales!E240="4"&amp;totales!H240="2"&amp;totales!I240="0"&amp;totales!J240="0","n",IF(totales!E240="6"&amp;totales!H240="2"&amp;totales!I240="0"&amp;totales!J240="0","o",IF(totales!E240="1"&amp;totales!H240="0"&amp;totales!I240="1"&amp;totales!J240="0","p",IF(totales!E240="2"&amp;totales!H240="0"&amp;totales!I240="1"&amp;totales!J240="0","q",IF(totales!E240="3"&amp;totales!H240="0"&amp;totales!I240="1"&amp;totales!J240="0","r",IF(totales!E240="4"&amp;totales!H240="0"&amp;totales!I240="1"&amp;totales!J240="0","s",IF(totales!E240="6"&amp;totales!H240="0"&amp;totales!I240="1"&amp;totales!J240="0","t",IF(totales!E240="1"&amp;totales!H240="2"&amp;totales!I240="1"&amp;totales!J240="0","u",IF(totales!E240="2"&amp;totales!H240="2"&amp;totales!I240="1"&amp;totales!J240="0","v",IF(totales!E240="3"&amp;totales!H240="2"&amp;totales!I240="1"&amp;totales!J240="0","w",IF(totales!E240="4"&amp;totales!H240="2"&amp;totales!I240="1"&amp;totales!J240="0","x",
IF(totales!E240="6"&amp;totales!H240="2"&amp;totales!I240="1"&amp;totales!J240="0","y",IF(totales!E240="1"&amp;totales!H240="1"&amp;totales!I240="1"&amp;totales!J240="0","z",IF(totales!E240="2"&amp;totales!H240="1"&amp;totales!I240="1"&amp;totales!J240="0","0",IF(totales!E240="3"&amp;totales!H240="1"&amp;totales!I240="1"&amp;totales!J240="0","1",IF(totales!E240="4"&amp;totales!H240="1"&amp;totales!I240="1"&amp;totales!J240="0","2",IF(totales!E240="6"&amp;totales!H240="1"&amp;totales!I240="1"&amp;totales!J240="0","3",IF(totales!E240="1"&amp;totales!H240="0"&amp;totales!I240="1"&amp;totales!J240="1","4",IF(totales!E240="2"&amp;totales!H240="0"&amp;totales!I240="1"&amp;totales!J240="1","5",IF(totales!E240="3"&amp;totales!H240="0"&amp;totales!I240="1"&amp;totales!J240="1","6",IF(totales!E240="4"&amp;totales!H240="0"&amp;totales!I240="1"&amp;totales!J240="1","7",IF(totales!E240="6"&amp;totales!H240="0"&amp;totales!I240="1"&amp;totales!J240="1","8",IF(totales!E240="1"&amp;totales!H240="1"&amp;totales!I240="0"&amp;totales!J240="1","9"))))))))))))))))))))))))))))))))))))</f>
        <v>0</v>
      </c>
    </row>
    <row r="240" spans="22:22">
      <c r="V240" s="102" t="b">
        <f>IF(totales!E241="1"&amp;totales!H241="0"&amp;totales!I241="0"&amp;totales!J241="0","a",IF(totales!E241="2"&amp;totales!H241="0"&amp;totales!I241="0"&amp;totales!J241="0","b",IF(totales!E241="3"&amp;totales!H241="0"&amp;totales!I241="0"&amp;totales!J241="0","c",IF(totales!E241="4"&amp;totales!H241="0"&amp;totales!I241="0"&amp;totales!J241="0","d",IF(totales!E241="6"&amp;totales!H241="0"&amp;totales!I241="0"&amp;totales!J241="0","e",IF(totales!E241="1"&amp;totales!H241="1"&amp;totales!I241="0"&amp;totales!J241="0","f",IF(totales!E241="2"&amp;totales!H241="1"&amp;totales!I241="0"&amp;totales!J241="0","g",IF(totales!E241="3"&amp;totales!H241="1"&amp;totales!I241="0"&amp;totales!J241="0","h",IF(totales!E241="4"&amp;totales!H241="1"&amp;totales!I241="0"&amp;totales!J241="0","i",IF(totales!E241="6"&amp;totales!H241="1"&amp;totales!I241="0"&amp;totales!J241="0","j",IF(totales!E241="1"&amp;totales!H241="2"&amp;totales!I241="0"&amp;totales!J241="0","k",IF(totales!E241="2"&amp;totales!H241="2"&amp;totales!I241="0"&amp;totales!J241="0","l",IF(totales!E241="3"&amp;totales!H241="2"&amp;totales!I241="0"&amp;totales!J241="0","m",
IF(totales!E241="4"&amp;totales!H241="2"&amp;totales!I241="0"&amp;totales!J241="0","n",IF(totales!E241="6"&amp;totales!H241="2"&amp;totales!I241="0"&amp;totales!J241="0","o",IF(totales!E241="1"&amp;totales!H241="0"&amp;totales!I241="1"&amp;totales!J241="0","p",IF(totales!E241="2"&amp;totales!H241="0"&amp;totales!I241="1"&amp;totales!J241="0","q",IF(totales!E241="3"&amp;totales!H241="0"&amp;totales!I241="1"&amp;totales!J241="0","r",IF(totales!E241="4"&amp;totales!H241="0"&amp;totales!I241="1"&amp;totales!J241="0","s",IF(totales!E241="6"&amp;totales!H241="0"&amp;totales!I241="1"&amp;totales!J241="0","t",IF(totales!E241="1"&amp;totales!H241="2"&amp;totales!I241="1"&amp;totales!J241="0","u",IF(totales!E241="2"&amp;totales!H241="2"&amp;totales!I241="1"&amp;totales!J241="0","v",IF(totales!E241="3"&amp;totales!H241="2"&amp;totales!I241="1"&amp;totales!J241="0","w",IF(totales!E241="4"&amp;totales!H241="2"&amp;totales!I241="1"&amp;totales!J241="0","x",
IF(totales!E241="6"&amp;totales!H241="2"&amp;totales!I241="1"&amp;totales!J241="0","y",IF(totales!E241="1"&amp;totales!H241="1"&amp;totales!I241="1"&amp;totales!J241="0","z",IF(totales!E241="2"&amp;totales!H241="1"&amp;totales!I241="1"&amp;totales!J241="0","0",IF(totales!E241="3"&amp;totales!H241="1"&amp;totales!I241="1"&amp;totales!J241="0","1",IF(totales!E241="4"&amp;totales!H241="1"&amp;totales!I241="1"&amp;totales!J241="0","2",IF(totales!E241="6"&amp;totales!H241="1"&amp;totales!I241="1"&amp;totales!J241="0","3",IF(totales!E241="1"&amp;totales!H241="0"&amp;totales!I241="1"&amp;totales!J241="1","4",IF(totales!E241="2"&amp;totales!H241="0"&amp;totales!I241="1"&amp;totales!J241="1","5",IF(totales!E241="3"&amp;totales!H241="0"&amp;totales!I241="1"&amp;totales!J241="1","6",IF(totales!E241="4"&amp;totales!H241="0"&amp;totales!I241="1"&amp;totales!J241="1","7",IF(totales!E241="6"&amp;totales!H241="0"&amp;totales!I241="1"&amp;totales!J241="1","8",IF(totales!E241="1"&amp;totales!H241="1"&amp;totales!I241="0"&amp;totales!J241="1","9"))))))))))))))))))))))))))))))))))))</f>
        <v>0</v>
      </c>
    </row>
    <row r="241" spans="22:22">
      <c r="V241" s="102" t="b">
        <f>IF(totales!E242="1"&amp;totales!H242="0"&amp;totales!I242="0"&amp;totales!J242="0","a",IF(totales!E242="2"&amp;totales!H242="0"&amp;totales!I242="0"&amp;totales!J242="0","b",IF(totales!E242="3"&amp;totales!H242="0"&amp;totales!I242="0"&amp;totales!J242="0","c",IF(totales!E242="4"&amp;totales!H242="0"&amp;totales!I242="0"&amp;totales!J242="0","d",IF(totales!E242="6"&amp;totales!H242="0"&amp;totales!I242="0"&amp;totales!J242="0","e",IF(totales!E242="1"&amp;totales!H242="1"&amp;totales!I242="0"&amp;totales!J242="0","f",IF(totales!E242="2"&amp;totales!H242="1"&amp;totales!I242="0"&amp;totales!J242="0","g",IF(totales!E242="3"&amp;totales!H242="1"&amp;totales!I242="0"&amp;totales!J242="0","h",IF(totales!E242="4"&amp;totales!H242="1"&amp;totales!I242="0"&amp;totales!J242="0","i",IF(totales!E242="6"&amp;totales!H242="1"&amp;totales!I242="0"&amp;totales!J242="0","j",IF(totales!E242="1"&amp;totales!H242="2"&amp;totales!I242="0"&amp;totales!J242="0","k",IF(totales!E242="2"&amp;totales!H242="2"&amp;totales!I242="0"&amp;totales!J242="0","l",IF(totales!E242="3"&amp;totales!H242="2"&amp;totales!I242="0"&amp;totales!J242="0","m",
IF(totales!E242="4"&amp;totales!H242="2"&amp;totales!I242="0"&amp;totales!J242="0","n",IF(totales!E242="6"&amp;totales!H242="2"&amp;totales!I242="0"&amp;totales!J242="0","o",IF(totales!E242="1"&amp;totales!H242="0"&amp;totales!I242="1"&amp;totales!J242="0","p",IF(totales!E242="2"&amp;totales!H242="0"&amp;totales!I242="1"&amp;totales!J242="0","q",IF(totales!E242="3"&amp;totales!H242="0"&amp;totales!I242="1"&amp;totales!J242="0","r",IF(totales!E242="4"&amp;totales!H242="0"&amp;totales!I242="1"&amp;totales!J242="0","s",IF(totales!E242="6"&amp;totales!H242="0"&amp;totales!I242="1"&amp;totales!J242="0","t",IF(totales!E242="1"&amp;totales!H242="2"&amp;totales!I242="1"&amp;totales!J242="0","u",IF(totales!E242="2"&amp;totales!H242="2"&amp;totales!I242="1"&amp;totales!J242="0","v",IF(totales!E242="3"&amp;totales!H242="2"&amp;totales!I242="1"&amp;totales!J242="0","w",IF(totales!E242="4"&amp;totales!H242="2"&amp;totales!I242="1"&amp;totales!J242="0","x",
IF(totales!E242="6"&amp;totales!H242="2"&amp;totales!I242="1"&amp;totales!J242="0","y",IF(totales!E242="1"&amp;totales!H242="1"&amp;totales!I242="1"&amp;totales!J242="0","z",IF(totales!E242="2"&amp;totales!H242="1"&amp;totales!I242="1"&amp;totales!J242="0","0",IF(totales!E242="3"&amp;totales!H242="1"&amp;totales!I242="1"&amp;totales!J242="0","1",IF(totales!E242="4"&amp;totales!H242="1"&amp;totales!I242="1"&amp;totales!J242="0","2",IF(totales!E242="6"&amp;totales!H242="1"&amp;totales!I242="1"&amp;totales!J242="0","3",IF(totales!E242="1"&amp;totales!H242="0"&amp;totales!I242="1"&amp;totales!J242="1","4",IF(totales!E242="2"&amp;totales!H242="0"&amp;totales!I242="1"&amp;totales!J242="1","5",IF(totales!E242="3"&amp;totales!H242="0"&amp;totales!I242="1"&amp;totales!J242="1","6",IF(totales!E242="4"&amp;totales!H242="0"&amp;totales!I242="1"&amp;totales!J242="1","7",IF(totales!E242="6"&amp;totales!H242="0"&amp;totales!I242="1"&amp;totales!J242="1","8",IF(totales!E242="1"&amp;totales!H242="1"&amp;totales!I242="0"&amp;totales!J242="1","9"))))))))))))))))))))))))))))))))))))</f>
        <v>0</v>
      </c>
    </row>
    <row r="242" spans="22:22">
      <c r="V242" s="102" t="b">
        <f>IF(totales!E243="1"&amp;totales!H243="0"&amp;totales!I243="0"&amp;totales!J243="0","a",IF(totales!E243="2"&amp;totales!H243="0"&amp;totales!I243="0"&amp;totales!J243="0","b",IF(totales!E243="3"&amp;totales!H243="0"&amp;totales!I243="0"&amp;totales!J243="0","c",IF(totales!E243="4"&amp;totales!H243="0"&amp;totales!I243="0"&amp;totales!J243="0","d",IF(totales!E243="6"&amp;totales!H243="0"&amp;totales!I243="0"&amp;totales!J243="0","e",IF(totales!E243="1"&amp;totales!H243="1"&amp;totales!I243="0"&amp;totales!J243="0","f",IF(totales!E243="2"&amp;totales!H243="1"&amp;totales!I243="0"&amp;totales!J243="0","g",IF(totales!E243="3"&amp;totales!H243="1"&amp;totales!I243="0"&amp;totales!J243="0","h",IF(totales!E243="4"&amp;totales!H243="1"&amp;totales!I243="0"&amp;totales!J243="0","i",IF(totales!E243="6"&amp;totales!H243="1"&amp;totales!I243="0"&amp;totales!J243="0","j",IF(totales!E243="1"&amp;totales!H243="2"&amp;totales!I243="0"&amp;totales!J243="0","k",IF(totales!E243="2"&amp;totales!H243="2"&amp;totales!I243="0"&amp;totales!J243="0","l",IF(totales!E243="3"&amp;totales!H243="2"&amp;totales!I243="0"&amp;totales!J243="0","m",
IF(totales!E243="4"&amp;totales!H243="2"&amp;totales!I243="0"&amp;totales!J243="0","n",IF(totales!E243="6"&amp;totales!H243="2"&amp;totales!I243="0"&amp;totales!J243="0","o",IF(totales!E243="1"&amp;totales!H243="0"&amp;totales!I243="1"&amp;totales!J243="0","p",IF(totales!E243="2"&amp;totales!H243="0"&amp;totales!I243="1"&amp;totales!J243="0","q",IF(totales!E243="3"&amp;totales!H243="0"&amp;totales!I243="1"&amp;totales!J243="0","r",IF(totales!E243="4"&amp;totales!H243="0"&amp;totales!I243="1"&amp;totales!J243="0","s",IF(totales!E243="6"&amp;totales!H243="0"&amp;totales!I243="1"&amp;totales!J243="0","t",IF(totales!E243="1"&amp;totales!H243="2"&amp;totales!I243="1"&amp;totales!J243="0","u",IF(totales!E243="2"&amp;totales!H243="2"&amp;totales!I243="1"&amp;totales!J243="0","v",IF(totales!E243="3"&amp;totales!H243="2"&amp;totales!I243="1"&amp;totales!J243="0","w",IF(totales!E243="4"&amp;totales!H243="2"&amp;totales!I243="1"&amp;totales!J243="0","x",
IF(totales!E243="6"&amp;totales!H243="2"&amp;totales!I243="1"&amp;totales!J243="0","y",IF(totales!E243="1"&amp;totales!H243="1"&amp;totales!I243="1"&amp;totales!J243="0","z",IF(totales!E243="2"&amp;totales!H243="1"&amp;totales!I243="1"&amp;totales!J243="0","0",IF(totales!E243="3"&amp;totales!H243="1"&amp;totales!I243="1"&amp;totales!J243="0","1",IF(totales!E243="4"&amp;totales!H243="1"&amp;totales!I243="1"&amp;totales!J243="0","2",IF(totales!E243="6"&amp;totales!H243="1"&amp;totales!I243="1"&amp;totales!J243="0","3",IF(totales!E243="1"&amp;totales!H243="0"&amp;totales!I243="1"&amp;totales!J243="1","4",IF(totales!E243="2"&amp;totales!H243="0"&amp;totales!I243="1"&amp;totales!J243="1","5",IF(totales!E243="3"&amp;totales!H243="0"&amp;totales!I243="1"&amp;totales!J243="1","6",IF(totales!E243="4"&amp;totales!H243="0"&amp;totales!I243="1"&amp;totales!J243="1","7",IF(totales!E243="6"&amp;totales!H243="0"&amp;totales!I243="1"&amp;totales!J243="1","8",IF(totales!E243="1"&amp;totales!H243="1"&amp;totales!I243="0"&amp;totales!J243="1","9"))))))))))))))))))))))))))))))))))))</f>
        <v>0</v>
      </c>
    </row>
    <row r="243" spans="22:22">
      <c r="V243" s="102" t="b">
        <f>IF(totales!E244="1"&amp;totales!H244="0"&amp;totales!I244="0"&amp;totales!J244="0","a",IF(totales!E244="2"&amp;totales!H244="0"&amp;totales!I244="0"&amp;totales!J244="0","b",IF(totales!E244="3"&amp;totales!H244="0"&amp;totales!I244="0"&amp;totales!J244="0","c",IF(totales!E244="4"&amp;totales!H244="0"&amp;totales!I244="0"&amp;totales!J244="0","d",IF(totales!E244="6"&amp;totales!H244="0"&amp;totales!I244="0"&amp;totales!J244="0","e",IF(totales!E244="1"&amp;totales!H244="1"&amp;totales!I244="0"&amp;totales!J244="0","f",IF(totales!E244="2"&amp;totales!H244="1"&amp;totales!I244="0"&amp;totales!J244="0","g",IF(totales!E244="3"&amp;totales!H244="1"&amp;totales!I244="0"&amp;totales!J244="0","h",IF(totales!E244="4"&amp;totales!H244="1"&amp;totales!I244="0"&amp;totales!J244="0","i",IF(totales!E244="6"&amp;totales!H244="1"&amp;totales!I244="0"&amp;totales!J244="0","j",IF(totales!E244="1"&amp;totales!H244="2"&amp;totales!I244="0"&amp;totales!J244="0","k",IF(totales!E244="2"&amp;totales!H244="2"&amp;totales!I244="0"&amp;totales!J244="0","l",IF(totales!E244="3"&amp;totales!H244="2"&amp;totales!I244="0"&amp;totales!J244="0","m",
IF(totales!E244="4"&amp;totales!H244="2"&amp;totales!I244="0"&amp;totales!J244="0","n",IF(totales!E244="6"&amp;totales!H244="2"&amp;totales!I244="0"&amp;totales!J244="0","o",IF(totales!E244="1"&amp;totales!H244="0"&amp;totales!I244="1"&amp;totales!J244="0","p",IF(totales!E244="2"&amp;totales!H244="0"&amp;totales!I244="1"&amp;totales!J244="0","q",IF(totales!E244="3"&amp;totales!H244="0"&amp;totales!I244="1"&amp;totales!J244="0","r",IF(totales!E244="4"&amp;totales!H244="0"&amp;totales!I244="1"&amp;totales!J244="0","s",IF(totales!E244="6"&amp;totales!H244="0"&amp;totales!I244="1"&amp;totales!J244="0","t",IF(totales!E244="1"&amp;totales!H244="2"&amp;totales!I244="1"&amp;totales!J244="0","u",IF(totales!E244="2"&amp;totales!H244="2"&amp;totales!I244="1"&amp;totales!J244="0","v",IF(totales!E244="3"&amp;totales!H244="2"&amp;totales!I244="1"&amp;totales!J244="0","w",IF(totales!E244="4"&amp;totales!H244="2"&amp;totales!I244="1"&amp;totales!J244="0","x",
IF(totales!E244="6"&amp;totales!H244="2"&amp;totales!I244="1"&amp;totales!J244="0","y",IF(totales!E244="1"&amp;totales!H244="1"&amp;totales!I244="1"&amp;totales!J244="0","z",IF(totales!E244="2"&amp;totales!H244="1"&amp;totales!I244="1"&amp;totales!J244="0","0",IF(totales!E244="3"&amp;totales!H244="1"&amp;totales!I244="1"&amp;totales!J244="0","1",IF(totales!E244="4"&amp;totales!H244="1"&amp;totales!I244="1"&amp;totales!J244="0","2",IF(totales!E244="6"&amp;totales!H244="1"&amp;totales!I244="1"&amp;totales!J244="0","3",IF(totales!E244="1"&amp;totales!H244="0"&amp;totales!I244="1"&amp;totales!J244="1","4",IF(totales!E244="2"&amp;totales!H244="0"&amp;totales!I244="1"&amp;totales!J244="1","5",IF(totales!E244="3"&amp;totales!H244="0"&amp;totales!I244="1"&amp;totales!J244="1","6",IF(totales!E244="4"&amp;totales!H244="0"&amp;totales!I244="1"&amp;totales!J244="1","7",IF(totales!E244="6"&amp;totales!H244="0"&amp;totales!I244="1"&amp;totales!J244="1","8",IF(totales!E244="1"&amp;totales!H244="1"&amp;totales!I244="0"&amp;totales!J244="1","9"))))))))))))))))))))))))))))))))))))</f>
        <v>0</v>
      </c>
    </row>
    <row r="244" spans="22:22">
      <c r="V244" s="102" t="b">
        <f>IF(totales!E245="1"&amp;totales!H245="0"&amp;totales!I245="0"&amp;totales!J245="0","a",IF(totales!E245="2"&amp;totales!H245="0"&amp;totales!I245="0"&amp;totales!J245="0","b",IF(totales!E245="3"&amp;totales!H245="0"&amp;totales!I245="0"&amp;totales!J245="0","c",IF(totales!E245="4"&amp;totales!H245="0"&amp;totales!I245="0"&amp;totales!J245="0","d",IF(totales!E245="6"&amp;totales!H245="0"&amp;totales!I245="0"&amp;totales!J245="0","e",IF(totales!E245="1"&amp;totales!H245="1"&amp;totales!I245="0"&amp;totales!J245="0","f",IF(totales!E245="2"&amp;totales!H245="1"&amp;totales!I245="0"&amp;totales!J245="0","g",IF(totales!E245="3"&amp;totales!H245="1"&amp;totales!I245="0"&amp;totales!J245="0","h",IF(totales!E245="4"&amp;totales!H245="1"&amp;totales!I245="0"&amp;totales!J245="0","i",IF(totales!E245="6"&amp;totales!H245="1"&amp;totales!I245="0"&amp;totales!J245="0","j",IF(totales!E245="1"&amp;totales!H245="2"&amp;totales!I245="0"&amp;totales!J245="0","k",IF(totales!E245="2"&amp;totales!H245="2"&amp;totales!I245="0"&amp;totales!J245="0","l",IF(totales!E245="3"&amp;totales!H245="2"&amp;totales!I245="0"&amp;totales!J245="0","m",
IF(totales!E245="4"&amp;totales!H245="2"&amp;totales!I245="0"&amp;totales!J245="0","n",IF(totales!E245="6"&amp;totales!H245="2"&amp;totales!I245="0"&amp;totales!J245="0","o",IF(totales!E245="1"&amp;totales!H245="0"&amp;totales!I245="1"&amp;totales!J245="0","p",IF(totales!E245="2"&amp;totales!H245="0"&amp;totales!I245="1"&amp;totales!J245="0","q",IF(totales!E245="3"&amp;totales!H245="0"&amp;totales!I245="1"&amp;totales!J245="0","r",IF(totales!E245="4"&amp;totales!H245="0"&amp;totales!I245="1"&amp;totales!J245="0","s",IF(totales!E245="6"&amp;totales!H245="0"&amp;totales!I245="1"&amp;totales!J245="0","t",IF(totales!E245="1"&amp;totales!H245="2"&amp;totales!I245="1"&amp;totales!J245="0","u",IF(totales!E245="2"&amp;totales!H245="2"&amp;totales!I245="1"&amp;totales!J245="0","v",IF(totales!E245="3"&amp;totales!H245="2"&amp;totales!I245="1"&amp;totales!J245="0","w",IF(totales!E245="4"&amp;totales!H245="2"&amp;totales!I245="1"&amp;totales!J245="0","x",
IF(totales!E245="6"&amp;totales!H245="2"&amp;totales!I245="1"&amp;totales!J245="0","y",IF(totales!E245="1"&amp;totales!H245="1"&amp;totales!I245="1"&amp;totales!J245="0","z",IF(totales!E245="2"&amp;totales!H245="1"&amp;totales!I245="1"&amp;totales!J245="0","0",IF(totales!E245="3"&amp;totales!H245="1"&amp;totales!I245="1"&amp;totales!J245="0","1",IF(totales!E245="4"&amp;totales!H245="1"&amp;totales!I245="1"&amp;totales!J245="0","2",IF(totales!E245="6"&amp;totales!H245="1"&amp;totales!I245="1"&amp;totales!J245="0","3",IF(totales!E245="1"&amp;totales!H245="0"&amp;totales!I245="1"&amp;totales!J245="1","4",IF(totales!E245="2"&amp;totales!H245="0"&amp;totales!I245="1"&amp;totales!J245="1","5",IF(totales!E245="3"&amp;totales!H245="0"&amp;totales!I245="1"&amp;totales!J245="1","6",IF(totales!E245="4"&amp;totales!H245="0"&amp;totales!I245="1"&amp;totales!J245="1","7",IF(totales!E245="6"&amp;totales!H245="0"&amp;totales!I245="1"&amp;totales!J245="1","8",IF(totales!E245="1"&amp;totales!H245="1"&amp;totales!I245="0"&amp;totales!J245="1","9"))))))))))))))))))))))))))))))))))))</f>
        <v>0</v>
      </c>
    </row>
    <row r="245" spans="22:22">
      <c r="V245" s="102" t="b">
        <f>IF(totales!E246="1"&amp;totales!H246="0"&amp;totales!I246="0"&amp;totales!J246="0","a",IF(totales!E246="2"&amp;totales!H246="0"&amp;totales!I246="0"&amp;totales!J246="0","b",IF(totales!E246="3"&amp;totales!H246="0"&amp;totales!I246="0"&amp;totales!J246="0","c",IF(totales!E246="4"&amp;totales!H246="0"&amp;totales!I246="0"&amp;totales!J246="0","d",IF(totales!E246="6"&amp;totales!H246="0"&amp;totales!I246="0"&amp;totales!J246="0","e",IF(totales!E246="1"&amp;totales!H246="1"&amp;totales!I246="0"&amp;totales!J246="0","f",IF(totales!E246="2"&amp;totales!H246="1"&amp;totales!I246="0"&amp;totales!J246="0","g",IF(totales!E246="3"&amp;totales!H246="1"&amp;totales!I246="0"&amp;totales!J246="0","h",IF(totales!E246="4"&amp;totales!H246="1"&amp;totales!I246="0"&amp;totales!J246="0","i",IF(totales!E246="6"&amp;totales!H246="1"&amp;totales!I246="0"&amp;totales!J246="0","j",IF(totales!E246="1"&amp;totales!H246="2"&amp;totales!I246="0"&amp;totales!J246="0","k",IF(totales!E246="2"&amp;totales!H246="2"&amp;totales!I246="0"&amp;totales!J246="0","l",IF(totales!E246="3"&amp;totales!H246="2"&amp;totales!I246="0"&amp;totales!J246="0","m",
IF(totales!E246="4"&amp;totales!H246="2"&amp;totales!I246="0"&amp;totales!J246="0","n",IF(totales!E246="6"&amp;totales!H246="2"&amp;totales!I246="0"&amp;totales!J246="0","o",IF(totales!E246="1"&amp;totales!H246="0"&amp;totales!I246="1"&amp;totales!J246="0","p",IF(totales!E246="2"&amp;totales!H246="0"&amp;totales!I246="1"&amp;totales!J246="0","q",IF(totales!E246="3"&amp;totales!H246="0"&amp;totales!I246="1"&amp;totales!J246="0","r",IF(totales!E246="4"&amp;totales!H246="0"&amp;totales!I246="1"&amp;totales!J246="0","s",IF(totales!E246="6"&amp;totales!H246="0"&amp;totales!I246="1"&amp;totales!J246="0","t",IF(totales!E246="1"&amp;totales!H246="2"&amp;totales!I246="1"&amp;totales!J246="0","u",IF(totales!E246="2"&amp;totales!H246="2"&amp;totales!I246="1"&amp;totales!J246="0","v",IF(totales!E246="3"&amp;totales!H246="2"&amp;totales!I246="1"&amp;totales!J246="0","w",IF(totales!E246="4"&amp;totales!H246="2"&amp;totales!I246="1"&amp;totales!J246="0","x",
IF(totales!E246="6"&amp;totales!H246="2"&amp;totales!I246="1"&amp;totales!J246="0","y",IF(totales!E246="1"&amp;totales!H246="1"&amp;totales!I246="1"&amp;totales!J246="0","z",IF(totales!E246="2"&amp;totales!H246="1"&amp;totales!I246="1"&amp;totales!J246="0","0",IF(totales!E246="3"&amp;totales!H246="1"&amp;totales!I246="1"&amp;totales!J246="0","1",IF(totales!E246="4"&amp;totales!H246="1"&amp;totales!I246="1"&amp;totales!J246="0","2",IF(totales!E246="6"&amp;totales!H246="1"&amp;totales!I246="1"&amp;totales!J246="0","3",IF(totales!E246="1"&amp;totales!H246="0"&amp;totales!I246="1"&amp;totales!J246="1","4",IF(totales!E246="2"&amp;totales!H246="0"&amp;totales!I246="1"&amp;totales!J246="1","5",IF(totales!E246="3"&amp;totales!H246="0"&amp;totales!I246="1"&amp;totales!J246="1","6",IF(totales!E246="4"&amp;totales!H246="0"&amp;totales!I246="1"&amp;totales!J246="1","7",IF(totales!E246="6"&amp;totales!H246="0"&amp;totales!I246="1"&amp;totales!J246="1","8",IF(totales!E246="1"&amp;totales!H246="1"&amp;totales!I246="0"&amp;totales!J246="1","9"))))))))))))))))))))))))))))))))))))</f>
        <v>0</v>
      </c>
    </row>
    <row r="246" spans="22:22">
      <c r="V246" s="102" t="b">
        <f>IF(totales!E247="1"&amp;totales!H247="0"&amp;totales!I247="0"&amp;totales!J247="0","a",IF(totales!E247="2"&amp;totales!H247="0"&amp;totales!I247="0"&amp;totales!J247="0","b",IF(totales!E247="3"&amp;totales!H247="0"&amp;totales!I247="0"&amp;totales!J247="0","c",IF(totales!E247="4"&amp;totales!H247="0"&amp;totales!I247="0"&amp;totales!J247="0","d",IF(totales!E247="6"&amp;totales!H247="0"&amp;totales!I247="0"&amp;totales!J247="0","e",IF(totales!E247="1"&amp;totales!H247="1"&amp;totales!I247="0"&amp;totales!J247="0","f",IF(totales!E247="2"&amp;totales!H247="1"&amp;totales!I247="0"&amp;totales!J247="0","g",IF(totales!E247="3"&amp;totales!H247="1"&amp;totales!I247="0"&amp;totales!J247="0","h",IF(totales!E247="4"&amp;totales!H247="1"&amp;totales!I247="0"&amp;totales!J247="0","i",IF(totales!E247="6"&amp;totales!H247="1"&amp;totales!I247="0"&amp;totales!J247="0","j",IF(totales!E247="1"&amp;totales!H247="2"&amp;totales!I247="0"&amp;totales!J247="0","k",IF(totales!E247="2"&amp;totales!H247="2"&amp;totales!I247="0"&amp;totales!J247="0","l",IF(totales!E247="3"&amp;totales!H247="2"&amp;totales!I247="0"&amp;totales!J247="0","m",
IF(totales!E247="4"&amp;totales!H247="2"&amp;totales!I247="0"&amp;totales!J247="0","n",IF(totales!E247="6"&amp;totales!H247="2"&amp;totales!I247="0"&amp;totales!J247="0","o",IF(totales!E247="1"&amp;totales!H247="0"&amp;totales!I247="1"&amp;totales!J247="0","p",IF(totales!E247="2"&amp;totales!H247="0"&amp;totales!I247="1"&amp;totales!J247="0","q",IF(totales!E247="3"&amp;totales!H247="0"&amp;totales!I247="1"&amp;totales!J247="0","r",IF(totales!E247="4"&amp;totales!H247="0"&amp;totales!I247="1"&amp;totales!J247="0","s",IF(totales!E247="6"&amp;totales!H247="0"&amp;totales!I247="1"&amp;totales!J247="0","t",IF(totales!E247="1"&amp;totales!H247="2"&amp;totales!I247="1"&amp;totales!J247="0","u",IF(totales!E247="2"&amp;totales!H247="2"&amp;totales!I247="1"&amp;totales!J247="0","v",IF(totales!E247="3"&amp;totales!H247="2"&amp;totales!I247="1"&amp;totales!J247="0","w",IF(totales!E247="4"&amp;totales!H247="2"&amp;totales!I247="1"&amp;totales!J247="0","x",
IF(totales!E247="6"&amp;totales!H247="2"&amp;totales!I247="1"&amp;totales!J247="0","y",IF(totales!E247="1"&amp;totales!H247="1"&amp;totales!I247="1"&amp;totales!J247="0","z",IF(totales!E247="2"&amp;totales!H247="1"&amp;totales!I247="1"&amp;totales!J247="0","0",IF(totales!E247="3"&amp;totales!H247="1"&amp;totales!I247="1"&amp;totales!J247="0","1",IF(totales!E247="4"&amp;totales!H247="1"&amp;totales!I247="1"&amp;totales!J247="0","2",IF(totales!E247="6"&amp;totales!H247="1"&amp;totales!I247="1"&amp;totales!J247="0","3",IF(totales!E247="1"&amp;totales!H247="0"&amp;totales!I247="1"&amp;totales!J247="1","4",IF(totales!E247="2"&amp;totales!H247="0"&amp;totales!I247="1"&amp;totales!J247="1","5",IF(totales!E247="3"&amp;totales!H247="0"&amp;totales!I247="1"&amp;totales!J247="1","6",IF(totales!E247="4"&amp;totales!H247="0"&amp;totales!I247="1"&amp;totales!J247="1","7",IF(totales!E247="6"&amp;totales!H247="0"&amp;totales!I247="1"&amp;totales!J247="1","8",IF(totales!E247="1"&amp;totales!H247="1"&amp;totales!I247="0"&amp;totales!J247="1","9"))))))))))))))))))))))))))))))))))))</f>
        <v>0</v>
      </c>
    </row>
    <row r="247" spans="22:22">
      <c r="V247" s="102" t="b">
        <f>IF(totales!E248="1"&amp;totales!H248="0"&amp;totales!I248="0"&amp;totales!J248="0","a",IF(totales!E248="2"&amp;totales!H248="0"&amp;totales!I248="0"&amp;totales!J248="0","b",IF(totales!E248="3"&amp;totales!H248="0"&amp;totales!I248="0"&amp;totales!J248="0","c",IF(totales!E248="4"&amp;totales!H248="0"&amp;totales!I248="0"&amp;totales!J248="0","d",IF(totales!E248="6"&amp;totales!H248="0"&amp;totales!I248="0"&amp;totales!J248="0","e",IF(totales!E248="1"&amp;totales!H248="1"&amp;totales!I248="0"&amp;totales!J248="0","f",IF(totales!E248="2"&amp;totales!H248="1"&amp;totales!I248="0"&amp;totales!J248="0","g",IF(totales!E248="3"&amp;totales!H248="1"&amp;totales!I248="0"&amp;totales!J248="0","h",IF(totales!E248="4"&amp;totales!H248="1"&amp;totales!I248="0"&amp;totales!J248="0","i",IF(totales!E248="6"&amp;totales!H248="1"&amp;totales!I248="0"&amp;totales!J248="0","j",IF(totales!E248="1"&amp;totales!H248="2"&amp;totales!I248="0"&amp;totales!J248="0","k",IF(totales!E248="2"&amp;totales!H248="2"&amp;totales!I248="0"&amp;totales!J248="0","l",IF(totales!E248="3"&amp;totales!H248="2"&amp;totales!I248="0"&amp;totales!J248="0","m",
IF(totales!E248="4"&amp;totales!H248="2"&amp;totales!I248="0"&amp;totales!J248="0","n",IF(totales!E248="6"&amp;totales!H248="2"&amp;totales!I248="0"&amp;totales!J248="0","o",IF(totales!E248="1"&amp;totales!H248="0"&amp;totales!I248="1"&amp;totales!J248="0","p",IF(totales!E248="2"&amp;totales!H248="0"&amp;totales!I248="1"&amp;totales!J248="0","q",IF(totales!E248="3"&amp;totales!H248="0"&amp;totales!I248="1"&amp;totales!J248="0","r",IF(totales!E248="4"&amp;totales!H248="0"&amp;totales!I248="1"&amp;totales!J248="0","s",IF(totales!E248="6"&amp;totales!H248="0"&amp;totales!I248="1"&amp;totales!J248="0","t",IF(totales!E248="1"&amp;totales!H248="2"&amp;totales!I248="1"&amp;totales!J248="0","u",IF(totales!E248="2"&amp;totales!H248="2"&amp;totales!I248="1"&amp;totales!J248="0","v",IF(totales!E248="3"&amp;totales!H248="2"&amp;totales!I248="1"&amp;totales!J248="0","w",IF(totales!E248="4"&amp;totales!H248="2"&amp;totales!I248="1"&amp;totales!J248="0","x",
IF(totales!E248="6"&amp;totales!H248="2"&amp;totales!I248="1"&amp;totales!J248="0","y",IF(totales!E248="1"&amp;totales!H248="1"&amp;totales!I248="1"&amp;totales!J248="0","z",IF(totales!E248="2"&amp;totales!H248="1"&amp;totales!I248="1"&amp;totales!J248="0","0",IF(totales!E248="3"&amp;totales!H248="1"&amp;totales!I248="1"&amp;totales!J248="0","1",IF(totales!E248="4"&amp;totales!H248="1"&amp;totales!I248="1"&amp;totales!J248="0","2",IF(totales!E248="6"&amp;totales!H248="1"&amp;totales!I248="1"&amp;totales!J248="0","3",IF(totales!E248="1"&amp;totales!H248="0"&amp;totales!I248="1"&amp;totales!J248="1","4",IF(totales!E248="2"&amp;totales!H248="0"&amp;totales!I248="1"&amp;totales!J248="1","5",IF(totales!E248="3"&amp;totales!H248="0"&amp;totales!I248="1"&amp;totales!J248="1","6",IF(totales!E248="4"&amp;totales!H248="0"&amp;totales!I248="1"&amp;totales!J248="1","7",IF(totales!E248="6"&amp;totales!H248="0"&amp;totales!I248="1"&amp;totales!J248="1","8",IF(totales!E248="1"&amp;totales!H248="1"&amp;totales!I248="0"&amp;totales!J248="1","9"))))))))))))))))))))))))))))))))))))</f>
        <v>0</v>
      </c>
    </row>
    <row r="248" spans="22:22">
      <c r="V248" s="102" t="b">
        <f>IF(totales!E249="1"&amp;totales!H249="0"&amp;totales!I249="0"&amp;totales!J249="0","a",IF(totales!E249="2"&amp;totales!H249="0"&amp;totales!I249="0"&amp;totales!J249="0","b",IF(totales!E249="3"&amp;totales!H249="0"&amp;totales!I249="0"&amp;totales!J249="0","c",IF(totales!E249="4"&amp;totales!H249="0"&amp;totales!I249="0"&amp;totales!J249="0","d",IF(totales!E249="6"&amp;totales!H249="0"&amp;totales!I249="0"&amp;totales!J249="0","e",IF(totales!E249="1"&amp;totales!H249="1"&amp;totales!I249="0"&amp;totales!J249="0","f",IF(totales!E249="2"&amp;totales!H249="1"&amp;totales!I249="0"&amp;totales!J249="0","g",IF(totales!E249="3"&amp;totales!H249="1"&amp;totales!I249="0"&amp;totales!J249="0","h",IF(totales!E249="4"&amp;totales!H249="1"&amp;totales!I249="0"&amp;totales!J249="0","i",IF(totales!E249="6"&amp;totales!H249="1"&amp;totales!I249="0"&amp;totales!J249="0","j",IF(totales!E249="1"&amp;totales!H249="2"&amp;totales!I249="0"&amp;totales!J249="0","k",IF(totales!E249="2"&amp;totales!H249="2"&amp;totales!I249="0"&amp;totales!J249="0","l",IF(totales!E249="3"&amp;totales!H249="2"&amp;totales!I249="0"&amp;totales!J249="0","m",
IF(totales!E249="4"&amp;totales!H249="2"&amp;totales!I249="0"&amp;totales!J249="0","n",IF(totales!E249="6"&amp;totales!H249="2"&amp;totales!I249="0"&amp;totales!J249="0","o",IF(totales!E249="1"&amp;totales!H249="0"&amp;totales!I249="1"&amp;totales!J249="0","p",IF(totales!E249="2"&amp;totales!H249="0"&amp;totales!I249="1"&amp;totales!J249="0","q",IF(totales!E249="3"&amp;totales!H249="0"&amp;totales!I249="1"&amp;totales!J249="0","r",IF(totales!E249="4"&amp;totales!H249="0"&amp;totales!I249="1"&amp;totales!J249="0","s",IF(totales!E249="6"&amp;totales!H249="0"&amp;totales!I249="1"&amp;totales!J249="0","t",IF(totales!E249="1"&amp;totales!H249="2"&amp;totales!I249="1"&amp;totales!J249="0","u",IF(totales!E249="2"&amp;totales!H249="2"&amp;totales!I249="1"&amp;totales!J249="0","v",IF(totales!E249="3"&amp;totales!H249="2"&amp;totales!I249="1"&amp;totales!J249="0","w",IF(totales!E249="4"&amp;totales!H249="2"&amp;totales!I249="1"&amp;totales!J249="0","x",
IF(totales!E249="6"&amp;totales!H249="2"&amp;totales!I249="1"&amp;totales!J249="0","y",IF(totales!E249="1"&amp;totales!H249="1"&amp;totales!I249="1"&amp;totales!J249="0","z",IF(totales!E249="2"&amp;totales!H249="1"&amp;totales!I249="1"&amp;totales!J249="0","0",IF(totales!E249="3"&amp;totales!H249="1"&amp;totales!I249="1"&amp;totales!J249="0","1",IF(totales!E249="4"&amp;totales!H249="1"&amp;totales!I249="1"&amp;totales!J249="0","2",IF(totales!E249="6"&amp;totales!H249="1"&amp;totales!I249="1"&amp;totales!J249="0","3",IF(totales!E249="1"&amp;totales!H249="0"&amp;totales!I249="1"&amp;totales!J249="1","4",IF(totales!E249="2"&amp;totales!H249="0"&amp;totales!I249="1"&amp;totales!J249="1","5",IF(totales!E249="3"&amp;totales!H249="0"&amp;totales!I249="1"&amp;totales!J249="1","6",IF(totales!E249="4"&amp;totales!H249="0"&amp;totales!I249="1"&amp;totales!J249="1","7",IF(totales!E249="6"&amp;totales!H249="0"&amp;totales!I249="1"&amp;totales!J249="1","8",IF(totales!E249="1"&amp;totales!H249="1"&amp;totales!I249="0"&amp;totales!J249="1","9"))))))))))))))))))))))))))))))))))))</f>
        <v>0</v>
      </c>
    </row>
    <row r="249" spans="22:22">
      <c r="V249" s="102" t="b">
        <f>IF(totales!E250="1"&amp;totales!H250="0"&amp;totales!I250="0"&amp;totales!J250="0","a",IF(totales!E250="2"&amp;totales!H250="0"&amp;totales!I250="0"&amp;totales!J250="0","b",IF(totales!E250="3"&amp;totales!H250="0"&amp;totales!I250="0"&amp;totales!J250="0","c",IF(totales!E250="4"&amp;totales!H250="0"&amp;totales!I250="0"&amp;totales!J250="0","d",IF(totales!E250="6"&amp;totales!H250="0"&amp;totales!I250="0"&amp;totales!J250="0","e",IF(totales!E250="1"&amp;totales!H250="1"&amp;totales!I250="0"&amp;totales!J250="0","f",IF(totales!E250="2"&amp;totales!H250="1"&amp;totales!I250="0"&amp;totales!J250="0","g",IF(totales!E250="3"&amp;totales!H250="1"&amp;totales!I250="0"&amp;totales!J250="0","h",IF(totales!E250="4"&amp;totales!H250="1"&amp;totales!I250="0"&amp;totales!J250="0","i",IF(totales!E250="6"&amp;totales!H250="1"&amp;totales!I250="0"&amp;totales!J250="0","j",IF(totales!E250="1"&amp;totales!H250="2"&amp;totales!I250="0"&amp;totales!J250="0","k",IF(totales!E250="2"&amp;totales!H250="2"&amp;totales!I250="0"&amp;totales!J250="0","l",IF(totales!E250="3"&amp;totales!H250="2"&amp;totales!I250="0"&amp;totales!J250="0","m",
IF(totales!E250="4"&amp;totales!H250="2"&amp;totales!I250="0"&amp;totales!J250="0","n",IF(totales!E250="6"&amp;totales!H250="2"&amp;totales!I250="0"&amp;totales!J250="0","o",IF(totales!E250="1"&amp;totales!H250="0"&amp;totales!I250="1"&amp;totales!J250="0","p",IF(totales!E250="2"&amp;totales!H250="0"&amp;totales!I250="1"&amp;totales!J250="0","q",IF(totales!E250="3"&amp;totales!H250="0"&amp;totales!I250="1"&amp;totales!J250="0","r",IF(totales!E250="4"&amp;totales!H250="0"&amp;totales!I250="1"&amp;totales!J250="0","s",IF(totales!E250="6"&amp;totales!H250="0"&amp;totales!I250="1"&amp;totales!J250="0","t",IF(totales!E250="1"&amp;totales!H250="2"&amp;totales!I250="1"&amp;totales!J250="0","u",IF(totales!E250="2"&amp;totales!H250="2"&amp;totales!I250="1"&amp;totales!J250="0","v",IF(totales!E250="3"&amp;totales!H250="2"&amp;totales!I250="1"&amp;totales!J250="0","w",IF(totales!E250="4"&amp;totales!H250="2"&amp;totales!I250="1"&amp;totales!J250="0","x",
IF(totales!E250="6"&amp;totales!H250="2"&amp;totales!I250="1"&amp;totales!J250="0","y",IF(totales!E250="1"&amp;totales!H250="1"&amp;totales!I250="1"&amp;totales!J250="0","z",IF(totales!E250="2"&amp;totales!H250="1"&amp;totales!I250="1"&amp;totales!J250="0","0",IF(totales!E250="3"&amp;totales!H250="1"&amp;totales!I250="1"&amp;totales!J250="0","1",IF(totales!E250="4"&amp;totales!H250="1"&amp;totales!I250="1"&amp;totales!J250="0","2",IF(totales!E250="6"&amp;totales!H250="1"&amp;totales!I250="1"&amp;totales!J250="0","3",IF(totales!E250="1"&amp;totales!H250="0"&amp;totales!I250="1"&amp;totales!J250="1","4",IF(totales!E250="2"&amp;totales!H250="0"&amp;totales!I250="1"&amp;totales!J250="1","5",IF(totales!E250="3"&amp;totales!H250="0"&amp;totales!I250="1"&amp;totales!J250="1","6",IF(totales!E250="4"&amp;totales!H250="0"&amp;totales!I250="1"&amp;totales!J250="1","7",IF(totales!E250="6"&amp;totales!H250="0"&amp;totales!I250="1"&amp;totales!J250="1","8",IF(totales!E250="1"&amp;totales!H250="1"&amp;totales!I250="0"&amp;totales!J250="1","9"))))))))))))))))))))))))))))))))))))</f>
        <v>0</v>
      </c>
    </row>
    <row r="250" spans="22:22">
      <c r="V250" s="102" t="b">
        <f>IF(totales!E251="1"&amp;totales!H251="0"&amp;totales!I251="0"&amp;totales!J251="0","a",IF(totales!E251="2"&amp;totales!H251="0"&amp;totales!I251="0"&amp;totales!J251="0","b",IF(totales!E251="3"&amp;totales!H251="0"&amp;totales!I251="0"&amp;totales!J251="0","c",IF(totales!E251="4"&amp;totales!H251="0"&amp;totales!I251="0"&amp;totales!J251="0","d",IF(totales!E251="6"&amp;totales!H251="0"&amp;totales!I251="0"&amp;totales!J251="0","e",IF(totales!E251="1"&amp;totales!H251="1"&amp;totales!I251="0"&amp;totales!J251="0","f",IF(totales!E251="2"&amp;totales!H251="1"&amp;totales!I251="0"&amp;totales!J251="0","g",IF(totales!E251="3"&amp;totales!H251="1"&amp;totales!I251="0"&amp;totales!J251="0","h",IF(totales!E251="4"&amp;totales!H251="1"&amp;totales!I251="0"&amp;totales!J251="0","i",IF(totales!E251="6"&amp;totales!H251="1"&amp;totales!I251="0"&amp;totales!J251="0","j",IF(totales!E251="1"&amp;totales!H251="2"&amp;totales!I251="0"&amp;totales!J251="0","k",IF(totales!E251="2"&amp;totales!H251="2"&amp;totales!I251="0"&amp;totales!J251="0","l",IF(totales!E251="3"&amp;totales!H251="2"&amp;totales!I251="0"&amp;totales!J251="0","m",
IF(totales!E251="4"&amp;totales!H251="2"&amp;totales!I251="0"&amp;totales!J251="0","n",IF(totales!E251="6"&amp;totales!H251="2"&amp;totales!I251="0"&amp;totales!J251="0","o",IF(totales!E251="1"&amp;totales!H251="0"&amp;totales!I251="1"&amp;totales!J251="0","p",IF(totales!E251="2"&amp;totales!H251="0"&amp;totales!I251="1"&amp;totales!J251="0","q",IF(totales!E251="3"&amp;totales!H251="0"&amp;totales!I251="1"&amp;totales!J251="0","r",IF(totales!E251="4"&amp;totales!H251="0"&amp;totales!I251="1"&amp;totales!J251="0","s",IF(totales!E251="6"&amp;totales!H251="0"&amp;totales!I251="1"&amp;totales!J251="0","t",IF(totales!E251="1"&amp;totales!H251="2"&amp;totales!I251="1"&amp;totales!J251="0","u",IF(totales!E251="2"&amp;totales!H251="2"&amp;totales!I251="1"&amp;totales!J251="0","v",IF(totales!E251="3"&amp;totales!H251="2"&amp;totales!I251="1"&amp;totales!J251="0","w",IF(totales!E251="4"&amp;totales!H251="2"&amp;totales!I251="1"&amp;totales!J251="0","x",
IF(totales!E251="6"&amp;totales!H251="2"&amp;totales!I251="1"&amp;totales!J251="0","y",IF(totales!E251="1"&amp;totales!H251="1"&amp;totales!I251="1"&amp;totales!J251="0","z",IF(totales!E251="2"&amp;totales!H251="1"&amp;totales!I251="1"&amp;totales!J251="0","0",IF(totales!E251="3"&amp;totales!H251="1"&amp;totales!I251="1"&amp;totales!J251="0","1",IF(totales!E251="4"&amp;totales!H251="1"&amp;totales!I251="1"&amp;totales!J251="0","2",IF(totales!E251="6"&amp;totales!H251="1"&amp;totales!I251="1"&amp;totales!J251="0","3",IF(totales!E251="1"&amp;totales!H251="0"&amp;totales!I251="1"&amp;totales!J251="1","4",IF(totales!E251="2"&amp;totales!H251="0"&amp;totales!I251="1"&amp;totales!J251="1","5",IF(totales!E251="3"&amp;totales!H251="0"&amp;totales!I251="1"&amp;totales!J251="1","6",IF(totales!E251="4"&amp;totales!H251="0"&amp;totales!I251="1"&amp;totales!J251="1","7",IF(totales!E251="6"&amp;totales!H251="0"&amp;totales!I251="1"&amp;totales!J251="1","8",IF(totales!E251="1"&amp;totales!H251="1"&amp;totales!I251="0"&amp;totales!J251="1","9"))))))))))))))))))))))))))))))))))))</f>
        <v>0</v>
      </c>
    </row>
    <row r="251" spans="22:22">
      <c r="V251" s="102" t="b">
        <f>IF(totales!E252="1"&amp;totales!H252="0"&amp;totales!I252="0"&amp;totales!J252="0","a",IF(totales!E252="2"&amp;totales!H252="0"&amp;totales!I252="0"&amp;totales!J252="0","b",IF(totales!E252="3"&amp;totales!H252="0"&amp;totales!I252="0"&amp;totales!J252="0","c",IF(totales!E252="4"&amp;totales!H252="0"&amp;totales!I252="0"&amp;totales!J252="0","d",IF(totales!E252="6"&amp;totales!H252="0"&amp;totales!I252="0"&amp;totales!J252="0","e",IF(totales!E252="1"&amp;totales!H252="1"&amp;totales!I252="0"&amp;totales!J252="0","f",IF(totales!E252="2"&amp;totales!H252="1"&amp;totales!I252="0"&amp;totales!J252="0","g",IF(totales!E252="3"&amp;totales!H252="1"&amp;totales!I252="0"&amp;totales!J252="0","h",IF(totales!E252="4"&amp;totales!H252="1"&amp;totales!I252="0"&amp;totales!J252="0","i",IF(totales!E252="6"&amp;totales!H252="1"&amp;totales!I252="0"&amp;totales!J252="0","j",IF(totales!E252="1"&amp;totales!H252="2"&amp;totales!I252="0"&amp;totales!J252="0","k",IF(totales!E252="2"&amp;totales!H252="2"&amp;totales!I252="0"&amp;totales!J252="0","l",IF(totales!E252="3"&amp;totales!H252="2"&amp;totales!I252="0"&amp;totales!J252="0","m",
IF(totales!E252="4"&amp;totales!H252="2"&amp;totales!I252="0"&amp;totales!J252="0","n",IF(totales!E252="6"&amp;totales!H252="2"&amp;totales!I252="0"&amp;totales!J252="0","o",IF(totales!E252="1"&amp;totales!H252="0"&amp;totales!I252="1"&amp;totales!J252="0","p",IF(totales!E252="2"&amp;totales!H252="0"&amp;totales!I252="1"&amp;totales!J252="0","q",IF(totales!E252="3"&amp;totales!H252="0"&amp;totales!I252="1"&amp;totales!J252="0","r",IF(totales!E252="4"&amp;totales!H252="0"&amp;totales!I252="1"&amp;totales!J252="0","s",IF(totales!E252="6"&amp;totales!H252="0"&amp;totales!I252="1"&amp;totales!J252="0","t",IF(totales!E252="1"&amp;totales!H252="2"&amp;totales!I252="1"&amp;totales!J252="0","u",IF(totales!E252="2"&amp;totales!H252="2"&amp;totales!I252="1"&amp;totales!J252="0","v",IF(totales!E252="3"&amp;totales!H252="2"&amp;totales!I252="1"&amp;totales!J252="0","w",IF(totales!E252="4"&amp;totales!H252="2"&amp;totales!I252="1"&amp;totales!J252="0","x",
IF(totales!E252="6"&amp;totales!H252="2"&amp;totales!I252="1"&amp;totales!J252="0","y",IF(totales!E252="1"&amp;totales!H252="1"&amp;totales!I252="1"&amp;totales!J252="0","z",IF(totales!E252="2"&amp;totales!H252="1"&amp;totales!I252="1"&amp;totales!J252="0","0",IF(totales!E252="3"&amp;totales!H252="1"&amp;totales!I252="1"&amp;totales!J252="0","1",IF(totales!E252="4"&amp;totales!H252="1"&amp;totales!I252="1"&amp;totales!J252="0","2",IF(totales!E252="6"&amp;totales!H252="1"&amp;totales!I252="1"&amp;totales!J252="0","3",IF(totales!E252="1"&amp;totales!H252="0"&amp;totales!I252="1"&amp;totales!J252="1","4",IF(totales!E252="2"&amp;totales!H252="0"&amp;totales!I252="1"&amp;totales!J252="1","5",IF(totales!E252="3"&amp;totales!H252="0"&amp;totales!I252="1"&amp;totales!J252="1","6",IF(totales!E252="4"&amp;totales!H252="0"&amp;totales!I252="1"&amp;totales!J252="1","7",IF(totales!E252="6"&amp;totales!H252="0"&amp;totales!I252="1"&amp;totales!J252="1","8",IF(totales!E252="1"&amp;totales!H252="1"&amp;totales!I252="0"&amp;totales!J252="1","9"))))))))))))))))))))))))))))))))))))</f>
        <v>0</v>
      </c>
    </row>
    <row r="252" spans="22:22">
      <c r="V252" s="102" t="b">
        <f>IF(totales!E253="1"&amp;totales!H253="0"&amp;totales!I253="0"&amp;totales!J253="0","a",IF(totales!E253="2"&amp;totales!H253="0"&amp;totales!I253="0"&amp;totales!J253="0","b",IF(totales!E253="3"&amp;totales!H253="0"&amp;totales!I253="0"&amp;totales!J253="0","c",IF(totales!E253="4"&amp;totales!H253="0"&amp;totales!I253="0"&amp;totales!J253="0","d",IF(totales!E253="6"&amp;totales!H253="0"&amp;totales!I253="0"&amp;totales!J253="0","e",IF(totales!E253="1"&amp;totales!H253="1"&amp;totales!I253="0"&amp;totales!J253="0","f",IF(totales!E253="2"&amp;totales!H253="1"&amp;totales!I253="0"&amp;totales!J253="0","g",IF(totales!E253="3"&amp;totales!H253="1"&amp;totales!I253="0"&amp;totales!J253="0","h",IF(totales!E253="4"&amp;totales!H253="1"&amp;totales!I253="0"&amp;totales!J253="0","i",IF(totales!E253="6"&amp;totales!H253="1"&amp;totales!I253="0"&amp;totales!J253="0","j",IF(totales!E253="1"&amp;totales!H253="2"&amp;totales!I253="0"&amp;totales!J253="0","k",IF(totales!E253="2"&amp;totales!H253="2"&amp;totales!I253="0"&amp;totales!J253="0","l",IF(totales!E253="3"&amp;totales!H253="2"&amp;totales!I253="0"&amp;totales!J253="0","m",
IF(totales!E253="4"&amp;totales!H253="2"&amp;totales!I253="0"&amp;totales!J253="0","n",IF(totales!E253="6"&amp;totales!H253="2"&amp;totales!I253="0"&amp;totales!J253="0","o",IF(totales!E253="1"&amp;totales!H253="0"&amp;totales!I253="1"&amp;totales!J253="0","p",IF(totales!E253="2"&amp;totales!H253="0"&amp;totales!I253="1"&amp;totales!J253="0","q",IF(totales!E253="3"&amp;totales!H253="0"&amp;totales!I253="1"&amp;totales!J253="0","r",IF(totales!E253="4"&amp;totales!H253="0"&amp;totales!I253="1"&amp;totales!J253="0","s",IF(totales!E253="6"&amp;totales!H253="0"&amp;totales!I253="1"&amp;totales!J253="0","t",IF(totales!E253="1"&amp;totales!H253="2"&amp;totales!I253="1"&amp;totales!J253="0","u",IF(totales!E253="2"&amp;totales!H253="2"&amp;totales!I253="1"&amp;totales!J253="0","v",IF(totales!E253="3"&amp;totales!H253="2"&amp;totales!I253="1"&amp;totales!J253="0","w",IF(totales!E253="4"&amp;totales!H253="2"&amp;totales!I253="1"&amp;totales!J253="0","x",
IF(totales!E253="6"&amp;totales!H253="2"&amp;totales!I253="1"&amp;totales!J253="0","y",IF(totales!E253="1"&amp;totales!H253="1"&amp;totales!I253="1"&amp;totales!J253="0","z",IF(totales!E253="2"&amp;totales!H253="1"&amp;totales!I253="1"&amp;totales!J253="0","0",IF(totales!E253="3"&amp;totales!H253="1"&amp;totales!I253="1"&amp;totales!J253="0","1",IF(totales!E253="4"&amp;totales!H253="1"&amp;totales!I253="1"&amp;totales!J253="0","2",IF(totales!E253="6"&amp;totales!H253="1"&amp;totales!I253="1"&amp;totales!J253="0","3",IF(totales!E253="1"&amp;totales!H253="0"&amp;totales!I253="1"&amp;totales!J253="1","4",IF(totales!E253="2"&amp;totales!H253="0"&amp;totales!I253="1"&amp;totales!J253="1","5",IF(totales!E253="3"&amp;totales!H253="0"&amp;totales!I253="1"&amp;totales!J253="1","6",IF(totales!E253="4"&amp;totales!H253="0"&amp;totales!I253="1"&amp;totales!J253="1","7",IF(totales!E253="6"&amp;totales!H253="0"&amp;totales!I253="1"&amp;totales!J253="1","8",IF(totales!E253="1"&amp;totales!H253="1"&amp;totales!I253="0"&amp;totales!J253="1","9"))))))))))))))))))))))))))))))))))))</f>
        <v>0</v>
      </c>
    </row>
    <row r="253" spans="22:22">
      <c r="V253" s="102" t="b">
        <f>IF(totales!E254="1"&amp;totales!H254="0"&amp;totales!I254="0"&amp;totales!J254="0","a",IF(totales!E254="2"&amp;totales!H254="0"&amp;totales!I254="0"&amp;totales!J254="0","b",IF(totales!E254="3"&amp;totales!H254="0"&amp;totales!I254="0"&amp;totales!J254="0","c",IF(totales!E254="4"&amp;totales!H254="0"&amp;totales!I254="0"&amp;totales!J254="0","d",IF(totales!E254="6"&amp;totales!H254="0"&amp;totales!I254="0"&amp;totales!J254="0","e",IF(totales!E254="1"&amp;totales!H254="1"&amp;totales!I254="0"&amp;totales!J254="0","f",IF(totales!E254="2"&amp;totales!H254="1"&amp;totales!I254="0"&amp;totales!J254="0","g",IF(totales!E254="3"&amp;totales!H254="1"&amp;totales!I254="0"&amp;totales!J254="0","h",IF(totales!E254="4"&amp;totales!H254="1"&amp;totales!I254="0"&amp;totales!J254="0","i",IF(totales!E254="6"&amp;totales!H254="1"&amp;totales!I254="0"&amp;totales!J254="0","j",IF(totales!E254="1"&amp;totales!H254="2"&amp;totales!I254="0"&amp;totales!J254="0","k",IF(totales!E254="2"&amp;totales!H254="2"&amp;totales!I254="0"&amp;totales!J254="0","l",IF(totales!E254="3"&amp;totales!H254="2"&amp;totales!I254="0"&amp;totales!J254="0","m",
IF(totales!E254="4"&amp;totales!H254="2"&amp;totales!I254="0"&amp;totales!J254="0","n",IF(totales!E254="6"&amp;totales!H254="2"&amp;totales!I254="0"&amp;totales!J254="0","o",IF(totales!E254="1"&amp;totales!H254="0"&amp;totales!I254="1"&amp;totales!J254="0","p",IF(totales!E254="2"&amp;totales!H254="0"&amp;totales!I254="1"&amp;totales!J254="0","q",IF(totales!E254="3"&amp;totales!H254="0"&amp;totales!I254="1"&amp;totales!J254="0","r",IF(totales!E254="4"&amp;totales!H254="0"&amp;totales!I254="1"&amp;totales!J254="0","s",IF(totales!E254="6"&amp;totales!H254="0"&amp;totales!I254="1"&amp;totales!J254="0","t",IF(totales!E254="1"&amp;totales!H254="2"&amp;totales!I254="1"&amp;totales!J254="0","u",IF(totales!E254="2"&amp;totales!H254="2"&amp;totales!I254="1"&amp;totales!J254="0","v",IF(totales!E254="3"&amp;totales!H254="2"&amp;totales!I254="1"&amp;totales!J254="0","w",IF(totales!E254="4"&amp;totales!H254="2"&amp;totales!I254="1"&amp;totales!J254="0","x",
IF(totales!E254="6"&amp;totales!H254="2"&amp;totales!I254="1"&amp;totales!J254="0","y",IF(totales!E254="1"&amp;totales!H254="1"&amp;totales!I254="1"&amp;totales!J254="0","z",IF(totales!E254="2"&amp;totales!H254="1"&amp;totales!I254="1"&amp;totales!J254="0","0",IF(totales!E254="3"&amp;totales!H254="1"&amp;totales!I254="1"&amp;totales!J254="0","1",IF(totales!E254="4"&amp;totales!H254="1"&amp;totales!I254="1"&amp;totales!J254="0","2",IF(totales!E254="6"&amp;totales!H254="1"&amp;totales!I254="1"&amp;totales!J254="0","3",IF(totales!E254="1"&amp;totales!H254="0"&amp;totales!I254="1"&amp;totales!J254="1","4",IF(totales!E254="2"&amp;totales!H254="0"&amp;totales!I254="1"&amp;totales!J254="1","5",IF(totales!E254="3"&amp;totales!H254="0"&amp;totales!I254="1"&amp;totales!J254="1","6",IF(totales!E254="4"&amp;totales!H254="0"&amp;totales!I254="1"&amp;totales!J254="1","7",IF(totales!E254="6"&amp;totales!H254="0"&amp;totales!I254="1"&amp;totales!J254="1","8",IF(totales!E254="1"&amp;totales!H254="1"&amp;totales!I254="0"&amp;totales!J254="1","9"))))))))))))))))))))))))))))))))))))</f>
        <v>0</v>
      </c>
    </row>
    <row r="254" spans="22:22">
      <c r="V254" s="102" t="b">
        <f>IF(totales!E255="1"&amp;totales!H255="0"&amp;totales!I255="0"&amp;totales!J255="0","a",IF(totales!E255="2"&amp;totales!H255="0"&amp;totales!I255="0"&amp;totales!J255="0","b",IF(totales!E255="3"&amp;totales!H255="0"&amp;totales!I255="0"&amp;totales!J255="0","c",IF(totales!E255="4"&amp;totales!H255="0"&amp;totales!I255="0"&amp;totales!J255="0","d",IF(totales!E255="6"&amp;totales!H255="0"&amp;totales!I255="0"&amp;totales!J255="0","e",IF(totales!E255="1"&amp;totales!H255="1"&amp;totales!I255="0"&amp;totales!J255="0","f",IF(totales!E255="2"&amp;totales!H255="1"&amp;totales!I255="0"&amp;totales!J255="0","g",IF(totales!E255="3"&amp;totales!H255="1"&amp;totales!I255="0"&amp;totales!J255="0","h",IF(totales!E255="4"&amp;totales!H255="1"&amp;totales!I255="0"&amp;totales!J255="0","i",IF(totales!E255="6"&amp;totales!H255="1"&amp;totales!I255="0"&amp;totales!J255="0","j",IF(totales!E255="1"&amp;totales!H255="2"&amp;totales!I255="0"&amp;totales!J255="0","k",IF(totales!E255="2"&amp;totales!H255="2"&amp;totales!I255="0"&amp;totales!J255="0","l",IF(totales!E255="3"&amp;totales!H255="2"&amp;totales!I255="0"&amp;totales!J255="0","m",
IF(totales!E255="4"&amp;totales!H255="2"&amp;totales!I255="0"&amp;totales!J255="0","n",IF(totales!E255="6"&amp;totales!H255="2"&amp;totales!I255="0"&amp;totales!J255="0","o",IF(totales!E255="1"&amp;totales!H255="0"&amp;totales!I255="1"&amp;totales!J255="0","p",IF(totales!E255="2"&amp;totales!H255="0"&amp;totales!I255="1"&amp;totales!J255="0","q",IF(totales!E255="3"&amp;totales!H255="0"&amp;totales!I255="1"&amp;totales!J255="0","r",IF(totales!E255="4"&amp;totales!H255="0"&amp;totales!I255="1"&amp;totales!J255="0","s",IF(totales!E255="6"&amp;totales!H255="0"&amp;totales!I255="1"&amp;totales!J255="0","t",IF(totales!E255="1"&amp;totales!H255="2"&amp;totales!I255="1"&amp;totales!J255="0","u",IF(totales!E255="2"&amp;totales!H255="2"&amp;totales!I255="1"&amp;totales!J255="0","v",IF(totales!E255="3"&amp;totales!H255="2"&amp;totales!I255="1"&amp;totales!J255="0","w",IF(totales!E255="4"&amp;totales!H255="2"&amp;totales!I255="1"&amp;totales!J255="0","x",
IF(totales!E255="6"&amp;totales!H255="2"&amp;totales!I255="1"&amp;totales!J255="0","y",IF(totales!E255="1"&amp;totales!H255="1"&amp;totales!I255="1"&amp;totales!J255="0","z",IF(totales!E255="2"&amp;totales!H255="1"&amp;totales!I255="1"&amp;totales!J255="0","0",IF(totales!E255="3"&amp;totales!H255="1"&amp;totales!I255="1"&amp;totales!J255="0","1",IF(totales!E255="4"&amp;totales!H255="1"&amp;totales!I255="1"&amp;totales!J255="0","2",IF(totales!E255="6"&amp;totales!H255="1"&amp;totales!I255="1"&amp;totales!J255="0","3",IF(totales!E255="1"&amp;totales!H255="0"&amp;totales!I255="1"&amp;totales!J255="1","4",IF(totales!E255="2"&amp;totales!H255="0"&amp;totales!I255="1"&amp;totales!J255="1","5",IF(totales!E255="3"&amp;totales!H255="0"&amp;totales!I255="1"&amp;totales!J255="1","6",IF(totales!E255="4"&amp;totales!H255="0"&amp;totales!I255="1"&amp;totales!J255="1","7",IF(totales!E255="6"&amp;totales!H255="0"&amp;totales!I255="1"&amp;totales!J255="1","8",IF(totales!E255="1"&amp;totales!H255="1"&amp;totales!I255="0"&amp;totales!J255="1","9"))))))))))))))))))))))))))))))))))))</f>
        <v>0</v>
      </c>
    </row>
    <row r="255" spans="22:22">
      <c r="V255" s="102" t="b">
        <f>IF(totales!E256="1"&amp;totales!H256="0"&amp;totales!I256="0"&amp;totales!J256="0","a",IF(totales!E256="2"&amp;totales!H256="0"&amp;totales!I256="0"&amp;totales!J256="0","b",IF(totales!E256="3"&amp;totales!H256="0"&amp;totales!I256="0"&amp;totales!J256="0","c",IF(totales!E256="4"&amp;totales!H256="0"&amp;totales!I256="0"&amp;totales!J256="0","d",IF(totales!E256="6"&amp;totales!H256="0"&amp;totales!I256="0"&amp;totales!J256="0","e",IF(totales!E256="1"&amp;totales!H256="1"&amp;totales!I256="0"&amp;totales!J256="0","f",IF(totales!E256="2"&amp;totales!H256="1"&amp;totales!I256="0"&amp;totales!J256="0","g",IF(totales!E256="3"&amp;totales!H256="1"&amp;totales!I256="0"&amp;totales!J256="0","h",IF(totales!E256="4"&amp;totales!H256="1"&amp;totales!I256="0"&amp;totales!J256="0","i",IF(totales!E256="6"&amp;totales!H256="1"&amp;totales!I256="0"&amp;totales!J256="0","j",IF(totales!E256="1"&amp;totales!H256="2"&amp;totales!I256="0"&amp;totales!J256="0","k",IF(totales!E256="2"&amp;totales!H256="2"&amp;totales!I256="0"&amp;totales!J256="0","l",IF(totales!E256="3"&amp;totales!H256="2"&amp;totales!I256="0"&amp;totales!J256="0","m",
IF(totales!E256="4"&amp;totales!H256="2"&amp;totales!I256="0"&amp;totales!J256="0","n",IF(totales!E256="6"&amp;totales!H256="2"&amp;totales!I256="0"&amp;totales!J256="0","o",IF(totales!E256="1"&amp;totales!H256="0"&amp;totales!I256="1"&amp;totales!J256="0","p",IF(totales!E256="2"&amp;totales!H256="0"&amp;totales!I256="1"&amp;totales!J256="0","q",IF(totales!E256="3"&amp;totales!H256="0"&amp;totales!I256="1"&amp;totales!J256="0","r",IF(totales!E256="4"&amp;totales!H256="0"&amp;totales!I256="1"&amp;totales!J256="0","s",IF(totales!E256="6"&amp;totales!H256="0"&amp;totales!I256="1"&amp;totales!J256="0","t",IF(totales!E256="1"&amp;totales!H256="2"&amp;totales!I256="1"&amp;totales!J256="0","u",IF(totales!E256="2"&amp;totales!H256="2"&amp;totales!I256="1"&amp;totales!J256="0","v",IF(totales!E256="3"&amp;totales!H256="2"&amp;totales!I256="1"&amp;totales!J256="0","w",IF(totales!E256="4"&amp;totales!H256="2"&amp;totales!I256="1"&amp;totales!J256="0","x",
IF(totales!E256="6"&amp;totales!H256="2"&amp;totales!I256="1"&amp;totales!J256="0","y",IF(totales!E256="1"&amp;totales!H256="1"&amp;totales!I256="1"&amp;totales!J256="0","z",IF(totales!E256="2"&amp;totales!H256="1"&amp;totales!I256="1"&amp;totales!J256="0","0",IF(totales!E256="3"&amp;totales!H256="1"&amp;totales!I256="1"&amp;totales!J256="0","1",IF(totales!E256="4"&amp;totales!H256="1"&amp;totales!I256="1"&amp;totales!J256="0","2",IF(totales!E256="6"&amp;totales!H256="1"&amp;totales!I256="1"&amp;totales!J256="0","3",IF(totales!E256="1"&amp;totales!H256="0"&amp;totales!I256="1"&amp;totales!J256="1","4",IF(totales!E256="2"&amp;totales!H256="0"&amp;totales!I256="1"&amp;totales!J256="1","5",IF(totales!E256="3"&amp;totales!H256="0"&amp;totales!I256="1"&amp;totales!J256="1","6",IF(totales!E256="4"&amp;totales!H256="0"&amp;totales!I256="1"&amp;totales!J256="1","7",IF(totales!E256="6"&amp;totales!H256="0"&amp;totales!I256="1"&amp;totales!J256="1","8",IF(totales!E256="1"&amp;totales!H256="1"&amp;totales!I256="0"&amp;totales!J256="1","9"))))))))))))))))))))))))))))))))))))</f>
        <v>0</v>
      </c>
    </row>
    <row r="256" spans="22:22">
      <c r="V256" s="102" t="b">
        <f>IF(totales!E257="1"&amp;totales!H257="0"&amp;totales!I257="0"&amp;totales!J257="0","a",IF(totales!E257="2"&amp;totales!H257="0"&amp;totales!I257="0"&amp;totales!J257="0","b",IF(totales!E257="3"&amp;totales!H257="0"&amp;totales!I257="0"&amp;totales!J257="0","c",IF(totales!E257="4"&amp;totales!H257="0"&amp;totales!I257="0"&amp;totales!J257="0","d",IF(totales!E257="6"&amp;totales!H257="0"&amp;totales!I257="0"&amp;totales!J257="0","e",IF(totales!E257="1"&amp;totales!H257="1"&amp;totales!I257="0"&amp;totales!J257="0","f",IF(totales!E257="2"&amp;totales!H257="1"&amp;totales!I257="0"&amp;totales!J257="0","g",IF(totales!E257="3"&amp;totales!H257="1"&amp;totales!I257="0"&amp;totales!J257="0","h",IF(totales!E257="4"&amp;totales!H257="1"&amp;totales!I257="0"&amp;totales!J257="0","i",IF(totales!E257="6"&amp;totales!H257="1"&amp;totales!I257="0"&amp;totales!J257="0","j",IF(totales!E257="1"&amp;totales!H257="2"&amp;totales!I257="0"&amp;totales!J257="0","k",IF(totales!E257="2"&amp;totales!H257="2"&amp;totales!I257="0"&amp;totales!J257="0","l",IF(totales!E257="3"&amp;totales!H257="2"&amp;totales!I257="0"&amp;totales!J257="0","m",
IF(totales!E257="4"&amp;totales!H257="2"&amp;totales!I257="0"&amp;totales!J257="0","n",IF(totales!E257="6"&amp;totales!H257="2"&amp;totales!I257="0"&amp;totales!J257="0","o",IF(totales!E257="1"&amp;totales!H257="0"&amp;totales!I257="1"&amp;totales!J257="0","p",IF(totales!E257="2"&amp;totales!H257="0"&amp;totales!I257="1"&amp;totales!J257="0","q",IF(totales!E257="3"&amp;totales!H257="0"&amp;totales!I257="1"&amp;totales!J257="0","r",IF(totales!E257="4"&amp;totales!H257="0"&amp;totales!I257="1"&amp;totales!J257="0","s",IF(totales!E257="6"&amp;totales!H257="0"&amp;totales!I257="1"&amp;totales!J257="0","t",IF(totales!E257="1"&amp;totales!H257="2"&amp;totales!I257="1"&amp;totales!J257="0","u",IF(totales!E257="2"&amp;totales!H257="2"&amp;totales!I257="1"&amp;totales!J257="0","v",IF(totales!E257="3"&amp;totales!H257="2"&amp;totales!I257="1"&amp;totales!J257="0","w",IF(totales!E257="4"&amp;totales!H257="2"&amp;totales!I257="1"&amp;totales!J257="0","x",
IF(totales!E257="6"&amp;totales!H257="2"&amp;totales!I257="1"&amp;totales!J257="0","y",IF(totales!E257="1"&amp;totales!H257="1"&amp;totales!I257="1"&amp;totales!J257="0","z",IF(totales!E257="2"&amp;totales!H257="1"&amp;totales!I257="1"&amp;totales!J257="0","0",IF(totales!E257="3"&amp;totales!H257="1"&amp;totales!I257="1"&amp;totales!J257="0","1",IF(totales!E257="4"&amp;totales!H257="1"&amp;totales!I257="1"&amp;totales!J257="0","2",IF(totales!E257="6"&amp;totales!H257="1"&amp;totales!I257="1"&amp;totales!J257="0","3",IF(totales!E257="1"&amp;totales!H257="0"&amp;totales!I257="1"&amp;totales!J257="1","4",IF(totales!E257="2"&amp;totales!H257="0"&amp;totales!I257="1"&amp;totales!J257="1","5",IF(totales!E257="3"&amp;totales!H257="0"&amp;totales!I257="1"&amp;totales!J257="1","6",IF(totales!E257="4"&amp;totales!H257="0"&amp;totales!I257="1"&amp;totales!J257="1","7",IF(totales!E257="6"&amp;totales!H257="0"&amp;totales!I257="1"&amp;totales!J257="1","8",IF(totales!E257="1"&amp;totales!H257="1"&amp;totales!I257="0"&amp;totales!J257="1","9"))))))))))))))))))))))))))))))))))))</f>
        <v>0</v>
      </c>
    </row>
    <row r="257" spans="22:22">
      <c r="V257" s="102" t="b">
        <f>IF(totales!E258="1"&amp;totales!H258="0"&amp;totales!I258="0"&amp;totales!J258="0","a",IF(totales!E258="2"&amp;totales!H258="0"&amp;totales!I258="0"&amp;totales!J258="0","b",IF(totales!E258="3"&amp;totales!H258="0"&amp;totales!I258="0"&amp;totales!J258="0","c",IF(totales!E258="4"&amp;totales!H258="0"&amp;totales!I258="0"&amp;totales!J258="0","d",IF(totales!E258="6"&amp;totales!H258="0"&amp;totales!I258="0"&amp;totales!J258="0","e",IF(totales!E258="1"&amp;totales!H258="1"&amp;totales!I258="0"&amp;totales!J258="0","f",IF(totales!E258="2"&amp;totales!H258="1"&amp;totales!I258="0"&amp;totales!J258="0","g",IF(totales!E258="3"&amp;totales!H258="1"&amp;totales!I258="0"&amp;totales!J258="0","h",IF(totales!E258="4"&amp;totales!H258="1"&amp;totales!I258="0"&amp;totales!J258="0","i",IF(totales!E258="6"&amp;totales!H258="1"&amp;totales!I258="0"&amp;totales!J258="0","j",IF(totales!E258="1"&amp;totales!H258="2"&amp;totales!I258="0"&amp;totales!J258="0","k",IF(totales!E258="2"&amp;totales!H258="2"&amp;totales!I258="0"&amp;totales!J258="0","l",IF(totales!E258="3"&amp;totales!H258="2"&amp;totales!I258="0"&amp;totales!J258="0","m",
IF(totales!E258="4"&amp;totales!H258="2"&amp;totales!I258="0"&amp;totales!J258="0","n",IF(totales!E258="6"&amp;totales!H258="2"&amp;totales!I258="0"&amp;totales!J258="0","o",IF(totales!E258="1"&amp;totales!H258="0"&amp;totales!I258="1"&amp;totales!J258="0","p",IF(totales!E258="2"&amp;totales!H258="0"&amp;totales!I258="1"&amp;totales!J258="0","q",IF(totales!E258="3"&amp;totales!H258="0"&amp;totales!I258="1"&amp;totales!J258="0","r",IF(totales!E258="4"&amp;totales!H258="0"&amp;totales!I258="1"&amp;totales!J258="0","s",IF(totales!E258="6"&amp;totales!H258="0"&amp;totales!I258="1"&amp;totales!J258="0","t",IF(totales!E258="1"&amp;totales!H258="2"&amp;totales!I258="1"&amp;totales!J258="0","u",IF(totales!E258="2"&amp;totales!H258="2"&amp;totales!I258="1"&amp;totales!J258="0","v",IF(totales!E258="3"&amp;totales!H258="2"&amp;totales!I258="1"&amp;totales!J258="0","w",IF(totales!E258="4"&amp;totales!H258="2"&amp;totales!I258="1"&amp;totales!J258="0","x",
IF(totales!E258="6"&amp;totales!H258="2"&amp;totales!I258="1"&amp;totales!J258="0","y",IF(totales!E258="1"&amp;totales!H258="1"&amp;totales!I258="1"&amp;totales!J258="0","z",IF(totales!E258="2"&amp;totales!H258="1"&amp;totales!I258="1"&amp;totales!J258="0","0",IF(totales!E258="3"&amp;totales!H258="1"&amp;totales!I258="1"&amp;totales!J258="0","1",IF(totales!E258="4"&amp;totales!H258="1"&amp;totales!I258="1"&amp;totales!J258="0","2",IF(totales!E258="6"&amp;totales!H258="1"&amp;totales!I258="1"&amp;totales!J258="0","3",IF(totales!E258="1"&amp;totales!H258="0"&amp;totales!I258="1"&amp;totales!J258="1","4",IF(totales!E258="2"&amp;totales!H258="0"&amp;totales!I258="1"&amp;totales!J258="1","5",IF(totales!E258="3"&amp;totales!H258="0"&amp;totales!I258="1"&amp;totales!J258="1","6",IF(totales!E258="4"&amp;totales!H258="0"&amp;totales!I258="1"&amp;totales!J258="1","7",IF(totales!E258="6"&amp;totales!H258="0"&amp;totales!I258="1"&amp;totales!J258="1","8",IF(totales!E258="1"&amp;totales!H258="1"&amp;totales!I258="0"&amp;totales!J258="1","9"))))))))))))))))))))))))))))))))))))</f>
        <v>0</v>
      </c>
    </row>
    <row r="258" spans="22:22">
      <c r="V258" s="102" t="b">
        <f>IF(totales!E259="1"&amp;totales!H259="0"&amp;totales!I259="0"&amp;totales!J259="0","a",IF(totales!E259="2"&amp;totales!H259="0"&amp;totales!I259="0"&amp;totales!J259="0","b",IF(totales!E259="3"&amp;totales!H259="0"&amp;totales!I259="0"&amp;totales!J259="0","c",IF(totales!E259="4"&amp;totales!H259="0"&amp;totales!I259="0"&amp;totales!J259="0","d",IF(totales!E259="6"&amp;totales!H259="0"&amp;totales!I259="0"&amp;totales!J259="0","e",IF(totales!E259="1"&amp;totales!H259="1"&amp;totales!I259="0"&amp;totales!J259="0","f",IF(totales!E259="2"&amp;totales!H259="1"&amp;totales!I259="0"&amp;totales!J259="0","g",IF(totales!E259="3"&amp;totales!H259="1"&amp;totales!I259="0"&amp;totales!J259="0","h",IF(totales!E259="4"&amp;totales!H259="1"&amp;totales!I259="0"&amp;totales!J259="0","i",IF(totales!E259="6"&amp;totales!H259="1"&amp;totales!I259="0"&amp;totales!J259="0","j",IF(totales!E259="1"&amp;totales!H259="2"&amp;totales!I259="0"&amp;totales!J259="0","k",IF(totales!E259="2"&amp;totales!H259="2"&amp;totales!I259="0"&amp;totales!J259="0","l",IF(totales!E259="3"&amp;totales!H259="2"&amp;totales!I259="0"&amp;totales!J259="0","m",
IF(totales!E259="4"&amp;totales!H259="2"&amp;totales!I259="0"&amp;totales!J259="0","n",IF(totales!E259="6"&amp;totales!H259="2"&amp;totales!I259="0"&amp;totales!J259="0","o",IF(totales!E259="1"&amp;totales!H259="0"&amp;totales!I259="1"&amp;totales!J259="0","p",IF(totales!E259="2"&amp;totales!H259="0"&amp;totales!I259="1"&amp;totales!J259="0","q",IF(totales!E259="3"&amp;totales!H259="0"&amp;totales!I259="1"&amp;totales!J259="0","r",IF(totales!E259="4"&amp;totales!H259="0"&amp;totales!I259="1"&amp;totales!J259="0","s",IF(totales!E259="6"&amp;totales!H259="0"&amp;totales!I259="1"&amp;totales!J259="0","t",IF(totales!E259="1"&amp;totales!H259="2"&amp;totales!I259="1"&amp;totales!J259="0","u",IF(totales!E259="2"&amp;totales!H259="2"&amp;totales!I259="1"&amp;totales!J259="0","v",IF(totales!E259="3"&amp;totales!H259="2"&amp;totales!I259="1"&amp;totales!J259="0","w",IF(totales!E259="4"&amp;totales!H259="2"&amp;totales!I259="1"&amp;totales!J259="0","x",
IF(totales!E259="6"&amp;totales!H259="2"&amp;totales!I259="1"&amp;totales!J259="0","y",IF(totales!E259="1"&amp;totales!H259="1"&amp;totales!I259="1"&amp;totales!J259="0","z",IF(totales!E259="2"&amp;totales!H259="1"&amp;totales!I259="1"&amp;totales!J259="0","0",IF(totales!E259="3"&amp;totales!H259="1"&amp;totales!I259="1"&amp;totales!J259="0","1",IF(totales!E259="4"&amp;totales!H259="1"&amp;totales!I259="1"&amp;totales!J259="0","2",IF(totales!E259="6"&amp;totales!H259="1"&amp;totales!I259="1"&amp;totales!J259="0","3",IF(totales!E259="1"&amp;totales!H259="0"&amp;totales!I259="1"&amp;totales!J259="1","4",IF(totales!E259="2"&amp;totales!H259="0"&amp;totales!I259="1"&amp;totales!J259="1","5",IF(totales!E259="3"&amp;totales!H259="0"&amp;totales!I259="1"&amp;totales!J259="1","6",IF(totales!E259="4"&amp;totales!H259="0"&amp;totales!I259="1"&amp;totales!J259="1","7",IF(totales!E259="6"&amp;totales!H259="0"&amp;totales!I259="1"&amp;totales!J259="1","8",IF(totales!E259="1"&amp;totales!H259="1"&amp;totales!I259="0"&amp;totales!J259="1","9"))))))))))))))))))))))))))))))))))))</f>
        <v>0</v>
      </c>
    </row>
    <row r="259" spans="22:22">
      <c r="V259" s="102" t="b">
        <f>IF(totales!E260="1"&amp;totales!H260="0"&amp;totales!I260="0"&amp;totales!J260="0","a",IF(totales!E260="2"&amp;totales!H260="0"&amp;totales!I260="0"&amp;totales!J260="0","b",IF(totales!E260="3"&amp;totales!H260="0"&amp;totales!I260="0"&amp;totales!J260="0","c",IF(totales!E260="4"&amp;totales!H260="0"&amp;totales!I260="0"&amp;totales!J260="0","d",IF(totales!E260="6"&amp;totales!H260="0"&amp;totales!I260="0"&amp;totales!J260="0","e",IF(totales!E260="1"&amp;totales!H260="1"&amp;totales!I260="0"&amp;totales!J260="0","f",IF(totales!E260="2"&amp;totales!H260="1"&amp;totales!I260="0"&amp;totales!J260="0","g",IF(totales!E260="3"&amp;totales!H260="1"&amp;totales!I260="0"&amp;totales!J260="0","h",IF(totales!E260="4"&amp;totales!H260="1"&amp;totales!I260="0"&amp;totales!J260="0","i",IF(totales!E260="6"&amp;totales!H260="1"&amp;totales!I260="0"&amp;totales!J260="0","j",IF(totales!E260="1"&amp;totales!H260="2"&amp;totales!I260="0"&amp;totales!J260="0","k",IF(totales!E260="2"&amp;totales!H260="2"&amp;totales!I260="0"&amp;totales!J260="0","l",IF(totales!E260="3"&amp;totales!H260="2"&amp;totales!I260="0"&amp;totales!J260="0","m",
IF(totales!E260="4"&amp;totales!H260="2"&amp;totales!I260="0"&amp;totales!J260="0","n",IF(totales!E260="6"&amp;totales!H260="2"&amp;totales!I260="0"&amp;totales!J260="0","o",IF(totales!E260="1"&amp;totales!H260="0"&amp;totales!I260="1"&amp;totales!J260="0","p",IF(totales!E260="2"&amp;totales!H260="0"&amp;totales!I260="1"&amp;totales!J260="0","q",IF(totales!E260="3"&amp;totales!H260="0"&amp;totales!I260="1"&amp;totales!J260="0","r",IF(totales!E260="4"&amp;totales!H260="0"&amp;totales!I260="1"&amp;totales!J260="0","s",IF(totales!E260="6"&amp;totales!H260="0"&amp;totales!I260="1"&amp;totales!J260="0","t",IF(totales!E260="1"&amp;totales!H260="2"&amp;totales!I260="1"&amp;totales!J260="0","u",IF(totales!E260="2"&amp;totales!H260="2"&amp;totales!I260="1"&amp;totales!J260="0","v",IF(totales!E260="3"&amp;totales!H260="2"&amp;totales!I260="1"&amp;totales!J260="0","w",IF(totales!E260="4"&amp;totales!H260="2"&amp;totales!I260="1"&amp;totales!J260="0","x",
IF(totales!E260="6"&amp;totales!H260="2"&amp;totales!I260="1"&amp;totales!J260="0","y",IF(totales!E260="1"&amp;totales!H260="1"&amp;totales!I260="1"&amp;totales!J260="0","z",IF(totales!E260="2"&amp;totales!H260="1"&amp;totales!I260="1"&amp;totales!J260="0","0",IF(totales!E260="3"&amp;totales!H260="1"&amp;totales!I260="1"&amp;totales!J260="0","1",IF(totales!E260="4"&amp;totales!H260="1"&amp;totales!I260="1"&amp;totales!J260="0","2",IF(totales!E260="6"&amp;totales!H260="1"&amp;totales!I260="1"&amp;totales!J260="0","3",IF(totales!E260="1"&amp;totales!H260="0"&amp;totales!I260="1"&amp;totales!J260="1","4",IF(totales!E260="2"&amp;totales!H260="0"&amp;totales!I260="1"&amp;totales!J260="1","5",IF(totales!E260="3"&amp;totales!H260="0"&amp;totales!I260="1"&amp;totales!J260="1","6",IF(totales!E260="4"&amp;totales!H260="0"&amp;totales!I260="1"&amp;totales!J260="1","7",IF(totales!E260="6"&amp;totales!H260="0"&amp;totales!I260="1"&amp;totales!J260="1","8",IF(totales!E260="1"&amp;totales!H260="1"&amp;totales!I260="0"&amp;totales!J260="1","9"))))))))))))))))))))))))))))))))))))</f>
        <v>0</v>
      </c>
    </row>
    <row r="260" spans="22:22">
      <c r="V260" s="102" t="b">
        <f>IF(totales!E261="1"&amp;totales!H261="0"&amp;totales!I261="0"&amp;totales!J261="0","a",IF(totales!E261="2"&amp;totales!H261="0"&amp;totales!I261="0"&amp;totales!J261="0","b",IF(totales!E261="3"&amp;totales!H261="0"&amp;totales!I261="0"&amp;totales!J261="0","c",IF(totales!E261="4"&amp;totales!H261="0"&amp;totales!I261="0"&amp;totales!J261="0","d",IF(totales!E261="6"&amp;totales!H261="0"&amp;totales!I261="0"&amp;totales!J261="0","e",IF(totales!E261="1"&amp;totales!H261="1"&amp;totales!I261="0"&amp;totales!J261="0","f",IF(totales!E261="2"&amp;totales!H261="1"&amp;totales!I261="0"&amp;totales!J261="0","g",IF(totales!E261="3"&amp;totales!H261="1"&amp;totales!I261="0"&amp;totales!J261="0","h",IF(totales!E261="4"&amp;totales!H261="1"&amp;totales!I261="0"&amp;totales!J261="0","i",IF(totales!E261="6"&amp;totales!H261="1"&amp;totales!I261="0"&amp;totales!J261="0","j",IF(totales!E261="1"&amp;totales!H261="2"&amp;totales!I261="0"&amp;totales!J261="0","k",IF(totales!E261="2"&amp;totales!H261="2"&amp;totales!I261="0"&amp;totales!J261="0","l",IF(totales!E261="3"&amp;totales!H261="2"&amp;totales!I261="0"&amp;totales!J261="0","m",
IF(totales!E261="4"&amp;totales!H261="2"&amp;totales!I261="0"&amp;totales!J261="0","n",IF(totales!E261="6"&amp;totales!H261="2"&amp;totales!I261="0"&amp;totales!J261="0","o",IF(totales!E261="1"&amp;totales!H261="0"&amp;totales!I261="1"&amp;totales!J261="0","p",IF(totales!E261="2"&amp;totales!H261="0"&amp;totales!I261="1"&amp;totales!J261="0","q",IF(totales!E261="3"&amp;totales!H261="0"&amp;totales!I261="1"&amp;totales!J261="0","r",IF(totales!E261="4"&amp;totales!H261="0"&amp;totales!I261="1"&amp;totales!J261="0","s",IF(totales!E261="6"&amp;totales!H261="0"&amp;totales!I261="1"&amp;totales!J261="0","t",IF(totales!E261="1"&amp;totales!H261="2"&amp;totales!I261="1"&amp;totales!J261="0","u",IF(totales!E261="2"&amp;totales!H261="2"&amp;totales!I261="1"&amp;totales!J261="0","v",IF(totales!E261="3"&amp;totales!H261="2"&amp;totales!I261="1"&amp;totales!J261="0","w",IF(totales!E261="4"&amp;totales!H261="2"&amp;totales!I261="1"&amp;totales!J261="0","x",
IF(totales!E261="6"&amp;totales!H261="2"&amp;totales!I261="1"&amp;totales!J261="0","y",IF(totales!E261="1"&amp;totales!H261="1"&amp;totales!I261="1"&amp;totales!J261="0","z",IF(totales!E261="2"&amp;totales!H261="1"&amp;totales!I261="1"&amp;totales!J261="0","0",IF(totales!E261="3"&amp;totales!H261="1"&amp;totales!I261="1"&amp;totales!J261="0","1",IF(totales!E261="4"&amp;totales!H261="1"&amp;totales!I261="1"&amp;totales!J261="0","2",IF(totales!E261="6"&amp;totales!H261="1"&amp;totales!I261="1"&amp;totales!J261="0","3",IF(totales!E261="1"&amp;totales!H261="0"&amp;totales!I261="1"&amp;totales!J261="1","4",IF(totales!E261="2"&amp;totales!H261="0"&amp;totales!I261="1"&amp;totales!J261="1","5",IF(totales!E261="3"&amp;totales!H261="0"&amp;totales!I261="1"&amp;totales!J261="1","6",IF(totales!E261="4"&amp;totales!H261="0"&amp;totales!I261="1"&amp;totales!J261="1","7",IF(totales!E261="6"&amp;totales!H261="0"&amp;totales!I261="1"&amp;totales!J261="1","8",IF(totales!E261="1"&amp;totales!H261="1"&amp;totales!I261="0"&amp;totales!J261="1","9"))))))))))))))))))))))))))))))))))))</f>
        <v>0</v>
      </c>
    </row>
    <row r="261" spans="22:22">
      <c r="V261" s="102" t="b">
        <f>IF(totales!E262="1"&amp;totales!H262="0"&amp;totales!I262="0"&amp;totales!J262="0","a",IF(totales!E262="2"&amp;totales!H262="0"&amp;totales!I262="0"&amp;totales!J262="0","b",IF(totales!E262="3"&amp;totales!H262="0"&amp;totales!I262="0"&amp;totales!J262="0","c",IF(totales!E262="4"&amp;totales!H262="0"&amp;totales!I262="0"&amp;totales!J262="0","d",IF(totales!E262="6"&amp;totales!H262="0"&amp;totales!I262="0"&amp;totales!J262="0","e",IF(totales!E262="1"&amp;totales!H262="1"&amp;totales!I262="0"&amp;totales!J262="0","f",IF(totales!E262="2"&amp;totales!H262="1"&amp;totales!I262="0"&amp;totales!J262="0","g",IF(totales!E262="3"&amp;totales!H262="1"&amp;totales!I262="0"&amp;totales!J262="0","h",IF(totales!E262="4"&amp;totales!H262="1"&amp;totales!I262="0"&amp;totales!J262="0","i",IF(totales!E262="6"&amp;totales!H262="1"&amp;totales!I262="0"&amp;totales!J262="0","j",IF(totales!E262="1"&amp;totales!H262="2"&amp;totales!I262="0"&amp;totales!J262="0","k",IF(totales!E262="2"&amp;totales!H262="2"&amp;totales!I262="0"&amp;totales!J262="0","l",IF(totales!E262="3"&amp;totales!H262="2"&amp;totales!I262="0"&amp;totales!J262="0","m",
IF(totales!E262="4"&amp;totales!H262="2"&amp;totales!I262="0"&amp;totales!J262="0","n",IF(totales!E262="6"&amp;totales!H262="2"&amp;totales!I262="0"&amp;totales!J262="0","o",IF(totales!E262="1"&amp;totales!H262="0"&amp;totales!I262="1"&amp;totales!J262="0","p",IF(totales!E262="2"&amp;totales!H262="0"&amp;totales!I262="1"&amp;totales!J262="0","q",IF(totales!E262="3"&amp;totales!H262="0"&amp;totales!I262="1"&amp;totales!J262="0","r",IF(totales!E262="4"&amp;totales!H262="0"&amp;totales!I262="1"&amp;totales!J262="0","s",IF(totales!E262="6"&amp;totales!H262="0"&amp;totales!I262="1"&amp;totales!J262="0","t",IF(totales!E262="1"&amp;totales!H262="2"&amp;totales!I262="1"&amp;totales!J262="0","u",IF(totales!E262="2"&amp;totales!H262="2"&amp;totales!I262="1"&amp;totales!J262="0","v",IF(totales!E262="3"&amp;totales!H262="2"&amp;totales!I262="1"&amp;totales!J262="0","w",IF(totales!E262="4"&amp;totales!H262="2"&amp;totales!I262="1"&amp;totales!J262="0","x",
IF(totales!E262="6"&amp;totales!H262="2"&amp;totales!I262="1"&amp;totales!J262="0","y",IF(totales!E262="1"&amp;totales!H262="1"&amp;totales!I262="1"&amp;totales!J262="0","z",IF(totales!E262="2"&amp;totales!H262="1"&amp;totales!I262="1"&amp;totales!J262="0","0",IF(totales!E262="3"&amp;totales!H262="1"&amp;totales!I262="1"&amp;totales!J262="0","1",IF(totales!E262="4"&amp;totales!H262="1"&amp;totales!I262="1"&amp;totales!J262="0","2",IF(totales!E262="6"&amp;totales!H262="1"&amp;totales!I262="1"&amp;totales!J262="0","3",IF(totales!E262="1"&amp;totales!H262="0"&amp;totales!I262="1"&amp;totales!J262="1","4",IF(totales!E262="2"&amp;totales!H262="0"&amp;totales!I262="1"&amp;totales!J262="1","5",IF(totales!E262="3"&amp;totales!H262="0"&amp;totales!I262="1"&amp;totales!J262="1","6",IF(totales!E262="4"&amp;totales!H262="0"&amp;totales!I262="1"&amp;totales!J262="1","7",IF(totales!E262="6"&amp;totales!H262="0"&amp;totales!I262="1"&amp;totales!J262="1","8",IF(totales!E262="1"&amp;totales!H262="1"&amp;totales!I262="0"&amp;totales!J262="1","9"))))))))))))))))))))))))))))))))))))</f>
        <v>0</v>
      </c>
    </row>
    <row r="262" spans="22:22">
      <c r="V262" s="102" t="b">
        <f>IF(totales!E263="1"&amp;totales!H263="0"&amp;totales!I263="0"&amp;totales!J263="0","a",IF(totales!E263="2"&amp;totales!H263="0"&amp;totales!I263="0"&amp;totales!J263="0","b",IF(totales!E263="3"&amp;totales!H263="0"&amp;totales!I263="0"&amp;totales!J263="0","c",IF(totales!E263="4"&amp;totales!H263="0"&amp;totales!I263="0"&amp;totales!J263="0","d",IF(totales!E263="6"&amp;totales!H263="0"&amp;totales!I263="0"&amp;totales!J263="0","e",IF(totales!E263="1"&amp;totales!H263="1"&amp;totales!I263="0"&amp;totales!J263="0","f",IF(totales!E263="2"&amp;totales!H263="1"&amp;totales!I263="0"&amp;totales!J263="0","g",IF(totales!E263="3"&amp;totales!H263="1"&amp;totales!I263="0"&amp;totales!J263="0","h",IF(totales!E263="4"&amp;totales!H263="1"&amp;totales!I263="0"&amp;totales!J263="0","i",IF(totales!E263="6"&amp;totales!H263="1"&amp;totales!I263="0"&amp;totales!J263="0","j",IF(totales!E263="1"&amp;totales!H263="2"&amp;totales!I263="0"&amp;totales!J263="0","k",IF(totales!E263="2"&amp;totales!H263="2"&amp;totales!I263="0"&amp;totales!J263="0","l",IF(totales!E263="3"&amp;totales!H263="2"&amp;totales!I263="0"&amp;totales!J263="0","m",
IF(totales!E263="4"&amp;totales!H263="2"&amp;totales!I263="0"&amp;totales!J263="0","n",IF(totales!E263="6"&amp;totales!H263="2"&amp;totales!I263="0"&amp;totales!J263="0","o",IF(totales!E263="1"&amp;totales!H263="0"&amp;totales!I263="1"&amp;totales!J263="0","p",IF(totales!E263="2"&amp;totales!H263="0"&amp;totales!I263="1"&amp;totales!J263="0","q",IF(totales!E263="3"&amp;totales!H263="0"&amp;totales!I263="1"&amp;totales!J263="0","r",IF(totales!E263="4"&amp;totales!H263="0"&amp;totales!I263="1"&amp;totales!J263="0","s",IF(totales!E263="6"&amp;totales!H263="0"&amp;totales!I263="1"&amp;totales!J263="0","t",IF(totales!E263="1"&amp;totales!H263="2"&amp;totales!I263="1"&amp;totales!J263="0","u",IF(totales!E263="2"&amp;totales!H263="2"&amp;totales!I263="1"&amp;totales!J263="0","v",IF(totales!E263="3"&amp;totales!H263="2"&amp;totales!I263="1"&amp;totales!J263="0","w",IF(totales!E263="4"&amp;totales!H263="2"&amp;totales!I263="1"&amp;totales!J263="0","x",
IF(totales!E263="6"&amp;totales!H263="2"&amp;totales!I263="1"&amp;totales!J263="0","y",IF(totales!E263="1"&amp;totales!H263="1"&amp;totales!I263="1"&amp;totales!J263="0","z",IF(totales!E263="2"&amp;totales!H263="1"&amp;totales!I263="1"&amp;totales!J263="0","0",IF(totales!E263="3"&amp;totales!H263="1"&amp;totales!I263="1"&amp;totales!J263="0","1",IF(totales!E263="4"&amp;totales!H263="1"&amp;totales!I263="1"&amp;totales!J263="0","2",IF(totales!E263="6"&amp;totales!H263="1"&amp;totales!I263="1"&amp;totales!J263="0","3",IF(totales!E263="1"&amp;totales!H263="0"&amp;totales!I263="1"&amp;totales!J263="1","4",IF(totales!E263="2"&amp;totales!H263="0"&amp;totales!I263="1"&amp;totales!J263="1","5",IF(totales!E263="3"&amp;totales!H263="0"&amp;totales!I263="1"&amp;totales!J263="1","6",IF(totales!E263="4"&amp;totales!H263="0"&amp;totales!I263="1"&amp;totales!J263="1","7",IF(totales!E263="6"&amp;totales!H263="0"&amp;totales!I263="1"&amp;totales!J263="1","8",IF(totales!E263="1"&amp;totales!H263="1"&amp;totales!I263="0"&amp;totales!J263="1","9"))))))))))))))))))))))))))))))))))))</f>
        <v>0</v>
      </c>
    </row>
    <row r="263" spans="22:22">
      <c r="V263" s="102" t="b">
        <f>IF(totales!E264="1"&amp;totales!H264="0"&amp;totales!I264="0"&amp;totales!J264="0","a",IF(totales!E264="2"&amp;totales!H264="0"&amp;totales!I264="0"&amp;totales!J264="0","b",IF(totales!E264="3"&amp;totales!H264="0"&amp;totales!I264="0"&amp;totales!J264="0","c",IF(totales!E264="4"&amp;totales!H264="0"&amp;totales!I264="0"&amp;totales!J264="0","d",IF(totales!E264="6"&amp;totales!H264="0"&amp;totales!I264="0"&amp;totales!J264="0","e",IF(totales!E264="1"&amp;totales!H264="1"&amp;totales!I264="0"&amp;totales!J264="0","f",IF(totales!E264="2"&amp;totales!H264="1"&amp;totales!I264="0"&amp;totales!J264="0","g",IF(totales!E264="3"&amp;totales!H264="1"&amp;totales!I264="0"&amp;totales!J264="0","h",IF(totales!E264="4"&amp;totales!H264="1"&amp;totales!I264="0"&amp;totales!J264="0","i",IF(totales!E264="6"&amp;totales!H264="1"&amp;totales!I264="0"&amp;totales!J264="0","j",IF(totales!E264="1"&amp;totales!H264="2"&amp;totales!I264="0"&amp;totales!J264="0","k",IF(totales!E264="2"&amp;totales!H264="2"&amp;totales!I264="0"&amp;totales!J264="0","l",IF(totales!E264="3"&amp;totales!H264="2"&amp;totales!I264="0"&amp;totales!J264="0","m",
IF(totales!E264="4"&amp;totales!H264="2"&amp;totales!I264="0"&amp;totales!J264="0","n",IF(totales!E264="6"&amp;totales!H264="2"&amp;totales!I264="0"&amp;totales!J264="0","o",IF(totales!E264="1"&amp;totales!H264="0"&amp;totales!I264="1"&amp;totales!J264="0","p",IF(totales!E264="2"&amp;totales!H264="0"&amp;totales!I264="1"&amp;totales!J264="0","q",IF(totales!E264="3"&amp;totales!H264="0"&amp;totales!I264="1"&amp;totales!J264="0","r",IF(totales!E264="4"&amp;totales!H264="0"&amp;totales!I264="1"&amp;totales!J264="0","s",IF(totales!E264="6"&amp;totales!H264="0"&amp;totales!I264="1"&amp;totales!J264="0","t",IF(totales!E264="1"&amp;totales!H264="2"&amp;totales!I264="1"&amp;totales!J264="0","u",IF(totales!E264="2"&amp;totales!H264="2"&amp;totales!I264="1"&amp;totales!J264="0","v",IF(totales!E264="3"&amp;totales!H264="2"&amp;totales!I264="1"&amp;totales!J264="0","w",IF(totales!E264="4"&amp;totales!H264="2"&amp;totales!I264="1"&amp;totales!J264="0","x",
IF(totales!E264="6"&amp;totales!H264="2"&amp;totales!I264="1"&amp;totales!J264="0","y",IF(totales!E264="1"&amp;totales!H264="1"&amp;totales!I264="1"&amp;totales!J264="0","z",IF(totales!E264="2"&amp;totales!H264="1"&amp;totales!I264="1"&amp;totales!J264="0","0",IF(totales!E264="3"&amp;totales!H264="1"&amp;totales!I264="1"&amp;totales!J264="0","1",IF(totales!E264="4"&amp;totales!H264="1"&amp;totales!I264="1"&amp;totales!J264="0","2",IF(totales!E264="6"&amp;totales!H264="1"&amp;totales!I264="1"&amp;totales!J264="0","3",IF(totales!E264="1"&amp;totales!H264="0"&amp;totales!I264="1"&amp;totales!J264="1","4",IF(totales!E264="2"&amp;totales!H264="0"&amp;totales!I264="1"&amp;totales!J264="1","5",IF(totales!E264="3"&amp;totales!H264="0"&amp;totales!I264="1"&amp;totales!J264="1","6",IF(totales!E264="4"&amp;totales!H264="0"&amp;totales!I264="1"&amp;totales!J264="1","7",IF(totales!E264="6"&amp;totales!H264="0"&amp;totales!I264="1"&amp;totales!J264="1","8",IF(totales!E264="1"&amp;totales!H264="1"&amp;totales!I264="0"&amp;totales!J264="1","9"))))))))))))))))))))))))))))))))))))</f>
        <v>0</v>
      </c>
    </row>
    <row r="264" spans="22:22">
      <c r="V264" s="102" t="b">
        <f>IF(totales!E265="1"&amp;totales!H265="0"&amp;totales!I265="0"&amp;totales!J265="0","a",IF(totales!E265="2"&amp;totales!H265="0"&amp;totales!I265="0"&amp;totales!J265="0","b",IF(totales!E265="3"&amp;totales!H265="0"&amp;totales!I265="0"&amp;totales!J265="0","c",IF(totales!E265="4"&amp;totales!H265="0"&amp;totales!I265="0"&amp;totales!J265="0","d",IF(totales!E265="6"&amp;totales!H265="0"&amp;totales!I265="0"&amp;totales!J265="0","e",IF(totales!E265="1"&amp;totales!H265="1"&amp;totales!I265="0"&amp;totales!J265="0","f",IF(totales!E265="2"&amp;totales!H265="1"&amp;totales!I265="0"&amp;totales!J265="0","g",IF(totales!E265="3"&amp;totales!H265="1"&amp;totales!I265="0"&amp;totales!J265="0","h",IF(totales!E265="4"&amp;totales!H265="1"&amp;totales!I265="0"&amp;totales!J265="0","i",IF(totales!E265="6"&amp;totales!H265="1"&amp;totales!I265="0"&amp;totales!J265="0","j",IF(totales!E265="1"&amp;totales!H265="2"&amp;totales!I265="0"&amp;totales!J265="0","k",IF(totales!E265="2"&amp;totales!H265="2"&amp;totales!I265="0"&amp;totales!J265="0","l",IF(totales!E265="3"&amp;totales!H265="2"&amp;totales!I265="0"&amp;totales!J265="0","m",
IF(totales!E265="4"&amp;totales!H265="2"&amp;totales!I265="0"&amp;totales!J265="0","n",IF(totales!E265="6"&amp;totales!H265="2"&amp;totales!I265="0"&amp;totales!J265="0","o",IF(totales!E265="1"&amp;totales!H265="0"&amp;totales!I265="1"&amp;totales!J265="0","p",IF(totales!E265="2"&amp;totales!H265="0"&amp;totales!I265="1"&amp;totales!J265="0","q",IF(totales!E265="3"&amp;totales!H265="0"&amp;totales!I265="1"&amp;totales!J265="0","r",IF(totales!E265="4"&amp;totales!H265="0"&amp;totales!I265="1"&amp;totales!J265="0","s",IF(totales!E265="6"&amp;totales!H265="0"&amp;totales!I265="1"&amp;totales!J265="0","t",IF(totales!E265="1"&amp;totales!H265="2"&amp;totales!I265="1"&amp;totales!J265="0","u",IF(totales!E265="2"&amp;totales!H265="2"&amp;totales!I265="1"&amp;totales!J265="0","v",IF(totales!E265="3"&amp;totales!H265="2"&amp;totales!I265="1"&amp;totales!J265="0","w",IF(totales!E265="4"&amp;totales!H265="2"&amp;totales!I265="1"&amp;totales!J265="0","x",
IF(totales!E265="6"&amp;totales!H265="2"&amp;totales!I265="1"&amp;totales!J265="0","y",IF(totales!E265="1"&amp;totales!H265="1"&amp;totales!I265="1"&amp;totales!J265="0","z",IF(totales!E265="2"&amp;totales!H265="1"&amp;totales!I265="1"&amp;totales!J265="0","0",IF(totales!E265="3"&amp;totales!H265="1"&amp;totales!I265="1"&amp;totales!J265="0","1",IF(totales!E265="4"&amp;totales!H265="1"&amp;totales!I265="1"&amp;totales!J265="0","2",IF(totales!E265="6"&amp;totales!H265="1"&amp;totales!I265="1"&amp;totales!J265="0","3",IF(totales!E265="1"&amp;totales!H265="0"&amp;totales!I265="1"&amp;totales!J265="1","4",IF(totales!E265="2"&amp;totales!H265="0"&amp;totales!I265="1"&amp;totales!J265="1","5",IF(totales!E265="3"&amp;totales!H265="0"&amp;totales!I265="1"&amp;totales!J265="1","6",IF(totales!E265="4"&amp;totales!H265="0"&amp;totales!I265="1"&amp;totales!J265="1","7",IF(totales!E265="6"&amp;totales!H265="0"&amp;totales!I265="1"&amp;totales!J265="1","8",IF(totales!E265="1"&amp;totales!H265="1"&amp;totales!I265="0"&amp;totales!J265="1","9"))))))))))))))))))))))))))))))))))))</f>
        <v>0</v>
      </c>
    </row>
    <row r="265" spans="22:22">
      <c r="V265" s="102" t="b">
        <f>IF(totales!E266="1"&amp;totales!H266="0"&amp;totales!I266="0"&amp;totales!J266="0","a",IF(totales!E266="2"&amp;totales!H266="0"&amp;totales!I266="0"&amp;totales!J266="0","b",IF(totales!E266="3"&amp;totales!H266="0"&amp;totales!I266="0"&amp;totales!J266="0","c",IF(totales!E266="4"&amp;totales!H266="0"&amp;totales!I266="0"&amp;totales!J266="0","d",IF(totales!E266="6"&amp;totales!H266="0"&amp;totales!I266="0"&amp;totales!J266="0","e",IF(totales!E266="1"&amp;totales!H266="1"&amp;totales!I266="0"&amp;totales!J266="0","f",IF(totales!E266="2"&amp;totales!H266="1"&amp;totales!I266="0"&amp;totales!J266="0","g",IF(totales!E266="3"&amp;totales!H266="1"&amp;totales!I266="0"&amp;totales!J266="0","h",IF(totales!E266="4"&amp;totales!H266="1"&amp;totales!I266="0"&amp;totales!J266="0","i",IF(totales!E266="6"&amp;totales!H266="1"&amp;totales!I266="0"&amp;totales!J266="0","j",IF(totales!E266="1"&amp;totales!H266="2"&amp;totales!I266="0"&amp;totales!J266="0","k",IF(totales!E266="2"&amp;totales!H266="2"&amp;totales!I266="0"&amp;totales!J266="0","l",IF(totales!E266="3"&amp;totales!H266="2"&amp;totales!I266="0"&amp;totales!J266="0","m",
IF(totales!E266="4"&amp;totales!H266="2"&amp;totales!I266="0"&amp;totales!J266="0","n",IF(totales!E266="6"&amp;totales!H266="2"&amp;totales!I266="0"&amp;totales!J266="0","o",IF(totales!E266="1"&amp;totales!H266="0"&amp;totales!I266="1"&amp;totales!J266="0","p",IF(totales!E266="2"&amp;totales!H266="0"&amp;totales!I266="1"&amp;totales!J266="0","q",IF(totales!E266="3"&amp;totales!H266="0"&amp;totales!I266="1"&amp;totales!J266="0","r",IF(totales!E266="4"&amp;totales!H266="0"&amp;totales!I266="1"&amp;totales!J266="0","s",IF(totales!E266="6"&amp;totales!H266="0"&amp;totales!I266="1"&amp;totales!J266="0","t",IF(totales!E266="1"&amp;totales!H266="2"&amp;totales!I266="1"&amp;totales!J266="0","u",IF(totales!E266="2"&amp;totales!H266="2"&amp;totales!I266="1"&amp;totales!J266="0","v",IF(totales!E266="3"&amp;totales!H266="2"&amp;totales!I266="1"&amp;totales!J266="0","w",IF(totales!E266="4"&amp;totales!H266="2"&amp;totales!I266="1"&amp;totales!J266="0","x",
IF(totales!E266="6"&amp;totales!H266="2"&amp;totales!I266="1"&amp;totales!J266="0","y",IF(totales!E266="1"&amp;totales!H266="1"&amp;totales!I266="1"&amp;totales!J266="0","z",IF(totales!E266="2"&amp;totales!H266="1"&amp;totales!I266="1"&amp;totales!J266="0","0",IF(totales!E266="3"&amp;totales!H266="1"&amp;totales!I266="1"&amp;totales!J266="0","1",IF(totales!E266="4"&amp;totales!H266="1"&amp;totales!I266="1"&amp;totales!J266="0","2",IF(totales!E266="6"&amp;totales!H266="1"&amp;totales!I266="1"&amp;totales!J266="0","3",IF(totales!E266="1"&amp;totales!H266="0"&amp;totales!I266="1"&amp;totales!J266="1","4",IF(totales!E266="2"&amp;totales!H266="0"&amp;totales!I266="1"&amp;totales!J266="1","5",IF(totales!E266="3"&amp;totales!H266="0"&amp;totales!I266="1"&amp;totales!J266="1","6",IF(totales!E266="4"&amp;totales!H266="0"&amp;totales!I266="1"&amp;totales!J266="1","7",IF(totales!E266="6"&amp;totales!H266="0"&amp;totales!I266="1"&amp;totales!J266="1","8",IF(totales!E266="1"&amp;totales!H266="1"&amp;totales!I266="0"&amp;totales!J266="1","9"))))))))))))))))))))))))))))))))))))</f>
        <v>0</v>
      </c>
    </row>
    <row r="266" spans="22:22">
      <c r="V266" s="102" t="b">
        <f>IF(totales!E267="1"&amp;totales!H267="0"&amp;totales!I267="0"&amp;totales!J267="0","a",IF(totales!E267="2"&amp;totales!H267="0"&amp;totales!I267="0"&amp;totales!J267="0","b",IF(totales!E267="3"&amp;totales!H267="0"&amp;totales!I267="0"&amp;totales!J267="0","c",IF(totales!E267="4"&amp;totales!H267="0"&amp;totales!I267="0"&amp;totales!J267="0","d",IF(totales!E267="6"&amp;totales!H267="0"&amp;totales!I267="0"&amp;totales!J267="0","e",IF(totales!E267="1"&amp;totales!H267="1"&amp;totales!I267="0"&amp;totales!J267="0","f",IF(totales!E267="2"&amp;totales!H267="1"&amp;totales!I267="0"&amp;totales!J267="0","g",IF(totales!E267="3"&amp;totales!H267="1"&amp;totales!I267="0"&amp;totales!J267="0","h",IF(totales!E267="4"&amp;totales!H267="1"&amp;totales!I267="0"&amp;totales!J267="0","i",IF(totales!E267="6"&amp;totales!H267="1"&amp;totales!I267="0"&amp;totales!J267="0","j",IF(totales!E267="1"&amp;totales!H267="2"&amp;totales!I267="0"&amp;totales!J267="0","k",IF(totales!E267="2"&amp;totales!H267="2"&amp;totales!I267="0"&amp;totales!J267="0","l",IF(totales!E267="3"&amp;totales!H267="2"&amp;totales!I267="0"&amp;totales!J267="0","m",
IF(totales!E267="4"&amp;totales!H267="2"&amp;totales!I267="0"&amp;totales!J267="0","n",IF(totales!E267="6"&amp;totales!H267="2"&amp;totales!I267="0"&amp;totales!J267="0","o",IF(totales!E267="1"&amp;totales!H267="0"&amp;totales!I267="1"&amp;totales!J267="0","p",IF(totales!E267="2"&amp;totales!H267="0"&amp;totales!I267="1"&amp;totales!J267="0","q",IF(totales!E267="3"&amp;totales!H267="0"&amp;totales!I267="1"&amp;totales!J267="0","r",IF(totales!E267="4"&amp;totales!H267="0"&amp;totales!I267="1"&amp;totales!J267="0","s",IF(totales!E267="6"&amp;totales!H267="0"&amp;totales!I267="1"&amp;totales!J267="0","t",IF(totales!E267="1"&amp;totales!H267="2"&amp;totales!I267="1"&amp;totales!J267="0","u",IF(totales!E267="2"&amp;totales!H267="2"&amp;totales!I267="1"&amp;totales!J267="0","v",IF(totales!E267="3"&amp;totales!H267="2"&amp;totales!I267="1"&amp;totales!J267="0","w",IF(totales!E267="4"&amp;totales!H267="2"&amp;totales!I267="1"&amp;totales!J267="0","x",
IF(totales!E267="6"&amp;totales!H267="2"&amp;totales!I267="1"&amp;totales!J267="0","y",IF(totales!E267="1"&amp;totales!H267="1"&amp;totales!I267="1"&amp;totales!J267="0","z",IF(totales!E267="2"&amp;totales!H267="1"&amp;totales!I267="1"&amp;totales!J267="0","0",IF(totales!E267="3"&amp;totales!H267="1"&amp;totales!I267="1"&amp;totales!J267="0","1",IF(totales!E267="4"&amp;totales!H267="1"&amp;totales!I267="1"&amp;totales!J267="0","2",IF(totales!E267="6"&amp;totales!H267="1"&amp;totales!I267="1"&amp;totales!J267="0","3",IF(totales!E267="1"&amp;totales!H267="0"&amp;totales!I267="1"&amp;totales!J267="1","4",IF(totales!E267="2"&amp;totales!H267="0"&amp;totales!I267="1"&amp;totales!J267="1","5",IF(totales!E267="3"&amp;totales!H267="0"&amp;totales!I267="1"&amp;totales!J267="1","6",IF(totales!E267="4"&amp;totales!H267="0"&amp;totales!I267="1"&amp;totales!J267="1","7",IF(totales!E267="6"&amp;totales!H267="0"&amp;totales!I267="1"&amp;totales!J267="1","8",IF(totales!E267="1"&amp;totales!H267="1"&amp;totales!I267="0"&amp;totales!J267="1","9"))))))))))))))))))))))))))))))))))))</f>
        <v>0</v>
      </c>
    </row>
    <row r="267" spans="22:22">
      <c r="V267" s="102" t="b">
        <f>IF(totales!E268="1"&amp;totales!H268="0"&amp;totales!I268="0"&amp;totales!J268="0","a",IF(totales!E268="2"&amp;totales!H268="0"&amp;totales!I268="0"&amp;totales!J268="0","b",IF(totales!E268="3"&amp;totales!H268="0"&amp;totales!I268="0"&amp;totales!J268="0","c",IF(totales!E268="4"&amp;totales!H268="0"&amp;totales!I268="0"&amp;totales!J268="0","d",IF(totales!E268="6"&amp;totales!H268="0"&amp;totales!I268="0"&amp;totales!J268="0","e",IF(totales!E268="1"&amp;totales!H268="1"&amp;totales!I268="0"&amp;totales!J268="0","f",IF(totales!E268="2"&amp;totales!H268="1"&amp;totales!I268="0"&amp;totales!J268="0","g",IF(totales!E268="3"&amp;totales!H268="1"&amp;totales!I268="0"&amp;totales!J268="0","h",IF(totales!E268="4"&amp;totales!H268="1"&amp;totales!I268="0"&amp;totales!J268="0","i",IF(totales!E268="6"&amp;totales!H268="1"&amp;totales!I268="0"&amp;totales!J268="0","j",IF(totales!E268="1"&amp;totales!H268="2"&amp;totales!I268="0"&amp;totales!J268="0","k",IF(totales!E268="2"&amp;totales!H268="2"&amp;totales!I268="0"&amp;totales!J268="0","l",IF(totales!E268="3"&amp;totales!H268="2"&amp;totales!I268="0"&amp;totales!J268="0","m",
IF(totales!E268="4"&amp;totales!H268="2"&amp;totales!I268="0"&amp;totales!J268="0","n",IF(totales!E268="6"&amp;totales!H268="2"&amp;totales!I268="0"&amp;totales!J268="0","o",IF(totales!E268="1"&amp;totales!H268="0"&amp;totales!I268="1"&amp;totales!J268="0","p",IF(totales!E268="2"&amp;totales!H268="0"&amp;totales!I268="1"&amp;totales!J268="0","q",IF(totales!E268="3"&amp;totales!H268="0"&amp;totales!I268="1"&amp;totales!J268="0","r",IF(totales!E268="4"&amp;totales!H268="0"&amp;totales!I268="1"&amp;totales!J268="0","s",IF(totales!E268="6"&amp;totales!H268="0"&amp;totales!I268="1"&amp;totales!J268="0","t",IF(totales!E268="1"&amp;totales!H268="2"&amp;totales!I268="1"&amp;totales!J268="0","u",IF(totales!E268="2"&amp;totales!H268="2"&amp;totales!I268="1"&amp;totales!J268="0","v",IF(totales!E268="3"&amp;totales!H268="2"&amp;totales!I268="1"&amp;totales!J268="0","w",IF(totales!E268="4"&amp;totales!H268="2"&amp;totales!I268="1"&amp;totales!J268="0","x",
IF(totales!E268="6"&amp;totales!H268="2"&amp;totales!I268="1"&amp;totales!J268="0","y",IF(totales!E268="1"&amp;totales!H268="1"&amp;totales!I268="1"&amp;totales!J268="0","z",IF(totales!E268="2"&amp;totales!H268="1"&amp;totales!I268="1"&amp;totales!J268="0","0",IF(totales!E268="3"&amp;totales!H268="1"&amp;totales!I268="1"&amp;totales!J268="0","1",IF(totales!E268="4"&amp;totales!H268="1"&amp;totales!I268="1"&amp;totales!J268="0","2",IF(totales!E268="6"&amp;totales!H268="1"&amp;totales!I268="1"&amp;totales!J268="0","3",IF(totales!E268="1"&amp;totales!H268="0"&amp;totales!I268="1"&amp;totales!J268="1","4",IF(totales!E268="2"&amp;totales!H268="0"&amp;totales!I268="1"&amp;totales!J268="1","5",IF(totales!E268="3"&amp;totales!H268="0"&amp;totales!I268="1"&amp;totales!J268="1","6",IF(totales!E268="4"&amp;totales!H268="0"&amp;totales!I268="1"&amp;totales!J268="1","7",IF(totales!E268="6"&amp;totales!H268="0"&amp;totales!I268="1"&amp;totales!J268="1","8",IF(totales!E268="1"&amp;totales!H268="1"&amp;totales!I268="0"&amp;totales!J268="1","9"))))))))))))))))))))))))))))))))))))</f>
        <v>0</v>
      </c>
    </row>
    <row r="268" spans="22:22">
      <c r="V268" s="102" t="b">
        <f>IF(totales!E269="1"&amp;totales!H269="0"&amp;totales!I269="0"&amp;totales!J269="0","a",IF(totales!E269="2"&amp;totales!H269="0"&amp;totales!I269="0"&amp;totales!J269="0","b",IF(totales!E269="3"&amp;totales!H269="0"&amp;totales!I269="0"&amp;totales!J269="0","c",IF(totales!E269="4"&amp;totales!H269="0"&amp;totales!I269="0"&amp;totales!J269="0","d",IF(totales!E269="6"&amp;totales!H269="0"&amp;totales!I269="0"&amp;totales!J269="0","e",IF(totales!E269="1"&amp;totales!H269="1"&amp;totales!I269="0"&amp;totales!J269="0","f",IF(totales!E269="2"&amp;totales!H269="1"&amp;totales!I269="0"&amp;totales!J269="0","g",IF(totales!E269="3"&amp;totales!H269="1"&amp;totales!I269="0"&amp;totales!J269="0","h",IF(totales!E269="4"&amp;totales!H269="1"&amp;totales!I269="0"&amp;totales!J269="0","i",IF(totales!E269="6"&amp;totales!H269="1"&amp;totales!I269="0"&amp;totales!J269="0","j",IF(totales!E269="1"&amp;totales!H269="2"&amp;totales!I269="0"&amp;totales!J269="0","k",IF(totales!E269="2"&amp;totales!H269="2"&amp;totales!I269="0"&amp;totales!J269="0","l",IF(totales!E269="3"&amp;totales!H269="2"&amp;totales!I269="0"&amp;totales!J269="0","m",
IF(totales!E269="4"&amp;totales!H269="2"&amp;totales!I269="0"&amp;totales!J269="0","n",IF(totales!E269="6"&amp;totales!H269="2"&amp;totales!I269="0"&amp;totales!J269="0","o",IF(totales!E269="1"&amp;totales!H269="0"&amp;totales!I269="1"&amp;totales!J269="0","p",IF(totales!E269="2"&amp;totales!H269="0"&amp;totales!I269="1"&amp;totales!J269="0","q",IF(totales!E269="3"&amp;totales!H269="0"&amp;totales!I269="1"&amp;totales!J269="0","r",IF(totales!E269="4"&amp;totales!H269="0"&amp;totales!I269="1"&amp;totales!J269="0","s",IF(totales!E269="6"&amp;totales!H269="0"&amp;totales!I269="1"&amp;totales!J269="0","t",IF(totales!E269="1"&amp;totales!H269="2"&amp;totales!I269="1"&amp;totales!J269="0","u",IF(totales!E269="2"&amp;totales!H269="2"&amp;totales!I269="1"&amp;totales!J269="0","v",IF(totales!E269="3"&amp;totales!H269="2"&amp;totales!I269="1"&amp;totales!J269="0","w",IF(totales!E269="4"&amp;totales!H269="2"&amp;totales!I269="1"&amp;totales!J269="0","x",
IF(totales!E269="6"&amp;totales!H269="2"&amp;totales!I269="1"&amp;totales!J269="0","y",IF(totales!E269="1"&amp;totales!H269="1"&amp;totales!I269="1"&amp;totales!J269="0","z",IF(totales!E269="2"&amp;totales!H269="1"&amp;totales!I269="1"&amp;totales!J269="0","0",IF(totales!E269="3"&amp;totales!H269="1"&amp;totales!I269="1"&amp;totales!J269="0","1",IF(totales!E269="4"&amp;totales!H269="1"&amp;totales!I269="1"&amp;totales!J269="0","2",IF(totales!E269="6"&amp;totales!H269="1"&amp;totales!I269="1"&amp;totales!J269="0","3",IF(totales!E269="1"&amp;totales!H269="0"&amp;totales!I269="1"&amp;totales!J269="1","4",IF(totales!E269="2"&amp;totales!H269="0"&amp;totales!I269="1"&amp;totales!J269="1","5",IF(totales!E269="3"&amp;totales!H269="0"&amp;totales!I269="1"&amp;totales!J269="1","6",IF(totales!E269="4"&amp;totales!H269="0"&amp;totales!I269="1"&amp;totales!J269="1","7",IF(totales!E269="6"&amp;totales!H269="0"&amp;totales!I269="1"&amp;totales!J269="1","8",IF(totales!E269="1"&amp;totales!H269="1"&amp;totales!I269="0"&amp;totales!J269="1","9"))))))))))))))))))))))))))))))))))))</f>
        <v>0</v>
      </c>
    </row>
    <row r="269" spans="22:22">
      <c r="V269" s="102" t="b">
        <f>IF(totales!E270="1"&amp;totales!H270="0"&amp;totales!I270="0"&amp;totales!J270="0","a",IF(totales!E270="2"&amp;totales!H270="0"&amp;totales!I270="0"&amp;totales!J270="0","b",IF(totales!E270="3"&amp;totales!H270="0"&amp;totales!I270="0"&amp;totales!J270="0","c",IF(totales!E270="4"&amp;totales!H270="0"&amp;totales!I270="0"&amp;totales!J270="0","d",IF(totales!E270="6"&amp;totales!H270="0"&amp;totales!I270="0"&amp;totales!J270="0","e",IF(totales!E270="1"&amp;totales!H270="1"&amp;totales!I270="0"&amp;totales!J270="0","f",IF(totales!E270="2"&amp;totales!H270="1"&amp;totales!I270="0"&amp;totales!J270="0","g",IF(totales!E270="3"&amp;totales!H270="1"&amp;totales!I270="0"&amp;totales!J270="0","h",IF(totales!E270="4"&amp;totales!H270="1"&amp;totales!I270="0"&amp;totales!J270="0","i",IF(totales!E270="6"&amp;totales!H270="1"&amp;totales!I270="0"&amp;totales!J270="0","j",IF(totales!E270="1"&amp;totales!H270="2"&amp;totales!I270="0"&amp;totales!J270="0","k",IF(totales!E270="2"&amp;totales!H270="2"&amp;totales!I270="0"&amp;totales!J270="0","l",IF(totales!E270="3"&amp;totales!H270="2"&amp;totales!I270="0"&amp;totales!J270="0","m",
IF(totales!E270="4"&amp;totales!H270="2"&amp;totales!I270="0"&amp;totales!J270="0","n",IF(totales!E270="6"&amp;totales!H270="2"&amp;totales!I270="0"&amp;totales!J270="0","o",IF(totales!E270="1"&amp;totales!H270="0"&amp;totales!I270="1"&amp;totales!J270="0","p",IF(totales!E270="2"&amp;totales!H270="0"&amp;totales!I270="1"&amp;totales!J270="0","q",IF(totales!E270="3"&amp;totales!H270="0"&amp;totales!I270="1"&amp;totales!J270="0","r",IF(totales!E270="4"&amp;totales!H270="0"&amp;totales!I270="1"&amp;totales!J270="0","s",IF(totales!E270="6"&amp;totales!H270="0"&amp;totales!I270="1"&amp;totales!J270="0","t",IF(totales!E270="1"&amp;totales!H270="2"&amp;totales!I270="1"&amp;totales!J270="0","u",IF(totales!E270="2"&amp;totales!H270="2"&amp;totales!I270="1"&amp;totales!J270="0","v",IF(totales!E270="3"&amp;totales!H270="2"&amp;totales!I270="1"&amp;totales!J270="0","w",IF(totales!E270="4"&amp;totales!H270="2"&amp;totales!I270="1"&amp;totales!J270="0","x",
IF(totales!E270="6"&amp;totales!H270="2"&amp;totales!I270="1"&amp;totales!J270="0","y",IF(totales!E270="1"&amp;totales!H270="1"&amp;totales!I270="1"&amp;totales!J270="0","z",IF(totales!E270="2"&amp;totales!H270="1"&amp;totales!I270="1"&amp;totales!J270="0","0",IF(totales!E270="3"&amp;totales!H270="1"&amp;totales!I270="1"&amp;totales!J270="0","1",IF(totales!E270="4"&amp;totales!H270="1"&amp;totales!I270="1"&amp;totales!J270="0","2",IF(totales!E270="6"&amp;totales!H270="1"&amp;totales!I270="1"&amp;totales!J270="0","3",IF(totales!E270="1"&amp;totales!H270="0"&amp;totales!I270="1"&amp;totales!J270="1","4",IF(totales!E270="2"&amp;totales!H270="0"&amp;totales!I270="1"&amp;totales!J270="1","5",IF(totales!E270="3"&amp;totales!H270="0"&amp;totales!I270="1"&amp;totales!J270="1","6",IF(totales!E270="4"&amp;totales!H270="0"&amp;totales!I270="1"&amp;totales!J270="1","7",IF(totales!E270="6"&amp;totales!H270="0"&amp;totales!I270="1"&amp;totales!J270="1","8",IF(totales!E270="1"&amp;totales!H270="1"&amp;totales!I270="0"&amp;totales!J270="1","9"))))))))))))))))))))))))))))))))))))</f>
        <v>0</v>
      </c>
    </row>
    <row r="270" spans="22:22">
      <c r="V270" s="102" t="b">
        <f>IF(totales!E271="1"&amp;totales!H271="0"&amp;totales!I271="0"&amp;totales!J271="0","a",IF(totales!E271="2"&amp;totales!H271="0"&amp;totales!I271="0"&amp;totales!J271="0","b",IF(totales!E271="3"&amp;totales!H271="0"&amp;totales!I271="0"&amp;totales!J271="0","c",IF(totales!E271="4"&amp;totales!H271="0"&amp;totales!I271="0"&amp;totales!J271="0","d",IF(totales!E271="6"&amp;totales!H271="0"&amp;totales!I271="0"&amp;totales!J271="0","e",IF(totales!E271="1"&amp;totales!H271="1"&amp;totales!I271="0"&amp;totales!J271="0","f",IF(totales!E271="2"&amp;totales!H271="1"&amp;totales!I271="0"&amp;totales!J271="0","g",IF(totales!E271="3"&amp;totales!H271="1"&amp;totales!I271="0"&amp;totales!J271="0","h",IF(totales!E271="4"&amp;totales!H271="1"&amp;totales!I271="0"&amp;totales!J271="0","i",IF(totales!E271="6"&amp;totales!H271="1"&amp;totales!I271="0"&amp;totales!J271="0","j",IF(totales!E271="1"&amp;totales!H271="2"&amp;totales!I271="0"&amp;totales!J271="0","k",IF(totales!E271="2"&amp;totales!H271="2"&amp;totales!I271="0"&amp;totales!J271="0","l",IF(totales!E271="3"&amp;totales!H271="2"&amp;totales!I271="0"&amp;totales!J271="0","m",
IF(totales!E271="4"&amp;totales!H271="2"&amp;totales!I271="0"&amp;totales!J271="0","n",IF(totales!E271="6"&amp;totales!H271="2"&amp;totales!I271="0"&amp;totales!J271="0","o",IF(totales!E271="1"&amp;totales!H271="0"&amp;totales!I271="1"&amp;totales!J271="0","p",IF(totales!E271="2"&amp;totales!H271="0"&amp;totales!I271="1"&amp;totales!J271="0","q",IF(totales!E271="3"&amp;totales!H271="0"&amp;totales!I271="1"&amp;totales!J271="0","r",IF(totales!E271="4"&amp;totales!H271="0"&amp;totales!I271="1"&amp;totales!J271="0","s",IF(totales!E271="6"&amp;totales!H271="0"&amp;totales!I271="1"&amp;totales!J271="0","t",IF(totales!E271="1"&amp;totales!H271="2"&amp;totales!I271="1"&amp;totales!J271="0","u",IF(totales!E271="2"&amp;totales!H271="2"&amp;totales!I271="1"&amp;totales!J271="0","v",IF(totales!E271="3"&amp;totales!H271="2"&amp;totales!I271="1"&amp;totales!J271="0","w",IF(totales!E271="4"&amp;totales!H271="2"&amp;totales!I271="1"&amp;totales!J271="0","x",
IF(totales!E271="6"&amp;totales!H271="2"&amp;totales!I271="1"&amp;totales!J271="0","y",IF(totales!E271="1"&amp;totales!H271="1"&amp;totales!I271="1"&amp;totales!J271="0","z",IF(totales!E271="2"&amp;totales!H271="1"&amp;totales!I271="1"&amp;totales!J271="0","0",IF(totales!E271="3"&amp;totales!H271="1"&amp;totales!I271="1"&amp;totales!J271="0","1",IF(totales!E271="4"&amp;totales!H271="1"&amp;totales!I271="1"&amp;totales!J271="0","2",IF(totales!E271="6"&amp;totales!H271="1"&amp;totales!I271="1"&amp;totales!J271="0","3",IF(totales!E271="1"&amp;totales!H271="0"&amp;totales!I271="1"&amp;totales!J271="1","4",IF(totales!E271="2"&amp;totales!H271="0"&amp;totales!I271="1"&amp;totales!J271="1","5",IF(totales!E271="3"&amp;totales!H271="0"&amp;totales!I271="1"&amp;totales!J271="1","6",IF(totales!E271="4"&amp;totales!H271="0"&amp;totales!I271="1"&amp;totales!J271="1","7",IF(totales!E271="6"&amp;totales!H271="0"&amp;totales!I271="1"&amp;totales!J271="1","8",IF(totales!E271="1"&amp;totales!H271="1"&amp;totales!I271="0"&amp;totales!J271="1","9"))))))))))))))))))))))))))))))))))))</f>
        <v>0</v>
      </c>
    </row>
    <row r="271" spans="22:22">
      <c r="V271" s="102" t="b">
        <f>IF(totales!E272="1"&amp;totales!H272="0"&amp;totales!I272="0"&amp;totales!J272="0","a",IF(totales!E272="2"&amp;totales!H272="0"&amp;totales!I272="0"&amp;totales!J272="0","b",IF(totales!E272="3"&amp;totales!H272="0"&amp;totales!I272="0"&amp;totales!J272="0","c",IF(totales!E272="4"&amp;totales!H272="0"&amp;totales!I272="0"&amp;totales!J272="0","d",IF(totales!E272="6"&amp;totales!H272="0"&amp;totales!I272="0"&amp;totales!J272="0","e",IF(totales!E272="1"&amp;totales!H272="1"&amp;totales!I272="0"&amp;totales!J272="0","f",IF(totales!E272="2"&amp;totales!H272="1"&amp;totales!I272="0"&amp;totales!J272="0","g",IF(totales!E272="3"&amp;totales!H272="1"&amp;totales!I272="0"&amp;totales!J272="0","h",IF(totales!E272="4"&amp;totales!H272="1"&amp;totales!I272="0"&amp;totales!J272="0","i",IF(totales!E272="6"&amp;totales!H272="1"&amp;totales!I272="0"&amp;totales!J272="0","j",IF(totales!E272="1"&amp;totales!H272="2"&amp;totales!I272="0"&amp;totales!J272="0","k",IF(totales!E272="2"&amp;totales!H272="2"&amp;totales!I272="0"&amp;totales!J272="0","l",IF(totales!E272="3"&amp;totales!H272="2"&amp;totales!I272="0"&amp;totales!J272="0","m",
IF(totales!E272="4"&amp;totales!H272="2"&amp;totales!I272="0"&amp;totales!J272="0","n",IF(totales!E272="6"&amp;totales!H272="2"&amp;totales!I272="0"&amp;totales!J272="0","o",IF(totales!E272="1"&amp;totales!H272="0"&amp;totales!I272="1"&amp;totales!J272="0","p",IF(totales!E272="2"&amp;totales!H272="0"&amp;totales!I272="1"&amp;totales!J272="0","q",IF(totales!E272="3"&amp;totales!H272="0"&amp;totales!I272="1"&amp;totales!J272="0","r",IF(totales!E272="4"&amp;totales!H272="0"&amp;totales!I272="1"&amp;totales!J272="0","s",IF(totales!E272="6"&amp;totales!H272="0"&amp;totales!I272="1"&amp;totales!J272="0","t",IF(totales!E272="1"&amp;totales!H272="2"&amp;totales!I272="1"&amp;totales!J272="0","u",IF(totales!E272="2"&amp;totales!H272="2"&amp;totales!I272="1"&amp;totales!J272="0","v",IF(totales!E272="3"&amp;totales!H272="2"&amp;totales!I272="1"&amp;totales!J272="0","w",IF(totales!E272="4"&amp;totales!H272="2"&amp;totales!I272="1"&amp;totales!J272="0","x",
IF(totales!E272="6"&amp;totales!H272="2"&amp;totales!I272="1"&amp;totales!J272="0","y",IF(totales!E272="1"&amp;totales!H272="1"&amp;totales!I272="1"&amp;totales!J272="0","z",IF(totales!E272="2"&amp;totales!H272="1"&amp;totales!I272="1"&amp;totales!J272="0","0",IF(totales!E272="3"&amp;totales!H272="1"&amp;totales!I272="1"&amp;totales!J272="0","1",IF(totales!E272="4"&amp;totales!H272="1"&amp;totales!I272="1"&amp;totales!J272="0","2",IF(totales!E272="6"&amp;totales!H272="1"&amp;totales!I272="1"&amp;totales!J272="0","3",IF(totales!E272="1"&amp;totales!H272="0"&amp;totales!I272="1"&amp;totales!J272="1","4",IF(totales!E272="2"&amp;totales!H272="0"&amp;totales!I272="1"&amp;totales!J272="1","5",IF(totales!E272="3"&amp;totales!H272="0"&amp;totales!I272="1"&amp;totales!J272="1","6",IF(totales!E272="4"&amp;totales!H272="0"&amp;totales!I272="1"&amp;totales!J272="1","7",IF(totales!E272="6"&amp;totales!H272="0"&amp;totales!I272="1"&amp;totales!J272="1","8",IF(totales!E272="1"&amp;totales!H272="1"&amp;totales!I272="0"&amp;totales!J272="1","9"))))))))))))))))))))))))))))))))))))</f>
        <v>0</v>
      </c>
    </row>
    <row r="272" spans="22:22">
      <c r="V272" s="102" t="b">
        <f>IF(totales!E273="1"&amp;totales!H273="0"&amp;totales!I273="0"&amp;totales!J273="0","a",IF(totales!E273="2"&amp;totales!H273="0"&amp;totales!I273="0"&amp;totales!J273="0","b",IF(totales!E273="3"&amp;totales!H273="0"&amp;totales!I273="0"&amp;totales!J273="0","c",IF(totales!E273="4"&amp;totales!H273="0"&amp;totales!I273="0"&amp;totales!J273="0","d",IF(totales!E273="6"&amp;totales!H273="0"&amp;totales!I273="0"&amp;totales!J273="0","e",IF(totales!E273="1"&amp;totales!H273="1"&amp;totales!I273="0"&amp;totales!J273="0","f",IF(totales!E273="2"&amp;totales!H273="1"&amp;totales!I273="0"&amp;totales!J273="0","g",IF(totales!E273="3"&amp;totales!H273="1"&amp;totales!I273="0"&amp;totales!J273="0","h",IF(totales!E273="4"&amp;totales!H273="1"&amp;totales!I273="0"&amp;totales!J273="0","i",IF(totales!E273="6"&amp;totales!H273="1"&amp;totales!I273="0"&amp;totales!J273="0","j",IF(totales!E273="1"&amp;totales!H273="2"&amp;totales!I273="0"&amp;totales!J273="0","k",IF(totales!E273="2"&amp;totales!H273="2"&amp;totales!I273="0"&amp;totales!J273="0","l",IF(totales!E273="3"&amp;totales!H273="2"&amp;totales!I273="0"&amp;totales!J273="0","m",
IF(totales!E273="4"&amp;totales!H273="2"&amp;totales!I273="0"&amp;totales!J273="0","n",IF(totales!E273="6"&amp;totales!H273="2"&amp;totales!I273="0"&amp;totales!J273="0","o",IF(totales!E273="1"&amp;totales!H273="0"&amp;totales!I273="1"&amp;totales!J273="0","p",IF(totales!E273="2"&amp;totales!H273="0"&amp;totales!I273="1"&amp;totales!J273="0","q",IF(totales!E273="3"&amp;totales!H273="0"&amp;totales!I273="1"&amp;totales!J273="0","r",IF(totales!E273="4"&amp;totales!H273="0"&amp;totales!I273="1"&amp;totales!J273="0","s",IF(totales!E273="6"&amp;totales!H273="0"&amp;totales!I273="1"&amp;totales!J273="0","t",IF(totales!E273="1"&amp;totales!H273="2"&amp;totales!I273="1"&amp;totales!J273="0","u",IF(totales!E273="2"&amp;totales!H273="2"&amp;totales!I273="1"&amp;totales!J273="0","v",IF(totales!E273="3"&amp;totales!H273="2"&amp;totales!I273="1"&amp;totales!J273="0","w",IF(totales!E273="4"&amp;totales!H273="2"&amp;totales!I273="1"&amp;totales!J273="0","x",
IF(totales!E273="6"&amp;totales!H273="2"&amp;totales!I273="1"&amp;totales!J273="0","y",IF(totales!E273="1"&amp;totales!H273="1"&amp;totales!I273="1"&amp;totales!J273="0","z",IF(totales!E273="2"&amp;totales!H273="1"&amp;totales!I273="1"&amp;totales!J273="0","0",IF(totales!E273="3"&amp;totales!H273="1"&amp;totales!I273="1"&amp;totales!J273="0","1",IF(totales!E273="4"&amp;totales!H273="1"&amp;totales!I273="1"&amp;totales!J273="0","2",IF(totales!E273="6"&amp;totales!H273="1"&amp;totales!I273="1"&amp;totales!J273="0","3",IF(totales!E273="1"&amp;totales!H273="0"&amp;totales!I273="1"&amp;totales!J273="1","4",IF(totales!E273="2"&amp;totales!H273="0"&amp;totales!I273="1"&amp;totales!J273="1","5",IF(totales!E273="3"&amp;totales!H273="0"&amp;totales!I273="1"&amp;totales!J273="1","6",IF(totales!E273="4"&amp;totales!H273="0"&amp;totales!I273="1"&amp;totales!J273="1","7",IF(totales!E273="6"&amp;totales!H273="0"&amp;totales!I273="1"&amp;totales!J273="1","8",IF(totales!E273="1"&amp;totales!H273="1"&amp;totales!I273="0"&amp;totales!J273="1","9"))))))))))))))))))))))))))))))))))))</f>
        <v>0</v>
      </c>
    </row>
    <row r="273" spans="22:22">
      <c r="V273" s="102" t="b">
        <f>IF(totales!E274="1"&amp;totales!H274="0"&amp;totales!I274="0"&amp;totales!J274="0","a",IF(totales!E274="2"&amp;totales!H274="0"&amp;totales!I274="0"&amp;totales!J274="0","b",IF(totales!E274="3"&amp;totales!H274="0"&amp;totales!I274="0"&amp;totales!J274="0","c",IF(totales!E274="4"&amp;totales!H274="0"&amp;totales!I274="0"&amp;totales!J274="0","d",IF(totales!E274="6"&amp;totales!H274="0"&amp;totales!I274="0"&amp;totales!J274="0","e",IF(totales!E274="1"&amp;totales!H274="1"&amp;totales!I274="0"&amp;totales!J274="0","f",IF(totales!E274="2"&amp;totales!H274="1"&amp;totales!I274="0"&amp;totales!J274="0","g",IF(totales!E274="3"&amp;totales!H274="1"&amp;totales!I274="0"&amp;totales!J274="0","h",IF(totales!E274="4"&amp;totales!H274="1"&amp;totales!I274="0"&amp;totales!J274="0","i",IF(totales!E274="6"&amp;totales!H274="1"&amp;totales!I274="0"&amp;totales!J274="0","j",IF(totales!E274="1"&amp;totales!H274="2"&amp;totales!I274="0"&amp;totales!J274="0","k",IF(totales!E274="2"&amp;totales!H274="2"&amp;totales!I274="0"&amp;totales!J274="0","l",IF(totales!E274="3"&amp;totales!H274="2"&amp;totales!I274="0"&amp;totales!J274="0","m",
IF(totales!E274="4"&amp;totales!H274="2"&amp;totales!I274="0"&amp;totales!J274="0","n",IF(totales!E274="6"&amp;totales!H274="2"&amp;totales!I274="0"&amp;totales!J274="0","o",IF(totales!E274="1"&amp;totales!H274="0"&amp;totales!I274="1"&amp;totales!J274="0","p",IF(totales!E274="2"&amp;totales!H274="0"&amp;totales!I274="1"&amp;totales!J274="0","q",IF(totales!E274="3"&amp;totales!H274="0"&amp;totales!I274="1"&amp;totales!J274="0","r",IF(totales!E274="4"&amp;totales!H274="0"&amp;totales!I274="1"&amp;totales!J274="0","s",IF(totales!E274="6"&amp;totales!H274="0"&amp;totales!I274="1"&amp;totales!J274="0","t",IF(totales!E274="1"&amp;totales!H274="2"&amp;totales!I274="1"&amp;totales!J274="0","u",IF(totales!E274="2"&amp;totales!H274="2"&amp;totales!I274="1"&amp;totales!J274="0","v",IF(totales!E274="3"&amp;totales!H274="2"&amp;totales!I274="1"&amp;totales!J274="0","w",IF(totales!E274="4"&amp;totales!H274="2"&amp;totales!I274="1"&amp;totales!J274="0","x",
IF(totales!E274="6"&amp;totales!H274="2"&amp;totales!I274="1"&amp;totales!J274="0","y",IF(totales!E274="1"&amp;totales!H274="1"&amp;totales!I274="1"&amp;totales!J274="0","z",IF(totales!E274="2"&amp;totales!H274="1"&amp;totales!I274="1"&amp;totales!J274="0","0",IF(totales!E274="3"&amp;totales!H274="1"&amp;totales!I274="1"&amp;totales!J274="0","1",IF(totales!E274="4"&amp;totales!H274="1"&amp;totales!I274="1"&amp;totales!J274="0","2",IF(totales!E274="6"&amp;totales!H274="1"&amp;totales!I274="1"&amp;totales!J274="0","3",IF(totales!E274="1"&amp;totales!H274="0"&amp;totales!I274="1"&amp;totales!J274="1","4",IF(totales!E274="2"&amp;totales!H274="0"&amp;totales!I274="1"&amp;totales!J274="1","5",IF(totales!E274="3"&amp;totales!H274="0"&amp;totales!I274="1"&amp;totales!J274="1","6",IF(totales!E274="4"&amp;totales!H274="0"&amp;totales!I274="1"&amp;totales!J274="1","7",IF(totales!E274="6"&amp;totales!H274="0"&amp;totales!I274="1"&amp;totales!J274="1","8",IF(totales!E274="1"&amp;totales!H274="1"&amp;totales!I274="0"&amp;totales!J274="1","9"))))))))))))))))))))))))))))))))))))</f>
        <v>0</v>
      </c>
    </row>
    <row r="274" spans="22:22">
      <c r="V274" s="102" t="b">
        <f>IF(totales!E275="1"&amp;totales!H275="0"&amp;totales!I275="0"&amp;totales!J275="0","a",IF(totales!E275="2"&amp;totales!H275="0"&amp;totales!I275="0"&amp;totales!J275="0","b",IF(totales!E275="3"&amp;totales!H275="0"&amp;totales!I275="0"&amp;totales!J275="0","c",IF(totales!E275="4"&amp;totales!H275="0"&amp;totales!I275="0"&amp;totales!J275="0","d",IF(totales!E275="6"&amp;totales!H275="0"&amp;totales!I275="0"&amp;totales!J275="0","e",IF(totales!E275="1"&amp;totales!H275="1"&amp;totales!I275="0"&amp;totales!J275="0","f",IF(totales!E275="2"&amp;totales!H275="1"&amp;totales!I275="0"&amp;totales!J275="0","g",IF(totales!E275="3"&amp;totales!H275="1"&amp;totales!I275="0"&amp;totales!J275="0","h",IF(totales!E275="4"&amp;totales!H275="1"&amp;totales!I275="0"&amp;totales!J275="0","i",IF(totales!E275="6"&amp;totales!H275="1"&amp;totales!I275="0"&amp;totales!J275="0","j",IF(totales!E275="1"&amp;totales!H275="2"&amp;totales!I275="0"&amp;totales!J275="0","k",IF(totales!E275="2"&amp;totales!H275="2"&amp;totales!I275="0"&amp;totales!J275="0","l",IF(totales!E275="3"&amp;totales!H275="2"&amp;totales!I275="0"&amp;totales!J275="0","m",
IF(totales!E275="4"&amp;totales!H275="2"&amp;totales!I275="0"&amp;totales!J275="0","n",IF(totales!E275="6"&amp;totales!H275="2"&amp;totales!I275="0"&amp;totales!J275="0","o",IF(totales!E275="1"&amp;totales!H275="0"&amp;totales!I275="1"&amp;totales!J275="0","p",IF(totales!E275="2"&amp;totales!H275="0"&amp;totales!I275="1"&amp;totales!J275="0","q",IF(totales!E275="3"&amp;totales!H275="0"&amp;totales!I275="1"&amp;totales!J275="0","r",IF(totales!E275="4"&amp;totales!H275="0"&amp;totales!I275="1"&amp;totales!J275="0","s",IF(totales!E275="6"&amp;totales!H275="0"&amp;totales!I275="1"&amp;totales!J275="0","t",IF(totales!E275="1"&amp;totales!H275="2"&amp;totales!I275="1"&amp;totales!J275="0","u",IF(totales!E275="2"&amp;totales!H275="2"&amp;totales!I275="1"&amp;totales!J275="0","v",IF(totales!E275="3"&amp;totales!H275="2"&amp;totales!I275="1"&amp;totales!J275="0","w",IF(totales!E275="4"&amp;totales!H275="2"&amp;totales!I275="1"&amp;totales!J275="0","x",
IF(totales!E275="6"&amp;totales!H275="2"&amp;totales!I275="1"&amp;totales!J275="0","y",IF(totales!E275="1"&amp;totales!H275="1"&amp;totales!I275="1"&amp;totales!J275="0","z",IF(totales!E275="2"&amp;totales!H275="1"&amp;totales!I275="1"&amp;totales!J275="0","0",IF(totales!E275="3"&amp;totales!H275="1"&amp;totales!I275="1"&amp;totales!J275="0","1",IF(totales!E275="4"&amp;totales!H275="1"&amp;totales!I275="1"&amp;totales!J275="0","2",IF(totales!E275="6"&amp;totales!H275="1"&amp;totales!I275="1"&amp;totales!J275="0","3",IF(totales!E275="1"&amp;totales!H275="0"&amp;totales!I275="1"&amp;totales!J275="1","4",IF(totales!E275="2"&amp;totales!H275="0"&amp;totales!I275="1"&amp;totales!J275="1","5",IF(totales!E275="3"&amp;totales!H275="0"&amp;totales!I275="1"&amp;totales!J275="1","6",IF(totales!E275="4"&amp;totales!H275="0"&amp;totales!I275="1"&amp;totales!J275="1","7",IF(totales!E275="6"&amp;totales!H275="0"&amp;totales!I275="1"&amp;totales!J275="1","8",IF(totales!E275="1"&amp;totales!H275="1"&amp;totales!I275="0"&amp;totales!J275="1","9"))))))))))))))))))))))))))))))))))))</f>
        <v>0</v>
      </c>
    </row>
    <row r="275" spans="22:22">
      <c r="V275" s="102" t="b">
        <f>IF(totales!E276="1"&amp;totales!H276="0"&amp;totales!I276="0"&amp;totales!J276="0","a",IF(totales!E276="2"&amp;totales!H276="0"&amp;totales!I276="0"&amp;totales!J276="0","b",IF(totales!E276="3"&amp;totales!H276="0"&amp;totales!I276="0"&amp;totales!J276="0","c",IF(totales!E276="4"&amp;totales!H276="0"&amp;totales!I276="0"&amp;totales!J276="0","d",IF(totales!E276="6"&amp;totales!H276="0"&amp;totales!I276="0"&amp;totales!J276="0","e",IF(totales!E276="1"&amp;totales!H276="1"&amp;totales!I276="0"&amp;totales!J276="0","f",IF(totales!E276="2"&amp;totales!H276="1"&amp;totales!I276="0"&amp;totales!J276="0","g",IF(totales!E276="3"&amp;totales!H276="1"&amp;totales!I276="0"&amp;totales!J276="0","h",IF(totales!E276="4"&amp;totales!H276="1"&amp;totales!I276="0"&amp;totales!J276="0","i",IF(totales!E276="6"&amp;totales!H276="1"&amp;totales!I276="0"&amp;totales!J276="0","j",IF(totales!E276="1"&amp;totales!H276="2"&amp;totales!I276="0"&amp;totales!J276="0","k",IF(totales!E276="2"&amp;totales!H276="2"&amp;totales!I276="0"&amp;totales!J276="0","l",IF(totales!E276="3"&amp;totales!H276="2"&amp;totales!I276="0"&amp;totales!J276="0","m",
IF(totales!E276="4"&amp;totales!H276="2"&amp;totales!I276="0"&amp;totales!J276="0","n",IF(totales!E276="6"&amp;totales!H276="2"&amp;totales!I276="0"&amp;totales!J276="0","o",IF(totales!E276="1"&amp;totales!H276="0"&amp;totales!I276="1"&amp;totales!J276="0","p",IF(totales!E276="2"&amp;totales!H276="0"&amp;totales!I276="1"&amp;totales!J276="0","q",IF(totales!E276="3"&amp;totales!H276="0"&amp;totales!I276="1"&amp;totales!J276="0","r",IF(totales!E276="4"&amp;totales!H276="0"&amp;totales!I276="1"&amp;totales!J276="0","s",IF(totales!E276="6"&amp;totales!H276="0"&amp;totales!I276="1"&amp;totales!J276="0","t",IF(totales!E276="1"&amp;totales!H276="2"&amp;totales!I276="1"&amp;totales!J276="0","u",IF(totales!E276="2"&amp;totales!H276="2"&amp;totales!I276="1"&amp;totales!J276="0","v",IF(totales!E276="3"&amp;totales!H276="2"&amp;totales!I276="1"&amp;totales!J276="0","w",IF(totales!E276="4"&amp;totales!H276="2"&amp;totales!I276="1"&amp;totales!J276="0","x",
IF(totales!E276="6"&amp;totales!H276="2"&amp;totales!I276="1"&amp;totales!J276="0","y",IF(totales!E276="1"&amp;totales!H276="1"&amp;totales!I276="1"&amp;totales!J276="0","z",IF(totales!E276="2"&amp;totales!H276="1"&amp;totales!I276="1"&amp;totales!J276="0","0",IF(totales!E276="3"&amp;totales!H276="1"&amp;totales!I276="1"&amp;totales!J276="0","1",IF(totales!E276="4"&amp;totales!H276="1"&amp;totales!I276="1"&amp;totales!J276="0","2",IF(totales!E276="6"&amp;totales!H276="1"&amp;totales!I276="1"&amp;totales!J276="0","3",IF(totales!E276="1"&amp;totales!H276="0"&amp;totales!I276="1"&amp;totales!J276="1","4",IF(totales!E276="2"&amp;totales!H276="0"&amp;totales!I276="1"&amp;totales!J276="1","5",IF(totales!E276="3"&amp;totales!H276="0"&amp;totales!I276="1"&amp;totales!J276="1","6",IF(totales!E276="4"&amp;totales!H276="0"&amp;totales!I276="1"&amp;totales!J276="1","7",IF(totales!E276="6"&amp;totales!H276="0"&amp;totales!I276="1"&amp;totales!J276="1","8",IF(totales!E276="1"&amp;totales!H276="1"&amp;totales!I276="0"&amp;totales!J276="1","9"))))))))))))))))))))))))))))))))))))</f>
        <v>0</v>
      </c>
    </row>
    <row r="276" spans="22:22">
      <c r="V276" s="102" t="b">
        <f>IF(totales!E277="1"&amp;totales!H277="0"&amp;totales!I277="0"&amp;totales!J277="0","a",IF(totales!E277="2"&amp;totales!H277="0"&amp;totales!I277="0"&amp;totales!J277="0","b",IF(totales!E277="3"&amp;totales!H277="0"&amp;totales!I277="0"&amp;totales!J277="0","c",IF(totales!E277="4"&amp;totales!H277="0"&amp;totales!I277="0"&amp;totales!J277="0","d",IF(totales!E277="6"&amp;totales!H277="0"&amp;totales!I277="0"&amp;totales!J277="0","e",IF(totales!E277="1"&amp;totales!H277="1"&amp;totales!I277="0"&amp;totales!J277="0","f",IF(totales!E277="2"&amp;totales!H277="1"&amp;totales!I277="0"&amp;totales!J277="0","g",IF(totales!E277="3"&amp;totales!H277="1"&amp;totales!I277="0"&amp;totales!J277="0","h",IF(totales!E277="4"&amp;totales!H277="1"&amp;totales!I277="0"&amp;totales!J277="0","i",IF(totales!E277="6"&amp;totales!H277="1"&amp;totales!I277="0"&amp;totales!J277="0","j",IF(totales!E277="1"&amp;totales!H277="2"&amp;totales!I277="0"&amp;totales!J277="0","k",IF(totales!E277="2"&amp;totales!H277="2"&amp;totales!I277="0"&amp;totales!J277="0","l",IF(totales!E277="3"&amp;totales!H277="2"&amp;totales!I277="0"&amp;totales!J277="0","m",
IF(totales!E277="4"&amp;totales!H277="2"&amp;totales!I277="0"&amp;totales!J277="0","n",IF(totales!E277="6"&amp;totales!H277="2"&amp;totales!I277="0"&amp;totales!J277="0","o",IF(totales!E277="1"&amp;totales!H277="0"&amp;totales!I277="1"&amp;totales!J277="0","p",IF(totales!E277="2"&amp;totales!H277="0"&amp;totales!I277="1"&amp;totales!J277="0","q",IF(totales!E277="3"&amp;totales!H277="0"&amp;totales!I277="1"&amp;totales!J277="0","r",IF(totales!E277="4"&amp;totales!H277="0"&amp;totales!I277="1"&amp;totales!J277="0","s",IF(totales!E277="6"&amp;totales!H277="0"&amp;totales!I277="1"&amp;totales!J277="0","t",IF(totales!E277="1"&amp;totales!H277="2"&amp;totales!I277="1"&amp;totales!J277="0","u",IF(totales!E277="2"&amp;totales!H277="2"&amp;totales!I277="1"&amp;totales!J277="0","v",IF(totales!E277="3"&amp;totales!H277="2"&amp;totales!I277="1"&amp;totales!J277="0","w",IF(totales!E277="4"&amp;totales!H277="2"&amp;totales!I277="1"&amp;totales!J277="0","x",
IF(totales!E277="6"&amp;totales!H277="2"&amp;totales!I277="1"&amp;totales!J277="0","y",IF(totales!E277="1"&amp;totales!H277="1"&amp;totales!I277="1"&amp;totales!J277="0","z",IF(totales!E277="2"&amp;totales!H277="1"&amp;totales!I277="1"&amp;totales!J277="0","0",IF(totales!E277="3"&amp;totales!H277="1"&amp;totales!I277="1"&amp;totales!J277="0","1",IF(totales!E277="4"&amp;totales!H277="1"&amp;totales!I277="1"&amp;totales!J277="0","2",IF(totales!E277="6"&amp;totales!H277="1"&amp;totales!I277="1"&amp;totales!J277="0","3",IF(totales!E277="1"&amp;totales!H277="0"&amp;totales!I277="1"&amp;totales!J277="1","4",IF(totales!E277="2"&amp;totales!H277="0"&amp;totales!I277="1"&amp;totales!J277="1","5",IF(totales!E277="3"&amp;totales!H277="0"&amp;totales!I277="1"&amp;totales!J277="1","6",IF(totales!E277="4"&amp;totales!H277="0"&amp;totales!I277="1"&amp;totales!J277="1","7",IF(totales!E277="6"&amp;totales!H277="0"&amp;totales!I277="1"&amp;totales!J277="1","8",IF(totales!E277="1"&amp;totales!H277="1"&amp;totales!I277="0"&amp;totales!J277="1","9"))))))))))))))))))))))))))))))))))))</f>
        <v>0</v>
      </c>
    </row>
    <row r="277" spans="22:22">
      <c r="V277" s="102" t="b">
        <f>IF(totales!E278="1"&amp;totales!H278="0"&amp;totales!I278="0"&amp;totales!J278="0","a",IF(totales!E278="2"&amp;totales!H278="0"&amp;totales!I278="0"&amp;totales!J278="0","b",IF(totales!E278="3"&amp;totales!H278="0"&amp;totales!I278="0"&amp;totales!J278="0","c",IF(totales!E278="4"&amp;totales!H278="0"&amp;totales!I278="0"&amp;totales!J278="0","d",IF(totales!E278="6"&amp;totales!H278="0"&amp;totales!I278="0"&amp;totales!J278="0","e",IF(totales!E278="1"&amp;totales!H278="1"&amp;totales!I278="0"&amp;totales!J278="0","f",IF(totales!E278="2"&amp;totales!H278="1"&amp;totales!I278="0"&amp;totales!J278="0","g",IF(totales!E278="3"&amp;totales!H278="1"&amp;totales!I278="0"&amp;totales!J278="0","h",IF(totales!E278="4"&amp;totales!H278="1"&amp;totales!I278="0"&amp;totales!J278="0","i",IF(totales!E278="6"&amp;totales!H278="1"&amp;totales!I278="0"&amp;totales!J278="0","j",IF(totales!E278="1"&amp;totales!H278="2"&amp;totales!I278="0"&amp;totales!J278="0","k",IF(totales!E278="2"&amp;totales!H278="2"&amp;totales!I278="0"&amp;totales!J278="0","l",IF(totales!E278="3"&amp;totales!H278="2"&amp;totales!I278="0"&amp;totales!J278="0","m",
IF(totales!E278="4"&amp;totales!H278="2"&amp;totales!I278="0"&amp;totales!J278="0","n",IF(totales!E278="6"&amp;totales!H278="2"&amp;totales!I278="0"&amp;totales!J278="0","o",IF(totales!E278="1"&amp;totales!H278="0"&amp;totales!I278="1"&amp;totales!J278="0","p",IF(totales!E278="2"&amp;totales!H278="0"&amp;totales!I278="1"&amp;totales!J278="0","q",IF(totales!E278="3"&amp;totales!H278="0"&amp;totales!I278="1"&amp;totales!J278="0","r",IF(totales!E278="4"&amp;totales!H278="0"&amp;totales!I278="1"&amp;totales!J278="0","s",IF(totales!E278="6"&amp;totales!H278="0"&amp;totales!I278="1"&amp;totales!J278="0","t",IF(totales!E278="1"&amp;totales!H278="2"&amp;totales!I278="1"&amp;totales!J278="0","u",IF(totales!E278="2"&amp;totales!H278="2"&amp;totales!I278="1"&amp;totales!J278="0","v",IF(totales!E278="3"&amp;totales!H278="2"&amp;totales!I278="1"&amp;totales!J278="0","w",IF(totales!E278="4"&amp;totales!H278="2"&amp;totales!I278="1"&amp;totales!J278="0","x",
IF(totales!E278="6"&amp;totales!H278="2"&amp;totales!I278="1"&amp;totales!J278="0","y",IF(totales!E278="1"&amp;totales!H278="1"&amp;totales!I278="1"&amp;totales!J278="0","z",IF(totales!E278="2"&amp;totales!H278="1"&amp;totales!I278="1"&amp;totales!J278="0","0",IF(totales!E278="3"&amp;totales!H278="1"&amp;totales!I278="1"&amp;totales!J278="0","1",IF(totales!E278="4"&amp;totales!H278="1"&amp;totales!I278="1"&amp;totales!J278="0","2",IF(totales!E278="6"&amp;totales!H278="1"&amp;totales!I278="1"&amp;totales!J278="0","3",IF(totales!E278="1"&amp;totales!H278="0"&amp;totales!I278="1"&amp;totales!J278="1","4",IF(totales!E278="2"&amp;totales!H278="0"&amp;totales!I278="1"&amp;totales!J278="1","5",IF(totales!E278="3"&amp;totales!H278="0"&amp;totales!I278="1"&amp;totales!J278="1","6",IF(totales!E278="4"&amp;totales!H278="0"&amp;totales!I278="1"&amp;totales!J278="1","7",IF(totales!E278="6"&amp;totales!H278="0"&amp;totales!I278="1"&amp;totales!J278="1","8",IF(totales!E278="1"&amp;totales!H278="1"&amp;totales!I278="0"&amp;totales!J278="1","9"))))))))))))))))))))))))))))))))))))</f>
        <v>0</v>
      </c>
    </row>
    <row r="278" spans="22:22">
      <c r="V278" s="102" t="b">
        <f>IF(totales!E279="1"&amp;totales!H279="0"&amp;totales!I279="0"&amp;totales!J279="0","a",IF(totales!E279="2"&amp;totales!H279="0"&amp;totales!I279="0"&amp;totales!J279="0","b",IF(totales!E279="3"&amp;totales!H279="0"&amp;totales!I279="0"&amp;totales!J279="0","c",IF(totales!E279="4"&amp;totales!H279="0"&amp;totales!I279="0"&amp;totales!J279="0","d",IF(totales!E279="6"&amp;totales!H279="0"&amp;totales!I279="0"&amp;totales!J279="0","e",IF(totales!E279="1"&amp;totales!H279="1"&amp;totales!I279="0"&amp;totales!J279="0","f",IF(totales!E279="2"&amp;totales!H279="1"&amp;totales!I279="0"&amp;totales!J279="0","g",IF(totales!E279="3"&amp;totales!H279="1"&amp;totales!I279="0"&amp;totales!J279="0","h",IF(totales!E279="4"&amp;totales!H279="1"&amp;totales!I279="0"&amp;totales!J279="0","i",IF(totales!E279="6"&amp;totales!H279="1"&amp;totales!I279="0"&amp;totales!J279="0","j",IF(totales!E279="1"&amp;totales!H279="2"&amp;totales!I279="0"&amp;totales!J279="0","k",IF(totales!E279="2"&amp;totales!H279="2"&amp;totales!I279="0"&amp;totales!J279="0","l",IF(totales!E279="3"&amp;totales!H279="2"&amp;totales!I279="0"&amp;totales!J279="0","m",
IF(totales!E279="4"&amp;totales!H279="2"&amp;totales!I279="0"&amp;totales!J279="0","n",IF(totales!E279="6"&amp;totales!H279="2"&amp;totales!I279="0"&amp;totales!J279="0","o",IF(totales!E279="1"&amp;totales!H279="0"&amp;totales!I279="1"&amp;totales!J279="0","p",IF(totales!E279="2"&amp;totales!H279="0"&amp;totales!I279="1"&amp;totales!J279="0","q",IF(totales!E279="3"&amp;totales!H279="0"&amp;totales!I279="1"&amp;totales!J279="0","r",IF(totales!E279="4"&amp;totales!H279="0"&amp;totales!I279="1"&amp;totales!J279="0","s",IF(totales!E279="6"&amp;totales!H279="0"&amp;totales!I279="1"&amp;totales!J279="0","t",IF(totales!E279="1"&amp;totales!H279="2"&amp;totales!I279="1"&amp;totales!J279="0","u",IF(totales!E279="2"&amp;totales!H279="2"&amp;totales!I279="1"&amp;totales!J279="0","v",IF(totales!E279="3"&amp;totales!H279="2"&amp;totales!I279="1"&amp;totales!J279="0","w",IF(totales!E279="4"&amp;totales!H279="2"&amp;totales!I279="1"&amp;totales!J279="0","x",
IF(totales!E279="6"&amp;totales!H279="2"&amp;totales!I279="1"&amp;totales!J279="0","y",IF(totales!E279="1"&amp;totales!H279="1"&amp;totales!I279="1"&amp;totales!J279="0","z",IF(totales!E279="2"&amp;totales!H279="1"&amp;totales!I279="1"&amp;totales!J279="0","0",IF(totales!E279="3"&amp;totales!H279="1"&amp;totales!I279="1"&amp;totales!J279="0","1",IF(totales!E279="4"&amp;totales!H279="1"&amp;totales!I279="1"&amp;totales!J279="0","2",IF(totales!E279="6"&amp;totales!H279="1"&amp;totales!I279="1"&amp;totales!J279="0","3",IF(totales!E279="1"&amp;totales!H279="0"&amp;totales!I279="1"&amp;totales!J279="1","4",IF(totales!E279="2"&amp;totales!H279="0"&amp;totales!I279="1"&amp;totales!J279="1","5",IF(totales!E279="3"&amp;totales!H279="0"&amp;totales!I279="1"&amp;totales!J279="1","6",IF(totales!E279="4"&amp;totales!H279="0"&amp;totales!I279="1"&amp;totales!J279="1","7",IF(totales!E279="6"&amp;totales!H279="0"&amp;totales!I279="1"&amp;totales!J279="1","8",IF(totales!E279="1"&amp;totales!H279="1"&amp;totales!I279="0"&amp;totales!J279="1","9"))))))))))))))))))))))))))))))))))))</f>
        <v>0</v>
      </c>
    </row>
    <row r="279" spans="22:22">
      <c r="V279" s="102" t="b">
        <f>IF(totales!E280="1"&amp;totales!H280="0"&amp;totales!I280="0"&amp;totales!J280="0","a",IF(totales!E280="2"&amp;totales!H280="0"&amp;totales!I280="0"&amp;totales!J280="0","b",IF(totales!E280="3"&amp;totales!H280="0"&amp;totales!I280="0"&amp;totales!J280="0","c",IF(totales!E280="4"&amp;totales!H280="0"&amp;totales!I280="0"&amp;totales!J280="0","d",IF(totales!E280="6"&amp;totales!H280="0"&amp;totales!I280="0"&amp;totales!J280="0","e",IF(totales!E280="1"&amp;totales!H280="1"&amp;totales!I280="0"&amp;totales!J280="0","f",IF(totales!E280="2"&amp;totales!H280="1"&amp;totales!I280="0"&amp;totales!J280="0","g",IF(totales!E280="3"&amp;totales!H280="1"&amp;totales!I280="0"&amp;totales!J280="0","h",IF(totales!E280="4"&amp;totales!H280="1"&amp;totales!I280="0"&amp;totales!J280="0","i",IF(totales!E280="6"&amp;totales!H280="1"&amp;totales!I280="0"&amp;totales!J280="0","j",IF(totales!E280="1"&amp;totales!H280="2"&amp;totales!I280="0"&amp;totales!J280="0","k",IF(totales!E280="2"&amp;totales!H280="2"&amp;totales!I280="0"&amp;totales!J280="0","l",IF(totales!E280="3"&amp;totales!H280="2"&amp;totales!I280="0"&amp;totales!J280="0","m",
IF(totales!E280="4"&amp;totales!H280="2"&amp;totales!I280="0"&amp;totales!J280="0","n",IF(totales!E280="6"&amp;totales!H280="2"&amp;totales!I280="0"&amp;totales!J280="0","o",IF(totales!E280="1"&amp;totales!H280="0"&amp;totales!I280="1"&amp;totales!J280="0","p",IF(totales!E280="2"&amp;totales!H280="0"&amp;totales!I280="1"&amp;totales!J280="0","q",IF(totales!E280="3"&amp;totales!H280="0"&amp;totales!I280="1"&amp;totales!J280="0","r",IF(totales!E280="4"&amp;totales!H280="0"&amp;totales!I280="1"&amp;totales!J280="0","s",IF(totales!E280="6"&amp;totales!H280="0"&amp;totales!I280="1"&amp;totales!J280="0","t",IF(totales!E280="1"&amp;totales!H280="2"&amp;totales!I280="1"&amp;totales!J280="0","u",IF(totales!E280="2"&amp;totales!H280="2"&amp;totales!I280="1"&amp;totales!J280="0","v",IF(totales!E280="3"&amp;totales!H280="2"&amp;totales!I280="1"&amp;totales!J280="0","w",IF(totales!E280="4"&amp;totales!H280="2"&amp;totales!I280="1"&amp;totales!J280="0","x",
IF(totales!E280="6"&amp;totales!H280="2"&amp;totales!I280="1"&amp;totales!J280="0","y",IF(totales!E280="1"&amp;totales!H280="1"&amp;totales!I280="1"&amp;totales!J280="0","z",IF(totales!E280="2"&amp;totales!H280="1"&amp;totales!I280="1"&amp;totales!J280="0","0",IF(totales!E280="3"&amp;totales!H280="1"&amp;totales!I280="1"&amp;totales!J280="0","1",IF(totales!E280="4"&amp;totales!H280="1"&amp;totales!I280="1"&amp;totales!J280="0","2",IF(totales!E280="6"&amp;totales!H280="1"&amp;totales!I280="1"&amp;totales!J280="0","3",IF(totales!E280="1"&amp;totales!H280="0"&amp;totales!I280="1"&amp;totales!J280="1","4",IF(totales!E280="2"&amp;totales!H280="0"&amp;totales!I280="1"&amp;totales!J280="1","5",IF(totales!E280="3"&amp;totales!H280="0"&amp;totales!I280="1"&amp;totales!J280="1","6",IF(totales!E280="4"&amp;totales!H280="0"&amp;totales!I280="1"&amp;totales!J280="1","7",IF(totales!E280="6"&amp;totales!H280="0"&amp;totales!I280="1"&amp;totales!J280="1","8",IF(totales!E280="1"&amp;totales!H280="1"&amp;totales!I280="0"&amp;totales!J280="1","9"))))))))))))))))))))))))))))))))))))</f>
        <v>0</v>
      </c>
    </row>
    <row r="280" spans="22:22">
      <c r="V280" s="102" t="b">
        <f>IF(totales!E281="1"&amp;totales!H281="0"&amp;totales!I281="0"&amp;totales!J281="0","a",IF(totales!E281="2"&amp;totales!H281="0"&amp;totales!I281="0"&amp;totales!J281="0","b",IF(totales!E281="3"&amp;totales!H281="0"&amp;totales!I281="0"&amp;totales!J281="0","c",IF(totales!E281="4"&amp;totales!H281="0"&amp;totales!I281="0"&amp;totales!J281="0","d",IF(totales!E281="6"&amp;totales!H281="0"&amp;totales!I281="0"&amp;totales!J281="0","e",IF(totales!E281="1"&amp;totales!H281="1"&amp;totales!I281="0"&amp;totales!J281="0","f",IF(totales!E281="2"&amp;totales!H281="1"&amp;totales!I281="0"&amp;totales!J281="0","g",IF(totales!E281="3"&amp;totales!H281="1"&amp;totales!I281="0"&amp;totales!J281="0","h",IF(totales!E281="4"&amp;totales!H281="1"&amp;totales!I281="0"&amp;totales!J281="0","i",IF(totales!E281="6"&amp;totales!H281="1"&amp;totales!I281="0"&amp;totales!J281="0","j",IF(totales!E281="1"&amp;totales!H281="2"&amp;totales!I281="0"&amp;totales!J281="0","k",IF(totales!E281="2"&amp;totales!H281="2"&amp;totales!I281="0"&amp;totales!J281="0","l",IF(totales!E281="3"&amp;totales!H281="2"&amp;totales!I281="0"&amp;totales!J281="0","m",
IF(totales!E281="4"&amp;totales!H281="2"&amp;totales!I281="0"&amp;totales!J281="0","n",IF(totales!E281="6"&amp;totales!H281="2"&amp;totales!I281="0"&amp;totales!J281="0","o",IF(totales!E281="1"&amp;totales!H281="0"&amp;totales!I281="1"&amp;totales!J281="0","p",IF(totales!E281="2"&amp;totales!H281="0"&amp;totales!I281="1"&amp;totales!J281="0","q",IF(totales!E281="3"&amp;totales!H281="0"&amp;totales!I281="1"&amp;totales!J281="0","r",IF(totales!E281="4"&amp;totales!H281="0"&amp;totales!I281="1"&amp;totales!J281="0","s",IF(totales!E281="6"&amp;totales!H281="0"&amp;totales!I281="1"&amp;totales!J281="0","t",IF(totales!E281="1"&amp;totales!H281="2"&amp;totales!I281="1"&amp;totales!J281="0","u",IF(totales!E281="2"&amp;totales!H281="2"&amp;totales!I281="1"&amp;totales!J281="0","v",IF(totales!E281="3"&amp;totales!H281="2"&amp;totales!I281="1"&amp;totales!J281="0","w",IF(totales!E281="4"&amp;totales!H281="2"&amp;totales!I281="1"&amp;totales!J281="0","x",
IF(totales!E281="6"&amp;totales!H281="2"&amp;totales!I281="1"&amp;totales!J281="0","y",IF(totales!E281="1"&amp;totales!H281="1"&amp;totales!I281="1"&amp;totales!J281="0","z",IF(totales!E281="2"&amp;totales!H281="1"&amp;totales!I281="1"&amp;totales!J281="0","0",IF(totales!E281="3"&amp;totales!H281="1"&amp;totales!I281="1"&amp;totales!J281="0","1",IF(totales!E281="4"&amp;totales!H281="1"&amp;totales!I281="1"&amp;totales!J281="0","2",IF(totales!E281="6"&amp;totales!H281="1"&amp;totales!I281="1"&amp;totales!J281="0","3",IF(totales!E281="1"&amp;totales!H281="0"&amp;totales!I281="1"&amp;totales!J281="1","4",IF(totales!E281="2"&amp;totales!H281="0"&amp;totales!I281="1"&amp;totales!J281="1","5",IF(totales!E281="3"&amp;totales!H281="0"&amp;totales!I281="1"&amp;totales!J281="1","6",IF(totales!E281="4"&amp;totales!H281="0"&amp;totales!I281="1"&amp;totales!J281="1","7",IF(totales!E281="6"&amp;totales!H281="0"&amp;totales!I281="1"&amp;totales!J281="1","8",IF(totales!E281="1"&amp;totales!H281="1"&amp;totales!I281="0"&amp;totales!J281="1","9"))))))))))))))))))))))))))))))))))))</f>
        <v>0</v>
      </c>
    </row>
    <row r="281" spans="22:22">
      <c r="V281" s="102" t="b">
        <f>IF(totales!E282="1"&amp;totales!H282="0"&amp;totales!I282="0"&amp;totales!J282="0","a",IF(totales!E282="2"&amp;totales!H282="0"&amp;totales!I282="0"&amp;totales!J282="0","b",IF(totales!E282="3"&amp;totales!H282="0"&amp;totales!I282="0"&amp;totales!J282="0","c",IF(totales!E282="4"&amp;totales!H282="0"&amp;totales!I282="0"&amp;totales!J282="0","d",IF(totales!E282="6"&amp;totales!H282="0"&amp;totales!I282="0"&amp;totales!J282="0","e",IF(totales!E282="1"&amp;totales!H282="1"&amp;totales!I282="0"&amp;totales!J282="0","f",IF(totales!E282="2"&amp;totales!H282="1"&amp;totales!I282="0"&amp;totales!J282="0","g",IF(totales!E282="3"&amp;totales!H282="1"&amp;totales!I282="0"&amp;totales!J282="0","h",IF(totales!E282="4"&amp;totales!H282="1"&amp;totales!I282="0"&amp;totales!J282="0","i",IF(totales!E282="6"&amp;totales!H282="1"&amp;totales!I282="0"&amp;totales!J282="0","j",IF(totales!E282="1"&amp;totales!H282="2"&amp;totales!I282="0"&amp;totales!J282="0","k",IF(totales!E282="2"&amp;totales!H282="2"&amp;totales!I282="0"&amp;totales!J282="0","l",IF(totales!E282="3"&amp;totales!H282="2"&amp;totales!I282="0"&amp;totales!J282="0","m",
IF(totales!E282="4"&amp;totales!H282="2"&amp;totales!I282="0"&amp;totales!J282="0","n",IF(totales!E282="6"&amp;totales!H282="2"&amp;totales!I282="0"&amp;totales!J282="0","o",IF(totales!E282="1"&amp;totales!H282="0"&amp;totales!I282="1"&amp;totales!J282="0","p",IF(totales!E282="2"&amp;totales!H282="0"&amp;totales!I282="1"&amp;totales!J282="0","q",IF(totales!E282="3"&amp;totales!H282="0"&amp;totales!I282="1"&amp;totales!J282="0","r",IF(totales!E282="4"&amp;totales!H282="0"&amp;totales!I282="1"&amp;totales!J282="0","s",IF(totales!E282="6"&amp;totales!H282="0"&amp;totales!I282="1"&amp;totales!J282="0","t",IF(totales!E282="1"&amp;totales!H282="2"&amp;totales!I282="1"&amp;totales!J282="0","u",IF(totales!E282="2"&amp;totales!H282="2"&amp;totales!I282="1"&amp;totales!J282="0","v",IF(totales!E282="3"&amp;totales!H282="2"&amp;totales!I282="1"&amp;totales!J282="0","w",IF(totales!E282="4"&amp;totales!H282="2"&amp;totales!I282="1"&amp;totales!J282="0","x",
IF(totales!E282="6"&amp;totales!H282="2"&amp;totales!I282="1"&amp;totales!J282="0","y",IF(totales!E282="1"&amp;totales!H282="1"&amp;totales!I282="1"&amp;totales!J282="0","z",IF(totales!E282="2"&amp;totales!H282="1"&amp;totales!I282="1"&amp;totales!J282="0","0",IF(totales!E282="3"&amp;totales!H282="1"&amp;totales!I282="1"&amp;totales!J282="0","1",IF(totales!E282="4"&amp;totales!H282="1"&amp;totales!I282="1"&amp;totales!J282="0","2",IF(totales!E282="6"&amp;totales!H282="1"&amp;totales!I282="1"&amp;totales!J282="0","3",IF(totales!E282="1"&amp;totales!H282="0"&amp;totales!I282="1"&amp;totales!J282="1","4",IF(totales!E282="2"&amp;totales!H282="0"&amp;totales!I282="1"&amp;totales!J282="1","5",IF(totales!E282="3"&amp;totales!H282="0"&amp;totales!I282="1"&amp;totales!J282="1","6",IF(totales!E282="4"&amp;totales!H282="0"&amp;totales!I282="1"&amp;totales!J282="1","7",IF(totales!E282="6"&amp;totales!H282="0"&amp;totales!I282="1"&amp;totales!J282="1","8",IF(totales!E282="1"&amp;totales!H282="1"&amp;totales!I282="0"&amp;totales!J282="1","9"))))))))))))))))))))))))))))))))))))</f>
        <v>0</v>
      </c>
    </row>
    <row r="282" spans="22:22">
      <c r="V282" s="102" t="b">
        <f>IF(totales!E283="1"&amp;totales!H283="0"&amp;totales!I283="0"&amp;totales!J283="0","a",IF(totales!E283="2"&amp;totales!H283="0"&amp;totales!I283="0"&amp;totales!J283="0","b",IF(totales!E283="3"&amp;totales!H283="0"&amp;totales!I283="0"&amp;totales!J283="0","c",IF(totales!E283="4"&amp;totales!H283="0"&amp;totales!I283="0"&amp;totales!J283="0","d",IF(totales!E283="6"&amp;totales!H283="0"&amp;totales!I283="0"&amp;totales!J283="0","e",IF(totales!E283="1"&amp;totales!H283="1"&amp;totales!I283="0"&amp;totales!J283="0","f",IF(totales!E283="2"&amp;totales!H283="1"&amp;totales!I283="0"&amp;totales!J283="0","g",IF(totales!E283="3"&amp;totales!H283="1"&amp;totales!I283="0"&amp;totales!J283="0","h",IF(totales!E283="4"&amp;totales!H283="1"&amp;totales!I283="0"&amp;totales!J283="0","i",IF(totales!E283="6"&amp;totales!H283="1"&amp;totales!I283="0"&amp;totales!J283="0","j",IF(totales!E283="1"&amp;totales!H283="2"&amp;totales!I283="0"&amp;totales!J283="0","k",IF(totales!E283="2"&amp;totales!H283="2"&amp;totales!I283="0"&amp;totales!J283="0","l",IF(totales!E283="3"&amp;totales!H283="2"&amp;totales!I283="0"&amp;totales!J283="0","m",
IF(totales!E283="4"&amp;totales!H283="2"&amp;totales!I283="0"&amp;totales!J283="0","n",IF(totales!E283="6"&amp;totales!H283="2"&amp;totales!I283="0"&amp;totales!J283="0","o",IF(totales!E283="1"&amp;totales!H283="0"&amp;totales!I283="1"&amp;totales!J283="0","p",IF(totales!E283="2"&amp;totales!H283="0"&amp;totales!I283="1"&amp;totales!J283="0","q",IF(totales!E283="3"&amp;totales!H283="0"&amp;totales!I283="1"&amp;totales!J283="0","r",IF(totales!E283="4"&amp;totales!H283="0"&amp;totales!I283="1"&amp;totales!J283="0","s",IF(totales!E283="6"&amp;totales!H283="0"&amp;totales!I283="1"&amp;totales!J283="0","t",IF(totales!E283="1"&amp;totales!H283="2"&amp;totales!I283="1"&amp;totales!J283="0","u",IF(totales!E283="2"&amp;totales!H283="2"&amp;totales!I283="1"&amp;totales!J283="0","v",IF(totales!E283="3"&amp;totales!H283="2"&amp;totales!I283="1"&amp;totales!J283="0","w",IF(totales!E283="4"&amp;totales!H283="2"&amp;totales!I283="1"&amp;totales!J283="0","x",
IF(totales!E283="6"&amp;totales!H283="2"&amp;totales!I283="1"&amp;totales!J283="0","y",IF(totales!E283="1"&amp;totales!H283="1"&amp;totales!I283="1"&amp;totales!J283="0","z",IF(totales!E283="2"&amp;totales!H283="1"&amp;totales!I283="1"&amp;totales!J283="0","0",IF(totales!E283="3"&amp;totales!H283="1"&amp;totales!I283="1"&amp;totales!J283="0","1",IF(totales!E283="4"&amp;totales!H283="1"&amp;totales!I283="1"&amp;totales!J283="0","2",IF(totales!E283="6"&amp;totales!H283="1"&amp;totales!I283="1"&amp;totales!J283="0","3",IF(totales!E283="1"&amp;totales!H283="0"&amp;totales!I283="1"&amp;totales!J283="1","4",IF(totales!E283="2"&amp;totales!H283="0"&amp;totales!I283="1"&amp;totales!J283="1","5",IF(totales!E283="3"&amp;totales!H283="0"&amp;totales!I283="1"&amp;totales!J283="1","6",IF(totales!E283="4"&amp;totales!H283="0"&amp;totales!I283="1"&amp;totales!J283="1","7",IF(totales!E283="6"&amp;totales!H283="0"&amp;totales!I283="1"&amp;totales!J283="1","8",IF(totales!E283="1"&amp;totales!H283="1"&amp;totales!I283="0"&amp;totales!J283="1","9"))))))))))))))))))))))))))))))))))))</f>
        <v>0</v>
      </c>
    </row>
    <row r="283" spans="22:22">
      <c r="V283" s="102" t="b">
        <f>IF(totales!E284="1"&amp;totales!H284="0"&amp;totales!I284="0"&amp;totales!J284="0","a",IF(totales!E284="2"&amp;totales!H284="0"&amp;totales!I284="0"&amp;totales!J284="0","b",IF(totales!E284="3"&amp;totales!H284="0"&amp;totales!I284="0"&amp;totales!J284="0","c",IF(totales!E284="4"&amp;totales!H284="0"&amp;totales!I284="0"&amp;totales!J284="0","d",IF(totales!E284="6"&amp;totales!H284="0"&amp;totales!I284="0"&amp;totales!J284="0","e",IF(totales!E284="1"&amp;totales!H284="1"&amp;totales!I284="0"&amp;totales!J284="0","f",IF(totales!E284="2"&amp;totales!H284="1"&amp;totales!I284="0"&amp;totales!J284="0","g",IF(totales!E284="3"&amp;totales!H284="1"&amp;totales!I284="0"&amp;totales!J284="0","h",IF(totales!E284="4"&amp;totales!H284="1"&amp;totales!I284="0"&amp;totales!J284="0","i",IF(totales!E284="6"&amp;totales!H284="1"&amp;totales!I284="0"&amp;totales!J284="0","j",IF(totales!E284="1"&amp;totales!H284="2"&amp;totales!I284="0"&amp;totales!J284="0","k",IF(totales!E284="2"&amp;totales!H284="2"&amp;totales!I284="0"&amp;totales!J284="0","l",IF(totales!E284="3"&amp;totales!H284="2"&amp;totales!I284="0"&amp;totales!J284="0","m",
IF(totales!E284="4"&amp;totales!H284="2"&amp;totales!I284="0"&amp;totales!J284="0","n",IF(totales!E284="6"&amp;totales!H284="2"&amp;totales!I284="0"&amp;totales!J284="0","o",IF(totales!E284="1"&amp;totales!H284="0"&amp;totales!I284="1"&amp;totales!J284="0","p",IF(totales!E284="2"&amp;totales!H284="0"&amp;totales!I284="1"&amp;totales!J284="0","q",IF(totales!E284="3"&amp;totales!H284="0"&amp;totales!I284="1"&amp;totales!J284="0","r",IF(totales!E284="4"&amp;totales!H284="0"&amp;totales!I284="1"&amp;totales!J284="0","s",IF(totales!E284="6"&amp;totales!H284="0"&amp;totales!I284="1"&amp;totales!J284="0","t",IF(totales!E284="1"&amp;totales!H284="2"&amp;totales!I284="1"&amp;totales!J284="0","u",IF(totales!E284="2"&amp;totales!H284="2"&amp;totales!I284="1"&amp;totales!J284="0","v",IF(totales!E284="3"&amp;totales!H284="2"&amp;totales!I284="1"&amp;totales!J284="0","w",IF(totales!E284="4"&amp;totales!H284="2"&amp;totales!I284="1"&amp;totales!J284="0","x",
IF(totales!E284="6"&amp;totales!H284="2"&amp;totales!I284="1"&amp;totales!J284="0","y",IF(totales!E284="1"&amp;totales!H284="1"&amp;totales!I284="1"&amp;totales!J284="0","z",IF(totales!E284="2"&amp;totales!H284="1"&amp;totales!I284="1"&amp;totales!J284="0","0",IF(totales!E284="3"&amp;totales!H284="1"&amp;totales!I284="1"&amp;totales!J284="0","1",IF(totales!E284="4"&amp;totales!H284="1"&amp;totales!I284="1"&amp;totales!J284="0","2",IF(totales!E284="6"&amp;totales!H284="1"&amp;totales!I284="1"&amp;totales!J284="0","3",IF(totales!E284="1"&amp;totales!H284="0"&amp;totales!I284="1"&amp;totales!J284="1","4",IF(totales!E284="2"&amp;totales!H284="0"&amp;totales!I284="1"&amp;totales!J284="1","5",IF(totales!E284="3"&amp;totales!H284="0"&amp;totales!I284="1"&amp;totales!J284="1","6",IF(totales!E284="4"&amp;totales!H284="0"&amp;totales!I284="1"&amp;totales!J284="1","7",IF(totales!E284="6"&amp;totales!H284="0"&amp;totales!I284="1"&amp;totales!J284="1","8",IF(totales!E284="1"&amp;totales!H284="1"&amp;totales!I284="0"&amp;totales!J284="1","9"))))))))))))))))))))))))))))))))))))</f>
        <v>0</v>
      </c>
    </row>
    <row r="284" spans="22:22">
      <c r="V284" s="102" t="b">
        <f>IF(totales!E285="1"&amp;totales!H285="0"&amp;totales!I285="0"&amp;totales!J285="0","a",IF(totales!E285="2"&amp;totales!H285="0"&amp;totales!I285="0"&amp;totales!J285="0","b",IF(totales!E285="3"&amp;totales!H285="0"&amp;totales!I285="0"&amp;totales!J285="0","c",IF(totales!E285="4"&amp;totales!H285="0"&amp;totales!I285="0"&amp;totales!J285="0","d",IF(totales!E285="6"&amp;totales!H285="0"&amp;totales!I285="0"&amp;totales!J285="0","e",IF(totales!E285="1"&amp;totales!H285="1"&amp;totales!I285="0"&amp;totales!J285="0","f",IF(totales!E285="2"&amp;totales!H285="1"&amp;totales!I285="0"&amp;totales!J285="0","g",IF(totales!E285="3"&amp;totales!H285="1"&amp;totales!I285="0"&amp;totales!J285="0","h",IF(totales!E285="4"&amp;totales!H285="1"&amp;totales!I285="0"&amp;totales!J285="0","i",IF(totales!E285="6"&amp;totales!H285="1"&amp;totales!I285="0"&amp;totales!J285="0","j",IF(totales!E285="1"&amp;totales!H285="2"&amp;totales!I285="0"&amp;totales!J285="0","k",IF(totales!E285="2"&amp;totales!H285="2"&amp;totales!I285="0"&amp;totales!J285="0","l",IF(totales!E285="3"&amp;totales!H285="2"&amp;totales!I285="0"&amp;totales!J285="0","m",
IF(totales!E285="4"&amp;totales!H285="2"&amp;totales!I285="0"&amp;totales!J285="0","n",IF(totales!E285="6"&amp;totales!H285="2"&amp;totales!I285="0"&amp;totales!J285="0","o",IF(totales!E285="1"&amp;totales!H285="0"&amp;totales!I285="1"&amp;totales!J285="0","p",IF(totales!E285="2"&amp;totales!H285="0"&amp;totales!I285="1"&amp;totales!J285="0","q",IF(totales!E285="3"&amp;totales!H285="0"&amp;totales!I285="1"&amp;totales!J285="0","r",IF(totales!E285="4"&amp;totales!H285="0"&amp;totales!I285="1"&amp;totales!J285="0","s",IF(totales!E285="6"&amp;totales!H285="0"&amp;totales!I285="1"&amp;totales!J285="0","t",IF(totales!E285="1"&amp;totales!H285="2"&amp;totales!I285="1"&amp;totales!J285="0","u",IF(totales!E285="2"&amp;totales!H285="2"&amp;totales!I285="1"&amp;totales!J285="0","v",IF(totales!E285="3"&amp;totales!H285="2"&amp;totales!I285="1"&amp;totales!J285="0","w",IF(totales!E285="4"&amp;totales!H285="2"&amp;totales!I285="1"&amp;totales!J285="0","x",
IF(totales!E285="6"&amp;totales!H285="2"&amp;totales!I285="1"&amp;totales!J285="0","y",IF(totales!E285="1"&amp;totales!H285="1"&amp;totales!I285="1"&amp;totales!J285="0","z",IF(totales!E285="2"&amp;totales!H285="1"&amp;totales!I285="1"&amp;totales!J285="0","0",IF(totales!E285="3"&amp;totales!H285="1"&amp;totales!I285="1"&amp;totales!J285="0","1",IF(totales!E285="4"&amp;totales!H285="1"&amp;totales!I285="1"&amp;totales!J285="0","2",IF(totales!E285="6"&amp;totales!H285="1"&amp;totales!I285="1"&amp;totales!J285="0","3",IF(totales!E285="1"&amp;totales!H285="0"&amp;totales!I285="1"&amp;totales!J285="1","4",IF(totales!E285="2"&amp;totales!H285="0"&amp;totales!I285="1"&amp;totales!J285="1","5",IF(totales!E285="3"&amp;totales!H285="0"&amp;totales!I285="1"&amp;totales!J285="1","6",IF(totales!E285="4"&amp;totales!H285="0"&amp;totales!I285="1"&amp;totales!J285="1","7",IF(totales!E285="6"&amp;totales!H285="0"&amp;totales!I285="1"&amp;totales!J285="1","8",IF(totales!E285="1"&amp;totales!H285="1"&amp;totales!I285="0"&amp;totales!J285="1","9"))))))))))))))))))))))))))))))))))))</f>
        <v>0</v>
      </c>
    </row>
    <row r="285" spans="22:22">
      <c r="V285" s="102" t="b">
        <f>IF(totales!E286="1"&amp;totales!H286="0"&amp;totales!I286="0"&amp;totales!J286="0","a",IF(totales!E286="2"&amp;totales!H286="0"&amp;totales!I286="0"&amp;totales!J286="0","b",IF(totales!E286="3"&amp;totales!H286="0"&amp;totales!I286="0"&amp;totales!J286="0","c",IF(totales!E286="4"&amp;totales!H286="0"&amp;totales!I286="0"&amp;totales!J286="0","d",IF(totales!E286="6"&amp;totales!H286="0"&amp;totales!I286="0"&amp;totales!J286="0","e",IF(totales!E286="1"&amp;totales!H286="1"&amp;totales!I286="0"&amp;totales!J286="0","f",IF(totales!E286="2"&amp;totales!H286="1"&amp;totales!I286="0"&amp;totales!J286="0","g",IF(totales!E286="3"&amp;totales!H286="1"&amp;totales!I286="0"&amp;totales!J286="0","h",IF(totales!E286="4"&amp;totales!H286="1"&amp;totales!I286="0"&amp;totales!J286="0","i",IF(totales!E286="6"&amp;totales!H286="1"&amp;totales!I286="0"&amp;totales!J286="0","j",IF(totales!E286="1"&amp;totales!H286="2"&amp;totales!I286="0"&amp;totales!J286="0","k",IF(totales!E286="2"&amp;totales!H286="2"&amp;totales!I286="0"&amp;totales!J286="0","l",IF(totales!E286="3"&amp;totales!H286="2"&amp;totales!I286="0"&amp;totales!J286="0","m",
IF(totales!E286="4"&amp;totales!H286="2"&amp;totales!I286="0"&amp;totales!J286="0","n",IF(totales!E286="6"&amp;totales!H286="2"&amp;totales!I286="0"&amp;totales!J286="0","o",IF(totales!E286="1"&amp;totales!H286="0"&amp;totales!I286="1"&amp;totales!J286="0","p",IF(totales!E286="2"&amp;totales!H286="0"&amp;totales!I286="1"&amp;totales!J286="0","q",IF(totales!E286="3"&amp;totales!H286="0"&amp;totales!I286="1"&amp;totales!J286="0","r",IF(totales!E286="4"&amp;totales!H286="0"&amp;totales!I286="1"&amp;totales!J286="0","s",IF(totales!E286="6"&amp;totales!H286="0"&amp;totales!I286="1"&amp;totales!J286="0","t",IF(totales!E286="1"&amp;totales!H286="2"&amp;totales!I286="1"&amp;totales!J286="0","u",IF(totales!E286="2"&amp;totales!H286="2"&amp;totales!I286="1"&amp;totales!J286="0","v",IF(totales!E286="3"&amp;totales!H286="2"&amp;totales!I286="1"&amp;totales!J286="0","w",IF(totales!E286="4"&amp;totales!H286="2"&amp;totales!I286="1"&amp;totales!J286="0","x",
IF(totales!E286="6"&amp;totales!H286="2"&amp;totales!I286="1"&amp;totales!J286="0","y",IF(totales!E286="1"&amp;totales!H286="1"&amp;totales!I286="1"&amp;totales!J286="0","z",IF(totales!E286="2"&amp;totales!H286="1"&amp;totales!I286="1"&amp;totales!J286="0","0",IF(totales!E286="3"&amp;totales!H286="1"&amp;totales!I286="1"&amp;totales!J286="0","1",IF(totales!E286="4"&amp;totales!H286="1"&amp;totales!I286="1"&amp;totales!J286="0","2",IF(totales!E286="6"&amp;totales!H286="1"&amp;totales!I286="1"&amp;totales!J286="0","3",IF(totales!E286="1"&amp;totales!H286="0"&amp;totales!I286="1"&amp;totales!J286="1","4",IF(totales!E286="2"&amp;totales!H286="0"&amp;totales!I286="1"&amp;totales!J286="1","5",IF(totales!E286="3"&amp;totales!H286="0"&amp;totales!I286="1"&amp;totales!J286="1","6",IF(totales!E286="4"&amp;totales!H286="0"&amp;totales!I286="1"&amp;totales!J286="1","7",IF(totales!E286="6"&amp;totales!H286="0"&amp;totales!I286="1"&amp;totales!J286="1","8",IF(totales!E286="1"&amp;totales!H286="1"&amp;totales!I286="0"&amp;totales!J286="1","9"))))))))))))))))))))))))))))))))))))</f>
        <v>0</v>
      </c>
    </row>
    <row r="286" spans="22:22">
      <c r="V286" s="102" t="b">
        <f>IF(totales!E287="1"&amp;totales!H287="0"&amp;totales!I287="0"&amp;totales!J287="0","a",IF(totales!E287="2"&amp;totales!H287="0"&amp;totales!I287="0"&amp;totales!J287="0","b",IF(totales!E287="3"&amp;totales!H287="0"&amp;totales!I287="0"&amp;totales!J287="0","c",IF(totales!E287="4"&amp;totales!H287="0"&amp;totales!I287="0"&amp;totales!J287="0","d",IF(totales!E287="6"&amp;totales!H287="0"&amp;totales!I287="0"&amp;totales!J287="0","e",IF(totales!E287="1"&amp;totales!H287="1"&amp;totales!I287="0"&amp;totales!J287="0","f",IF(totales!E287="2"&amp;totales!H287="1"&amp;totales!I287="0"&amp;totales!J287="0","g",IF(totales!E287="3"&amp;totales!H287="1"&amp;totales!I287="0"&amp;totales!J287="0","h",IF(totales!E287="4"&amp;totales!H287="1"&amp;totales!I287="0"&amp;totales!J287="0","i",IF(totales!E287="6"&amp;totales!H287="1"&amp;totales!I287="0"&amp;totales!J287="0","j",IF(totales!E287="1"&amp;totales!H287="2"&amp;totales!I287="0"&amp;totales!J287="0","k",IF(totales!E287="2"&amp;totales!H287="2"&amp;totales!I287="0"&amp;totales!J287="0","l",IF(totales!E287="3"&amp;totales!H287="2"&amp;totales!I287="0"&amp;totales!J287="0","m",
IF(totales!E287="4"&amp;totales!H287="2"&amp;totales!I287="0"&amp;totales!J287="0","n",IF(totales!E287="6"&amp;totales!H287="2"&amp;totales!I287="0"&amp;totales!J287="0","o",IF(totales!E287="1"&amp;totales!H287="0"&amp;totales!I287="1"&amp;totales!J287="0","p",IF(totales!E287="2"&amp;totales!H287="0"&amp;totales!I287="1"&amp;totales!J287="0","q",IF(totales!E287="3"&amp;totales!H287="0"&amp;totales!I287="1"&amp;totales!J287="0","r",IF(totales!E287="4"&amp;totales!H287="0"&amp;totales!I287="1"&amp;totales!J287="0","s",IF(totales!E287="6"&amp;totales!H287="0"&amp;totales!I287="1"&amp;totales!J287="0","t",IF(totales!E287="1"&amp;totales!H287="2"&amp;totales!I287="1"&amp;totales!J287="0","u",IF(totales!E287="2"&amp;totales!H287="2"&amp;totales!I287="1"&amp;totales!J287="0","v",IF(totales!E287="3"&amp;totales!H287="2"&amp;totales!I287="1"&amp;totales!J287="0","w",IF(totales!E287="4"&amp;totales!H287="2"&amp;totales!I287="1"&amp;totales!J287="0","x",
IF(totales!E287="6"&amp;totales!H287="2"&amp;totales!I287="1"&amp;totales!J287="0","y",IF(totales!E287="1"&amp;totales!H287="1"&amp;totales!I287="1"&amp;totales!J287="0","z",IF(totales!E287="2"&amp;totales!H287="1"&amp;totales!I287="1"&amp;totales!J287="0","0",IF(totales!E287="3"&amp;totales!H287="1"&amp;totales!I287="1"&amp;totales!J287="0","1",IF(totales!E287="4"&amp;totales!H287="1"&amp;totales!I287="1"&amp;totales!J287="0","2",IF(totales!E287="6"&amp;totales!H287="1"&amp;totales!I287="1"&amp;totales!J287="0","3",IF(totales!E287="1"&amp;totales!H287="0"&amp;totales!I287="1"&amp;totales!J287="1","4",IF(totales!E287="2"&amp;totales!H287="0"&amp;totales!I287="1"&amp;totales!J287="1","5",IF(totales!E287="3"&amp;totales!H287="0"&amp;totales!I287="1"&amp;totales!J287="1","6",IF(totales!E287="4"&amp;totales!H287="0"&amp;totales!I287="1"&amp;totales!J287="1","7",IF(totales!E287="6"&amp;totales!H287="0"&amp;totales!I287="1"&amp;totales!J287="1","8",IF(totales!E287="1"&amp;totales!H287="1"&amp;totales!I287="0"&amp;totales!J287="1","9"))))))))))))))))))))))))))))))))))))</f>
        <v>0</v>
      </c>
    </row>
    <row r="287" spans="22:22">
      <c r="V287" s="102" t="b">
        <f>IF(totales!E288="1"&amp;totales!H288="0"&amp;totales!I288="0"&amp;totales!J288="0","a",IF(totales!E288="2"&amp;totales!H288="0"&amp;totales!I288="0"&amp;totales!J288="0","b",IF(totales!E288="3"&amp;totales!H288="0"&amp;totales!I288="0"&amp;totales!J288="0","c",IF(totales!E288="4"&amp;totales!H288="0"&amp;totales!I288="0"&amp;totales!J288="0","d",IF(totales!E288="6"&amp;totales!H288="0"&amp;totales!I288="0"&amp;totales!J288="0","e",IF(totales!E288="1"&amp;totales!H288="1"&amp;totales!I288="0"&amp;totales!J288="0","f",IF(totales!E288="2"&amp;totales!H288="1"&amp;totales!I288="0"&amp;totales!J288="0","g",IF(totales!E288="3"&amp;totales!H288="1"&amp;totales!I288="0"&amp;totales!J288="0","h",IF(totales!E288="4"&amp;totales!H288="1"&amp;totales!I288="0"&amp;totales!J288="0","i",IF(totales!E288="6"&amp;totales!H288="1"&amp;totales!I288="0"&amp;totales!J288="0","j",IF(totales!E288="1"&amp;totales!H288="2"&amp;totales!I288="0"&amp;totales!J288="0","k",IF(totales!E288="2"&amp;totales!H288="2"&amp;totales!I288="0"&amp;totales!J288="0","l",IF(totales!E288="3"&amp;totales!H288="2"&amp;totales!I288="0"&amp;totales!J288="0","m",
IF(totales!E288="4"&amp;totales!H288="2"&amp;totales!I288="0"&amp;totales!J288="0","n",IF(totales!E288="6"&amp;totales!H288="2"&amp;totales!I288="0"&amp;totales!J288="0","o",IF(totales!E288="1"&amp;totales!H288="0"&amp;totales!I288="1"&amp;totales!J288="0","p",IF(totales!E288="2"&amp;totales!H288="0"&amp;totales!I288="1"&amp;totales!J288="0","q",IF(totales!E288="3"&amp;totales!H288="0"&amp;totales!I288="1"&amp;totales!J288="0","r",IF(totales!E288="4"&amp;totales!H288="0"&amp;totales!I288="1"&amp;totales!J288="0","s",IF(totales!E288="6"&amp;totales!H288="0"&amp;totales!I288="1"&amp;totales!J288="0","t",IF(totales!E288="1"&amp;totales!H288="2"&amp;totales!I288="1"&amp;totales!J288="0","u",IF(totales!E288="2"&amp;totales!H288="2"&amp;totales!I288="1"&amp;totales!J288="0","v",IF(totales!E288="3"&amp;totales!H288="2"&amp;totales!I288="1"&amp;totales!J288="0","w",IF(totales!E288="4"&amp;totales!H288="2"&amp;totales!I288="1"&amp;totales!J288="0","x",
IF(totales!E288="6"&amp;totales!H288="2"&amp;totales!I288="1"&amp;totales!J288="0","y",IF(totales!E288="1"&amp;totales!H288="1"&amp;totales!I288="1"&amp;totales!J288="0","z",IF(totales!E288="2"&amp;totales!H288="1"&amp;totales!I288="1"&amp;totales!J288="0","0",IF(totales!E288="3"&amp;totales!H288="1"&amp;totales!I288="1"&amp;totales!J288="0","1",IF(totales!E288="4"&amp;totales!H288="1"&amp;totales!I288="1"&amp;totales!J288="0","2",IF(totales!E288="6"&amp;totales!H288="1"&amp;totales!I288="1"&amp;totales!J288="0","3",IF(totales!E288="1"&amp;totales!H288="0"&amp;totales!I288="1"&amp;totales!J288="1","4",IF(totales!E288="2"&amp;totales!H288="0"&amp;totales!I288="1"&amp;totales!J288="1","5",IF(totales!E288="3"&amp;totales!H288="0"&amp;totales!I288="1"&amp;totales!J288="1","6",IF(totales!E288="4"&amp;totales!H288="0"&amp;totales!I288="1"&amp;totales!J288="1","7",IF(totales!E288="6"&amp;totales!H288="0"&amp;totales!I288="1"&amp;totales!J288="1","8",IF(totales!E288="1"&amp;totales!H288="1"&amp;totales!I288="0"&amp;totales!J288="1","9"))))))))))))))))))))))))))))))))))))</f>
        <v>0</v>
      </c>
    </row>
    <row r="288" spans="22:22">
      <c r="V288" s="102" t="b">
        <f>IF(totales!E289="1"&amp;totales!H289="0"&amp;totales!I289="0"&amp;totales!J289="0","a",IF(totales!E289="2"&amp;totales!H289="0"&amp;totales!I289="0"&amp;totales!J289="0","b",IF(totales!E289="3"&amp;totales!H289="0"&amp;totales!I289="0"&amp;totales!J289="0","c",IF(totales!E289="4"&amp;totales!H289="0"&amp;totales!I289="0"&amp;totales!J289="0","d",IF(totales!E289="6"&amp;totales!H289="0"&amp;totales!I289="0"&amp;totales!J289="0","e",IF(totales!E289="1"&amp;totales!H289="1"&amp;totales!I289="0"&amp;totales!J289="0","f",IF(totales!E289="2"&amp;totales!H289="1"&amp;totales!I289="0"&amp;totales!J289="0","g",IF(totales!E289="3"&amp;totales!H289="1"&amp;totales!I289="0"&amp;totales!J289="0","h",IF(totales!E289="4"&amp;totales!H289="1"&amp;totales!I289="0"&amp;totales!J289="0","i",IF(totales!E289="6"&amp;totales!H289="1"&amp;totales!I289="0"&amp;totales!J289="0","j",IF(totales!E289="1"&amp;totales!H289="2"&amp;totales!I289="0"&amp;totales!J289="0","k",IF(totales!E289="2"&amp;totales!H289="2"&amp;totales!I289="0"&amp;totales!J289="0","l",IF(totales!E289="3"&amp;totales!H289="2"&amp;totales!I289="0"&amp;totales!J289="0","m",
IF(totales!E289="4"&amp;totales!H289="2"&amp;totales!I289="0"&amp;totales!J289="0","n",IF(totales!E289="6"&amp;totales!H289="2"&amp;totales!I289="0"&amp;totales!J289="0","o",IF(totales!E289="1"&amp;totales!H289="0"&amp;totales!I289="1"&amp;totales!J289="0","p",IF(totales!E289="2"&amp;totales!H289="0"&amp;totales!I289="1"&amp;totales!J289="0","q",IF(totales!E289="3"&amp;totales!H289="0"&amp;totales!I289="1"&amp;totales!J289="0","r",IF(totales!E289="4"&amp;totales!H289="0"&amp;totales!I289="1"&amp;totales!J289="0","s",IF(totales!E289="6"&amp;totales!H289="0"&amp;totales!I289="1"&amp;totales!J289="0","t",IF(totales!E289="1"&amp;totales!H289="2"&amp;totales!I289="1"&amp;totales!J289="0","u",IF(totales!E289="2"&amp;totales!H289="2"&amp;totales!I289="1"&amp;totales!J289="0","v",IF(totales!E289="3"&amp;totales!H289="2"&amp;totales!I289="1"&amp;totales!J289="0","w",IF(totales!E289="4"&amp;totales!H289="2"&amp;totales!I289="1"&amp;totales!J289="0","x",
IF(totales!E289="6"&amp;totales!H289="2"&amp;totales!I289="1"&amp;totales!J289="0","y",IF(totales!E289="1"&amp;totales!H289="1"&amp;totales!I289="1"&amp;totales!J289="0","z",IF(totales!E289="2"&amp;totales!H289="1"&amp;totales!I289="1"&amp;totales!J289="0","0",IF(totales!E289="3"&amp;totales!H289="1"&amp;totales!I289="1"&amp;totales!J289="0","1",IF(totales!E289="4"&amp;totales!H289="1"&amp;totales!I289="1"&amp;totales!J289="0","2",IF(totales!E289="6"&amp;totales!H289="1"&amp;totales!I289="1"&amp;totales!J289="0","3",IF(totales!E289="1"&amp;totales!H289="0"&amp;totales!I289="1"&amp;totales!J289="1","4",IF(totales!E289="2"&amp;totales!H289="0"&amp;totales!I289="1"&amp;totales!J289="1","5",IF(totales!E289="3"&amp;totales!H289="0"&amp;totales!I289="1"&amp;totales!J289="1","6",IF(totales!E289="4"&amp;totales!H289="0"&amp;totales!I289="1"&amp;totales!J289="1","7",IF(totales!E289="6"&amp;totales!H289="0"&amp;totales!I289="1"&amp;totales!J289="1","8",IF(totales!E289="1"&amp;totales!H289="1"&amp;totales!I289="0"&amp;totales!J289="1","9"))))))))))))))))))))))))))))))))))))</f>
        <v>0</v>
      </c>
    </row>
    <row r="289" spans="22:22">
      <c r="V289" s="102" t="b">
        <f>IF(totales!E290="1"&amp;totales!H290="0"&amp;totales!I290="0"&amp;totales!J290="0","a",IF(totales!E290="2"&amp;totales!H290="0"&amp;totales!I290="0"&amp;totales!J290="0","b",IF(totales!E290="3"&amp;totales!H290="0"&amp;totales!I290="0"&amp;totales!J290="0","c",IF(totales!E290="4"&amp;totales!H290="0"&amp;totales!I290="0"&amp;totales!J290="0","d",IF(totales!E290="6"&amp;totales!H290="0"&amp;totales!I290="0"&amp;totales!J290="0","e",IF(totales!E290="1"&amp;totales!H290="1"&amp;totales!I290="0"&amp;totales!J290="0","f",IF(totales!E290="2"&amp;totales!H290="1"&amp;totales!I290="0"&amp;totales!J290="0","g",IF(totales!E290="3"&amp;totales!H290="1"&amp;totales!I290="0"&amp;totales!J290="0","h",IF(totales!E290="4"&amp;totales!H290="1"&amp;totales!I290="0"&amp;totales!J290="0","i",IF(totales!E290="6"&amp;totales!H290="1"&amp;totales!I290="0"&amp;totales!J290="0","j",IF(totales!E290="1"&amp;totales!H290="2"&amp;totales!I290="0"&amp;totales!J290="0","k",IF(totales!E290="2"&amp;totales!H290="2"&amp;totales!I290="0"&amp;totales!J290="0","l",IF(totales!E290="3"&amp;totales!H290="2"&amp;totales!I290="0"&amp;totales!J290="0","m",
IF(totales!E290="4"&amp;totales!H290="2"&amp;totales!I290="0"&amp;totales!J290="0","n",IF(totales!E290="6"&amp;totales!H290="2"&amp;totales!I290="0"&amp;totales!J290="0","o",IF(totales!E290="1"&amp;totales!H290="0"&amp;totales!I290="1"&amp;totales!J290="0","p",IF(totales!E290="2"&amp;totales!H290="0"&amp;totales!I290="1"&amp;totales!J290="0","q",IF(totales!E290="3"&amp;totales!H290="0"&amp;totales!I290="1"&amp;totales!J290="0","r",IF(totales!E290="4"&amp;totales!H290="0"&amp;totales!I290="1"&amp;totales!J290="0","s",IF(totales!E290="6"&amp;totales!H290="0"&amp;totales!I290="1"&amp;totales!J290="0","t",IF(totales!E290="1"&amp;totales!H290="2"&amp;totales!I290="1"&amp;totales!J290="0","u",IF(totales!E290="2"&amp;totales!H290="2"&amp;totales!I290="1"&amp;totales!J290="0","v",IF(totales!E290="3"&amp;totales!H290="2"&amp;totales!I290="1"&amp;totales!J290="0","w",IF(totales!E290="4"&amp;totales!H290="2"&amp;totales!I290="1"&amp;totales!J290="0","x",
IF(totales!E290="6"&amp;totales!H290="2"&amp;totales!I290="1"&amp;totales!J290="0","y",IF(totales!E290="1"&amp;totales!H290="1"&amp;totales!I290="1"&amp;totales!J290="0","z",IF(totales!E290="2"&amp;totales!H290="1"&amp;totales!I290="1"&amp;totales!J290="0","0",IF(totales!E290="3"&amp;totales!H290="1"&amp;totales!I290="1"&amp;totales!J290="0","1",IF(totales!E290="4"&amp;totales!H290="1"&amp;totales!I290="1"&amp;totales!J290="0","2",IF(totales!E290="6"&amp;totales!H290="1"&amp;totales!I290="1"&amp;totales!J290="0","3",IF(totales!E290="1"&amp;totales!H290="0"&amp;totales!I290="1"&amp;totales!J290="1","4",IF(totales!E290="2"&amp;totales!H290="0"&amp;totales!I290="1"&amp;totales!J290="1","5",IF(totales!E290="3"&amp;totales!H290="0"&amp;totales!I290="1"&amp;totales!J290="1","6",IF(totales!E290="4"&amp;totales!H290="0"&amp;totales!I290="1"&amp;totales!J290="1","7",IF(totales!E290="6"&amp;totales!H290="0"&amp;totales!I290="1"&amp;totales!J290="1","8",IF(totales!E290="1"&amp;totales!H290="1"&amp;totales!I290="0"&amp;totales!J290="1","9"))))))))))))))))))))))))))))))))))))</f>
        <v>0</v>
      </c>
    </row>
    <row r="290" spans="22:22">
      <c r="V290" s="102" t="b">
        <f>IF(totales!E291="1"&amp;totales!H291="0"&amp;totales!I291="0"&amp;totales!J291="0","a",IF(totales!E291="2"&amp;totales!H291="0"&amp;totales!I291="0"&amp;totales!J291="0","b",IF(totales!E291="3"&amp;totales!H291="0"&amp;totales!I291="0"&amp;totales!J291="0","c",IF(totales!E291="4"&amp;totales!H291="0"&amp;totales!I291="0"&amp;totales!J291="0","d",IF(totales!E291="6"&amp;totales!H291="0"&amp;totales!I291="0"&amp;totales!J291="0","e",IF(totales!E291="1"&amp;totales!H291="1"&amp;totales!I291="0"&amp;totales!J291="0","f",IF(totales!E291="2"&amp;totales!H291="1"&amp;totales!I291="0"&amp;totales!J291="0","g",IF(totales!E291="3"&amp;totales!H291="1"&amp;totales!I291="0"&amp;totales!J291="0","h",IF(totales!E291="4"&amp;totales!H291="1"&amp;totales!I291="0"&amp;totales!J291="0","i",IF(totales!E291="6"&amp;totales!H291="1"&amp;totales!I291="0"&amp;totales!J291="0","j",IF(totales!E291="1"&amp;totales!H291="2"&amp;totales!I291="0"&amp;totales!J291="0","k",IF(totales!E291="2"&amp;totales!H291="2"&amp;totales!I291="0"&amp;totales!J291="0","l",IF(totales!E291="3"&amp;totales!H291="2"&amp;totales!I291="0"&amp;totales!J291="0","m",
IF(totales!E291="4"&amp;totales!H291="2"&amp;totales!I291="0"&amp;totales!J291="0","n",IF(totales!E291="6"&amp;totales!H291="2"&amp;totales!I291="0"&amp;totales!J291="0","o",IF(totales!E291="1"&amp;totales!H291="0"&amp;totales!I291="1"&amp;totales!J291="0","p",IF(totales!E291="2"&amp;totales!H291="0"&amp;totales!I291="1"&amp;totales!J291="0","q",IF(totales!E291="3"&amp;totales!H291="0"&amp;totales!I291="1"&amp;totales!J291="0","r",IF(totales!E291="4"&amp;totales!H291="0"&amp;totales!I291="1"&amp;totales!J291="0","s",IF(totales!E291="6"&amp;totales!H291="0"&amp;totales!I291="1"&amp;totales!J291="0","t",IF(totales!E291="1"&amp;totales!H291="2"&amp;totales!I291="1"&amp;totales!J291="0","u",IF(totales!E291="2"&amp;totales!H291="2"&amp;totales!I291="1"&amp;totales!J291="0","v",IF(totales!E291="3"&amp;totales!H291="2"&amp;totales!I291="1"&amp;totales!J291="0","w",IF(totales!E291="4"&amp;totales!H291="2"&amp;totales!I291="1"&amp;totales!J291="0","x",
IF(totales!E291="6"&amp;totales!H291="2"&amp;totales!I291="1"&amp;totales!J291="0","y",IF(totales!E291="1"&amp;totales!H291="1"&amp;totales!I291="1"&amp;totales!J291="0","z",IF(totales!E291="2"&amp;totales!H291="1"&amp;totales!I291="1"&amp;totales!J291="0","0",IF(totales!E291="3"&amp;totales!H291="1"&amp;totales!I291="1"&amp;totales!J291="0","1",IF(totales!E291="4"&amp;totales!H291="1"&amp;totales!I291="1"&amp;totales!J291="0","2",IF(totales!E291="6"&amp;totales!H291="1"&amp;totales!I291="1"&amp;totales!J291="0","3",IF(totales!E291="1"&amp;totales!H291="0"&amp;totales!I291="1"&amp;totales!J291="1","4",IF(totales!E291="2"&amp;totales!H291="0"&amp;totales!I291="1"&amp;totales!J291="1","5",IF(totales!E291="3"&amp;totales!H291="0"&amp;totales!I291="1"&amp;totales!J291="1","6",IF(totales!E291="4"&amp;totales!H291="0"&amp;totales!I291="1"&amp;totales!J291="1","7",IF(totales!E291="6"&amp;totales!H291="0"&amp;totales!I291="1"&amp;totales!J291="1","8",IF(totales!E291="1"&amp;totales!H291="1"&amp;totales!I291="0"&amp;totales!J291="1","9"))))))))))))))))))))))))))))))))))))</f>
        <v>0</v>
      </c>
    </row>
    <row r="291" spans="22:22">
      <c r="V291" s="102" t="b">
        <f>IF(totales!E292="1"&amp;totales!H292="0"&amp;totales!I292="0"&amp;totales!J292="0","a",IF(totales!E292="2"&amp;totales!H292="0"&amp;totales!I292="0"&amp;totales!J292="0","b",IF(totales!E292="3"&amp;totales!H292="0"&amp;totales!I292="0"&amp;totales!J292="0","c",IF(totales!E292="4"&amp;totales!H292="0"&amp;totales!I292="0"&amp;totales!J292="0","d",IF(totales!E292="6"&amp;totales!H292="0"&amp;totales!I292="0"&amp;totales!J292="0","e",IF(totales!E292="1"&amp;totales!H292="1"&amp;totales!I292="0"&amp;totales!J292="0","f",IF(totales!E292="2"&amp;totales!H292="1"&amp;totales!I292="0"&amp;totales!J292="0","g",IF(totales!E292="3"&amp;totales!H292="1"&amp;totales!I292="0"&amp;totales!J292="0","h",IF(totales!E292="4"&amp;totales!H292="1"&amp;totales!I292="0"&amp;totales!J292="0","i",IF(totales!E292="6"&amp;totales!H292="1"&amp;totales!I292="0"&amp;totales!J292="0","j",IF(totales!E292="1"&amp;totales!H292="2"&amp;totales!I292="0"&amp;totales!J292="0","k",IF(totales!E292="2"&amp;totales!H292="2"&amp;totales!I292="0"&amp;totales!J292="0","l",IF(totales!E292="3"&amp;totales!H292="2"&amp;totales!I292="0"&amp;totales!J292="0","m",
IF(totales!E292="4"&amp;totales!H292="2"&amp;totales!I292="0"&amp;totales!J292="0","n",IF(totales!E292="6"&amp;totales!H292="2"&amp;totales!I292="0"&amp;totales!J292="0","o",IF(totales!E292="1"&amp;totales!H292="0"&amp;totales!I292="1"&amp;totales!J292="0","p",IF(totales!E292="2"&amp;totales!H292="0"&amp;totales!I292="1"&amp;totales!J292="0","q",IF(totales!E292="3"&amp;totales!H292="0"&amp;totales!I292="1"&amp;totales!J292="0","r",IF(totales!E292="4"&amp;totales!H292="0"&amp;totales!I292="1"&amp;totales!J292="0","s",IF(totales!E292="6"&amp;totales!H292="0"&amp;totales!I292="1"&amp;totales!J292="0","t",IF(totales!E292="1"&amp;totales!H292="2"&amp;totales!I292="1"&amp;totales!J292="0","u",IF(totales!E292="2"&amp;totales!H292="2"&amp;totales!I292="1"&amp;totales!J292="0","v",IF(totales!E292="3"&amp;totales!H292="2"&amp;totales!I292="1"&amp;totales!J292="0","w",IF(totales!E292="4"&amp;totales!H292="2"&amp;totales!I292="1"&amp;totales!J292="0","x",
IF(totales!E292="6"&amp;totales!H292="2"&amp;totales!I292="1"&amp;totales!J292="0","y",IF(totales!E292="1"&amp;totales!H292="1"&amp;totales!I292="1"&amp;totales!J292="0","z",IF(totales!E292="2"&amp;totales!H292="1"&amp;totales!I292="1"&amp;totales!J292="0","0",IF(totales!E292="3"&amp;totales!H292="1"&amp;totales!I292="1"&amp;totales!J292="0","1",IF(totales!E292="4"&amp;totales!H292="1"&amp;totales!I292="1"&amp;totales!J292="0","2",IF(totales!E292="6"&amp;totales!H292="1"&amp;totales!I292="1"&amp;totales!J292="0","3",IF(totales!E292="1"&amp;totales!H292="0"&amp;totales!I292="1"&amp;totales!J292="1","4",IF(totales!E292="2"&amp;totales!H292="0"&amp;totales!I292="1"&amp;totales!J292="1","5",IF(totales!E292="3"&amp;totales!H292="0"&amp;totales!I292="1"&amp;totales!J292="1","6",IF(totales!E292="4"&amp;totales!H292="0"&amp;totales!I292="1"&amp;totales!J292="1","7",IF(totales!E292="6"&amp;totales!H292="0"&amp;totales!I292="1"&amp;totales!J292="1","8",IF(totales!E292="1"&amp;totales!H292="1"&amp;totales!I292="0"&amp;totales!J292="1","9"))))))))))))))))))))))))))))))))))))</f>
        <v>0</v>
      </c>
    </row>
    <row r="292" spans="22:22">
      <c r="V292" s="102" t="b">
        <f>IF(totales!E293="1"&amp;totales!H293="0"&amp;totales!I293="0"&amp;totales!J293="0","a",IF(totales!E293="2"&amp;totales!H293="0"&amp;totales!I293="0"&amp;totales!J293="0","b",IF(totales!E293="3"&amp;totales!H293="0"&amp;totales!I293="0"&amp;totales!J293="0","c",IF(totales!E293="4"&amp;totales!H293="0"&amp;totales!I293="0"&amp;totales!J293="0","d",IF(totales!E293="6"&amp;totales!H293="0"&amp;totales!I293="0"&amp;totales!J293="0","e",IF(totales!E293="1"&amp;totales!H293="1"&amp;totales!I293="0"&amp;totales!J293="0","f",IF(totales!E293="2"&amp;totales!H293="1"&amp;totales!I293="0"&amp;totales!J293="0","g",IF(totales!E293="3"&amp;totales!H293="1"&amp;totales!I293="0"&amp;totales!J293="0","h",IF(totales!E293="4"&amp;totales!H293="1"&amp;totales!I293="0"&amp;totales!J293="0","i",IF(totales!E293="6"&amp;totales!H293="1"&amp;totales!I293="0"&amp;totales!J293="0","j",IF(totales!E293="1"&amp;totales!H293="2"&amp;totales!I293="0"&amp;totales!J293="0","k",IF(totales!E293="2"&amp;totales!H293="2"&amp;totales!I293="0"&amp;totales!J293="0","l",IF(totales!E293="3"&amp;totales!H293="2"&amp;totales!I293="0"&amp;totales!J293="0","m",
IF(totales!E293="4"&amp;totales!H293="2"&amp;totales!I293="0"&amp;totales!J293="0","n",IF(totales!E293="6"&amp;totales!H293="2"&amp;totales!I293="0"&amp;totales!J293="0","o",IF(totales!E293="1"&amp;totales!H293="0"&amp;totales!I293="1"&amp;totales!J293="0","p",IF(totales!E293="2"&amp;totales!H293="0"&amp;totales!I293="1"&amp;totales!J293="0","q",IF(totales!E293="3"&amp;totales!H293="0"&amp;totales!I293="1"&amp;totales!J293="0","r",IF(totales!E293="4"&amp;totales!H293="0"&amp;totales!I293="1"&amp;totales!J293="0","s",IF(totales!E293="6"&amp;totales!H293="0"&amp;totales!I293="1"&amp;totales!J293="0","t",IF(totales!E293="1"&amp;totales!H293="2"&amp;totales!I293="1"&amp;totales!J293="0","u",IF(totales!E293="2"&amp;totales!H293="2"&amp;totales!I293="1"&amp;totales!J293="0","v",IF(totales!E293="3"&amp;totales!H293="2"&amp;totales!I293="1"&amp;totales!J293="0","w",IF(totales!E293="4"&amp;totales!H293="2"&amp;totales!I293="1"&amp;totales!J293="0","x",
IF(totales!E293="6"&amp;totales!H293="2"&amp;totales!I293="1"&amp;totales!J293="0","y",IF(totales!E293="1"&amp;totales!H293="1"&amp;totales!I293="1"&amp;totales!J293="0","z",IF(totales!E293="2"&amp;totales!H293="1"&amp;totales!I293="1"&amp;totales!J293="0","0",IF(totales!E293="3"&amp;totales!H293="1"&amp;totales!I293="1"&amp;totales!J293="0","1",IF(totales!E293="4"&amp;totales!H293="1"&amp;totales!I293="1"&amp;totales!J293="0","2",IF(totales!E293="6"&amp;totales!H293="1"&amp;totales!I293="1"&amp;totales!J293="0","3",IF(totales!E293="1"&amp;totales!H293="0"&amp;totales!I293="1"&amp;totales!J293="1","4",IF(totales!E293="2"&amp;totales!H293="0"&amp;totales!I293="1"&amp;totales!J293="1","5",IF(totales!E293="3"&amp;totales!H293="0"&amp;totales!I293="1"&amp;totales!J293="1","6",IF(totales!E293="4"&amp;totales!H293="0"&amp;totales!I293="1"&amp;totales!J293="1","7",IF(totales!E293="6"&amp;totales!H293="0"&amp;totales!I293="1"&amp;totales!J293="1","8",IF(totales!E293="1"&amp;totales!H293="1"&amp;totales!I293="0"&amp;totales!J293="1","9"))))))))))))))))))))))))))))))))))))</f>
        <v>0</v>
      </c>
    </row>
    <row r="293" spans="22:22">
      <c r="V293" s="102" t="b">
        <f>IF(totales!E294="1"&amp;totales!H294="0"&amp;totales!I294="0"&amp;totales!J294="0","a",IF(totales!E294="2"&amp;totales!H294="0"&amp;totales!I294="0"&amp;totales!J294="0","b",IF(totales!E294="3"&amp;totales!H294="0"&amp;totales!I294="0"&amp;totales!J294="0","c",IF(totales!E294="4"&amp;totales!H294="0"&amp;totales!I294="0"&amp;totales!J294="0","d",IF(totales!E294="6"&amp;totales!H294="0"&amp;totales!I294="0"&amp;totales!J294="0","e",IF(totales!E294="1"&amp;totales!H294="1"&amp;totales!I294="0"&amp;totales!J294="0","f",IF(totales!E294="2"&amp;totales!H294="1"&amp;totales!I294="0"&amp;totales!J294="0","g",IF(totales!E294="3"&amp;totales!H294="1"&amp;totales!I294="0"&amp;totales!J294="0","h",IF(totales!E294="4"&amp;totales!H294="1"&amp;totales!I294="0"&amp;totales!J294="0","i",IF(totales!E294="6"&amp;totales!H294="1"&amp;totales!I294="0"&amp;totales!J294="0","j",IF(totales!E294="1"&amp;totales!H294="2"&amp;totales!I294="0"&amp;totales!J294="0","k",IF(totales!E294="2"&amp;totales!H294="2"&amp;totales!I294="0"&amp;totales!J294="0","l",IF(totales!E294="3"&amp;totales!H294="2"&amp;totales!I294="0"&amp;totales!J294="0","m",
IF(totales!E294="4"&amp;totales!H294="2"&amp;totales!I294="0"&amp;totales!J294="0","n",IF(totales!E294="6"&amp;totales!H294="2"&amp;totales!I294="0"&amp;totales!J294="0","o",IF(totales!E294="1"&amp;totales!H294="0"&amp;totales!I294="1"&amp;totales!J294="0","p",IF(totales!E294="2"&amp;totales!H294="0"&amp;totales!I294="1"&amp;totales!J294="0","q",IF(totales!E294="3"&amp;totales!H294="0"&amp;totales!I294="1"&amp;totales!J294="0","r",IF(totales!E294="4"&amp;totales!H294="0"&amp;totales!I294="1"&amp;totales!J294="0","s",IF(totales!E294="6"&amp;totales!H294="0"&amp;totales!I294="1"&amp;totales!J294="0","t",IF(totales!E294="1"&amp;totales!H294="2"&amp;totales!I294="1"&amp;totales!J294="0","u",IF(totales!E294="2"&amp;totales!H294="2"&amp;totales!I294="1"&amp;totales!J294="0","v",IF(totales!E294="3"&amp;totales!H294="2"&amp;totales!I294="1"&amp;totales!J294="0","w",IF(totales!E294="4"&amp;totales!H294="2"&amp;totales!I294="1"&amp;totales!J294="0","x",
IF(totales!E294="6"&amp;totales!H294="2"&amp;totales!I294="1"&amp;totales!J294="0","y",IF(totales!E294="1"&amp;totales!H294="1"&amp;totales!I294="1"&amp;totales!J294="0","z",IF(totales!E294="2"&amp;totales!H294="1"&amp;totales!I294="1"&amp;totales!J294="0","0",IF(totales!E294="3"&amp;totales!H294="1"&amp;totales!I294="1"&amp;totales!J294="0","1",IF(totales!E294="4"&amp;totales!H294="1"&amp;totales!I294="1"&amp;totales!J294="0","2",IF(totales!E294="6"&amp;totales!H294="1"&amp;totales!I294="1"&amp;totales!J294="0","3",IF(totales!E294="1"&amp;totales!H294="0"&amp;totales!I294="1"&amp;totales!J294="1","4",IF(totales!E294="2"&amp;totales!H294="0"&amp;totales!I294="1"&amp;totales!J294="1","5",IF(totales!E294="3"&amp;totales!H294="0"&amp;totales!I294="1"&amp;totales!J294="1","6",IF(totales!E294="4"&amp;totales!H294="0"&amp;totales!I294="1"&amp;totales!J294="1","7",IF(totales!E294="6"&amp;totales!H294="0"&amp;totales!I294="1"&amp;totales!J294="1","8",IF(totales!E294="1"&amp;totales!H294="1"&amp;totales!I294="0"&amp;totales!J294="1","9"))))))))))))))))))))))))))))))))))))</f>
        <v>0</v>
      </c>
    </row>
    <row r="294" spans="22:22">
      <c r="V294" s="102" t="b">
        <f>IF(totales!E295="1"&amp;totales!H295="0"&amp;totales!I295="0"&amp;totales!J295="0","a",IF(totales!E295="2"&amp;totales!H295="0"&amp;totales!I295="0"&amp;totales!J295="0","b",IF(totales!E295="3"&amp;totales!H295="0"&amp;totales!I295="0"&amp;totales!J295="0","c",IF(totales!E295="4"&amp;totales!H295="0"&amp;totales!I295="0"&amp;totales!J295="0","d",IF(totales!E295="6"&amp;totales!H295="0"&amp;totales!I295="0"&amp;totales!J295="0","e",IF(totales!E295="1"&amp;totales!H295="1"&amp;totales!I295="0"&amp;totales!J295="0","f",IF(totales!E295="2"&amp;totales!H295="1"&amp;totales!I295="0"&amp;totales!J295="0","g",IF(totales!E295="3"&amp;totales!H295="1"&amp;totales!I295="0"&amp;totales!J295="0","h",IF(totales!E295="4"&amp;totales!H295="1"&amp;totales!I295="0"&amp;totales!J295="0","i",IF(totales!E295="6"&amp;totales!H295="1"&amp;totales!I295="0"&amp;totales!J295="0","j",IF(totales!E295="1"&amp;totales!H295="2"&amp;totales!I295="0"&amp;totales!J295="0","k",IF(totales!E295="2"&amp;totales!H295="2"&amp;totales!I295="0"&amp;totales!J295="0","l",IF(totales!E295="3"&amp;totales!H295="2"&amp;totales!I295="0"&amp;totales!J295="0","m",
IF(totales!E295="4"&amp;totales!H295="2"&amp;totales!I295="0"&amp;totales!J295="0","n",IF(totales!E295="6"&amp;totales!H295="2"&amp;totales!I295="0"&amp;totales!J295="0","o",IF(totales!E295="1"&amp;totales!H295="0"&amp;totales!I295="1"&amp;totales!J295="0","p",IF(totales!E295="2"&amp;totales!H295="0"&amp;totales!I295="1"&amp;totales!J295="0","q",IF(totales!E295="3"&amp;totales!H295="0"&amp;totales!I295="1"&amp;totales!J295="0","r",IF(totales!E295="4"&amp;totales!H295="0"&amp;totales!I295="1"&amp;totales!J295="0","s",IF(totales!E295="6"&amp;totales!H295="0"&amp;totales!I295="1"&amp;totales!J295="0","t",IF(totales!E295="1"&amp;totales!H295="2"&amp;totales!I295="1"&amp;totales!J295="0","u",IF(totales!E295="2"&amp;totales!H295="2"&amp;totales!I295="1"&amp;totales!J295="0","v",IF(totales!E295="3"&amp;totales!H295="2"&amp;totales!I295="1"&amp;totales!J295="0","w",IF(totales!E295="4"&amp;totales!H295="2"&amp;totales!I295="1"&amp;totales!J295="0","x",
IF(totales!E295="6"&amp;totales!H295="2"&amp;totales!I295="1"&amp;totales!J295="0","y",IF(totales!E295="1"&amp;totales!H295="1"&amp;totales!I295="1"&amp;totales!J295="0","z",IF(totales!E295="2"&amp;totales!H295="1"&amp;totales!I295="1"&amp;totales!J295="0","0",IF(totales!E295="3"&amp;totales!H295="1"&amp;totales!I295="1"&amp;totales!J295="0","1",IF(totales!E295="4"&amp;totales!H295="1"&amp;totales!I295="1"&amp;totales!J295="0","2",IF(totales!E295="6"&amp;totales!H295="1"&amp;totales!I295="1"&amp;totales!J295="0","3",IF(totales!E295="1"&amp;totales!H295="0"&amp;totales!I295="1"&amp;totales!J295="1","4",IF(totales!E295="2"&amp;totales!H295="0"&amp;totales!I295="1"&amp;totales!J295="1","5",IF(totales!E295="3"&amp;totales!H295="0"&amp;totales!I295="1"&amp;totales!J295="1","6",IF(totales!E295="4"&amp;totales!H295="0"&amp;totales!I295="1"&amp;totales!J295="1","7",IF(totales!E295="6"&amp;totales!H295="0"&amp;totales!I295="1"&amp;totales!J295="1","8",IF(totales!E295="1"&amp;totales!H295="1"&amp;totales!I295="0"&amp;totales!J295="1","9"))))))))))))))))))))))))))))))))))))</f>
        <v>0</v>
      </c>
    </row>
    <row r="295" spans="22:22">
      <c r="V295" s="102" t="b">
        <f>IF(totales!E296="1"&amp;totales!H296="0"&amp;totales!I296="0"&amp;totales!J296="0","a",IF(totales!E296="2"&amp;totales!H296="0"&amp;totales!I296="0"&amp;totales!J296="0","b",IF(totales!E296="3"&amp;totales!H296="0"&amp;totales!I296="0"&amp;totales!J296="0","c",IF(totales!E296="4"&amp;totales!H296="0"&amp;totales!I296="0"&amp;totales!J296="0","d",IF(totales!E296="6"&amp;totales!H296="0"&amp;totales!I296="0"&amp;totales!J296="0","e",IF(totales!E296="1"&amp;totales!H296="1"&amp;totales!I296="0"&amp;totales!J296="0","f",IF(totales!E296="2"&amp;totales!H296="1"&amp;totales!I296="0"&amp;totales!J296="0","g",IF(totales!E296="3"&amp;totales!H296="1"&amp;totales!I296="0"&amp;totales!J296="0","h",IF(totales!E296="4"&amp;totales!H296="1"&amp;totales!I296="0"&amp;totales!J296="0","i",IF(totales!E296="6"&amp;totales!H296="1"&amp;totales!I296="0"&amp;totales!J296="0","j",IF(totales!E296="1"&amp;totales!H296="2"&amp;totales!I296="0"&amp;totales!J296="0","k",IF(totales!E296="2"&amp;totales!H296="2"&amp;totales!I296="0"&amp;totales!J296="0","l",IF(totales!E296="3"&amp;totales!H296="2"&amp;totales!I296="0"&amp;totales!J296="0","m",
IF(totales!E296="4"&amp;totales!H296="2"&amp;totales!I296="0"&amp;totales!J296="0","n",IF(totales!E296="6"&amp;totales!H296="2"&amp;totales!I296="0"&amp;totales!J296="0","o",IF(totales!E296="1"&amp;totales!H296="0"&amp;totales!I296="1"&amp;totales!J296="0","p",IF(totales!E296="2"&amp;totales!H296="0"&amp;totales!I296="1"&amp;totales!J296="0","q",IF(totales!E296="3"&amp;totales!H296="0"&amp;totales!I296="1"&amp;totales!J296="0","r",IF(totales!E296="4"&amp;totales!H296="0"&amp;totales!I296="1"&amp;totales!J296="0","s",IF(totales!E296="6"&amp;totales!H296="0"&amp;totales!I296="1"&amp;totales!J296="0","t",IF(totales!E296="1"&amp;totales!H296="2"&amp;totales!I296="1"&amp;totales!J296="0","u",IF(totales!E296="2"&amp;totales!H296="2"&amp;totales!I296="1"&amp;totales!J296="0","v",IF(totales!E296="3"&amp;totales!H296="2"&amp;totales!I296="1"&amp;totales!J296="0","w",IF(totales!E296="4"&amp;totales!H296="2"&amp;totales!I296="1"&amp;totales!J296="0","x",
IF(totales!E296="6"&amp;totales!H296="2"&amp;totales!I296="1"&amp;totales!J296="0","y",IF(totales!E296="1"&amp;totales!H296="1"&amp;totales!I296="1"&amp;totales!J296="0","z",IF(totales!E296="2"&amp;totales!H296="1"&amp;totales!I296="1"&amp;totales!J296="0","0",IF(totales!E296="3"&amp;totales!H296="1"&amp;totales!I296="1"&amp;totales!J296="0","1",IF(totales!E296="4"&amp;totales!H296="1"&amp;totales!I296="1"&amp;totales!J296="0","2",IF(totales!E296="6"&amp;totales!H296="1"&amp;totales!I296="1"&amp;totales!J296="0","3",IF(totales!E296="1"&amp;totales!H296="0"&amp;totales!I296="1"&amp;totales!J296="1","4",IF(totales!E296="2"&amp;totales!H296="0"&amp;totales!I296="1"&amp;totales!J296="1","5",IF(totales!E296="3"&amp;totales!H296="0"&amp;totales!I296="1"&amp;totales!J296="1","6",IF(totales!E296="4"&amp;totales!H296="0"&amp;totales!I296="1"&amp;totales!J296="1","7",IF(totales!E296="6"&amp;totales!H296="0"&amp;totales!I296="1"&amp;totales!J296="1","8",IF(totales!E296="1"&amp;totales!H296="1"&amp;totales!I296="0"&amp;totales!J296="1","9"))))))))))))))))))))))))))))))))))))</f>
        <v>0</v>
      </c>
    </row>
    <row r="296" spans="22:22">
      <c r="V296" s="102" t="b">
        <f>IF(totales!E297="1"&amp;totales!H297="0"&amp;totales!I297="0"&amp;totales!J297="0","a",IF(totales!E297="2"&amp;totales!H297="0"&amp;totales!I297="0"&amp;totales!J297="0","b",IF(totales!E297="3"&amp;totales!H297="0"&amp;totales!I297="0"&amp;totales!J297="0","c",IF(totales!E297="4"&amp;totales!H297="0"&amp;totales!I297="0"&amp;totales!J297="0","d",IF(totales!E297="6"&amp;totales!H297="0"&amp;totales!I297="0"&amp;totales!J297="0","e",IF(totales!E297="1"&amp;totales!H297="1"&amp;totales!I297="0"&amp;totales!J297="0","f",IF(totales!E297="2"&amp;totales!H297="1"&amp;totales!I297="0"&amp;totales!J297="0","g",IF(totales!E297="3"&amp;totales!H297="1"&amp;totales!I297="0"&amp;totales!J297="0","h",IF(totales!E297="4"&amp;totales!H297="1"&amp;totales!I297="0"&amp;totales!J297="0","i",IF(totales!E297="6"&amp;totales!H297="1"&amp;totales!I297="0"&amp;totales!J297="0","j",IF(totales!E297="1"&amp;totales!H297="2"&amp;totales!I297="0"&amp;totales!J297="0","k",IF(totales!E297="2"&amp;totales!H297="2"&amp;totales!I297="0"&amp;totales!J297="0","l",IF(totales!E297="3"&amp;totales!H297="2"&amp;totales!I297="0"&amp;totales!J297="0","m",
IF(totales!E297="4"&amp;totales!H297="2"&amp;totales!I297="0"&amp;totales!J297="0","n",IF(totales!E297="6"&amp;totales!H297="2"&amp;totales!I297="0"&amp;totales!J297="0","o",IF(totales!E297="1"&amp;totales!H297="0"&amp;totales!I297="1"&amp;totales!J297="0","p",IF(totales!E297="2"&amp;totales!H297="0"&amp;totales!I297="1"&amp;totales!J297="0","q",IF(totales!E297="3"&amp;totales!H297="0"&amp;totales!I297="1"&amp;totales!J297="0","r",IF(totales!E297="4"&amp;totales!H297="0"&amp;totales!I297="1"&amp;totales!J297="0","s",IF(totales!E297="6"&amp;totales!H297="0"&amp;totales!I297="1"&amp;totales!J297="0","t",IF(totales!E297="1"&amp;totales!H297="2"&amp;totales!I297="1"&amp;totales!J297="0","u",IF(totales!E297="2"&amp;totales!H297="2"&amp;totales!I297="1"&amp;totales!J297="0","v",IF(totales!E297="3"&amp;totales!H297="2"&amp;totales!I297="1"&amp;totales!J297="0","w",IF(totales!E297="4"&amp;totales!H297="2"&amp;totales!I297="1"&amp;totales!J297="0","x",
IF(totales!E297="6"&amp;totales!H297="2"&amp;totales!I297="1"&amp;totales!J297="0","y",IF(totales!E297="1"&amp;totales!H297="1"&amp;totales!I297="1"&amp;totales!J297="0","z",IF(totales!E297="2"&amp;totales!H297="1"&amp;totales!I297="1"&amp;totales!J297="0","0",IF(totales!E297="3"&amp;totales!H297="1"&amp;totales!I297="1"&amp;totales!J297="0","1",IF(totales!E297="4"&amp;totales!H297="1"&amp;totales!I297="1"&amp;totales!J297="0","2",IF(totales!E297="6"&amp;totales!H297="1"&amp;totales!I297="1"&amp;totales!J297="0","3",IF(totales!E297="1"&amp;totales!H297="0"&amp;totales!I297="1"&amp;totales!J297="1","4",IF(totales!E297="2"&amp;totales!H297="0"&amp;totales!I297="1"&amp;totales!J297="1","5",IF(totales!E297="3"&amp;totales!H297="0"&amp;totales!I297="1"&amp;totales!J297="1","6",IF(totales!E297="4"&amp;totales!H297="0"&amp;totales!I297="1"&amp;totales!J297="1","7",IF(totales!E297="6"&amp;totales!H297="0"&amp;totales!I297="1"&amp;totales!J297="1","8",IF(totales!E297="1"&amp;totales!H297="1"&amp;totales!I297="0"&amp;totales!J297="1","9"))))))))))))))))))))))))))))))))))))</f>
        <v>0</v>
      </c>
    </row>
    <row r="297" spans="22:22">
      <c r="V297" s="102" t="b">
        <f>IF(totales!E298="1"&amp;totales!H298="0"&amp;totales!I298="0"&amp;totales!J298="0","a",IF(totales!E298="2"&amp;totales!H298="0"&amp;totales!I298="0"&amp;totales!J298="0","b",IF(totales!E298="3"&amp;totales!H298="0"&amp;totales!I298="0"&amp;totales!J298="0","c",IF(totales!E298="4"&amp;totales!H298="0"&amp;totales!I298="0"&amp;totales!J298="0","d",IF(totales!E298="6"&amp;totales!H298="0"&amp;totales!I298="0"&amp;totales!J298="0","e",IF(totales!E298="1"&amp;totales!H298="1"&amp;totales!I298="0"&amp;totales!J298="0","f",IF(totales!E298="2"&amp;totales!H298="1"&amp;totales!I298="0"&amp;totales!J298="0","g",IF(totales!E298="3"&amp;totales!H298="1"&amp;totales!I298="0"&amp;totales!J298="0","h",IF(totales!E298="4"&amp;totales!H298="1"&amp;totales!I298="0"&amp;totales!J298="0","i",IF(totales!E298="6"&amp;totales!H298="1"&amp;totales!I298="0"&amp;totales!J298="0","j",IF(totales!E298="1"&amp;totales!H298="2"&amp;totales!I298="0"&amp;totales!J298="0","k",IF(totales!E298="2"&amp;totales!H298="2"&amp;totales!I298="0"&amp;totales!J298="0","l",IF(totales!E298="3"&amp;totales!H298="2"&amp;totales!I298="0"&amp;totales!J298="0","m",
IF(totales!E298="4"&amp;totales!H298="2"&amp;totales!I298="0"&amp;totales!J298="0","n",IF(totales!E298="6"&amp;totales!H298="2"&amp;totales!I298="0"&amp;totales!J298="0","o",IF(totales!E298="1"&amp;totales!H298="0"&amp;totales!I298="1"&amp;totales!J298="0","p",IF(totales!E298="2"&amp;totales!H298="0"&amp;totales!I298="1"&amp;totales!J298="0","q",IF(totales!E298="3"&amp;totales!H298="0"&amp;totales!I298="1"&amp;totales!J298="0","r",IF(totales!E298="4"&amp;totales!H298="0"&amp;totales!I298="1"&amp;totales!J298="0","s",IF(totales!E298="6"&amp;totales!H298="0"&amp;totales!I298="1"&amp;totales!J298="0","t",IF(totales!E298="1"&amp;totales!H298="2"&amp;totales!I298="1"&amp;totales!J298="0","u",IF(totales!E298="2"&amp;totales!H298="2"&amp;totales!I298="1"&amp;totales!J298="0","v",IF(totales!E298="3"&amp;totales!H298="2"&amp;totales!I298="1"&amp;totales!J298="0","w",IF(totales!E298="4"&amp;totales!H298="2"&amp;totales!I298="1"&amp;totales!J298="0","x",
IF(totales!E298="6"&amp;totales!H298="2"&amp;totales!I298="1"&amp;totales!J298="0","y",IF(totales!E298="1"&amp;totales!H298="1"&amp;totales!I298="1"&amp;totales!J298="0","z",IF(totales!E298="2"&amp;totales!H298="1"&amp;totales!I298="1"&amp;totales!J298="0","0",IF(totales!E298="3"&amp;totales!H298="1"&amp;totales!I298="1"&amp;totales!J298="0","1",IF(totales!E298="4"&amp;totales!H298="1"&amp;totales!I298="1"&amp;totales!J298="0","2",IF(totales!E298="6"&amp;totales!H298="1"&amp;totales!I298="1"&amp;totales!J298="0","3",IF(totales!E298="1"&amp;totales!H298="0"&amp;totales!I298="1"&amp;totales!J298="1","4",IF(totales!E298="2"&amp;totales!H298="0"&amp;totales!I298="1"&amp;totales!J298="1","5",IF(totales!E298="3"&amp;totales!H298="0"&amp;totales!I298="1"&amp;totales!J298="1","6",IF(totales!E298="4"&amp;totales!H298="0"&amp;totales!I298="1"&amp;totales!J298="1","7",IF(totales!E298="6"&amp;totales!H298="0"&amp;totales!I298="1"&amp;totales!J298="1","8",IF(totales!E298="1"&amp;totales!H298="1"&amp;totales!I298="0"&amp;totales!J298="1","9"))))))))))))))))))))))))))))))))))))</f>
        <v>0</v>
      </c>
    </row>
    <row r="298" spans="22:22">
      <c r="V298" s="102" t="b">
        <f>IF(totales!E299="1"&amp;totales!H299="0"&amp;totales!I299="0"&amp;totales!J299="0","a",IF(totales!E299="2"&amp;totales!H299="0"&amp;totales!I299="0"&amp;totales!J299="0","b",IF(totales!E299="3"&amp;totales!H299="0"&amp;totales!I299="0"&amp;totales!J299="0","c",IF(totales!E299="4"&amp;totales!H299="0"&amp;totales!I299="0"&amp;totales!J299="0","d",IF(totales!E299="6"&amp;totales!H299="0"&amp;totales!I299="0"&amp;totales!J299="0","e",IF(totales!E299="1"&amp;totales!H299="1"&amp;totales!I299="0"&amp;totales!J299="0","f",IF(totales!E299="2"&amp;totales!H299="1"&amp;totales!I299="0"&amp;totales!J299="0","g",IF(totales!E299="3"&amp;totales!H299="1"&amp;totales!I299="0"&amp;totales!J299="0","h",IF(totales!E299="4"&amp;totales!H299="1"&amp;totales!I299="0"&amp;totales!J299="0","i",IF(totales!E299="6"&amp;totales!H299="1"&amp;totales!I299="0"&amp;totales!J299="0","j",IF(totales!E299="1"&amp;totales!H299="2"&amp;totales!I299="0"&amp;totales!J299="0","k",IF(totales!E299="2"&amp;totales!H299="2"&amp;totales!I299="0"&amp;totales!J299="0","l",IF(totales!E299="3"&amp;totales!H299="2"&amp;totales!I299="0"&amp;totales!J299="0","m",
IF(totales!E299="4"&amp;totales!H299="2"&amp;totales!I299="0"&amp;totales!J299="0","n",IF(totales!E299="6"&amp;totales!H299="2"&amp;totales!I299="0"&amp;totales!J299="0","o",IF(totales!E299="1"&amp;totales!H299="0"&amp;totales!I299="1"&amp;totales!J299="0","p",IF(totales!E299="2"&amp;totales!H299="0"&amp;totales!I299="1"&amp;totales!J299="0","q",IF(totales!E299="3"&amp;totales!H299="0"&amp;totales!I299="1"&amp;totales!J299="0","r",IF(totales!E299="4"&amp;totales!H299="0"&amp;totales!I299="1"&amp;totales!J299="0","s",IF(totales!E299="6"&amp;totales!H299="0"&amp;totales!I299="1"&amp;totales!J299="0","t",IF(totales!E299="1"&amp;totales!H299="2"&amp;totales!I299="1"&amp;totales!J299="0","u",IF(totales!E299="2"&amp;totales!H299="2"&amp;totales!I299="1"&amp;totales!J299="0","v",IF(totales!E299="3"&amp;totales!H299="2"&amp;totales!I299="1"&amp;totales!J299="0","w",IF(totales!E299="4"&amp;totales!H299="2"&amp;totales!I299="1"&amp;totales!J299="0","x",
IF(totales!E299="6"&amp;totales!H299="2"&amp;totales!I299="1"&amp;totales!J299="0","y",IF(totales!E299="1"&amp;totales!H299="1"&amp;totales!I299="1"&amp;totales!J299="0","z",IF(totales!E299="2"&amp;totales!H299="1"&amp;totales!I299="1"&amp;totales!J299="0","0",IF(totales!E299="3"&amp;totales!H299="1"&amp;totales!I299="1"&amp;totales!J299="0","1",IF(totales!E299="4"&amp;totales!H299="1"&amp;totales!I299="1"&amp;totales!J299="0","2",IF(totales!E299="6"&amp;totales!H299="1"&amp;totales!I299="1"&amp;totales!J299="0","3",IF(totales!E299="1"&amp;totales!H299="0"&amp;totales!I299="1"&amp;totales!J299="1","4",IF(totales!E299="2"&amp;totales!H299="0"&amp;totales!I299="1"&amp;totales!J299="1","5",IF(totales!E299="3"&amp;totales!H299="0"&amp;totales!I299="1"&amp;totales!J299="1","6",IF(totales!E299="4"&amp;totales!H299="0"&amp;totales!I299="1"&amp;totales!J299="1","7",IF(totales!E299="6"&amp;totales!H299="0"&amp;totales!I299="1"&amp;totales!J299="1","8",IF(totales!E299="1"&amp;totales!H299="1"&amp;totales!I299="0"&amp;totales!J299="1","9"))))))))))))))))))))))))))))))))))))</f>
        <v>0</v>
      </c>
    </row>
    <row r="299" spans="22:22">
      <c r="V299" s="102" t="b">
        <f>IF(totales!E300="1"&amp;totales!H300="0"&amp;totales!I300="0"&amp;totales!J300="0","a",IF(totales!E300="2"&amp;totales!H300="0"&amp;totales!I300="0"&amp;totales!J300="0","b",IF(totales!E300="3"&amp;totales!H300="0"&amp;totales!I300="0"&amp;totales!J300="0","c",IF(totales!E300="4"&amp;totales!H300="0"&amp;totales!I300="0"&amp;totales!J300="0","d",IF(totales!E300="6"&amp;totales!H300="0"&amp;totales!I300="0"&amp;totales!J300="0","e",IF(totales!E300="1"&amp;totales!H300="1"&amp;totales!I300="0"&amp;totales!J300="0","f",IF(totales!E300="2"&amp;totales!H300="1"&amp;totales!I300="0"&amp;totales!J300="0","g",IF(totales!E300="3"&amp;totales!H300="1"&amp;totales!I300="0"&amp;totales!J300="0","h",IF(totales!E300="4"&amp;totales!H300="1"&amp;totales!I300="0"&amp;totales!J300="0","i",IF(totales!E300="6"&amp;totales!H300="1"&amp;totales!I300="0"&amp;totales!J300="0","j",IF(totales!E300="1"&amp;totales!H300="2"&amp;totales!I300="0"&amp;totales!J300="0","k",IF(totales!E300="2"&amp;totales!H300="2"&amp;totales!I300="0"&amp;totales!J300="0","l",IF(totales!E300="3"&amp;totales!H300="2"&amp;totales!I300="0"&amp;totales!J300="0","m",
IF(totales!E300="4"&amp;totales!H300="2"&amp;totales!I300="0"&amp;totales!J300="0","n",IF(totales!E300="6"&amp;totales!H300="2"&amp;totales!I300="0"&amp;totales!J300="0","o",IF(totales!E300="1"&amp;totales!H300="0"&amp;totales!I300="1"&amp;totales!J300="0","p",IF(totales!E300="2"&amp;totales!H300="0"&amp;totales!I300="1"&amp;totales!J300="0","q",IF(totales!E300="3"&amp;totales!H300="0"&amp;totales!I300="1"&amp;totales!J300="0","r",IF(totales!E300="4"&amp;totales!H300="0"&amp;totales!I300="1"&amp;totales!J300="0","s",IF(totales!E300="6"&amp;totales!H300="0"&amp;totales!I300="1"&amp;totales!J300="0","t",IF(totales!E300="1"&amp;totales!H300="2"&amp;totales!I300="1"&amp;totales!J300="0","u",IF(totales!E300="2"&amp;totales!H300="2"&amp;totales!I300="1"&amp;totales!J300="0","v",IF(totales!E300="3"&amp;totales!H300="2"&amp;totales!I300="1"&amp;totales!J300="0","w",IF(totales!E300="4"&amp;totales!H300="2"&amp;totales!I300="1"&amp;totales!J300="0","x",
IF(totales!E300="6"&amp;totales!H300="2"&amp;totales!I300="1"&amp;totales!J300="0","y",IF(totales!E300="1"&amp;totales!H300="1"&amp;totales!I300="1"&amp;totales!J300="0","z",IF(totales!E300="2"&amp;totales!H300="1"&amp;totales!I300="1"&amp;totales!J300="0","0",IF(totales!E300="3"&amp;totales!H300="1"&amp;totales!I300="1"&amp;totales!J300="0","1",IF(totales!E300="4"&amp;totales!H300="1"&amp;totales!I300="1"&amp;totales!J300="0","2",IF(totales!E300="6"&amp;totales!H300="1"&amp;totales!I300="1"&amp;totales!J300="0","3",IF(totales!E300="1"&amp;totales!H300="0"&amp;totales!I300="1"&amp;totales!J300="1","4",IF(totales!E300="2"&amp;totales!H300="0"&amp;totales!I300="1"&amp;totales!J300="1","5",IF(totales!E300="3"&amp;totales!H300="0"&amp;totales!I300="1"&amp;totales!J300="1","6",IF(totales!E300="4"&amp;totales!H300="0"&amp;totales!I300="1"&amp;totales!J300="1","7",IF(totales!E300="6"&amp;totales!H300="0"&amp;totales!I300="1"&amp;totales!J300="1","8",IF(totales!E300="1"&amp;totales!H300="1"&amp;totales!I300="0"&amp;totales!J300="1","9"))))))))))))))))))))))))))))))))))))</f>
        <v>0</v>
      </c>
    </row>
    <row r="300" spans="22:22">
      <c r="V300" s="102" t="b">
        <f>IF(totales!E301="1"&amp;totales!H301="0"&amp;totales!I301="0"&amp;totales!J301="0","a",IF(totales!E301="2"&amp;totales!H301="0"&amp;totales!I301="0"&amp;totales!J301="0","b",IF(totales!E301="3"&amp;totales!H301="0"&amp;totales!I301="0"&amp;totales!J301="0","c",IF(totales!E301="4"&amp;totales!H301="0"&amp;totales!I301="0"&amp;totales!J301="0","d",IF(totales!E301="6"&amp;totales!H301="0"&amp;totales!I301="0"&amp;totales!J301="0","e",IF(totales!E301="1"&amp;totales!H301="1"&amp;totales!I301="0"&amp;totales!J301="0","f",IF(totales!E301="2"&amp;totales!H301="1"&amp;totales!I301="0"&amp;totales!J301="0","g",IF(totales!E301="3"&amp;totales!H301="1"&amp;totales!I301="0"&amp;totales!J301="0","h",IF(totales!E301="4"&amp;totales!H301="1"&amp;totales!I301="0"&amp;totales!J301="0","i",IF(totales!E301="6"&amp;totales!H301="1"&amp;totales!I301="0"&amp;totales!J301="0","j",IF(totales!E301="1"&amp;totales!H301="2"&amp;totales!I301="0"&amp;totales!J301="0","k",IF(totales!E301="2"&amp;totales!H301="2"&amp;totales!I301="0"&amp;totales!J301="0","l",IF(totales!E301="3"&amp;totales!H301="2"&amp;totales!I301="0"&amp;totales!J301="0","m",
IF(totales!E301="4"&amp;totales!H301="2"&amp;totales!I301="0"&amp;totales!J301="0","n",IF(totales!E301="6"&amp;totales!H301="2"&amp;totales!I301="0"&amp;totales!J301="0","o",IF(totales!E301="1"&amp;totales!H301="0"&amp;totales!I301="1"&amp;totales!J301="0","p",IF(totales!E301="2"&amp;totales!H301="0"&amp;totales!I301="1"&amp;totales!J301="0","q",IF(totales!E301="3"&amp;totales!H301="0"&amp;totales!I301="1"&amp;totales!J301="0","r",IF(totales!E301="4"&amp;totales!H301="0"&amp;totales!I301="1"&amp;totales!J301="0","s",IF(totales!E301="6"&amp;totales!H301="0"&amp;totales!I301="1"&amp;totales!J301="0","t",IF(totales!E301="1"&amp;totales!H301="2"&amp;totales!I301="1"&amp;totales!J301="0","u",IF(totales!E301="2"&amp;totales!H301="2"&amp;totales!I301="1"&amp;totales!J301="0","v",IF(totales!E301="3"&amp;totales!H301="2"&amp;totales!I301="1"&amp;totales!J301="0","w",IF(totales!E301="4"&amp;totales!H301="2"&amp;totales!I301="1"&amp;totales!J301="0","x",
IF(totales!E301="6"&amp;totales!H301="2"&amp;totales!I301="1"&amp;totales!J301="0","y",IF(totales!E301="1"&amp;totales!H301="1"&amp;totales!I301="1"&amp;totales!J301="0","z",IF(totales!E301="2"&amp;totales!H301="1"&amp;totales!I301="1"&amp;totales!J301="0","0",IF(totales!E301="3"&amp;totales!H301="1"&amp;totales!I301="1"&amp;totales!J301="0","1",IF(totales!E301="4"&amp;totales!H301="1"&amp;totales!I301="1"&amp;totales!J301="0","2",IF(totales!E301="6"&amp;totales!H301="1"&amp;totales!I301="1"&amp;totales!J301="0","3",IF(totales!E301="1"&amp;totales!H301="0"&amp;totales!I301="1"&amp;totales!J301="1","4",IF(totales!E301="2"&amp;totales!H301="0"&amp;totales!I301="1"&amp;totales!J301="1","5",IF(totales!E301="3"&amp;totales!H301="0"&amp;totales!I301="1"&amp;totales!J301="1","6",IF(totales!E301="4"&amp;totales!H301="0"&amp;totales!I301="1"&amp;totales!J301="1","7",IF(totales!E301="6"&amp;totales!H301="0"&amp;totales!I301="1"&amp;totales!J301="1","8",IF(totales!E301="1"&amp;totales!H301="1"&amp;totales!I301="0"&amp;totales!J301="1","9"))))))))))))))))))))))))))))))))))))</f>
        <v>0</v>
      </c>
    </row>
    <row r="301" spans="22:22">
      <c r="V301" s="102" t="b">
        <f>IF(totales!E302="1"&amp;totales!H302="0"&amp;totales!I302="0"&amp;totales!J302="0","a",IF(totales!E302="2"&amp;totales!H302="0"&amp;totales!I302="0"&amp;totales!J302="0","b",IF(totales!E302="3"&amp;totales!H302="0"&amp;totales!I302="0"&amp;totales!J302="0","c",IF(totales!E302="4"&amp;totales!H302="0"&amp;totales!I302="0"&amp;totales!J302="0","d",IF(totales!E302="6"&amp;totales!H302="0"&amp;totales!I302="0"&amp;totales!J302="0","e",IF(totales!E302="1"&amp;totales!H302="1"&amp;totales!I302="0"&amp;totales!J302="0","f",IF(totales!E302="2"&amp;totales!H302="1"&amp;totales!I302="0"&amp;totales!J302="0","g",IF(totales!E302="3"&amp;totales!H302="1"&amp;totales!I302="0"&amp;totales!J302="0","h",IF(totales!E302="4"&amp;totales!H302="1"&amp;totales!I302="0"&amp;totales!J302="0","i",IF(totales!E302="6"&amp;totales!H302="1"&amp;totales!I302="0"&amp;totales!J302="0","j",IF(totales!E302="1"&amp;totales!H302="2"&amp;totales!I302="0"&amp;totales!J302="0","k",IF(totales!E302="2"&amp;totales!H302="2"&amp;totales!I302="0"&amp;totales!J302="0","l",IF(totales!E302="3"&amp;totales!H302="2"&amp;totales!I302="0"&amp;totales!J302="0","m",
IF(totales!E302="4"&amp;totales!H302="2"&amp;totales!I302="0"&amp;totales!J302="0","n",IF(totales!E302="6"&amp;totales!H302="2"&amp;totales!I302="0"&amp;totales!J302="0","o",IF(totales!E302="1"&amp;totales!H302="0"&amp;totales!I302="1"&amp;totales!J302="0","p",IF(totales!E302="2"&amp;totales!H302="0"&amp;totales!I302="1"&amp;totales!J302="0","q",IF(totales!E302="3"&amp;totales!H302="0"&amp;totales!I302="1"&amp;totales!J302="0","r",IF(totales!E302="4"&amp;totales!H302="0"&amp;totales!I302="1"&amp;totales!J302="0","s",IF(totales!E302="6"&amp;totales!H302="0"&amp;totales!I302="1"&amp;totales!J302="0","t",IF(totales!E302="1"&amp;totales!H302="2"&amp;totales!I302="1"&amp;totales!J302="0","u",IF(totales!E302="2"&amp;totales!H302="2"&amp;totales!I302="1"&amp;totales!J302="0","v",IF(totales!E302="3"&amp;totales!H302="2"&amp;totales!I302="1"&amp;totales!J302="0","w",IF(totales!E302="4"&amp;totales!H302="2"&amp;totales!I302="1"&amp;totales!J302="0","x",
IF(totales!E302="6"&amp;totales!H302="2"&amp;totales!I302="1"&amp;totales!J302="0","y",IF(totales!E302="1"&amp;totales!H302="1"&amp;totales!I302="1"&amp;totales!J302="0","z",IF(totales!E302="2"&amp;totales!H302="1"&amp;totales!I302="1"&amp;totales!J302="0","0",IF(totales!E302="3"&amp;totales!H302="1"&amp;totales!I302="1"&amp;totales!J302="0","1",IF(totales!E302="4"&amp;totales!H302="1"&amp;totales!I302="1"&amp;totales!J302="0","2",IF(totales!E302="6"&amp;totales!H302="1"&amp;totales!I302="1"&amp;totales!J302="0","3",IF(totales!E302="1"&amp;totales!H302="0"&amp;totales!I302="1"&amp;totales!J302="1","4",IF(totales!E302="2"&amp;totales!H302="0"&amp;totales!I302="1"&amp;totales!J302="1","5",IF(totales!E302="3"&amp;totales!H302="0"&amp;totales!I302="1"&amp;totales!J302="1","6",IF(totales!E302="4"&amp;totales!H302="0"&amp;totales!I302="1"&amp;totales!J302="1","7",IF(totales!E302="6"&amp;totales!H302="0"&amp;totales!I302="1"&amp;totales!J302="1","8",IF(totales!E302="1"&amp;totales!H302="1"&amp;totales!I302="0"&amp;totales!J302="1","9"))))))))))))))))))))))))))))))))))))</f>
        <v>0</v>
      </c>
    </row>
    <row r="302" spans="22:22">
      <c r="V302" s="102" t="b">
        <f>IF(totales!E303="1"&amp;totales!H303="0"&amp;totales!I303="0"&amp;totales!J303="0","a",IF(totales!E303="2"&amp;totales!H303="0"&amp;totales!I303="0"&amp;totales!J303="0","b",IF(totales!E303="3"&amp;totales!H303="0"&amp;totales!I303="0"&amp;totales!J303="0","c",IF(totales!E303="4"&amp;totales!H303="0"&amp;totales!I303="0"&amp;totales!J303="0","d",IF(totales!E303="6"&amp;totales!H303="0"&amp;totales!I303="0"&amp;totales!J303="0","e",IF(totales!E303="1"&amp;totales!H303="1"&amp;totales!I303="0"&amp;totales!J303="0","f",IF(totales!E303="2"&amp;totales!H303="1"&amp;totales!I303="0"&amp;totales!J303="0","g",IF(totales!E303="3"&amp;totales!H303="1"&amp;totales!I303="0"&amp;totales!J303="0","h",IF(totales!E303="4"&amp;totales!H303="1"&amp;totales!I303="0"&amp;totales!J303="0","i",IF(totales!E303="6"&amp;totales!H303="1"&amp;totales!I303="0"&amp;totales!J303="0","j",IF(totales!E303="1"&amp;totales!H303="2"&amp;totales!I303="0"&amp;totales!J303="0","k",IF(totales!E303="2"&amp;totales!H303="2"&amp;totales!I303="0"&amp;totales!J303="0","l",IF(totales!E303="3"&amp;totales!H303="2"&amp;totales!I303="0"&amp;totales!J303="0","m",
IF(totales!E303="4"&amp;totales!H303="2"&amp;totales!I303="0"&amp;totales!J303="0","n",IF(totales!E303="6"&amp;totales!H303="2"&amp;totales!I303="0"&amp;totales!J303="0","o",IF(totales!E303="1"&amp;totales!H303="0"&amp;totales!I303="1"&amp;totales!J303="0","p",IF(totales!E303="2"&amp;totales!H303="0"&amp;totales!I303="1"&amp;totales!J303="0","q",IF(totales!E303="3"&amp;totales!H303="0"&amp;totales!I303="1"&amp;totales!J303="0","r",IF(totales!E303="4"&amp;totales!H303="0"&amp;totales!I303="1"&amp;totales!J303="0","s",IF(totales!E303="6"&amp;totales!H303="0"&amp;totales!I303="1"&amp;totales!J303="0","t",IF(totales!E303="1"&amp;totales!H303="2"&amp;totales!I303="1"&amp;totales!J303="0","u",IF(totales!E303="2"&amp;totales!H303="2"&amp;totales!I303="1"&amp;totales!J303="0","v",IF(totales!E303="3"&amp;totales!H303="2"&amp;totales!I303="1"&amp;totales!J303="0","w",IF(totales!E303="4"&amp;totales!H303="2"&amp;totales!I303="1"&amp;totales!J303="0","x",
IF(totales!E303="6"&amp;totales!H303="2"&amp;totales!I303="1"&amp;totales!J303="0","y",IF(totales!E303="1"&amp;totales!H303="1"&amp;totales!I303="1"&amp;totales!J303="0","z",IF(totales!E303="2"&amp;totales!H303="1"&amp;totales!I303="1"&amp;totales!J303="0","0",IF(totales!E303="3"&amp;totales!H303="1"&amp;totales!I303="1"&amp;totales!J303="0","1",IF(totales!E303="4"&amp;totales!H303="1"&amp;totales!I303="1"&amp;totales!J303="0","2",IF(totales!E303="6"&amp;totales!H303="1"&amp;totales!I303="1"&amp;totales!J303="0","3",IF(totales!E303="1"&amp;totales!H303="0"&amp;totales!I303="1"&amp;totales!J303="1","4",IF(totales!E303="2"&amp;totales!H303="0"&amp;totales!I303="1"&amp;totales!J303="1","5",IF(totales!E303="3"&amp;totales!H303="0"&amp;totales!I303="1"&amp;totales!J303="1","6",IF(totales!E303="4"&amp;totales!H303="0"&amp;totales!I303="1"&amp;totales!J303="1","7",IF(totales!E303="6"&amp;totales!H303="0"&amp;totales!I303="1"&amp;totales!J303="1","8",IF(totales!E303="1"&amp;totales!H303="1"&amp;totales!I303="0"&amp;totales!J303="1","9"))))))))))))))))))))))))))))))))))))</f>
        <v>0</v>
      </c>
    </row>
    <row r="303" spans="22:22">
      <c r="V303" s="102" t="b">
        <f>IF(totales!E304="1"&amp;totales!H304="0"&amp;totales!I304="0"&amp;totales!J304="0","a",IF(totales!E304="2"&amp;totales!H304="0"&amp;totales!I304="0"&amp;totales!J304="0","b",IF(totales!E304="3"&amp;totales!H304="0"&amp;totales!I304="0"&amp;totales!J304="0","c",IF(totales!E304="4"&amp;totales!H304="0"&amp;totales!I304="0"&amp;totales!J304="0","d",IF(totales!E304="6"&amp;totales!H304="0"&amp;totales!I304="0"&amp;totales!J304="0","e",IF(totales!E304="1"&amp;totales!H304="1"&amp;totales!I304="0"&amp;totales!J304="0","f",IF(totales!E304="2"&amp;totales!H304="1"&amp;totales!I304="0"&amp;totales!J304="0","g",IF(totales!E304="3"&amp;totales!H304="1"&amp;totales!I304="0"&amp;totales!J304="0","h",IF(totales!E304="4"&amp;totales!H304="1"&amp;totales!I304="0"&amp;totales!J304="0","i",IF(totales!E304="6"&amp;totales!H304="1"&amp;totales!I304="0"&amp;totales!J304="0","j",IF(totales!E304="1"&amp;totales!H304="2"&amp;totales!I304="0"&amp;totales!J304="0","k",IF(totales!E304="2"&amp;totales!H304="2"&amp;totales!I304="0"&amp;totales!J304="0","l",IF(totales!E304="3"&amp;totales!H304="2"&amp;totales!I304="0"&amp;totales!J304="0","m",
IF(totales!E304="4"&amp;totales!H304="2"&amp;totales!I304="0"&amp;totales!J304="0","n",IF(totales!E304="6"&amp;totales!H304="2"&amp;totales!I304="0"&amp;totales!J304="0","o",IF(totales!E304="1"&amp;totales!H304="0"&amp;totales!I304="1"&amp;totales!J304="0","p",IF(totales!E304="2"&amp;totales!H304="0"&amp;totales!I304="1"&amp;totales!J304="0","q",IF(totales!E304="3"&amp;totales!H304="0"&amp;totales!I304="1"&amp;totales!J304="0","r",IF(totales!E304="4"&amp;totales!H304="0"&amp;totales!I304="1"&amp;totales!J304="0","s",IF(totales!E304="6"&amp;totales!H304="0"&amp;totales!I304="1"&amp;totales!J304="0","t",IF(totales!E304="1"&amp;totales!H304="2"&amp;totales!I304="1"&amp;totales!J304="0","u",IF(totales!E304="2"&amp;totales!H304="2"&amp;totales!I304="1"&amp;totales!J304="0","v",IF(totales!E304="3"&amp;totales!H304="2"&amp;totales!I304="1"&amp;totales!J304="0","w",IF(totales!E304="4"&amp;totales!H304="2"&amp;totales!I304="1"&amp;totales!J304="0","x",
IF(totales!E304="6"&amp;totales!H304="2"&amp;totales!I304="1"&amp;totales!J304="0","y",IF(totales!E304="1"&amp;totales!H304="1"&amp;totales!I304="1"&amp;totales!J304="0","z",IF(totales!E304="2"&amp;totales!H304="1"&amp;totales!I304="1"&amp;totales!J304="0","0",IF(totales!E304="3"&amp;totales!H304="1"&amp;totales!I304="1"&amp;totales!J304="0","1",IF(totales!E304="4"&amp;totales!H304="1"&amp;totales!I304="1"&amp;totales!J304="0","2",IF(totales!E304="6"&amp;totales!H304="1"&amp;totales!I304="1"&amp;totales!J304="0","3",IF(totales!E304="1"&amp;totales!H304="0"&amp;totales!I304="1"&amp;totales!J304="1","4",IF(totales!E304="2"&amp;totales!H304="0"&amp;totales!I304="1"&amp;totales!J304="1","5",IF(totales!E304="3"&amp;totales!H304="0"&amp;totales!I304="1"&amp;totales!J304="1","6",IF(totales!E304="4"&amp;totales!H304="0"&amp;totales!I304="1"&amp;totales!J304="1","7",IF(totales!E304="6"&amp;totales!H304="0"&amp;totales!I304="1"&amp;totales!J304="1","8",IF(totales!E304="1"&amp;totales!H304="1"&amp;totales!I304="0"&amp;totales!J304="1","9"))))))))))))))))))))))))))))))))))))</f>
        <v>0</v>
      </c>
    </row>
    <row r="304" spans="22:22">
      <c r="V304" s="102" t="b">
        <f>IF(totales!E305="1"&amp;totales!H305="0"&amp;totales!I305="0"&amp;totales!J305="0","a",IF(totales!E305="2"&amp;totales!H305="0"&amp;totales!I305="0"&amp;totales!J305="0","b",IF(totales!E305="3"&amp;totales!H305="0"&amp;totales!I305="0"&amp;totales!J305="0","c",IF(totales!E305="4"&amp;totales!H305="0"&amp;totales!I305="0"&amp;totales!J305="0","d",IF(totales!E305="6"&amp;totales!H305="0"&amp;totales!I305="0"&amp;totales!J305="0","e",IF(totales!E305="1"&amp;totales!H305="1"&amp;totales!I305="0"&amp;totales!J305="0","f",IF(totales!E305="2"&amp;totales!H305="1"&amp;totales!I305="0"&amp;totales!J305="0","g",IF(totales!E305="3"&amp;totales!H305="1"&amp;totales!I305="0"&amp;totales!J305="0","h",IF(totales!E305="4"&amp;totales!H305="1"&amp;totales!I305="0"&amp;totales!J305="0","i",IF(totales!E305="6"&amp;totales!H305="1"&amp;totales!I305="0"&amp;totales!J305="0","j",IF(totales!E305="1"&amp;totales!H305="2"&amp;totales!I305="0"&amp;totales!J305="0","k",IF(totales!E305="2"&amp;totales!H305="2"&amp;totales!I305="0"&amp;totales!J305="0","l",IF(totales!E305="3"&amp;totales!H305="2"&amp;totales!I305="0"&amp;totales!J305="0","m",
IF(totales!E305="4"&amp;totales!H305="2"&amp;totales!I305="0"&amp;totales!J305="0","n",IF(totales!E305="6"&amp;totales!H305="2"&amp;totales!I305="0"&amp;totales!J305="0","o",IF(totales!E305="1"&amp;totales!H305="0"&amp;totales!I305="1"&amp;totales!J305="0","p",IF(totales!E305="2"&amp;totales!H305="0"&amp;totales!I305="1"&amp;totales!J305="0","q",IF(totales!E305="3"&amp;totales!H305="0"&amp;totales!I305="1"&amp;totales!J305="0","r",IF(totales!E305="4"&amp;totales!H305="0"&amp;totales!I305="1"&amp;totales!J305="0","s",IF(totales!E305="6"&amp;totales!H305="0"&amp;totales!I305="1"&amp;totales!J305="0","t",IF(totales!E305="1"&amp;totales!H305="2"&amp;totales!I305="1"&amp;totales!J305="0","u",IF(totales!E305="2"&amp;totales!H305="2"&amp;totales!I305="1"&amp;totales!J305="0","v",IF(totales!E305="3"&amp;totales!H305="2"&amp;totales!I305="1"&amp;totales!J305="0","w",IF(totales!E305="4"&amp;totales!H305="2"&amp;totales!I305="1"&amp;totales!J305="0","x",
IF(totales!E305="6"&amp;totales!H305="2"&amp;totales!I305="1"&amp;totales!J305="0","y",IF(totales!E305="1"&amp;totales!H305="1"&amp;totales!I305="1"&amp;totales!J305="0","z",IF(totales!E305="2"&amp;totales!H305="1"&amp;totales!I305="1"&amp;totales!J305="0","0",IF(totales!E305="3"&amp;totales!H305="1"&amp;totales!I305="1"&amp;totales!J305="0","1",IF(totales!E305="4"&amp;totales!H305="1"&amp;totales!I305="1"&amp;totales!J305="0","2",IF(totales!E305="6"&amp;totales!H305="1"&amp;totales!I305="1"&amp;totales!J305="0","3",IF(totales!E305="1"&amp;totales!H305="0"&amp;totales!I305="1"&amp;totales!J305="1","4",IF(totales!E305="2"&amp;totales!H305="0"&amp;totales!I305="1"&amp;totales!J305="1","5",IF(totales!E305="3"&amp;totales!H305="0"&amp;totales!I305="1"&amp;totales!J305="1","6",IF(totales!E305="4"&amp;totales!H305="0"&amp;totales!I305="1"&amp;totales!J305="1","7",IF(totales!E305="6"&amp;totales!H305="0"&amp;totales!I305="1"&amp;totales!J305="1","8",IF(totales!E305="1"&amp;totales!H305="1"&amp;totales!I305="0"&amp;totales!J305="1","9"))))))))))))))))))))))))))))))))))))</f>
        <v>0</v>
      </c>
    </row>
    <row r="305" spans="22:22">
      <c r="V305" s="102" t="b">
        <f>IF(totales!E306="1"&amp;totales!H306="0"&amp;totales!I306="0"&amp;totales!J306="0","a",IF(totales!E306="2"&amp;totales!H306="0"&amp;totales!I306="0"&amp;totales!J306="0","b",IF(totales!E306="3"&amp;totales!H306="0"&amp;totales!I306="0"&amp;totales!J306="0","c",IF(totales!E306="4"&amp;totales!H306="0"&amp;totales!I306="0"&amp;totales!J306="0","d",IF(totales!E306="6"&amp;totales!H306="0"&amp;totales!I306="0"&amp;totales!J306="0","e",IF(totales!E306="1"&amp;totales!H306="1"&amp;totales!I306="0"&amp;totales!J306="0","f",IF(totales!E306="2"&amp;totales!H306="1"&amp;totales!I306="0"&amp;totales!J306="0","g",IF(totales!E306="3"&amp;totales!H306="1"&amp;totales!I306="0"&amp;totales!J306="0","h",IF(totales!E306="4"&amp;totales!H306="1"&amp;totales!I306="0"&amp;totales!J306="0","i",IF(totales!E306="6"&amp;totales!H306="1"&amp;totales!I306="0"&amp;totales!J306="0","j",IF(totales!E306="1"&amp;totales!H306="2"&amp;totales!I306="0"&amp;totales!J306="0","k",IF(totales!E306="2"&amp;totales!H306="2"&amp;totales!I306="0"&amp;totales!J306="0","l",IF(totales!E306="3"&amp;totales!H306="2"&amp;totales!I306="0"&amp;totales!J306="0","m",
IF(totales!E306="4"&amp;totales!H306="2"&amp;totales!I306="0"&amp;totales!J306="0","n",IF(totales!E306="6"&amp;totales!H306="2"&amp;totales!I306="0"&amp;totales!J306="0","o",IF(totales!E306="1"&amp;totales!H306="0"&amp;totales!I306="1"&amp;totales!J306="0","p",IF(totales!E306="2"&amp;totales!H306="0"&amp;totales!I306="1"&amp;totales!J306="0","q",IF(totales!E306="3"&amp;totales!H306="0"&amp;totales!I306="1"&amp;totales!J306="0","r",IF(totales!E306="4"&amp;totales!H306="0"&amp;totales!I306="1"&amp;totales!J306="0","s",IF(totales!E306="6"&amp;totales!H306="0"&amp;totales!I306="1"&amp;totales!J306="0","t",IF(totales!E306="1"&amp;totales!H306="2"&amp;totales!I306="1"&amp;totales!J306="0","u",IF(totales!E306="2"&amp;totales!H306="2"&amp;totales!I306="1"&amp;totales!J306="0","v",IF(totales!E306="3"&amp;totales!H306="2"&amp;totales!I306="1"&amp;totales!J306="0","w",IF(totales!E306="4"&amp;totales!H306="2"&amp;totales!I306="1"&amp;totales!J306="0","x",
IF(totales!E306="6"&amp;totales!H306="2"&amp;totales!I306="1"&amp;totales!J306="0","y",IF(totales!E306="1"&amp;totales!H306="1"&amp;totales!I306="1"&amp;totales!J306="0","z",IF(totales!E306="2"&amp;totales!H306="1"&amp;totales!I306="1"&amp;totales!J306="0","0",IF(totales!E306="3"&amp;totales!H306="1"&amp;totales!I306="1"&amp;totales!J306="0","1",IF(totales!E306="4"&amp;totales!H306="1"&amp;totales!I306="1"&amp;totales!J306="0","2",IF(totales!E306="6"&amp;totales!H306="1"&amp;totales!I306="1"&amp;totales!J306="0","3",IF(totales!E306="1"&amp;totales!H306="0"&amp;totales!I306="1"&amp;totales!J306="1","4",IF(totales!E306="2"&amp;totales!H306="0"&amp;totales!I306="1"&amp;totales!J306="1","5",IF(totales!E306="3"&amp;totales!H306="0"&amp;totales!I306="1"&amp;totales!J306="1","6",IF(totales!E306="4"&amp;totales!H306="0"&amp;totales!I306="1"&amp;totales!J306="1","7",IF(totales!E306="6"&amp;totales!H306="0"&amp;totales!I306="1"&amp;totales!J306="1","8",IF(totales!E306="1"&amp;totales!H306="1"&amp;totales!I306="0"&amp;totales!J306="1","9"))))))))))))))))))))))))))))))))))))</f>
        <v>0</v>
      </c>
    </row>
    <row r="306" spans="22:22">
      <c r="V306" s="102" t="b">
        <f>IF(totales!E307="1"&amp;totales!H307="0"&amp;totales!I307="0"&amp;totales!J307="0","a",IF(totales!E307="2"&amp;totales!H307="0"&amp;totales!I307="0"&amp;totales!J307="0","b",IF(totales!E307="3"&amp;totales!H307="0"&amp;totales!I307="0"&amp;totales!J307="0","c",IF(totales!E307="4"&amp;totales!H307="0"&amp;totales!I307="0"&amp;totales!J307="0","d",IF(totales!E307="6"&amp;totales!H307="0"&amp;totales!I307="0"&amp;totales!J307="0","e",IF(totales!E307="1"&amp;totales!H307="1"&amp;totales!I307="0"&amp;totales!J307="0","f",IF(totales!E307="2"&amp;totales!H307="1"&amp;totales!I307="0"&amp;totales!J307="0","g",IF(totales!E307="3"&amp;totales!H307="1"&amp;totales!I307="0"&amp;totales!J307="0","h",IF(totales!E307="4"&amp;totales!H307="1"&amp;totales!I307="0"&amp;totales!J307="0","i",IF(totales!E307="6"&amp;totales!H307="1"&amp;totales!I307="0"&amp;totales!J307="0","j",IF(totales!E307="1"&amp;totales!H307="2"&amp;totales!I307="0"&amp;totales!J307="0","k",IF(totales!E307="2"&amp;totales!H307="2"&amp;totales!I307="0"&amp;totales!J307="0","l",IF(totales!E307="3"&amp;totales!H307="2"&amp;totales!I307="0"&amp;totales!J307="0","m",
IF(totales!E307="4"&amp;totales!H307="2"&amp;totales!I307="0"&amp;totales!J307="0","n",IF(totales!E307="6"&amp;totales!H307="2"&amp;totales!I307="0"&amp;totales!J307="0","o",IF(totales!E307="1"&amp;totales!H307="0"&amp;totales!I307="1"&amp;totales!J307="0","p",IF(totales!E307="2"&amp;totales!H307="0"&amp;totales!I307="1"&amp;totales!J307="0","q",IF(totales!E307="3"&amp;totales!H307="0"&amp;totales!I307="1"&amp;totales!J307="0","r",IF(totales!E307="4"&amp;totales!H307="0"&amp;totales!I307="1"&amp;totales!J307="0","s",IF(totales!E307="6"&amp;totales!H307="0"&amp;totales!I307="1"&amp;totales!J307="0","t",IF(totales!E307="1"&amp;totales!H307="2"&amp;totales!I307="1"&amp;totales!J307="0","u",IF(totales!E307="2"&amp;totales!H307="2"&amp;totales!I307="1"&amp;totales!J307="0","v",IF(totales!E307="3"&amp;totales!H307="2"&amp;totales!I307="1"&amp;totales!J307="0","w",IF(totales!E307="4"&amp;totales!H307="2"&amp;totales!I307="1"&amp;totales!J307="0","x",
IF(totales!E307="6"&amp;totales!H307="2"&amp;totales!I307="1"&amp;totales!J307="0","y",IF(totales!E307="1"&amp;totales!H307="1"&amp;totales!I307="1"&amp;totales!J307="0","z",IF(totales!E307="2"&amp;totales!H307="1"&amp;totales!I307="1"&amp;totales!J307="0","0",IF(totales!E307="3"&amp;totales!H307="1"&amp;totales!I307="1"&amp;totales!J307="0","1",IF(totales!E307="4"&amp;totales!H307="1"&amp;totales!I307="1"&amp;totales!J307="0","2",IF(totales!E307="6"&amp;totales!H307="1"&amp;totales!I307="1"&amp;totales!J307="0","3",IF(totales!E307="1"&amp;totales!H307="0"&amp;totales!I307="1"&amp;totales!J307="1","4",IF(totales!E307="2"&amp;totales!H307="0"&amp;totales!I307="1"&amp;totales!J307="1","5",IF(totales!E307="3"&amp;totales!H307="0"&amp;totales!I307="1"&amp;totales!J307="1","6",IF(totales!E307="4"&amp;totales!H307="0"&amp;totales!I307="1"&amp;totales!J307="1","7",IF(totales!E307="6"&amp;totales!H307="0"&amp;totales!I307="1"&amp;totales!J307="1","8",IF(totales!E307="1"&amp;totales!H307="1"&amp;totales!I307="0"&amp;totales!J307="1","9"))))))))))))))))))))))))))))))))))))</f>
        <v>0</v>
      </c>
    </row>
    <row r="307" spans="22:22">
      <c r="V307" s="102" t="b">
        <f>IF(totales!E308="1"&amp;totales!H308="0"&amp;totales!I308="0"&amp;totales!J308="0","a",IF(totales!E308="2"&amp;totales!H308="0"&amp;totales!I308="0"&amp;totales!J308="0","b",IF(totales!E308="3"&amp;totales!H308="0"&amp;totales!I308="0"&amp;totales!J308="0","c",IF(totales!E308="4"&amp;totales!H308="0"&amp;totales!I308="0"&amp;totales!J308="0","d",IF(totales!E308="6"&amp;totales!H308="0"&amp;totales!I308="0"&amp;totales!J308="0","e",IF(totales!E308="1"&amp;totales!H308="1"&amp;totales!I308="0"&amp;totales!J308="0","f",IF(totales!E308="2"&amp;totales!H308="1"&amp;totales!I308="0"&amp;totales!J308="0","g",IF(totales!E308="3"&amp;totales!H308="1"&amp;totales!I308="0"&amp;totales!J308="0","h",IF(totales!E308="4"&amp;totales!H308="1"&amp;totales!I308="0"&amp;totales!J308="0","i",IF(totales!E308="6"&amp;totales!H308="1"&amp;totales!I308="0"&amp;totales!J308="0","j",IF(totales!E308="1"&amp;totales!H308="2"&amp;totales!I308="0"&amp;totales!J308="0","k",IF(totales!E308="2"&amp;totales!H308="2"&amp;totales!I308="0"&amp;totales!J308="0","l",IF(totales!E308="3"&amp;totales!H308="2"&amp;totales!I308="0"&amp;totales!J308="0","m",
IF(totales!E308="4"&amp;totales!H308="2"&amp;totales!I308="0"&amp;totales!J308="0","n",IF(totales!E308="6"&amp;totales!H308="2"&amp;totales!I308="0"&amp;totales!J308="0","o",IF(totales!E308="1"&amp;totales!H308="0"&amp;totales!I308="1"&amp;totales!J308="0","p",IF(totales!E308="2"&amp;totales!H308="0"&amp;totales!I308="1"&amp;totales!J308="0","q",IF(totales!E308="3"&amp;totales!H308="0"&amp;totales!I308="1"&amp;totales!J308="0","r",IF(totales!E308="4"&amp;totales!H308="0"&amp;totales!I308="1"&amp;totales!J308="0","s",IF(totales!E308="6"&amp;totales!H308="0"&amp;totales!I308="1"&amp;totales!J308="0","t",IF(totales!E308="1"&amp;totales!H308="2"&amp;totales!I308="1"&amp;totales!J308="0","u",IF(totales!E308="2"&amp;totales!H308="2"&amp;totales!I308="1"&amp;totales!J308="0","v",IF(totales!E308="3"&amp;totales!H308="2"&amp;totales!I308="1"&amp;totales!J308="0","w",IF(totales!E308="4"&amp;totales!H308="2"&amp;totales!I308="1"&amp;totales!J308="0","x",
IF(totales!E308="6"&amp;totales!H308="2"&amp;totales!I308="1"&amp;totales!J308="0","y",IF(totales!E308="1"&amp;totales!H308="1"&amp;totales!I308="1"&amp;totales!J308="0","z",IF(totales!E308="2"&amp;totales!H308="1"&amp;totales!I308="1"&amp;totales!J308="0","0",IF(totales!E308="3"&amp;totales!H308="1"&amp;totales!I308="1"&amp;totales!J308="0","1",IF(totales!E308="4"&amp;totales!H308="1"&amp;totales!I308="1"&amp;totales!J308="0","2",IF(totales!E308="6"&amp;totales!H308="1"&amp;totales!I308="1"&amp;totales!J308="0","3",IF(totales!E308="1"&amp;totales!H308="0"&amp;totales!I308="1"&amp;totales!J308="1","4",IF(totales!E308="2"&amp;totales!H308="0"&amp;totales!I308="1"&amp;totales!J308="1","5",IF(totales!E308="3"&amp;totales!H308="0"&amp;totales!I308="1"&amp;totales!J308="1","6",IF(totales!E308="4"&amp;totales!H308="0"&amp;totales!I308="1"&amp;totales!J308="1","7",IF(totales!E308="6"&amp;totales!H308="0"&amp;totales!I308="1"&amp;totales!J308="1","8",IF(totales!E308="1"&amp;totales!H308="1"&amp;totales!I308="0"&amp;totales!J308="1","9"))))))))))))))))))))))))))))))))))))</f>
        <v>0</v>
      </c>
    </row>
    <row r="308" spans="22:22">
      <c r="V308" s="102" t="b">
        <f>IF(totales!E309="1"&amp;totales!H309="0"&amp;totales!I309="0"&amp;totales!J309="0","a",IF(totales!E309="2"&amp;totales!H309="0"&amp;totales!I309="0"&amp;totales!J309="0","b",IF(totales!E309="3"&amp;totales!H309="0"&amp;totales!I309="0"&amp;totales!J309="0","c",IF(totales!E309="4"&amp;totales!H309="0"&amp;totales!I309="0"&amp;totales!J309="0","d",IF(totales!E309="6"&amp;totales!H309="0"&amp;totales!I309="0"&amp;totales!J309="0","e",IF(totales!E309="1"&amp;totales!H309="1"&amp;totales!I309="0"&amp;totales!J309="0","f",IF(totales!E309="2"&amp;totales!H309="1"&amp;totales!I309="0"&amp;totales!J309="0","g",IF(totales!E309="3"&amp;totales!H309="1"&amp;totales!I309="0"&amp;totales!J309="0","h",IF(totales!E309="4"&amp;totales!H309="1"&amp;totales!I309="0"&amp;totales!J309="0","i",IF(totales!E309="6"&amp;totales!H309="1"&amp;totales!I309="0"&amp;totales!J309="0","j",IF(totales!E309="1"&amp;totales!H309="2"&amp;totales!I309="0"&amp;totales!J309="0","k",IF(totales!E309="2"&amp;totales!H309="2"&amp;totales!I309="0"&amp;totales!J309="0","l",IF(totales!E309="3"&amp;totales!H309="2"&amp;totales!I309="0"&amp;totales!J309="0","m",
IF(totales!E309="4"&amp;totales!H309="2"&amp;totales!I309="0"&amp;totales!J309="0","n",IF(totales!E309="6"&amp;totales!H309="2"&amp;totales!I309="0"&amp;totales!J309="0","o",IF(totales!E309="1"&amp;totales!H309="0"&amp;totales!I309="1"&amp;totales!J309="0","p",IF(totales!E309="2"&amp;totales!H309="0"&amp;totales!I309="1"&amp;totales!J309="0","q",IF(totales!E309="3"&amp;totales!H309="0"&amp;totales!I309="1"&amp;totales!J309="0","r",IF(totales!E309="4"&amp;totales!H309="0"&amp;totales!I309="1"&amp;totales!J309="0","s",IF(totales!E309="6"&amp;totales!H309="0"&amp;totales!I309="1"&amp;totales!J309="0","t",IF(totales!E309="1"&amp;totales!H309="2"&amp;totales!I309="1"&amp;totales!J309="0","u",IF(totales!E309="2"&amp;totales!H309="2"&amp;totales!I309="1"&amp;totales!J309="0","v",IF(totales!E309="3"&amp;totales!H309="2"&amp;totales!I309="1"&amp;totales!J309="0","w",IF(totales!E309="4"&amp;totales!H309="2"&amp;totales!I309="1"&amp;totales!J309="0","x",
IF(totales!E309="6"&amp;totales!H309="2"&amp;totales!I309="1"&amp;totales!J309="0","y",IF(totales!E309="1"&amp;totales!H309="1"&amp;totales!I309="1"&amp;totales!J309="0","z",IF(totales!E309="2"&amp;totales!H309="1"&amp;totales!I309="1"&amp;totales!J309="0","0",IF(totales!E309="3"&amp;totales!H309="1"&amp;totales!I309="1"&amp;totales!J309="0","1",IF(totales!E309="4"&amp;totales!H309="1"&amp;totales!I309="1"&amp;totales!J309="0","2",IF(totales!E309="6"&amp;totales!H309="1"&amp;totales!I309="1"&amp;totales!J309="0","3",IF(totales!E309="1"&amp;totales!H309="0"&amp;totales!I309="1"&amp;totales!J309="1","4",IF(totales!E309="2"&amp;totales!H309="0"&amp;totales!I309="1"&amp;totales!J309="1","5",IF(totales!E309="3"&amp;totales!H309="0"&amp;totales!I309="1"&amp;totales!J309="1","6",IF(totales!E309="4"&amp;totales!H309="0"&amp;totales!I309="1"&amp;totales!J309="1","7",IF(totales!E309="6"&amp;totales!H309="0"&amp;totales!I309="1"&amp;totales!J309="1","8",IF(totales!E309="1"&amp;totales!H309="1"&amp;totales!I309="0"&amp;totales!J309="1","9"))))))))))))))))))))))))))))))))))))</f>
        <v>0</v>
      </c>
    </row>
    <row r="309" spans="22:22">
      <c r="V309" s="102" t="b">
        <f>IF(totales!E310="1"&amp;totales!H310="0"&amp;totales!I310="0"&amp;totales!J310="0","a",IF(totales!E310="2"&amp;totales!H310="0"&amp;totales!I310="0"&amp;totales!J310="0","b",IF(totales!E310="3"&amp;totales!H310="0"&amp;totales!I310="0"&amp;totales!J310="0","c",IF(totales!E310="4"&amp;totales!H310="0"&amp;totales!I310="0"&amp;totales!J310="0","d",IF(totales!E310="6"&amp;totales!H310="0"&amp;totales!I310="0"&amp;totales!J310="0","e",IF(totales!E310="1"&amp;totales!H310="1"&amp;totales!I310="0"&amp;totales!J310="0","f",IF(totales!E310="2"&amp;totales!H310="1"&amp;totales!I310="0"&amp;totales!J310="0","g",IF(totales!E310="3"&amp;totales!H310="1"&amp;totales!I310="0"&amp;totales!J310="0","h",IF(totales!E310="4"&amp;totales!H310="1"&amp;totales!I310="0"&amp;totales!J310="0","i",IF(totales!E310="6"&amp;totales!H310="1"&amp;totales!I310="0"&amp;totales!J310="0","j",IF(totales!E310="1"&amp;totales!H310="2"&amp;totales!I310="0"&amp;totales!J310="0","k",IF(totales!E310="2"&amp;totales!H310="2"&amp;totales!I310="0"&amp;totales!J310="0","l",IF(totales!E310="3"&amp;totales!H310="2"&amp;totales!I310="0"&amp;totales!J310="0","m",
IF(totales!E310="4"&amp;totales!H310="2"&amp;totales!I310="0"&amp;totales!J310="0","n",IF(totales!E310="6"&amp;totales!H310="2"&amp;totales!I310="0"&amp;totales!J310="0","o",IF(totales!E310="1"&amp;totales!H310="0"&amp;totales!I310="1"&amp;totales!J310="0","p",IF(totales!E310="2"&amp;totales!H310="0"&amp;totales!I310="1"&amp;totales!J310="0","q",IF(totales!E310="3"&amp;totales!H310="0"&amp;totales!I310="1"&amp;totales!J310="0","r",IF(totales!E310="4"&amp;totales!H310="0"&amp;totales!I310="1"&amp;totales!J310="0","s",IF(totales!E310="6"&amp;totales!H310="0"&amp;totales!I310="1"&amp;totales!J310="0","t",IF(totales!E310="1"&amp;totales!H310="2"&amp;totales!I310="1"&amp;totales!J310="0","u",IF(totales!E310="2"&amp;totales!H310="2"&amp;totales!I310="1"&amp;totales!J310="0","v",IF(totales!E310="3"&amp;totales!H310="2"&amp;totales!I310="1"&amp;totales!J310="0","w",IF(totales!E310="4"&amp;totales!H310="2"&amp;totales!I310="1"&amp;totales!J310="0","x",
IF(totales!E310="6"&amp;totales!H310="2"&amp;totales!I310="1"&amp;totales!J310="0","y",IF(totales!E310="1"&amp;totales!H310="1"&amp;totales!I310="1"&amp;totales!J310="0","z",IF(totales!E310="2"&amp;totales!H310="1"&amp;totales!I310="1"&amp;totales!J310="0","0",IF(totales!E310="3"&amp;totales!H310="1"&amp;totales!I310="1"&amp;totales!J310="0","1",IF(totales!E310="4"&amp;totales!H310="1"&amp;totales!I310="1"&amp;totales!J310="0","2",IF(totales!E310="6"&amp;totales!H310="1"&amp;totales!I310="1"&amp;totales!J310="0","3",IF(totales!E310="1"&amp;totales!H310="0"&amp;totales!I310="1"&amp;totales!J310="1","4",IF(totales!E310="2"&amp;totales!H310="0"&amp;totales!I310="1"&amp;totales!J310="1","5",IF(totales!E310="3"&amp;totales!H310="0"&amp;totales!I310="1"&amp;totales!J310="1","6",IF(totales!E310="4"&amp;totales!H310="0"&amp;totales!I310="1"&amp;totales!J310="1","7",IF(totales!E310="6"&amp;totales!H310="0"&amp;totales!I310="1"&amp;totales!J310="1","8",IF(totales!E310="1"&amp;totales!H310="1"&amp;totales!I310="0"&amp;totales!J310="1","9"))))))))))))))))))))))))))))))))))))</f>
        <v>0</v>
      </c>
    </row>
    <row r="310" spans="22:22">
      <c r="V310" s="102" t="b">
        <f>IF(totales!E311="1"&amp;totales!H311="0"&amp;totales!I311="0"&amp;totales!J311="0","a",IF(totales!E311="2"&amp;totales!H311="0"&amp;totales!I311="0"&amp;totales!J311="0","b",IF(totales!E311="3"&amp;totales!H311="0"&amp;totales!I311="0"&amp;totales!J311="0","c",IF(totales!E311="4"&amp;totales!H311="0"&amp;totales!I311="0"&amp;totales!J311="0","d",IF(totales!E311="6"&amp;totales!H311="0"&amp;totales!I311="0"&amp;totales!J311="0","e",IF(totales!E311="1"&amp;totales!H311="1"&amp;totales!I311="0"&amp;totales!J311="0","f",IF(totales!E311="2"&amp;totales!H311="1"&amp;totales!I311="0"&amp;totales!J311="0","g",IF(totales!E311="3"&amp;totales!H311="1"&amp;totales!I311="0"&amp;totales!J311="0","h",IF(totales!E311="4"&amp;totales!H311="1"&amp;totales!I311="0"&amp;totales!J311="0","i",IF(totales!E311="6"&amp;totales!H311="1"&amp;totales!I311="0"&amp;totales!J311="0","j",IF(totales!E311="1"&amp;totales!H311="2"&amp;totales!I311="0"&amp;totales!J311="0","k",IF(totales!E311="2"&amp;totales!H311="2"&amp;totales!I311="0"&amp;totales!J311="0","l",IF(totales!E311="3"&amp;totales!H311="2"&amp;totales!I311="0"&amp;totales!J311="0","m",
IF(totales!E311="4"&amp;totales!H311="2"&amp;totales!I311="0"&amp;totales!J311="0","n",IF(totales!E311="6"&amp;totales!H311="2"&amp;totales!I311="0"&amp;totales!J311="0","o",IF(totales!E311="1"&amp;totales!H311="0"&amp;totales!I311="1"&amp;totales!J311="0","p",IF(totales!E311="2"&amp;totales!H311="0"&amp;totales!I311="1"&amp;totales!J311="0","q",IF(totales!E311="3"&amp;totales!H311="0"&amp;totales!I311="1"&amp;totales!J311="0","r",IF(totales!E311="4"&amp;totales!H311="0"&amp;totales!I311="1"&amp;totales!J311="0","s",IF(totales!E311="6"&amp;totales!H311="0"&amp;totales!I311="1"&amp;totales!J311="0","t",IF(totales!E311="1"&amp;totales!H311="2"&amp;totales!I311="1"&amp;totales!J311="0","u",IF(totales!E311="2"&amp;totales!H311="2"&amp;totales!I311="1"&amp;totales!J311="0","v",IF(totales!E311="3"&amp;totales!H311="2"&amp;totales!I311="1"&amp;totales!J311="0","w",IF(totales!E311="4"&amp;totales!H311="2"&amp;totales!I311="1"&amp;totales!J311="0","x",
IF(totales!E311="6"&amp;totales!H311="2"&amp;totales!I311="1"&amp;totales!J311="0","y",IF(totales!E311="1"&amp;totales!H311="1"&amp;totales!I311="1"&amp;totales!J311="0","z",IF(totales!E311="2"&amp;totales!H311="1"&amp;totales!I311="1"&amp;totales!J311="0","0",IF(totales!E311="3"&amp;totales!H311="1"&amp;totales!I311="1"&amp;totales!J311="0","1",IF(totales!E311="4"&amp;totales!H311="1"&amp;totales!I311="1"&amp;totales!J311="0","2",IF(totales!E311="6"&amp;totales!H311="1"&amp;totales!I311="1"&amp;totales!J311="0","3",IF(totales!E311="1"&amp;totales!H311="0"&amp;totales!I311="1"&amp;totales!J311="1","4",IF(totales!E311="2"&amp;totales!H311="0"&amp;totales!I311="1"&amp;totales!J311="1","5",IF(totales!E311="3"&amp;totales!H311="0"&amp;totales!I311="1"&amp;totales!J311="1","6",IF(totales!E311="4"&amp;totales!H311="0"&amp;totales!I311="1"&amp;totales!J311="1","7",IF(totales!E311="6"&amp;totales!H311="0"&amp;totales!I311="1"&amp;totales!J311="1","8",IF(totales!E311="1"&amp;totales!H311="1"&amp;totales!I311="0"&amp;totales!J311="1","9"))))))))))))))))))))))))))))))))))))</f>
        <v>0</v>
      </c>
    </row>
    <row r="311" spans="22:22">
      <c r="V311" s="102" t="b">
        <f>IF(totales!E312="1"&amp;totales!H312="0"&amp;totales!I312="0"&amp;totales!J312="0","a",IF(totales!E312="2"&amp;totales!H312="0"&amp;totales!I312="0"&amp;totales!J312="0","b",IF(totales!E312="3"&amp;totales!H312="0"&amp;totales!I312="0"&amp;totales!J312="0","c",IF(totales!E312="4"&amp;totales!H312="0"&amp;totales!I312="0"&amp;totales!J312="0","d",IF(totales!E312="6"&amp;totales!H312="0"&amp;totales!I312="0"&amp;totales!J312="0","e",IF(totales!E312="1"&amp;totales!H312="1"&amp;totales!I312="0"&amp;totales!J312="0","f",IF(totales!E312="2"&amp;totales!H312="1"&amp;totales!I312="0"&amp;totales!J312="0","g",IF(totales!E312="3"&amp;totales!H312="1"&amp;totales!I312="0"&amp;totales!J312="0","h",IF(totales!E312="4"&amp;totales!H312="1"&amp;totales!I312="0"&amp;totales!J312="0","i",IF(totales!E312="6"&amp;totales!H312="1"&amp;totales!I312="0"&amp;totales!J312="0","j",IF(totales!E312="1"&amp;totales!H312="2"&amp;totales!I312="0"&amp;totales!J312="0","k",IF(totales!E312="2"&amp;totales!H312="2"&amp;totales!I312="0"&amp;totales!J312="0","l",IF(totales!E312="3"&amp;totales!H312="2"&amp;totales!I312="0"&amp;totales!J312="0","m",
IF(totales!E312="4"&amp;totales!H312="2"&amp;totales!I312="0"&amp;totales!J312="0","n",IF(totales!E312="6"&amp;totales!H312="2"&amp;totales!I312="0"&amp;totales!J312="0","o",IF(totales!E312="1"&amp;totales!H312="0"&amp;totales!I312="1"&amp;totales!J312="0","p",IF(totales!E312="2"&amp;totales!H312="0"&amp;totales!I312="1"&amp;totales!J312="0","q",IF(totales!E312="3"&amp;totales!H312="0"&amp;totales!I312="1"&amp;totales!J312="0","r",IF(totales!E312="4"&amp;totales!H312="0"&amp;totales!I312="1"&amp;totales!J312="0","s",IF(totales!E312="6"&amp;totales!H312="0"&amp;totales!I312="1"&amp;totales!J312="0","t",IF(totales!E312="1"&amp;totales!H312="2"&amp;totales!I312="1"&amp;totales!J312="0","u",IF(totales!E312="2"&amp;totales!H312="2"&amp;totales!I312="1"&amp;totales!J312="0","v",IF(totales!E312="3"&amp;totales!H312="2"&amp;totales!I312="1"&amp;totales!J312="0","w",IF(totales!E312="4"&amp;totales!H312="2"&amp;totales!I312="1"&amp;totales!J312="0","x",
IF(totales!E312="6"&amp;totales!H312="2"&amp;totales!I312="1"&amp;totales!J312="0","y",IF(totales!E312="1"&amp;totales!H312="1"&amp;totales!I312="1"&amp;totales!J312="0","z",IF(totales!E312="2"&amp;totales!H312="1"&amp;totales!I312="1"&amp;totales!J312="0","0",IF(totales!E312="3"&amp;totales!H312="1"&amp;totales!I312="1"&amp;totales!J312="0","1",IF(totales!E312="4"&amp;totales!H312="1"&amp;totales!I312="1"&amp;totales!J312="0","2",IF(totales!E312="6"&amp;totales!H312="1"&amp;totales!I312="1"&amp;totales!J312="0","3",IF(totales!E312="1"&amp;totales!H312="0"&amp;totales!I312="1"&amp;totales!J312="1","4",IF(totales!E312="2"&amp;totales!H312="0"&amp;totales!I312="1"&amp;totales!J312="1","5",IF(totales!E312="3"&amp;totales!H312="0"&amp;totales!I312="1"&amp;totales!J312="1","6",IF(totales!E312="4"&amp;totales!H312="0"&amp;totales!I312="1"&amp;totales!J312="1","7",IF(totales!E312="6"&amp;totales!H312="0"&amp;totales!I312="1"&amp;totales!J312="1","8",IF(totales!E312="1"&amp;totales!H312="1"&amp;totales!I312="0"&amp;totales!J312="1","9"))))))))))))))))))))))))))))))))))))</f>
        <v>0</v>
      </c>
    </row>
    <row r="312" spans="22:22">
      <c r="V312" s="102" t="b">
        <f>IF(totales!E313="1"&amp;totales!H313="0"&amp;totales!I313="0"&amp;totales!J313="0","a",IF(totales!E313="2"&amp;totales!H313="0"&amp;totales!I313="0"&amp;totales!J313="0","b",IF(totales!E313="3"&amp;totales!H313="0"&amp;totales!I313="0"&amp;totales!J313="0","c",IF(totales!E313="4"&amp;totales!H313="0"&amp;totales!I313="0"&amp;totales!J313="0","d",IF(totales!E313="6"&amp;totales!H313="0"&amp;totales!I313="0"&amp;totales!J313="0","e",IF(totales!E313="1"&amp;totales!H313="1"&amp;totales!I313="0"&amp;totales!J313="0","f",IF(totales!E313="2"&amp;totales!H313="1"&amp;totales!I313="0"&amp;totales!J313="0","g",IF(totales!E313="3"&amp;totales!H313="1"&amp;totales!I313="0"&amp;totales!J313="0","h",IF(totales!E313="4"&amp;totales!H313="1"&amp;totales!I313="0"&amp;totales!J313="0","i",IF(totales!E313="6"&amp;totales!H313="1"&amp;totales!I313="0"&amp;totales!J313="0","j",IF(totales!E313="1"&amp;totales!H313="2"&amp;totales!I313="0"&amp;totales!J313="0","k",IF(totales!E313="2"&amp;totales!H313="2"&amp;totales!I313="0"&amp;totales!J313="0","l",IF(totales!E313="3"&amp;totales!H313="2"&amp;totales!I313="0"&amp;totales!J313="0","m",
IF(totales!E313="4"&amp;totales!H313="2"&amp;totales!I313="0"&amp;totales!J313="0","n",IF(totales!E313="6"&amp;totales!H313="2"&amp;totales!I313="0"&amp;totales!J313="0","o",IF(totales!E313="1"&amp;totales!H313="0"&amp;totales!I313="1"&amp;totales!J313="0","p",IF(totales!E313="2"&amp;totales!H313="0"&amp;totales!I313="1"&amp;totales!J313="0","q",IF(totales!E313="3"&amp;totales!H313="0"&amp;totales!I313="1"&amp;totales!J313="0","r",IF(totales!E313="4"&amp;totales!H313="0"&amp;totales!I313="1"&amp;totales!J313="0","s",IF(totales!E313="6"&amp;totales!H313="0"&amp;totales!I313="1"&amp;totales!J313="0","t",IF(totales!E313="1"&amp;totales!H313="2"&amp;totales!I313="1"&amp;totales!J313="0","u",IF(totales!E313="2"&amp;totales!H313="2"&amp;totales!I313="1"&amp;totales!J313="0","v",IF(totales!E313="3"&amp;totales!H313="2"&amp;totales!I313="1"&amp;totales!J313="0","w",IF(totales!E313="4"&amp;totales!H313="2"&amp;totales!I313="1"&amp;totales!J313="0","x",
IF(totales!E313="6"&amp;totales!H313="2"&amp;totales!I313="1"&amp;totales!J313="0","y",IF(totales!E313="1"&amp;totales!H313="1"&amp;totales!I313="1"&amp;totales!J313="0","z",IF(totales!E313="2"&amp;totales!H313="1"&amp;totales!I313="1"&amp;totales!J313="0","0",IF(totales!E313="3"&amp;totales!H313="1"&amp;totales!I313="1"&amp;totales!J313="0","1",IF(totales!E313="4"&amp;totales!H313="1"&amp;totales!I313="1"&amp;totales!J313="0","2",IF(totales!E313="6"&amp;totales!H313="1"&amp;totales!I313="1"&amp;totales!J313="0","3",IF(totales!E313="1"&amp;totales!H313="0"&amp;totales!I313="1"&amp;totales!J313="1","4",IF(totales!E313="2"&amp;totales!H313="0"&amp;totales!I313="1"&amp;totales!J313="1","5",IF(totales!E313="3"&amp;totales!H313="0"&amp;totales!I313="1"&amp;totales!J313="1","6",IF(totales!E313="4"&amp;totales!H313="0"&amp;totales!I313="1"&amp;totales!J313="1","7",IF(totales!E313="6"&amp;totales!H313="0"&amp;totales!I313="1"&amp;totales!J313="1","8",IF(totales!E313="1"&amp;totales!H313="1"&amp;totales!I313="0"&amp;totales!J313="1","9"))))))))))))))))))))))))))))))))))))</f>
        <v>0</v>
      </c>
    </row>
    <row r="313" spans="22:22">
      <c r="V313" s="102" t="b">
        <f>IF(totales!E314="1"&amp;totales!H314="0"&amp;totales!I314="0"&amp;totales!J314="0","a",IF(totales!E314="2"&amp;totales!H314="0"&amp;totales!I314="0"&amp;totales!J314="0","b",IF(totales!E314="3"&amp;totales!H314="0"&amp;totales!I314="0"&amp;totales!J314="0","c",IF(totales!E314="4"&amp;totales!H314="0"&amp;totales!I314="0"&amp;totales!J314="0","d",IF(totales!E314="6"&amp;totales!H314="0"&amp;totales!I314="0"&amp;totales!J314="0","e",IF(totales!E314="1"&amp;totales!H314="1"&amp;totales!I314="0"&amp;totales!J314="0","f",IF(totales!E314="2"&amp;totales!H314="1"&amp;totales!I314="0"&amp;totales!J314="0","g",IF(totales!E314="3"&amp;totales!H314="1"&amp;totales!I314="0"&amp;totales!J314="0","h",IF(totales!E314="4"&amp;totales!H314="1"&amp;totales!I314="0"&amp;totales!J314="0","i",IF(totales!E314="6"&amp;totales!H314="1"&amp;totales!I314="0"&amp;totales!J314="0","j",IF(totales!E314="1"&amp;totales!H314="2"&amp;totales!I314="0"&amp;totales!J314="0","k",IF(totales!E314="2"&amp;totales!H314="2"&amp;totales!I314="0"&amp;totales!J314="0","l",IF(totales!E314="3"&amp;totales!H314="2"&amp;totales!I314="0"&amp;totales!J314="0","m",
IF(totales!E314="4"&amp;totales!H314="2"&amp;totales!I314="0"&amp;totales!J314="0","n",IF(totales!E314="6"&amp;totales!H314="2"&amp;totales!I314="0"&amp;totales!J314="0","o",IF(totales!E314="1"&amp;totales!H314="0"&amp;totales!I314="1"&amp;totales!J314="0","p",IF(totales!E314="2"&amp;totales!H314="0"&amp;totales!I314="1"&amp;totales!J314="0","q",IF(totales!E314="3"&amp;totales!H314="0"&amp;totales!I314="1"&amp;totales!J314="0","r",IF(totales!E314="4"&amp;totales!H314="0"&amp;totales!I314="1"&amp;totales!J314="0","s",IF(totales!E314="6"&amp;totales!H314="0"&amp;totales!I314="1"&amp;totales!J314="0","t",IF(totales!E314="1"&amp;totales!H314="2"&amp;totales!I314="1"&amp;totales!J314="0","u",IF(totales!E314="2"&amp;totales!H314="2"&amp;totales!I314="1"&amp;totales!J314="0","v",IF(totales!E314="3"&amp;totales!H314="2"&amp;totales!I314="1"&amp;totales!J314="0","w",IF(totales!E314="4"&amp;totales!H314="2"&amp;totales!I314="1"&amp;totales!J314="0","x",
IF(totales!E314="6"&amp;totales!H314="2"&amp;totales!I314="1"&amp;totales!J314="0","y",IF(totales!E314="1"&amp;totales!H314="1"&amp;totales!I314="1"&amp;totales!J314="0","z",IF(totales!E314="2"&amp;totales!H314="1"&amp;totales!I314="1"&amp;totales!J314="0","0",IF(totales!E314="3"&amp;totales!H314="1"&amp;totales!I314="1"&amp;totales!J314="0","1",IF(totales!E314="4"&amp;totales!H314="1"&amp;totales!I314="1"&amp;totales!J314="0","2",IF(totales!E314="6"&amp;totales!H314="1"&amp;totales!I314="1"&amp;totales!J314="0","3",IF(totales!E314="1"&amp;totales!H314="0"&amp;totales!I314="1"&amp;totales!J314="1","4",IF(totales!E314="2"&amp;totales!H314="0"&amp;totales!I314="1"&amp;totales!J314="1","5",IF(totales!E314="3"&amp;totales!H314="0"&amp;totales!I314="1"&amp;totales!J314="1","6",IF(totales!E314="4"&amp;totales!H314="0"&amp;totales!I314="1"&amp;totales!J314="1","7",IF(totales!E314="6"&amp;totales!H314="0"&amp;totales!I314="1"&amp;totales!J314="1","8",IF(totales!E314="1"&amp;totales!H314="1"&amp;totales!I314="0"&amp;totales!J314="1","9"))))))))))))))))))))))))))))))))))))</f>
        <v>0</v>
      </c>
    </row>
    <row r="314" spans="22:22">
      <c r="V314" s="102" t="b">
        <f>IF(totales!E315="1"&amp;totales!H315="0"&amp;totales!I315="0"&amp;totales!J315="0","a",IF(totales!E315="2"&amp;totales!H315="0"&amp;totales!I315="0"&amp;totales!J315="0","b",IF(totales!E315="3"&amp;totales!H315="0"&amp;totales!I315="0"&amp;totales!J315="0","c",IF(totales!E315="4"&amp;totales!H315="0"&amp;totales!I315="0"&amp;totales!J315="0","d",IF(totales!E315="6"&amp;totales!H315="0"&amp;totales!I315="0"&amp;totales!J315="0","e",IF(totales!E315="1"&amp;totales!H315="1"&amp;totales!I315="0"&amp;totales!J315="0","f",IF(totales!E315="2"&amp;totales!H315="1"&amp;totales!I315="0"&amp;totales!J315="0","g",IF(totales!E315="3"&amp;totales!H315="1"&amp;totales!I315="0"&amp;totales!J315="0","h",IF(totales!E315="4"&amp;totales!H315="1"&amp;totales!I315="0"&amp;totales!J315="0","i",IF(totales!E315="6"&amp;totales!H315="1"&amp;totales!I315="0"&amp;totales!J315="0","j",IF(totales!E315="1"&amp;totales!H315="2"&amp;totales!I315="0"&amp;totales!J315="0","k",IF(totales!E315="2"&amp;totales!H315="2"&amp;totales!I315="0"&amp;totales!J315="0","l",IF(totales!E315="3"&amp;totales!H315="2"&amp;totales!I315="0"&amp;totales!J315="0","m",
IF(totales!E315="4"&amp;totales!H315="2"&amp;totales!I315="0"&amp;totales!J315="0","n",IF(totales!E315="6"&amp;totales!H315="2"&amp;totales!I315="0"&amp;totales!J315="0","o",IF(totales!E315="1"&amp;totales!H315="0"&amp;totales!I315="1"&amp;totales!J315="0","p",IF(totales!E315="2"&amp;totales!H315="0"&amp;totales!I315="1"&amp;totales!J315="0","q",IF(totales!E315="3"&amp;totales!H315="0"&amp;totales!I315="1"&amp;totales!J315="0","r",IF(totales!E315="4"&amp;totales!H315="0"&amp;totales!I315="1"&amp;totales!J315="0","s",IF(totales!E315="6"&amp;totales!H315="0"&amp;totales!I315="1"&amp;totales!J315="0","t",IF(totales!E315="1"&amp;totales!H315="2"&amp;totales!I315="1"&amp;totales!J315="0","u",IF(totales!E315="2"&amp;totales!H315="2"&amp;totales!I315="1"&amp;totales!J315="0","v",IF(totales!E315="3"&amp;totales!H315="2"&amp;totales!I315="1"&amp;totales!J315="0","w",IF(totales!E315="4"&amp;totales!H315="2"&amp;totales!I315="1"&amp;totales!J315="0","x",
IF(totales!E315="6"&amp;totales!H315="2"&amp;totales!I315="1"&amp;totales!J315="0","y",IF(totales!E315="1"&amp;totales!H315="1"&amp;totales!I315="1"&amp;totales!J315="0","z",IF(totales!E315="2"&amp;totales!H315="1"&amp;totales!I315="1"&amp;totales!J315="0","0",IF(totales!E315="3"&amp;totales!H315="1"&amp;totales!I315="1"&amp;totales!J315="0","1",IF(totales!E315="4"&amp;totales!H315="1"&amp;totales!I315="1"&amp;totales!J315="0","2",IF(totales!E315="6"&amp;totales!H315="1"&amp;totales!I315="1"&amp;totales!J315="0","3",IF(totales!E315="1"&amp;totales!H315="0"&amp;totales!I315="1"&amp;totales!J315="1","4",IF(totales!E315="2"&amp;totales!H315="0"&amp;totales!I315="1"&amp;totales!J315="1","5",IF(totales!E315="3"&amp;totales!H315="0"&amp;totales!I315="1"&amp;totales!J315="1","6",IF(totales!E315="4"&amp;totales!H315="0"&amp;totales!I315="1"&amp;totales!J315="1","7",IF(totales!E315="6"&amp;totales!H315="0"&amp;totales!I315="1"&amp;totales!J315="1","8",IF(totales!E315="1"&amp;totales!H315="1"&amp;totales!I315="0"&amp;totales!J315="1","9"))))))))))))))))))))))))))))))))))))</f>
        <v>0</v>
      </c>
    </row>
    <row r="315" spans="22:22">
      <c r="V315" s="102" t="b">
        <f>IF(totales!E316="1"&amp;totales!H316="0"&amp;totales!I316="0"&amp;totales!J316="0","a",IF(totales!E316="2"&amp;totales!H316="0"&amp;totales!I316="0"&amp;totales!J316="0","b",IF(totales!E316="3"&amp;totales!H316="0"&amp;totales!I316="0"&amp;totales!J316="0","c",IF(totales!E316="4"&amp;totales!H316="0"&amp;totales!I316="0"&amp;totales!J316="0","d",IF(totales!E316="6"&amp;totales!H316="0"&amp;totales!I316="0"&amp;totales!J316="0","e",IF(totales!E316="1"&amp;totales!H316="1"&amp;totales!I316="0"&amp;totales!J316="0","f",IF(totales!E316="2"&amp;totales!H316="1"&amp;totales!I316="0"&amp;totales!J316="0","g",IF(totales!E316="3"&amp;totales!H316="1"&amp;totales!I316="0"&amp;totales!J316="0","h",IF(totales!E316="4"&amp;totales!H316="1"&amp;totales!I316="0"&amp;totales!J316="0","i",IF(totales!E316="6"&amp;totales!H316="1"&amp;totales!I316="0"&amp;totales!J316="0","j",IF(totales!E316="1"&amp;totales!H316="2"&amp;totales!I316="0"&amp;totales!J316="0","k",IF(totales!E316="2"&amp;totales!H316="2"&amp;totales!I316="0"&amp;totales!J316="0","l",IF(totales!E316="3"&amp;totales!H316="2"&amp;totales!I316="0"&amp;totales!J316="0","m",
IF(totales!E316="4"&amp;totales!H316="2"&amp;totales!I316="0"&amp;totales!J316="0","n",IF(totales!E316="6"&amp;totales!H316="2"&amp;totales!I316="0"&amp;totales!J316="0","o",IF(totales!E316="1"&amp;totales!H316="0"&amp;totales!I316="1"&amp;totales!J316="0","p",IF(totales!E316="2"&amp;totales!H316="0"&amp;totales!I316="1"&amp;totales!J316="0","q",IF(totales!E316="3"&amp;totales!H316="0"&amp;totales!I316="1"&amp;totales!J316="0","r",IF(totales!E316="4"&amp;totales!H316="0"&amp;totales!I316="1"&amp;totales!J316="0","s",IF(totales!E316="6"&amp;totales!H316="0"&amp;totales!I316="1"&amp;totales!J316="0","t",IF(totales!E316="1"&amp;totales!H316="2"&amp;totales!I316="1"&amp;totales!J316="0","u",IF(totales!E316="2"&amp;totales!H316="2"&amp;totales!I316="1"&amp;totales!J316="0","v",IF(totales!E316="3"&amp;totales!H316="2"&amp;totales!I316="1"&amp;totales!J316="0","w",IF(totales!E316="4"&amp;totales!H316="2"&amp;totales!I316="1"&amp;totales!J316="0","x",
IF(totales!E316="6"&amp;totales!H316="2"&amp;totales!I316="1"&amp;totales!J316="0","y",IF(totales!E316="1"&amp;totales!H316="1"&amp;totales!I316="1"&amp;totales!J316="0","z",IF(totales!E316="2"&amp;totales!H316="1"&amp;totales!I316="1"&amp;totales!J316="0","0",IF(totales!E316="3"&amp;totales!H316="1"&amp;totales!I316="1"&amp;totales!J316="0","1",IF(totales!E316="4"&amp;totales!H316="1"&amp;totales!I316="1"&amp;totales!J316="0","2",IF(totales!E316="6"&amp;totales!H316="1"&amp;totales!I316="1"&amp;totales!J316="0","3",IF(totales!E316="1"&amp;totales!H316="0"&amp;totales!I316="1"&amp;totales!J316="1","4",IF(totales!E316="2"&amp;totales!H316="0"&amp;totales!I316="1"&amp;totales!J316="1","5",IF(totales!E316="3"&amp;totales!H316="0"&amp;totales!I316="1"&amp;totales!J316="1","6",IF(totales!E316="4"&amp;totales!H316="0"&amp;totales!I316="1"&amp;totales!J316="1","7",IF(totales!E316="6"&amp;totales!H316="0"&amp;totales!I316="1"&amp;totales!J316="1","8",IF(totales!E316="1"&amp;totales!H316="1"&amp;totales!I316="0"&amp;totales!J316="1","9"))))))))))))))))))))))))))))))))))))</f>
        <v>0</v>
      </c>
    </row>
    <row r="316" spans="22:22">
      <c r="V316" s="102" t="b">
        <f>IF(totales!E317="1"&amp;totales!H317="0"&amp;totales!I317="0"&amp;totales!J317="0","a",IF(totales!E317="2"&amp;totales!H317="0"&amp;totales!I317="0"&amp;totales!J317="0","b",IF(totales!E317="3"&amp;totales!H317="0"&amp;totales!I317="0"&amp;totales!J317="0","c",IF(totales!E317="4"&amp;totales!H317="0"&amp;totales!I317="0"&amp;totales!J317="0","d",IF(totales!E317="6"&amp;totales!H317="0"&amp;totales!I317="0"&amp;totales!J317="0","e",IF(totales!E317="1"&amp;totales!H317="1"&amp;totales!I317="0"&amp;totales!J317="0","f",IF(totales!E317="2"&amp;totales!H317="1"&amp;totales!I317="0"&amp;totales!J317="0","g",IF(totales!E317="3"&amp;totales!H317="1"&amp;totales!I317="0"&amp;totales!J317="0","h",IF(totales!E317="4"&amp;totales!H317="1"&amp;totales!I317="0"&amp;totales!J317="0","i",IF(totales!E317="6"&amp;totales!H317="1"&amp;totales!I317="0"&amp;totales!J317="0","j",IF(totales!E317="1"&amp;totales!H317="2"&amp;totales!I317="0"&amp;totales!J317="0","k",IF(totales!E317="2"&amp;totales!H317="2"&amp;totales!I317="0"&amp;totales!J317="0","l",IF(totales!E317="3"&amp;totales!H317="2"&amp;totales!I317="0"&amp;totales!J317="0","m",
IF(totales!E317="4"&amp;totales!H317="2"&amp;totales!I317="0"&amp;totales!J317="0","n",IF(totales!E317="6"&amp;totales!H317="2"&amp;totales!I317="0"&amp;totales!J317="0","o",IF(totales!E317="1"&amp;totales!H317="0"&amp;totales!I317="1"&amp;totales!J317="0","p",IF(totales!E317="2"&amp;totales!H317="0"&amp;totales!I317="1"&amp;totales!J317="0","q",IF(totales!E317="3"&amp;totales!H317="0"&amp;totales!I317="1"&amp;totales!J317="0","r",IF(totales!E317="4"&amp;totales!H317="0"&amp;totales!I317="1"&amp;totales!J317="0","s",IF(totales!E317="6"&amp;totales!H317="0"&amp;totales!I317="1"&amp;totales!J317="0","t",IF(totales!E317="1"&amp;totales!H317="2"&amp;totales!I317="1"&amp;totales!J317="0","u",IF(totales!E317="2"&amp;totales!H317="2"&amp;totales!I317="1"&amp;totales!J317="0","v",IF(totales!E317="3"&amp;totales!H317="2"&amp;totales!I317="1"&amp;totales!J317="0","w",IF(totales!E317="4"&amp;totales!H317="2"&amp;totales!I317="1"&amp;totales!J317="0","x",
IF(totales!E317="6"&amp;totales!H317="2"&amp;totales!I317="1"&amp;totales!J317="0","y",IF(totales!E317="1"&amp;totales!H317="1"&amp;totales!I317="1"&amp;totales!J317="0","z",IF(totales!E317="2"&amp;totales!H317="1"&amp;totales!I317="1"&amp;totales!J317="0","0",IF(totales!E317="3"&amp;totales!H317="1"&amp;totales!I317="1"&amp;totales!J317="0","1",IF(totales!E317="4"&amp;totales!H317="1"&amp;totales!I317="1"&amp;totales!J317="0","2",IF(totales!E317="6"&amp;totales!H317="1"&amp;totales!I317="1"&amp;totales!J317="0","3",IF(totales!E317="1"&amp;totales!H317="0"&amp;totales!I317="1"&amp;totales!J317="1","4",IF(totales!E317="2"&amp;totales!H317="0"&amp;totales!I317="1"&amp;totales!J317="1","5",IF(totales!E317="3"&amp;totales!H317="0"&amp;totales!I317="1"&amp;totales!J317="1","6",IF(totales!E317="4"&amp;totales!H317="0"&amp;totales!I317="1"&amp;totales!J317="1","7",IF(totales!E317="6"&amp;totales!H317="0"&amp;totales!I317="1"&amp;totales!J317="1","8",IF(totales!E317="1"&amp;totales!H317="1"&amp;totales!I317="0"&amp;totales!J317="1","9"))))))))))))))))))))))))))))))))))))</f>
        <v>0</v>
      </c>
    </row>
    <row r="317" spans="22:22">
      <c r="V317" s="102" t="b">
        <f>IF(totales!E318="1"&amp;totales!H318="0"&amp;totales!I318="0"&amp;totales!J318="0","a",IF(totales!E318="2"&amp;totales!H318="0"&amp;totales!I318="0"&amp;totales!J318="0","b",IF(totales!E318="3"&amp;totales!H318="0"&amp;totales!I318="0"&amp;totales!J318="0","c",IF(totales!E318="4"&amp;totales!H318="0"&amp;totales!I318="0"&amp;totales!J318="0","d",IF(totales!E318="6"&amp;totales!H318="0"&amp;totales!I318="0"&amp;totales!J318="0","e",IF(totales!E318="1"&amp;totales!H318="1"&amp;totales!I318="0"&amp;totales!J318="0","f",IF(totales!E318="2"&amp;totales!H318="1"&amp;totales!I318="0"&amp;totales!J318="0","g",IF(totales!E318="3"&amp;totales!H318="1"&amp;totales!I318="0"&amp;totales!J318="0","h",IF(totales!E318="4"&amp;totales!H318="1"&amp;totales!I318="0"&amp;totales!J318="0","i",IF(totales!E318="6"&amp;totales!H318="1"&amp;totales!I318="0"&amp;totales!J318="0","j",IF(totales!E318="1"&amp;totales!H318="2"&amp;totales!I318="0"&amp;totales!J318="0","k",IF(totales!E318="2"&amp;totales!H318="2"&amp;totales!I318="0"&amp;totales!J318="0","l",IF(totales!E318="3"&amp;totales!H318="2"&amp;totales!I318="0"&amp;totales!J318="0","m",
IF(totales!E318="4"&amp;totales!H318="2"&amp;totales!I318="0"&amp;totales!J318="0","n",IF(totales!E318="6"&amp;totales!H318="2"&amp;totales!I318="0"&amp;totales!J318="0","o",IF(totales!E318="1"&amp;totales!H318="0"&amp;totales!I318="1"&amp;totales!J318="0","p",IF(totales!E318="2"&amp;totales!H318="0"&amp;totales!I318="1"&amp;totales!J318="0","q",IF(totales!E318="3"&amp;totales!H318="0"&amp;totales!I318="1"&amp;totales!J318="0","r",IF(totales!E318="4"&amp;totales!H318="0"&amp;totales!I318="1"&amp;totales!J318="0","s",IF(totales!E318="6"&amp;totales!H318="0"&amp;totales!I318="1"&amp;totales!J318="0","t",IF(totales!E318="1"&amp;totales!H318="2"&amp;totales!I318="1"&amp;totales!J318="0","u",IF(totales!E318="2"&amp;totales!H318="2"&amp;totales!I318="1"&amp;totales!J318="0","v",IF(totales!E318="3"&amp;totales!H318="2"&amp;totales!I318="1"&amp;totales!J318="0","w",IF(totales!E318="4"&amp;totales!H318="2"&amp;totales!I318="1"&amp;totales!J318="0","x",
IF(totales!E318="6"&amp;totales!H318="2"&amp;totales!I318="1"&amp;totales!J318="0","y",IF(totales!E318="1"&amp;totales!H318="1"&amp;totales!I318="1"&amp;totales!J318="0","z",IF(totales!E318="2"&amp;totales!H318="1"&amp;totales!I318="1"&amp;totales!J318="0","0",IF(totales!E318="3"&amp;totales!H318="1"&amp;totales!I318="1"&amp;totales!J318="0","1",IF(totales!E318="4"&amp;totales!H318="1"&amp;totales!I318="1"&amp;totales!J318="0","2",IF(totales!E318="6"&amp;totales!H318="1"&amp;totales!I318="1"&amp;totales!J318="0","3",IF(totales!E318="1"&amp;totales!H318="0"&amp;totales!I318="1"&amp;totales!J318="1","4",IF(totales!E318="2"&amp;totales!H318="0"&amp;totales!I318="1"&amp;totales!J318="1","5",IF(totales!E318="3"&amp;totales!H318="0"&amp;totales!I318="1"&amp;totales!J318="1","6",IF(totales!E318="4"&amp;totales!H318="0"&amp;totales!I318="1"&amp;totales!J318="1","7",IF(totales!E318="6"&amp;totales!H318="0"&amp;totales!I318="1"&amp;totales!J318="1","8",IF(totales!E318="1"&amp;totales!H318="1"&amp;totales!I318="0"&amp;totales!J318="1","9"))))))))))))))))))))))))))))))))))))</f>
        <v>0</v>
      </c>
    </row>
    <row r="318" spans="22:22">
      <c r="V318" s="102" t="b">
        <f>IF(totales!E319="1"&amp;totales!H319="0"&amp;totales!I319="0"&amp;totales!J319="0","a",IF(totales!E319="2"&amp;totales!H319="0"&amp;totales!I319="0"&amp;totales!J319="0","b",IF(totales!E319="3"&amp;totales!H319="0"&amp;totales!I319="0"&amp;totales!J319="0","c",IF(totales!E319="4"&amp;totales!H319="0"&amp;totales!I319="0"&amp;totales!J319="0","d",IF(totales!E319="6"&amp;totales!H319="0"&amp;totales!I319="0"&amp;totales!J319="0","e",IF(totales!E319="1"&amp;totales!H319="1"&amp;totales!I319="0"&amp;totales!J319="0","f",IF(totales!E319="2"&amp;totales!H319="1"&amp;totales!I319="0"&amp;totales!J319="0","g",IF(totales!E319="3"&amp;totales!H319="1"&amp;totales!I319="0"&amp;totales!J319="0","h",IF(totales!E319="4"&amp;totales!H319="1"&amp;totales!I319="0"&amp;totales!J319="0","i",IF(totales!E319="6"&amp;totales!H319="1"&amp;totales!I319="0"&amp;totales!J319="0","j",IF(totales!E319="1"&amp;totales!H319="2"&amp;totales!I319="0"&amp;totales!J319="0","k",IF(totales!E319="2"&amp;totales!H319="2"&amp;totales!I319="0"&amp;totales!J319="0","l",IF(totales!E319="3"&amp;totales!H319="2"&amp;totales!I319="0"&amp;totales!J319="0","m",
IF(totales!E319="4"&amp;totales!H319="2"&amp;totales!I319="0"&amp;totales!J319="0","n",IF(totales!E319="6"&amp;totales!H319="2"&amp;totales!I319="0"&amp;totales!J319="0","o",IF(totales!E319="1"&amp;totales!H319="0"&amp;totales!I319="1"&amp;totales!J319="0","p",IF(totales!E319="2"&amp;totales!H319="0"&amp;totales!I319="1"&amp;totales!J319="0","q",IF(totales!E319="3"&amp;totales!H319="0"&amp;totales!I319="1"&amp;totales!J319="0","r",IF(totales!E319="4"&amp;totales!H319="0"&amp;totales!I319="1"&amp;totales!J319="0","s",IF(totales!E319="6"&amp;totales!H319="0"&amp;totales!I319="1"&amp;totales!J319="0","t",IF(totales!E319="1"&amp;totales!H319="2"&amp;totales!I319="1"&amp;totales!J319="0","u",IF(totales!E319="2"&amp;totales!H319="2"&amp;totales!I319="1"&amp;totales!J319="0","v",IF(totales!E319="3"&amp;totales!H319="2"&amp;totales!I319="1"&amp;totales!J319="0","w",IF(totales!E319="4"&amp;totales!H319="2"&amp;totales!I319="1"&amp;totales!J319="0","x",
IF(totales!E319="6"&amp;totales!H319="2"&amp;totales!I319="1"&amp;totales!J319="0","y",IF(totales!E319="1"&amp;totales!H319="1"&amp;totales!I319="1"&amp;totales!J319="0","z",IF(totales!E319="2"&amp;totales!H319="1"&amp;totales!I319="1"&amp;totales!J319="0","0",IF(totales!E319="3"&amp;totales!H319="1"&amp;totales!I319="1"&amp;totales!J319="0","1",IF(totales!E319="4"&amp;totales!H319="1"&amp;totales!I319="1"&amp;totales!J319="0","2",IF(totales!E319="6"&amp;totales!H319="1"&amp;totales!I319="1"&amp;totales!J319="0","3",IF(totales!E319="1"&amp;totales!H319="0"&amp;totales!I319="1"&amp;totales!J319="1","4",IF(totales!E319="2"&amp;totales!H319="0"&amp;totales!I319="1"&amp;totales!J319="1","5",IF(totales!E319="3"&amp;totales!H319="0"&amp;totales!I319="1"&amp;totales!J319="1","6",IF(totales!E319="4"&amp;totales!H319="0"&amp;totales!I319="1"&amp;totales!J319="1","7",IF(totales!E319="6"&amp;totales!H319="0"&amp;totales!I319="1"&amp;totales!J319="1","8",IF(totales!E319="1"&amp;totales!H319="1"&amp;totales!I319="0"&amp;totales!J319="1","9"))))))))))))))))))))))))))))))))))))</f>
        <v>0</v>
      </c>
    </row>
    <row r="319" spans="22:22">
      <c r="V319" s="102" t="b">
        <f>IF(totales!E320="1"&amp;totales!H320="0"&amp;totales!I320="0"&amp;totales!J320="0","a",IF(totales!E320="2"&amp;totales!H320="0"&amp;totales!I320="0"&amp;totales!J320="0","b",IF(totales!E320="3"&amp;totales!H320="0"&amp;totales!I320="0"&amp;totales!J320="0","c",IF(totales!E320="4"&amp;totales!H320="0"&amp;totales!I320="0"&amp;totales!J320="0","d",IF(totales!E320="6"&amp;totales!H320="0"&amp;totales!I320="0"&amp;totales!J320="0","e",IF(totales!E320="1"&amp;totales!H320="1"&amp;totales!I320="0"&amp;totales!J320="0","f",IF(totales!E320="2"&amp;totales!H320="1"&amp;totales!I320="0"&amp;totales!J320="0","g",IF(totales!E320="3"&amp;totales!H320="1"&amp;totales!I320="0"&amp;totales!J320="0","h",IF(totales!E320="4"&amp;totales!H320="1"&amp;totales!I320="0"&amp;totales!J320="0","i",IF(totales!E320="6"&amp;totales!H320="1"&amp;totales!I320="0"&amp;totales!J320="0","j",IF(totales!E320="1"&amp;totales!H320="2"&amp;totales!I320="0"&amp;totales!J320="0","k",IF(totales!E320="2"&amp;totales!H320="2"&amp;totales!I320="0"&amp;totales!J320="0","l",IF(totales!E320="3"&amp;totales!H320="2"&amp;totales!I320="0"&amp;totales!J320="0","m",
IF(totales!E320="4"&amp;totales!H320="2"&amp;totales!I320="0"&amp;totales!J320="0","n",IF(totales!E320="6"&amp;totales!H320="2"&amp;totales!I320="0"&amp;totales!J320="0","o",IF(totales!E320="1"&amp;totales!H320="0"&amp;totales!I320="1"&amp;totales!J320="0","p",IF(totales!E320="2"&amp;totales!H320="0"&amp;totales!I320="1"&amp;totales!J320="0","q",IF(totales!E320="3"&amp;totales!H320="0"&amp;totales!I320="1"&amp;totales!J320="0","r",IF(totales!E320="4"&amp;totales!H320="0"&amp;totales!I320="1"&amp;totales!J320="0","s",IF(totales!E320="6"&amp;totales!H320="0"&amp;totales!I320="1"&amp;totales!J320="0","t",IF(totales!E320="1"&amp;totales!H320="2"&amp;totales!I320="1"&amp;totales!J320="0","u",IF(totales!E320="2"&amp;totales!H320="2"&amp;totales!I320="1"&amp;totales!J320="0","v",IF(totales!E320="3"&amp;totales!H320="2"&amp;totales!I320="1"&amp;totales!J320="0","w",IF(totales!E320="4"&amp;totales!H320="2"&amp;totales!I320="1"&amp;totales!J320="0","x",
IF(totales!E320="6"&amp;totales!H320="2"&amp;totales!I320="1"&amp;totales!J320="0","y",IF(totales!E320="1"&amp;totales!H320="1"&amp;totales!I320="1"&amp;totales!J320="0","z",IF(totales!E320="2"&amp;totales!H320="1"&amp;totales!I320="1"&amp;totales!J320="0","0",IF(totales!E320="3"&amp;totales!H320="1"&amp;totales!I320="1"&amp;totales!J320="0","1",IF(totales!E320="4"&amp;totales!H320="1"&amp;totales!I320="1"&amp;totales!J320="0","2",IF(totales!E320="6"&amp;totales!H320="1"&amp;totales!I320="1"&amp;totales!J320="0","3",IF(totales!E320="1"&amp;totales!H320="0"&amp;totales!I320="1"&amp;totales!J320="1","4",IF(totales!E320="2"&amp;totales!H320="0"&amp;totales!I320="1"&amp;totales!J320="1","5",IF(totales!E320="3"&amp;totales!H320="0"&amp;totales!I320="1"&amp;totales!J320="1","6",IF(totales!E320="4"&amp;totales!H320="0"&amp;totales!I320="1"&amp;totales!J320="1","7",IF(totales!E320="6"&amp;totales!H320="0"&amp;totales!I320="1"&amp;totales!J320="1","8",IF(totales!E320="1"&amp;totales!H320="1"&amp;totales!I320="0"&amp;totales!J320="1","9"))))))))))))))))))))))))))))))))))))</f>
        <v>0</v>
      </c>
    </row>
    <row r="320" spans="22:22">
      <c r="V320" s="102" t="b">
        <f>IF(totales!E321="1"&amp;totales!H321="0"&amp;totales!I321="0"&amp;totales!J321="0","a",IF(totales!E321="2"&amp;totales!H321="0"&amp;totales!I321="0"&amp;totales!J321="0","b",IF(totales!E321="3"&amp;totales!H321="0"&amp;totales!I321="0"&amp;totales!J321="0","c",IF(totales!E321="4"&amp;totales!H321="0"&amp;totales!I321="0"&amp;totales!J321="0","d",IF(totales!E321="6"&amp;totales!H321="0"&amp;totales!I321="0"&amp;totales!J321="0","e",IF(totales!E321="1"&amp;totales!H321="1"&amp;totales!I321="0"&amp;totales!J321="0","f",IF(totales!E321="2"&amp;totales!H321="1"&amp;totales!I321="0"&amp;totales!J321="0","g",IF(totales!E321="3"&amp;totales!H321="1"&amp;totales!I321="0"&amp;totales!J321="0","h",IF(totales!E321="4"&amp;totales!H321="1"&amp;totales!I321="0"&amp;totales!J321="0","i",IF(totales!E321="6"&amp;totales!H321="1"&amp;totales!I321="0"&amp;totales!J321="0","j",IF(totales!E321="1"&amp;totales!H321="2"&amp;totales!I321="0"&amp;totales!J321="0","k",IF(totales!E321="2"&amp;totales!H321="2"&amp;totales!I321="0"&amp;totales!J321="0","l",IF(totales!E321="3"&amp;totales!H321="2"&amp;totales!I321="0"&amp;totales!J321="0","m",
IF(totales!E321="4"&amp;totales!H321="2"&amp;totales!I321="0"&amp;totales!J321="0","n",IF(totales!E321="6"&amp;totales!H321="2"&amp;totales!I321="0"&amp;totales!J321="0","o",IF(totales!E321="1"&amp;totales!H321="0"&amp;totales!I321="1"&amp;totales!J321="0","p",IF(totales!E321="2"&amp;totales!H321="0"&amp;totales!I321="1"&amp;totales!J321="0","q",IF(totales!E321="3"&amp;totales!H321="0"&amp;totales!I321="1"&amp;totales!J321="0","r",IF(totales!E321="4"&amp;totales!H321="0"&amp;totales!I321="1"&amp;totales!J321="0","s",IF(totales!E321="6"&amp;totales!H321="0"&amp;totales!I321="1"&amp;totales!J321="0","t",IF(totales!E321="1"&amp;totales!H321="2"&amp;totales!I321="1"&amp;totales!J321="0","u",IF(totales!E321="2"&amp;totales!H321="2"&amp;totales!I321="1"&amp;totales!J321="0","v",IF(totales!E321="3"&amp;totales!H321="2"&amp;totales!I321="1"&amp;totales!J321="0","w",IF(totales!E321="4"&amp;totales!H321="2"&amp;totales!I321="1"&amp;totales!J321="0","x",
IF(totales!E321="6"&amp;totales!H321="2"&amp;totales!I321="1"&amp;totales!J321="0","y",IF(totales!E321="1"&amp;totales!H321="1"&amp;totales!I321="1"&amp;totales!J321="0","z",IF(totales!E321="2"&amp;totales!H321="1"&amp;totales!I321="1"&amp;totales!J321="0","0",IF(totales!E321="3"&amp;totales!H321="1"&amp;totales!I321="1"&amp;totales!J321="0","1",IF(totales!E321="4"&amp;totales!H321="1"&amp;totales!I321="1"&amp;totales!J321="0","2",IF(totales!E321="6"&amp;totales!H321="1"&amp;totales!I321="1"&amp;totales!J321="0","3",IF(totales!E321="1"&amp;totales!H321="0"&amp;totales!I321="1"&amp;totales!J321="1","4",IF(totales!E321="2"&amp;totales!H321="0"&amp;totales!I321="1"&amp;totales!J321="1","5",IF(totales!E321="3"&amp;totales!H321="0"&amp;totales!I321="1"&amp;totales!J321="1","6",IF(totales!E321="4"&amp;totales!H321="0"&amp;totales!I321="1"&amp;totales!J321="1","7",IF(totales!E321="6"&amp;totales!H321="0"&amp;totales!I321="1"&amp;totales!J321="1","8",IF(totales!E321="1"&amp;totales!H321="1"&amp;totales!I321="0"&amp;totales!J321="1","9"))))))))))))))))))))))))))))))))))))</f>
        <v>0</v>
      </c>
    </row>
    <row r="321" spans="22:22">
      <c r="V321" s="102" t="b">
        <f>IF(totales!E322="1"&amp;totales!H322="0"&amp;totales!I322="0"&amp;totales!J322="0","a",IF(totales!E322="2"&amp;totales!H322="0"&amp;totales!I322="0"&amp;totales!J322="0","b",IF(totales!E322="3"&amp;totales!H322="0"&amp;totales!I322="0"&amp;totales!J322="0","c",IF(totales!E322="4"&amp;totales!H322="0"&amp;totales!I322="0"&amp;totales!J322="0","d",IF(totales!E322="6"&amp;totales!H322="0"&amp;totales!I322="0"&amp;totales!J322="0","e",IF(totales!E322="1"&amp;totales!H322="1"&amp;totales!I322="0"&amp;totales!J322="0","f",IF(totales!E322="2"&amp;totales!H322="1"&amp;totales!I322="0"&amp;totales!J322="0","g",IF(totales!E322="3"&amp;totales!H322="1"&amp;totales!I322="0"&amp;totales!J322="0","h",IF(totales!E322="4"&amp;totales!H322="1"&amp;totales!I322="0"&amp;totales!J322="0","i",IF(totales!E322="6"&amp;totales!H322="1"&amp;totales!I322="0"&amp;totales!J322="0","j",IF(totales!E322="1"&amp;totales!H322="2"&amp;totales!I322="0"&amp;totales!J322="0","k",IF(totales!E322="2"&amp;totales!H322="2"&amp;totales!I322="0"&amp;totales!J322="0","l",IF(totales!E322="3"&amp;totales!H322="2"&amp;totales!I322="0"&amp;totales!J322="0","m",
IF(totales!E322="4"&amp;totales!H322="2"&amp;totales!I322="0"&amp;totales!J322="0","n",IF(totales!E322="6"&amp;totales!H322="2"&amp;totales!I322="0"&amp;totales!J322="0","o",IF(totales!E322="1"&amp;totales!H322="0"&amp;totales!I322="1"&amp;totales!J322="0","p",IF(totales!E322="2"&amp;totales!H322="0"&amp;totales!I322="1"&amp;totales!J322="0","q",IF(totales!E322="3"&amp;totales!H322="0"&amp;totales!I322="1"&amp;totales!J322="0","r",IF(totales!E322="4"&amp;totales!H322="0"&amp;totales!I322="1"&amp;totales!J322="0","s",IF(totales!E322="6"&amp;totales!H322="0"&amp;totales!I322="1"&amp;totales!J322="0","t",IF(totales!E322="1"&amp;totales!H322="2"&amp;totales!I322="1"&amp;totales!J322="0","u",IF(totales!E322="2"&amp;totales!H322="2"&amp;totales!I322="1"&amp;totales!J322="0","v",IF(totales!E322="3"&amp;totales!H322="2"&amp;totales!I322="1"&amp;totales!J322="0","w",IF(totales!E322="4"&amp;totales!H322="2"&amp;totales!I322="1"&amp;totales!J322="0","x",
IF(totales!E322="6"&amp;totales!H322="2"&amp;totales!I322="1"&amp;totales!J322="0","y",IF(totales!E322="1"&amp;totales!H322="1"&amp;totales!I322="1"&amp;totales!J322="0","z",IF(totales!E322="2"&amp;totales!H322="1"&amp;totales!I322="1"&amp;totales!J322="0","0",IF(totales!E322="3"&amp;totales!H322="1"&amp;totales!I322="1"&amp;totales!J322="0","1",IF(totales!E322="4"&amp;totales!H322="1"&amp;totales!I322="1"&amp;totales!J322="0","2",IF(totales!E322="6"&amp;totales!H322="1"&amp;totales!I322="1"&amp;totales!J322="0","3",IF(totales!E322="1"&amp;totales!H322="0"&amp;totales!I322="1"&amp;totales!J322="1","4",IF(totales!E322="2"&amp;totales!H322="0"&amp;totales!I322="1"&amp;totales!J322="1","5",IF(totales!E322="3"&amp;totales!H322="0"&amp;totales!I322="1"&amp;totales!J322="1","6",IF(totales!E322="4"&amp;totales!H322="0"&amp;totales!I322="1"&amp;totales!J322="1","7",IF(totales!E322="6"&amp;totales!H322="0"&amp;totales!I322="1"&amp;totales!J322="1","8",IF(totales!E322="1"&amp;totales!H322="1"&amp;totales!I322="0"&amp;totales!J322="1","9"))))))))))))))))))))))))))))))))))))</f>
        <v>0</v>
      </c>
    </row>
    <row r="322" spans="22:22">
      <c r="V322" s="102" t="b">
        <f>IF(totales!E323="1"&amp;totales!H323="0"&amp;totales!I323="0"&amp;totales!J323="0","a",IF(totales!E323="2"&amp;totales!H323="0"&amp;totales!I323="0"&amp;totales!J323="0","b",IF(totales!E323="3"&amp;totales!H323="0"&amp;totales!I323="0"&amp;totales!J323="0","c",IF(totales!E323="4"&amp;totales!H323="0"&amp;totales!I323="0"&amp;totales!J323="0","d",IF(totales!E323="6"&amp;totales!H323="0"&amp;totales!I323="0"&amp;totales!J323="0","e",IF(totales!E323="1"&amp;totales!H323="1"&amp;totales!I323="0"&amp;totales!J323="0","f",IF(totales!E323="2"&amp;totales!H323="1"&amp;totales!I323="0"&amp;totales!J323="0","g",IF(totales!E323="3"&amp;totales!H323="1"&amp;totales!I323="0"&amp;totales!J323="0","h",IF(totales!E323="4"&amp;totales!H323="1"&amp;totales!I323="0"&amp;totales!J323="0","i",IF(totales!E323="6"&amp;totales!H323="1"&amp;totales!I323="0"&amp;totales!J323="0","j",IF(totales!E323="1"&amp;totales!H323="2"&amp;totales!I323="0"&amp;totales!J323="0","k",IF(totales!E323="2"&amp;totales!H323="2"&amp;totales!I323="0"&amp;totales!J323="0","l",IF(totales!E323="3"&amp;totales!H323="2"&amp;totales!I323="0"&amp;totales!J323="0","m",
IF(totales!E323="4"&amp;totales!H323="2"&amp;totales!I323="0"&amp;totales!J323="0","n",IF(totales!E323="6"&amp;totales!H323="2"&amp;totales!I323="0"&amp;totales!J323="0","o",IF(totales!E323="1"&amp;totales!H323="0"&amp;totales!I323="1"&amp;totales!J323="0","p",IF(totales!E323="2"&amp;totales!H323="0"&amp;totales!I323="1"&amp;totales!J323="0","q",IF(totales!E323="3"&amp;totales!H323="0"&amp;totales!I323="1"&amp;totales!J323="0","r",IF(totales!E323="4"&amp;totales!H323="0"&amp;totales!I323="1"&amp;totales!J323="0","s",IF(totales!E323="6"&amp;totales!H323="0"&amp;totales!I323="1"&amp;totales!J323="0","t",IF(totales!E323="1"&amp;totales!H323="2"&amp;totales!I323="1"&amp;totales!J323="0","u",IF(totales!E323="2"&amp;totales!H323="2"&amp;totales!I323="1"&amp;totales!J323="0","v",IF(totales!E323="3"&amp;totales!H323="2"&amp;totales!I323="1"&amp;totales!J323="0","w",IF(totales!E323="4"&amp;totales!H323="2"&amp;totales!I323="1"&amp;totales!J323="0","x",
IF(totales!E323="6"&amp;totales!H323="2"&amp;totales!I323="1"&amp;totales!J323="0","y",IF(totales!E323="1"&amp;totales!H323="1"&amp;totales!I323="1"&amp;totales!J323="0","z",IF(totales!E323="2"&amp;totales!H323="1"&amp;totales!I323="1"&amp;totales!J323="0","0",IF(totales!E323="3"&amp;totales!H323="1"&amp;totales!I323="1"&amp;totales!J323="0","1",IF(totales!E323="4"&amp;totales!H323="1"&amp;totales!I323="1"&amp;totales!J323="0","2",IF(totales!E323="6"&amp;totales!H323="1"&amp;totales!I323="1"&amp;totales!J323="0","3",IF(totales!E323="1"&amp;totales!H323="0"&amp;totales!I323="1"&amp;totales!J323="1","4",IF(totales!E323="2"&amp;totales!H323="0"&amp;totales!I323="1"&amp;totales!J323="1","5",IF(totales!E323="3"&amp;totales!H323="0"&amp;totales!I323="1"&amp;totales!J323="1","6",IF(totales!E323="4"&amp;totales!H323="0"&amp;totales!I323="1"&amp;totales!J323="1","7",IF(totales!E323="6"&amp;totales!H323="0"&amp;totales!I323="1"&amp;totales!J323="1","8",IF(totales!E323="1"&amp;totales!H323="1"&amp;totales!I323="0"&amp;totales!J323="1","9"))))))))))))))))))))))))))))))))))))</f>
        <v>0</v>
      </c>
    </row>
    <row r="323" spans="22:22">
      <c r="V323" s="102" t="b">
        <f>IF(totales!E324="1"&amp;totales!H324="0"&amp;totales!I324="0"&amp;totales!J324="0","a",IF(totales!E324="2"&amp;totales!H324="0"&amp;totales!I324="0"&amp;totales!J324="0","b",IF(totales!E324="3"&amp;totales!H324="0"&amp;totales!I324="0"&amp;totales!J324="0","c",IF(totales!E324="4"&amp;totales!H324="0"&amp;totales!I324="0"&amp;totales!J324="0","d",IF(totales!E324="6"&amp;totales!H324="0"&amp;totales!I324="0"&amp;totales!J324="0","e",IF(totales!E324="1"&amp;totales!H324="1"&amp;totales!I324="0"&amp;totales!J324="0","f",IF(totales!E324="2"&amp;totales!H324="1"&amp;totales!I324="0"&amp;totales!J324="0","g",IF(totales!E324="3"&amp;totales!H324="1"&amp;totales!I324="0"&amp;totales!J324="0","h",IF(totales!E324="4"&amp;totales!H324="1"&amp;totales!I324="0"&amp;totales!J324="0","i",IF(totales!E324="6"&amp;totales!H324="1"&amp;totales!I324="0"&amp;totales!J324="0","j",IF(totales!E324="1"&amp;totales!H324="2"&amp;totales!I324="0"&amp;totales!J324="0","k",IF(totales!E324="2"&amp;totales!H324="2"&amp;totales!I324="0"&amp;totales!J324="0","l",IF(totales!E324="3"&amp;totales!H324="2"&amp;totales!I324="0"&amp;totales!J324="0","m",
IF(totales!E324="4"&amp;totales!H324="2"&amp;totales!I324="0"&amp;totales!J324="0","n",IF(totales!E324="6"&amp;totales!H324="2"&amp;totales!I324="0"&amp;totales!J324="0","o",IF(totales!E324="1"&amp;totales!H324="0"&amp;totales!I324="1"&amp;totales!J324="0","p",IF(totales!E324="2"&amp;totales!H324="0"&amp;totales!I324="1"&amp;totales!J324="0","q",IF(totales!E324="3"&amp;totales!H324="0"&amp;totales!I324="1"&amp;totales!J324="0","r",IF(totales!E324="4"&amp;totales!H324="0"&amp;totales!I324="1"&amp;totales!J324="0","s",IF(totales!E324="6"&amp;totales!H324="0"&amp;totales!I324="1"&amp;totales!J324="0","t",IF(totales!E324="1"&amp;totales!H324="2"&amp;totales!I324="1"&amp;totales!J324="0","u",IF(totales!E324="2"&amp;totales!H324="2"&amp;totales!I324="1"&amp;totales!J324="0","v",IF(totales!E324="3"&amp;totales!H324="2"&amp;totales!I324="1"&amp;totales!J324="0","w",IF(totales!E324="4"&amp;totales!H324="2"&amp;totales!I324="1"&amp;totales!J324="0","x",
IF(totales!E324="6"&amp;totales!H324="2"&amp;totales!I324="1"&amp;totales!J324="0","y",IF(totales!E324="1"&amp;totales!H324="1"&amp;totales!I324="1"&amp;totales!J324="0","z",IF(totales!E324="2"&amp;totales!H324="1"&amp;totales!I324="1"&amp;totales!J324="0","0",IF(totales!E324="3"&amp;totales!H324="1"&amp;totales!I324="1"&amp;totales!J324="0","1",IF(totales!E324="4"&amp;totales!H324="1"&amp;totales!I324="1"&amp;totales!J324="0","2",IF(totales!E324="6"&amp;totales!H324="1"&amp;totales!I324="1"&amp;totales!J324="0","3",IF(totales!E324="1"&amp;totales!H324="0"&amp;totales!I324="1"&amp;totales!J324="1","4",IF(totales!E324="2"&amp;totales!H324="0"&amp;totales!I324="1"&amp;totales!J324="1","5",IF(totales!E324="3"&amp;totales!H324="0"&amp;totales!I324="1"&amp;totales!J324="1","6",IF(totales!E324="4"&amp;totales!H324="0"&amp;totales!I324="1"&amp;totales!J324="1","7",IF(totales!E324="6"&amp;totales!H324="0"&amp;totales!I324="1"&amp;totales!J324="1","8",IF(totales!E324="1"&amp;totales!H324="1"&amp;totales!I324="0"&amp;totales!J324="1","9"))))))))))))))))))))))))))))))))))))</f>
        <v>0</v>
      </c>
    </row>
    <row r="324" spans="22:22">
      <c r="V324" s="102" t="b">
        <f>IF(totales!E325="1"&amp;totales!H325="0"&amp;totales!I325="0"&amp;totales!J325="0","a",IF(totales!E325="2"&amp;totales!H325="0"&amp;totales!I325="0"&amp;totales!J325="0","b",IF(totales!E325="3"&amp;totales!H325="0"&amp;totales!I325="0"&amp;totales!J325="0","c",IF(totales!E325="4"&amp;totales!H325="0"&amp;totales!I325="0"&amp;totales!J325="0","d",IF(totales!E325="6"&amp;totales!H325="0"&amp;totales!I325="0"&amp;totales!J325="0","e",IF(totales!E325="1"&amp;totales!H325="1"&amp;totales!I325="0"&amp;totales!J325="0","f",IF(totales!E325="2"&amp;totales!H325="1"&amp;totales!I325="0"&amp;totales!J325="0","g",IF(totales!E325="3"&amp;totales!H325="1"&amp;totales!I325="0"&amp;totales!J325="0","h",IF(totales!E325="4"&amp;totales!H325="1"&amp;totales!I325="0"&amp;totales!J325="0","i",IF(totales!E325="6"&amp;totales!H325="1"&amp;totales!I325="0"&amp;totales!J325="0","j",IF(totales!E325="1"&amp;totales!H325="2"&amp;totales!I325="0"&amp;totales!J325="0","k",IF(totales!E325="2"&amp;totales!H325="2"&amp;totales!I325="0"&amp;totales!J325="0","l",IF(totales!E325="3"&amp;totales!H325="2"&amp;totales!I325="0"&amp;totales!J325="0","m",
IF(totales!E325="4"&amp;totales!H325="2"&amp;totales!I325="0"&amp;totales!J325="0","n",IF(totales!E325="6"&amp;totales!H325="2"&amp;totales!I325="0"&amp;totales!J325="0","o",IF(totales!E325="1"&amp;totales!H325="0"&amp;totales!I325="1"&amp;totales!J325="0","p",IF(totales!E325="2"&amp;totales!H325="0"&amp;totales!I325="1"&amp;totales!J325="0","q",IF(totales!E325="3"&amp;totales!H325="0"&amp;totales!I325="1"&amp;totales!J325="0","r",IF(totales!E325="4"&amp;totales!H325="0"&amp;totales!I325="1"&amp;totales!J325="0","s",IF(totales!E325="6"&amp;totales!H325="0"&amp;totales!I325="1"&amp;totales!J325="0","t",IF(totales!E325="1"&amp;totales!H325="2"&amp;totales!I325="1"&amp;totales!J325="0","u",IF(totales!E325="2"&amp;totales!H325="2"&amp;totales!I325="1"&amp;totales!J325="0","v",IF(totales!E325="3"&amp;totales!H325="2"&amp;totales!I325="1"&amp;totales!J325="0","w",IF(totales!E325="4"&amp;totales!H325="2"&amp;totales!I325="1"&amp;totales!J325="0","x",
IF(totales!E325="6"&amp;totales!H325="2"&amp;totales!I325="1"&amp;totales!J325="0","y",IF(totales!E325="1"&amp;totales!H325="1"&amp;totales!I325="1"&amp;totales!J325="0","z",IF(totales!E325="2"&amp;totales!H325="1"&amp;totales!I325="1"&amp;totales!J325="0","0",IF(totales!E325="3"&amp;totales!H325="1"&amp;totales!I325="1"&amp;totales!J325="0","1",IF(totales!E325="4"&amp;totales!H325="1"&amp;totales!I325="1"&amp;totales!J325="0","2",IF(totales!E325="6"&amp;totales!H325="1"&amp;totales!I325="1"&amp;totales!J325="0","3",IF(totales!E325="1"&amp;totales!H325="0"&amp;totales!I325="1"&amp;totales!J325="1","4",IF(totales!E325="2"&amp;totales!H325="0"&amp;totales!I325="1"&amp;totales!J325="1","5",IF(totales!E325="3"&amp;totales!H325="0"&amp;totales!I325="1"&amp;totales!J325="1","6",IF(totales!E325="4"&amp;totales!H325="0"&amp;totales!I325="1"&amp;totales!J325="1","7",IF(totales!E325="6"&amp;totales!H325="0"&amp;totales!I325="1"&amp;totales!J325="1","8",IF(totales!E325="1"&amp;totales!H325="1"&amp;totales!I325="0"&amp;totales!J325="1","9"))))))))))))))))))))))))))))))))))))</f>
        <v>0</v>
      </c>
    </row>
    <row r="325" spans="22:22">
      <c r="V325" s="102" t="b">
        <f>IF(totales!E326="1"&amp;totales!H326="0"&amp;totales!I326="0"&amp;totales!J326="0","a",IF(totales!E326="2"&amp;totales!H326="0"&amp;totales!I326="0"&amp;totales!J326="0","b",IF(totales!E326="3"&amp;totales!H326="0"&amp;totales!I326="0"&amp;totales!J326="0","c",IF(totales!E326="4"&amp;totales!H326="0"&amp;totales!I326="0"&amp;totales!J326="0","d",IF(totales!E326="6"&amp;totales!H326="0"&amp;totales!I326="0"&amp;totales!J326="0","e",IF(totales!E326="1"&amp;totales!H326="1"&amp;totales!I326="0"&amp;totales!J326="0","f",IF(totales!E326="2"&amp;totales!H326="1"&amp;totales!I326="0"&amp;totales!J326="0","g",IF(totales!E326="3"&amp;totales!H326="1"&amp;totales!I326="0"&amp;totales!J326="0","h",IF(totales!E326="4"&amp;totales!H326="1"&amp;totales!I326="0"&amp;totales!J326="0","i",IF(totales!E326="6"&amp;totales!H326="1"&amp;totales!I326="0"&amp;totales!J326="0","j",IF(totales!E326="1"&amp;totales!H326="2"&amp;totales!I326="0"&amp;totales!J326="0","k",IF(totales!E326="2"&amp;totales!H326="2"&amp;totales!I326="0"&amp;totales!J326="0","l",IF(totales!E326="3"&amp;totales!H326="2"&amp;totales!I326="0"&amp;totales!J326="0","m",
IF(totales!E326="4"&amp;totales!H326="2"&amp;totales!I326="0"&amp;totales!J326="0","n",IF(totales!E326="6"&amp;totales!H326="2"&amp;totales!I326="0"&amp;totales!J326="0","o",IF(totales!E326="1"&amp;totales!H326="0"&amp;totales!I326="1"&amp;totales!J326="0","p",IF(totales!E326="2"&amp;totales!H326="0"&amp;totales!I326="1"&amp;totales!J326="0","q",IF(totales!E326="3"&amp;totales!H326="0"&amp;totales!I326="1"&amp;totales!J326="0","r",IF(totales!E326="4"&amp;totales!H326="0"&amp;totales!I326="1"&amp;totales!J326="0","s",IF(totales!E326="6"&amp;totales!H326="0"&amp;totales!I326="1"&amp;totales!J326="0","t",IF(totales!E326="1"&amp;totales!H326="2"&amp;totales!I326="1"&amp;totales!J326="0","u",IF(totales!E326="2"&amp;totales!H326="2"&amp;totales!I326="1"&amp;totales!J326="0","v",IF(totales!E326="3"&amp;totales!H326="2"&amp;totales!I326="1"&amp;totales!J326="0","w",IF(totales!E326="4"&amp;totales!H326="2"&amp;totales!I326="1"&amp;totales!J326="0","x",
IF(totales!E326="6"&amp;totales!H326="2"&amp;totales!I326="1"&amp;totales!J326="0","y",IF(totales!E326="1"&amp;totales!H326="1"&amp;totales!I326="1"&amp;totales!J326="0","z",IF(totales!E326="2"&amp;totales!H326="1"&amp;totales!I326="1"&amp;totales!J326="0","0",IF(totales!E326="3"&amp;totales!H326="1"&amp;totales!I326="1"&amp;totales!J326="0","1",IF(totales!E326="4"&amp;totales!H326="1"&amp;totales!I326="1"&amp;totales!J326="0","2",IF(totales!E326="6"&amp;totales!H326="1"&amp;totales!I326="1"&amp;totales!J326="0","3",IF(totales!E326="1"&amp;totales!H326="0"&amp;totales!I326="1"&amp;totales!J326="1","4",IF(totales!E326="2"&amp;totales!H326="0"&amp;totales!I326="1"&amp;totales!J326="1","5",IF(totales!E326="3"&amp;totales!H326="0"&amp;totales!I326="1"&amp;totales!J326="1","6",IF(totales!E326="4"&amp;totales!H326="0"&amp;totales!I326="1"&amp;totales!J326="1","7",IF(totales!E326="6"&amp;totales!H326="0"&amp;totales!I326="1"&amp;totales!J326="1","8",IF(totales!E326="1"&amp;totales!H326="1"&amp;totales!I326="0"&amp;totales!J326="1","9"))))))))))))))))))))))))))))))))))))</f>
        <v>0</v>
      </c>
    </row>
    <row r="326" spans="22:22">
      <c r="V326" s="102" t="b">
        <f>IF(totales!E327="1"&amp;totales!H327="0"&amp;totales!I327="0"&amp;totales!J327="0","a",IF(totales!E327="2"&amp;totales!H327="0"&amp;totales!I327="0"&amp;totales!J327="0","b",IF(totales!E327="3"&amp;totales!H327="0"&amp;totales!I327="0"&amp;totales!J327="0","c",IF(totales!E327="4"&amp;totales!H327="0"&amp;totales!I327="0"&amp;totales!J327="0","d",IF(totales!E327="6"&amp;totales!H327="0"&amp;totales!I327="0"&amp;totales!J327="0","e",IF(totales!E327="1"&amp;totales!H327="1"&amp;totales!I327="0"&amp;totales!J327="0","f",IF(totales!E327="2"&amp;totales!H327="1"&amp;totales!I327="0"&amp;totales!J327="0","g",IF(totales!E327="3"&amp;totales!H327="1"&amp;totales!I327="0"&amp;totales!J327="0","h",IF(totales!E327="4"&amp;totales!H327="1"&amp;totales!I327="0"&amp;totales!J327="0","i",IF(totales!E327="6"&amp;totales!H327="1"&amp;totales!I327="0"&amp;totales!J327="0","j",IF(totales!E327="1"&amp;totales!H327="2"&amp;totales!I327="0"&amp;totales!J327="0","k",IF(totales!E327="2"&amp;totales!H327="2"&amp;totales!I327="0"&amp;totales!J327="0","l",IF(totales!E327="3"&amp;totales!H327="2"&amp;totales!I327="0"&amp;totales!J327="0","m",
IF(totales!E327="4"&amp;totales!H327="2"&amp;totales!I327="0"&amp;totales!J327="0","n",IF(totales!E327="6"&amp;totales!H327="2"&amp;totales!I327="0"&amp;totales!J327="0","o",IF(totales!E327="1"&amp;totales!H327="0"&amp;totales!I327="1"&amp;totales!J327="0","p",IF(totales!E327="2"&amp;totales!H327="0"&amp;totales!I327="1"&amp;totales!J327="0","q",IF(totales!E327="3"&amp;totales!H327="0"&amp;totales!I327="1"&amp;totales!J327="0","r",IF(totales!E327="4"&amp;totales!H327="0"&amp;totales!I327="1"&amp;totales!J327="0","s",IF(totales!E327="6"&amp;totales!H327="0"&amp;totales!I327="1"&amp;totales!J327="0","t",IF(totales!E327="1"&amp;totales!H327="2"&amp;totales!I327="1"&amp;totales!J327="0","u",IF(totales!E327="2"&amp;totales!H327="2"&amp;totales!I327="1"&amp;totales!J327="0","v",IF(totales!E327="3"&amp;totales!H327="2"&amp;totales!I327="1"&amp;totales!J327="0","w",IF(totales!E327="4"&amp;totales!H327="2"&amp;totales!I327="1"&amp;totales!J327="0","x",
IF(totales!E327="6"&amp;totales!H327="2"&amp;totales!I327="1"&amp;totales!J327="0","y",IF(totales!E327="1"&amp;totales!H327="1"&amp;totales!I327="1"&amp;totales!J327="0","z",IF(totales!E327="2"&amp;totales!H327="1"&amp;totales!I327="1"&amp;totales!J327="0","0",IF(totales!E327="3"&amp;totales!H327="1"&amp;totales!I327="1"&amp;totales!J327="0","1",IF(totales!E327="4"&amp;totales!H327="1"&amp;totales!I327="1"&amp;totales!J327="0","2",IF(totales!E327="6"&amp;totales!H327="1"&amp;totales!I327="1"&amp;totales!J327="0","3",IF(totales!E327="1"&amp;totales!H327="0"&amp;totales!I327="1"&amp;totales!J327="1","4",IF(totales!E327="2"&amp;totales!H327="0"&amp;totales!I327="1"&amp;totales!J327="1","5",IF(totales!E327="3"&amp;totales!H327="0"&amp;totales!I327="1"&amp;totales!J327="1","6",IF(totales!E327="4"&amp;totales!H327="0"&amp;totales!I327="1"&amp;totales!J327="1","7",IF(totales!E327="6"&amp;totales!H327="0"&amp;totales!I327="1"&amp;totales!J327="1","8",IF(totales!E327="1"&amp;totales!H327="1"&amp;totales!I327="0"&amp;totales!J327="1","9"))))))))))))))))))))))))))))))))))))</f>
        <v>0</v>
      </c>
    </row>
    <row r="327" spans="22:22">
      <c r="V327" s="102" t="b">
        <f>IF(totales!E328="1"&amp;totales!H328="0"&amp;totales!I328="0"&amp;totales!J328="0","a",IF(totales!E328="2"&amp;totales!H328="0"&amp;totales!I328="0"&amp;totales!J328="0","b",IF(totales!E328="3"&amp;totales!H328="0"&amp;totales!I328="0"&amp;totales!J328="0","c",IF(totales!E328="4"&amp;totales!H328="0"&amp;totales!I328="0"&amp;totales!J328="0","d",IF(totales!E328="6"&amp;totales!H328="0"&amp;totales!I328="0"&amp;totales!J328="0","e",IF(totales!E328="1"&amp;totales!H328="1"&amp;totales!I328="0"&amp;totales!J328="0","f",IF(totales!E328="2"&amp;totales!H328="1"&amp;totales!I328="0"&amp;totales!J328="0","g",IF(totales!E328="3"&amp;totales!H328="1"&amp;totales!I328="0"&amp;totales!J328="0","h",IF(totales!E328="4"&amp;totales!H328="1"&amp;totales!I328="0"&amp;totales!J328="0","i",IF(totales!E328="6"&amp;totales!H328="1"&amp;totales!I328="0"&amp;totales!J328="0","j",IF(totales!E328="1"&amp;totales!H328="2"&amp;totales!I328="0"&amp;totales!J328="0","k",IF(totales!E328="2"&amp;totales!H328="2"&amp;totales!I328="0"&amp;totales!J328="0","l",IF(totales!E328="3"&amp;totales!H328="2"&amp;totales!I328="0"&amp;totales!J328="0","m",
IF(totales!E328="4"&amp;totales!H328="2"&amp;totales!I328="0"&amp;totales!J328="0","n",IF(totales!E328="6"&amp;totales!H328="2"&amp;totales!I328="0"&amp;totales!J328="0","o",IF(totales!E328="1"&amp;totales!H328="0"&amp;totales!I328="1"&amp;totales!J328="0","p",IF(totales!E328="2"&amp;totales!H328="0"&amp;totales!I328="1"&amp;totales!J328="0","q",IF(totales!E328="3"&amp;totales!H328="0"&amp;totales!I328="1"&amp;totales!J328="0","r",IF(totales!E328="4"&amp;totales!H328="0"&amp;totales!I328="1"&amp;totales!J328="0","s",IF(totales!E328="6"&amp;totales!H328="0"&amp;totales!I328="1"&amp;totales!J328="0","t",IF(totales!E328="1"&amp;totales!H328="2"&amp;totales!I328="1"&amp;totales!J328="0","u",IF(totales!E328="2"&amp;totales!H328="2"&amp;totales!I328="1"&amp;totales!J328="0","v",IF(totales!E328="3"&amp;totales!H328="2"&amp;totales!I328="1"&amp;totales!J328="0","w",IF(totales!E328="4"&amp;totales!H328="2"&amp;totales!I328="1"&amp;totales!J328="0","x",
IF(totales!E328="6"&amp;totales!H328="2"&amp;totales!I328="1"&amp;totales!J328="0","y",IF(totales!E328="1"&amp;totales!H328="1"&amp;totales!I328="1"&amp;totales!J328="0","z",IF(totales!E328="2"&amp;totales!H328="1"&amp;totales!I328="1"&amp;totales!J328="0","0",IF(totales!E328="3"&amp;totales!H328="1"&amp;totales!I328="1"&amp;totales!J328="0","1",IF(totales!E328="4"&amp;totales!H328="1"&amp;totales!I328="1"&amp;totales!J328="0","2",IF(totales!E328="6"&amp;totales!H328="1"&amp;totales!I328="1"&amp;totales!J328="0","3",IF(totales!E328="1"&amp;totales!H328="0"&amp;totales!I328="1"&amp;totales!J328="1","4",IF(totales!E328="2"&amp;totales!H328="0"&amp;totales!I328="1"&amp;totales!J328="1","5",IF(totales!E328="3"&amp;totales!H328="0"&amp;totales!I328="1"&amp;totales!J328="1","6",IF(totales!E328="4"&amp;totales!H328="0"&amp;totales!I328="1"&amp;totales!J328="1","7",IF(totales!E328="6"&amp;totales!H328="0"&amp;totales!I328="1"&amp;totales!J328="1","8",IF(totales!E328="1"&amp;totales!H328="1"&amp;totales!I328="0"&amp;totales!J328="1","9"))))))))))))))))))))))))))))))))))))</f>
        <v>0</v>
      </c>
    </row>
    <row r="328" spans="22:22">
      <c r="V328" s="102" t="b">
        <f>IF(totales!E329="1"&amp;totales!H329="0"&amp;totales!I329="0"&amp;totales!J329="0","a",IF(totales!E329="2"&amp;totales!H329="0"&amp;totales!I329="0"&amp;totales!J329="0","b",IF(totales!E329="3"&amp;totales!H329="0"&amp;totales!I329="0"&amp;totales!J329="0","c",IF(totales!E329="4"&amp;totales!H329="0"&amp;totales!I329="0"&amp;totales!J329="0","d",IF(totales!E329="6"&amp;totales!H329="0"&amp;totales!I329="0"&amp;totales!J329="0","e",IF(totales!E329="1"&amp;totales!H329="1"&amp;totales!I329="0"&amp;totales!J329="0","f",IF(totales!E329="2"&amp;totales!H329="1"&amp;totales!I329="0"&amp;totales!J329="0","g",IF(totales!E329="3"&amp;totales!H329="1"&amp;totales!I329="0"&amp;totales!J329="0","h",IF(totales!E329="4"&amp;totales!H329="1"&amp;totales!I329="0"&amp;totales!J329="0","i",IF(totales!E329="6"&amp;totales!H329="1"&amp;totales!I329="0"&amp;totales!J329="0","j",IF(totales!E329="1"&amp;totales!H329="2"&amp;totales!I329="0"&amp;totales!J329="0","k",IF(totales!E329="2"&amp;totales!H329="2"&amp;totales!I329="0"&amp;totales!J329="0","l",IF(totales!E329="3"&amp;totales!H329="2"&amp;totales!I329="0"&amp;totales!J329="0","m",
IF(totales!E329="4"&amp;totales!H329="2"&amp;totales!I329="0"&amp;totales!J329="0","n",IF(totales!E329="6"&amp;totales!H329="2"&amp;totales!I329="0"&amp;totales!J329="0","o",IF(totales!E329="1"&amp;totales!H329="0"&amp;totales!I329="1"&amp;totales!J329="0","p",IF(totales!E329="2"&amp;totales!H329="0"&amp;totales!I329="1"&amp;totales!J329="0","q",IF(totales!E329="3"&amp;totales!H329="0"&amp;totales!I329="1"&amp;totales!J329="0","r",IF(totales!E329="4"&amp;totales!H329="0"&amp;totales!I329="1"&amp;totales!J329="0","s",IF(totales!E329="6"&amp;totales!H329="0"&amp;totales!I329="1"&amp;totales!J329="0","t",IF(totales!E329="1"&amp;totales!H329="2"&amp;totales!I329="1"&amp;totales!J329="0","u",IF(totales!E329="2"&amp;totales!H329="2"&amp;totales!I329="1"&amp;totales!J329="0","v",IF(totales!E329="3"&amp;totales!H329="2"&amp;totales!I329="1"&amp;totales!J329="0","w",IF(totales!E329="4"&amp;totales!H329="2"&amp;totales!I329="1"&amp;totales!J329="0","x",
IF(totales!E329="6"&amp;totales!H329="2"&amp;totales!I329="1"&amp;totales!J329="0","y",IF(totales!E329="1"&amp;totales!H329="1"&amp;totales!I329="1"&amp;totales!J329="0","z",IF(totales!E329="2"&amp;totales!H329="1"&amp;totales!I329="1"&amp;totales!J329="0","0",IF(totales!E329="3"&amp;totales!H329="1"&amp;totales!I329="1"&amp;totales!J329="0","1",IF(totales!E329="4"&amp;totales!H329="1"&amp;totales!I329="1"&amp;totales!J329="0","2",IF(totales!E329="6"&amp;totales!H329="1"&amp;totales!I329="1"&amp;totales!J329="0","3",IF(totales!E329="1"&amp;totales!H329="0"&amp;totales!I329="1"&amp;totales!J329="1","4",IF(totales!E329="2"&amp;totales!H329="0"&amp;totales!I329="1"&amp;totales!J329="1","5",IF(totales!E329="3"&amp;totales!H329="0"&amp;totales!I329="1"&amp;totales!J329="1","6",IF(totales!E329="4"&amp;totales!H329="0"&amp;totales!I329="1"&amp;totales!J329="1","7",IF(totales!E329="6"&amp;totales!H329="0"&amp;totales!I329="1"&amp;totales!J329="1","8",IF(totales!E329="1"&amp;totales!H329="1"&amp;totales!I329="0"&amp;totales!J329="1","9"))))))))))))))))))))))))))))))))))))</f>
        <v>0</v>
      </c>
    </row>
    <row r="329" spans="22:22">
      <c r="V329" s="102" t="b">
        <f>IF(totales!E330="1"&amp;totales!H330="0"&amp;totales!I330="0"&amp;totales!J330="0","a",IF(totales!E330="2"&amp;totales!H330="0"&amp;totales!I330="0"&amp;totales!J330="0","b",IF(totales!E330="3"&amp;totales!H330="0"&amp;totales!I330="0"&amp;totales!J330="0","c",IF(totales!E330="4"&amp;totales!H330="0"&amp;totales!I330="0"&amp;totales!J330="0","d",IF(totales!E330="6"&amp;totales!H330="0"&amp;totales!I330="0"&amp;totales!J330="0","e",IF(totales!E330="1"&amp;totales!H330="1"&amp;totales!I330="0"&amp;totales!J330="0","f",IF(totales!E330="2"&amp;totales!H330="1"&amp;totales!I330="0"&amp;totales!J330="0","g",IF(totales!E330="3"&amp;totales!H330="1"&amp;totales!I330="0"&amp;totales!J330="0","h",IF(totales!E330="4"&amp;totales!H330="1"&amp;totales!I330="0"&amp;totales!J330="0","i",IF(totales!E330="6"&amp;totales!H330="1"&amp;totales!I330="0"&amp;totales!J330="0","j",IF(totales!E330="1"&amp;totales!H330="2"&amp;totales!I330="0"&amp;totales!J330="0","k",IF(totales!E330="2"&amp;totales!H330="2"&amp;totales!I330="0"&amp;totales!J330="0","l",IF(totales!E330="3"&amp;totales!H330="2"&amp;totales!I330="0"&amp;totales!J330="0","m",
IF(totales!E330="4"&amp;totales!H330="2"&amp;totales!I330="0"&amp;totales!J330="0","n",IF(totales!E330="6"&amp;totales!H330="2"&amp;totales!I330="0"&amp;totales!J330="0","o",IF(totales!E330="1"&amp;totales!H330="0"&amp;totales!I330="1"&amp;totales!J330="0","p",IF(totales!E330="2"&amp;totales!H330="0"&amp;totales!I330="1"&amp;totales!J330="0","q",IF(totales!E330="3"&amp;totales!H330="0"&amp;totales!I330="1"&amp;totales!J330="0","r",IF(totales!E330="4"&amp;totales!H330="0"&amp;totales!I330="1"&amp;totales!J330="0","s",IF(totales!E330="6"&amp;totales!H330="0"&amp;totales!I330="1"&amp;totales!J330="0","t",IF(totales!E330="1"&amp;totales!H330="2"&amp;totales!I330="1"&amp;totales!J330="0","u",IF(totales!E330="2"&amp;totales!H330="2"&amp;totales!I330="1"&amp;totales!J330="0","v",IF(totales!E330="3"&amp;totales!H330="2"&amp;totales!I330="1"&amp;totales!J330="0","w",IF(totales!E330="4"&amp;totales!H330="2"&amp;totales!I330="1"&amp;totales!J330="0","x",
IF(totales!E330="6"&amp;totales!H330="2"&amp;totales!I330="1"&amp;totales!J330="0","y",IF(totales!E330="1"&amp;totales!H330="1"&amp;totales!I330="1"&amp;totales!J330="0","z",IF(totales!E330="2"&amp;totales!H330="1"&amp;totales!I330="1"&amp;totales!J330="0","0",IF(totales!E330="3"&amp;totales!H330="1"&amp;totales!I330="1"&amp;totales!J330="0","1",IF(totales!E330="4"&amp;totales!H330="1"&amp;totales!I330="1"&amp;totales!J330="0","2",IF(totales!E330="6"&amp;totales!H330="1"&amp;totales!I330="1"&amp;totales!J330="0","3",IF(totales!E330="1"&amp;totales!H330="0"&amp;totales!I330="1"&amp;totales!J330="1","4",IF(totales!E330="2"&amp;totales!H330="0"&amp;totales!I330="1"&amp;totales!J330="1","5",IF(totales!E330="3"&amp;totales!H330="0"&amp;totales!I330="1"&amp;totales!J330="1","6",IF(totales!E330="4"&amp;totales!H330="0"&amp;totales!I330="1"&amp;totales!J330="1","7",IF(totales!E330="6"&amp;totales!H330="0"&amp;totales!I330="1"&amp;totales!J330="1","8",IF(totales!E330="1"&amp;totales!H330="1"&amp;totales!I330="0"&amp;totales!J330="1","9"))))))))))))))))))))))))))))))))))))</f>
        <v>0</v>
      </c>
    </row>
    <row r="330" spans="22:22">
      <c r="V330" s="102" t="b">
        <f>IF(totales!E331="1"&amp;totales!H331="0"&amp;totales!I331="0"&amp;totales!J331="0","a",IF(totales!E331="2"&amp;totales!H331="0"&amp;totales!I331="0"&amp;totales!J331="0","b",IF(totales!E331="3"&amp;totales!H331="0"&amp;totales!I331="0"&amp;totales!J331="0","c",IF(totales!E331="4"&amp;totales!H331="0"&amp;totales!I331="0"&amp;totales!J331="0","d",IF(totales!E331="6"&amp;totales!H331="0"&amp;totales!I331="0"&amp;totales!J331="0","e",IF(totales!E331="1"&amp;totales!H331="1"&amp;totales!I331="0"&amp;totales!J331="0","f",IF(totales!E331="2"&amp;totales!H331="1"&amp;totales!I331="0"&amp;totales!J331="0","g",IF(totales!E331="3"&amp;totales!H331="1"&amp;totales!I331="0"&amp;totales!J331="0","h",IF(totales!E331="4"&amp;totales!H331="1"&amp;totales!I331="0"&amp;totales!J331="0","i",IF(totales!E331="6"&amp;totales!H331="1"&amp;totales!I331="0"&amp;totales!J331="0","j",IF(totales!E331="1"&amp;totales!H331="2"&amp;totales!I331="0"&amp;totales!J331="0","k",IF(totales!E331="2"&amp;totales!H331="2"&amp;totales!I331="0"&amp;totales!J331="0","l",IF(totales!E331="3"&amp;totales!H331="2"&amp;totales!I331="0"&amp;totales!J331="0","m",
IF(totales!E331="4"&amp;totales!H331="2"&amp;totales!I331="0"&amp;totales!J331="0","n",IF(totales!E331="6"&amp;totales!H331="2"&amp;totales!I331="0"&amp;totales!J331="0","o",IF(totales!E331="1"&amp;totales!H331="0"&amp;totales!I331="1"&amp;totales!J331="0","p",IF(totales!E331="2"&amp;totales!H331="0"&amp;totales!I331="1"&amp;totales!J331="0","q",IF(totales!E331="3"&amp;totales!H331="0"&amp;totales!I331="1"&amp;totales!J331="0","r",IF(totales!E331="4"&amp;totales!H331="0"&amp;totales!I331="1"&amp;totales!J331="0","s",IF(totales!E331="6"&amp;totales!H331="0"&amp;totales!I331="1"&amp;totales!J331="0","t",IF(totales!E331="1"&amp;totales!H331="2"&amp;totales!I331="1"&amp;totales!J331="0","u",IF(totales!E331="2"&amp;totales!H331="2"&amp;totales!I331="1"&amp;totales!J331="0","v",IF(totales!E331="3"&amp;totales!H331="2"&amp;totales!I331="1"&amp;totales!J331="0","w",IF(totales!E331="4"&amp;totales!H331="2"&amp;totales!I331="1"&amp;totales!J331="0","x",
IF(totales!E331="6"&amp;totales!H331="2"&amp;totales!I331="1"&amp;totales!J331="0","y",IF(totales!E331="1"&amp;totales!H331="1"&amp;totales!I331="1"&amp;totales!J331="0","z",IF(totales!E331="2"&amp;totales!H331="1"&amp;totales!I331="1"&amp;totales!J331="0","0",IF(totales!E331="3"&amp;totales!H331="1"&amp;totales!I331="1"&amp;totales!J331="0","1",IF(totales!E331="4"&amp;totales!H331="1"&amp;totales!I331="1"&amp;totales!J331="0","2",IF(totales!E331="6"&amp;totales!H331="1"&amp;totales!I331="1"&amp;totales!J331="0","3",IF(totales!E331="1"&amp;totales!H331="0"&amp;totales!I331="1"&amp;totales!J331="1","4",IF(totales!E331="2"&amp;totales!H331="0"&amp;totales!I331="1"&amp;totales!J331="1","5",IF(totales!E331="3"&amp;totales!H331="0"&amp;totales!I331="1"&amp;totales!J331="1","6",IF(totales!E331="4"&amp;totales!H331="0"&amp;totales!I331="1"&amp;totales!J331="1","7",IF(totales!E331="6"&amp;totales!H331="0"&amp;totales!I331="1"&amp;totales!J331="1","8",IF(totales!E331="1"&amp;totales!H331="1"&amp;totales!I331="0"&amp;totales!J331="1","9"))))))))))))))))))))))))))))))))))))</f>
        <v>0</v>
      </c>
    </row>
    <row r="331" spans="22:22">
      <c r="V331" s="102" t="b">
        <f>IF(totales!E332="1"&amp;totales!H332="0"&amp;totales!I332="0"&amp;totales!J332="0","a",IF(totales!E332="2"&amp;totales!H332="0"&amp;totales!I332="0"&amp;totales!J332="0","b",IF(totales!E332="3"&amp;totales!H332="0"&amp;totales!I332="0"&amp;totales!J332="0","c",IF(totales!E332="4"&amp;totales!H332="0"&amp;totales!I332="0"&amp;totales!J332="0","d",IF(totales!E332="6"&amp;totales!H332="0"&amp;totales!I332="0"&amp;totales!J332="0","e",IF(totales!E332="1"&amp;totales!H332="1"&amp;totales!I332="0"&amp;totales!J332="0","f",IF(totales!E332="2"&amp;totales!H332="1"&amp;totales!I332="0"&amp;totales!J332="0","g",IF(totales!E332="3"&amp;totales!H332="1"&amp;totales!I332="0"&amp;totales!J332="0","h",IF(totales!E332="4"&amp;totales!H332="1"&amp;totales!I332="0"&amp;totales!J332="0","i",IF(totales!E332="6"&amp;totales!H332="1"&amp;totales!I332="0"&amp;totales!J332="0","j",IF(totales!E332="1"&amp;totales!H332="2"&amp;totales!I332="0"&amp;totales!J332="0","k",IF(totales!E332="2"&amp;totales!H332="2"&amp;totales!I332="0"&amp;totales!J332="0","l",IF(totales!E332="3"&amp;totales!H332="2"&amp;totales!I332="0"&amp;totales!J332="0","m",
IF(totales!E332="4"&amp;totales!H332="2"&amp;totales!I332="0"&amp;totales!J332="0","n",IF(totales!E332="6"&amp;totales!H332="2"&amp;totales!I332="0"&amp;totales!J332="0","o",IF(totales!E332="1"&amp;totales!H332="0"&amp;totales!I332="1"&amp;totales!J332="0","p",IF(totales!E332="2"&amp;totales!H332="0"&amp;totales!I332="1"&amp;totales!J332="0","q",IF(totales!E332="3"&amp;totales!H332="0"&amp;totales!I332="1"&amp;totales!J332="0","r",IF(totales!E332="4"&amp;totales!H332="0"&amp;totales!I332="1"&amp;totales!J332="0","s",IF(totales!E332="6"&amp;totales!H332="0"&amp;totales!I332="1"&amp;totales!J332="0","t",IF(totales!E332="1"&amp;totales!H332="2"&amp;totales!I332="1"&amp;totales!J332="0","u",IF(totales!E332="2"&amp;totales!H332="2"&amp;totales!I332="1"&amp;totales!J332="0","v",IF(totales!E332="3"&amp;totales!H332="2"&amp;totales!I332="1"&amp;totales!J332="0","w",IF(totales!E332="4"&amp;totales!H332="2"&amp;totales!I332="1"&amp;totales!J332="0","x",
IF(totales!E332="6"&amp;totales!H332="2"&amp;totales!I332="1"&amp;totales!J332="0","y",IF(totales!E332="1"&amp;totales!H332="1"&amp;totales!I332="1"&amp;totales!J332="0","z",IF(totales!E332="2"&amp;totales!H332="1"&amp;totales!I332="1"&amp;totales!J332="0","0",IF(totales!E332="3"&amp;totales!H332="1"&amp;totales!I332="1"&amp;totales!J332="0","1",IF(totales!E332="4"&amp;totales!H332="1"&amp;totales!I332="1"&amp;totales!J332="0","2",IF(totales!E332="6"&amp;totales!H332="1"&amp;totales!I332="1"&amp;totales!J332="0","3",IF(totales!E332="1"&amp;totales!H332="0"&amp;totales!I332="1"&amp;totales!J332="1","4",IF(totales!E332="2"&amp;totales!H332="0"&amp;totales!I332="1"&amp;totales!J332="1","5",IF(totales!E332="3"&amp;totales!H332="0"&amp;totales!I332="1"&amp;totales!J332="1","6",IF(totales!E332="4"&amp;totales!H332="0"&amp;totales!I332="1"&amp;totales!J332="1","7",IF(totales!E332="6"&amp;totales!H332="0"&amp;totales!I332="1"&amp;totales!J332="1","8",IF(totales!E332="1"&amp;totales!H332="1"&amp;totales!I332="0"&amp;totales!J332="1","9"))))))))))))))))))))))))))))))))))))</f>
        <v>0</v>
      </c>
    </row>
    <row r="332" spans="22:22">
      <c r="V332" s="102" t="b">
        <f>IF(totales!E333="1"&amp;totales!H333="0"&amp;totales!I333="0"&amp;totales!J333="0","a",IF(totales!E333="2"&amp;totales!H333="0"&amp;totales!I333="0"&amp;totales!J333="0","b",IF(totales!E333="3"&amp;totales!H333="0"&amp;totales!I333="0"&amp;totales!J333="0","c",IF(totales!E333="4"&amp;totales!H333="0"&amp;totales!I333="0"&amp;totales!J333="0","d",IF(totales!E333="6"&amp;totales!H333="0"&amp;totales!I333="0"&amp;totales!J333="0","e",IF(totales!E333="1"&amp;totales!H333="1"&amp;totales!I333="0"&amp;totales!J333="0","f",IF(totales!E333="2"&amp;totales!H333="1"&amp;totales!I333="0"&amp;totales!J333="0","g",IF(totales!E333="3"&amp;totales!H333="1"&amp;totales!I333="0"&amp;totales!J333="0","h",IF(totales!E333="4"&amp;totales!H333="1"&amp;totales!I333="0"&amp;totales!J333="0","i",IF(totales!E333="6"&amp;totales!H333="1"&amp;totales!I333="0"&amp;totales!J333="0","j",IF(totales!E333="1"&amp;totales!H333="2"&amp;totales!I333="0"&amp;totales!J333="0","k",IF(totales!E333="2"&amp;totales!H333="2"&amp;totales!I333="0"&amp;totales!J333="0","l",IF(totales!E333="3"&amp;totales!H333="2"&amp;totales!I333="0"&amp;totales!J333="0","m",
IF(totales!E333="4"&amp;totales!H333="2"&amp;totales!I333="0"&amp;totales!J333="0","n",IF(totales!E333="6"&amp;totales!H333="2"&amp;totales!I333="0"&amp;totales!J333="0","o",IF(totales!E333="1"&amp;totales!H333="0"&amp;totales!I333="1"&amp;totales!J333="0","p",IF(totales!E333="2"&amp;totales!H333="0"&amp;totales!I333="1"&amp;totales!J333="0","q",IF(totales!E333="3"&amp;totales!H333="0"&amp;totales!I333="1"&amp;totales!J333="0","r",IF(totales!E333="4"&amp;totales!H333="0"&amp;totales!I333="1"&amp;totales!J333="0","s",IF(totales!E333="6"&amp;totales!H333="0"&amp;totales!I333="1"&amp;totales!J333="0","t",IF(totales!E333="1"&amp;totales!H333="2"&amp;totales!I333="1"&amp;totales!J333="0","u",IF(totales!E333="2"&amp;totales!H333="2"&amp;totales!I333="1"&amp;totales!J333="0","v",IF(totales!E333="3"&amp;totales!H333="2"&amp;totales!I333="1"&amp;totales!J333="0","w",IF(totales!E333="4"&amp;totales!H333="2"&amp;totales!I333="1"&amp;totales!J333="0","x",
IF(totales!E333="6"&amp;totales!H333="2"&amp;totales!I333="1"&amp;totales!J333="0","y",IF(totales!E333="1"&amp;totales!H333="1"&amp;totales!I333="1"&amp;totales!J333="0","z",IF(totales!E333="2"&amp;totales!H333="1"&amp;totales!I333="1"&amp;totales!J333="0","0",IF(totales!E333="3"&amp;totales!H333="1"&amp;totales!I333="1"&amp;totales!J333="0","1",IF(totales!E333="4"&amp;totales!H333="1"&amp;totales!I333="1"&amp;totales!J333="0","2",IF(totales!E333="6"&amp;totales!H333="1"&amp;totales!I333="1"&amp;totales!J333="0","3",IF(totales!E333="1"&amp;totales!H333="0"&amp;totales!I333="1"&amp;totales!J333="1","4",IF(totales!E333="2"&amp;totales!H333="0"&amp;totales!I333="1"&amp;totales!J333="1","5",IF(totales!E333="3"&amp;totales!H333="0"&amp;totales!I333="1"&amp;totales!J333="1","6",IF(totales!E333="4"&amp;totales!H333="0"&amp;totales!I333="1"&amp;totales!J333="1","7",IF(totales!E333="6"&amp;totales!H333="0"&amp;totales!I333="1"&amp;totales!J333="1","8",IF(totales!E333="1"&amp;totales!H333="1"&amp;totales!I333="0"&amp;totales!J333="1","9"))))))))))))))))))))))))))))))))))))</f>
        <v>0</v>
      </c>
    </row>
    <row r="333" spans="22:22">
      <c r="V333" s="102" t="b">
        <f>IF(totales!E334="1"&amp;totales!H334="0"&amp;totales!I334="0"&amp;totales!J334="0","a",IF(totales!E334="2"&amp;totales!H334="0"&amp;totales!I334="0"&amp;totales!J334="0","b",IF(totales!E334="3"&amp;totales!H334="0"&amp;totales!I334="0"&amp;totales!J334="0","c",IF(totales!E334="4"&amp;totales!H334="0"&amp;totales!I334="0"&amp;totales!J334="0","d",IF(totales!E334="6"&amp;totales!H334="0"&amp;totales!I334="0"&amp;totales!J334="0","e",IF(totales!E334="1"&amp;totales!H334="1"&amp;totales!I334="0"&amp;totales!J334="0","f",IF(totales!E334="2"&amp;totales!H334="1"&amp;totales!I334="0"&amp;totales!J334="0","g",IF(totales!E334="3"&amp;totales!H334="1"&amp;totales!I334="0"&amp;totales!J334="0","h",IF(totales!E334="4"&amp;totales!H334="1"&amp;totales!I334="0"&amp;totales!J334="0","i",IF(totales!E334="6"&amp;totales!H334="1"&amp;totales!I334="0"&amp;totales!J334="0","j",IF(totales!E334="1"&amp;totales!H334="2"&amp;totales!I334="0"&amp;totales!J334="0","k",IF(totales!E334="2"&amp;totales!H334="2"&amp;totales!I334="0"&amp;totales!J334="0","l",IF(totales!E334="3"&amp;totales!H334="2"&amp;totales!I334="0"&amp;totales!J334="0","m",
IF(totales!E334="4"&amp;totales!H334="2"&amp;totales!I334="0"&amp;totales!J334="0","n",IF(totales!E334="6"&amp;totales!H334="2"&amp;totales!I334="0"&amp;totales!J334="0","o",IF(totales!E334="1"&amp;totales!H334="0"&amp;totales!I334="1"&amp;totales!J334="0","p",IF(totales!E334="2"&amp;totales!H334="0"&amp;totales!I334="1"&amp;totales!J334="0","q",IF(totales!E334="3"&amp;totales!H334="0"&amp;totales!I334="1"&amp;totales!J334="0","r",IF(totales!E334="4"&amp;totales!H334="0"&amp;totales!I334="1"&amp;totales!J334="0","s",IF(totales!E334="6"&amp;totales!H334="0"&amp;totales!I334="1"&amp;totales!J334="0","t",IF(totales!E334="1"&amp;totales!H334="2"&amp;totales!I334="1"&amp;totales!J334="0","u",IF(totales!E334="2"&amp;totales!H334="2"&amp;totales!I334="1"&amp;totales!J334="0","v",IF(totales!E334="3"&amp;totales!H334="2"&amp;totales!I334="1"&amp;totales!J334="0","w",IF(totales!E334="4"&amp;totales!H334="2"&amp;totales!I334="1"&amp;totales!J334="0","x",
IF(totales!E334="6"&amp;totales!H334="2"&amp;totales!I334="1"&amp;totales!J334="0","y",IF(totales!E334="1"&amp;totales!H334="1"&amp;totales!I334="1"&amp;totales!J334="0","z",IF(totales!E334="2"&amp;totales!H334="1"&amp;totales!I334="1"&amp;totales!J334="0","0",IF(totales!E334="3"&amp;totales!H334="1"&amp;totales!I334="1"&amp;totales!J334="0","1",IF(totales!E334="4"&amp;totales!H334="1"&amp;totales!I334="1"&amp;totales!J334="0","2",IF(totales!E334="6"&amp;totales!H334="1"&amp;totales!I334="1"&amp;totales!J334="0","3",IF(totales!E334="1"&amp;totales!H334="0"&amp;totales!I334="1"&amp;totales!J334="1","4",IF(totales!E334="2"&amp;totales!H334="0"&amp;totales!I334="1"&amp;totales!J334="1","5",IF(totales!E334="3"&amp;totales!H334="0"&amp;totales!I334="1"&amp;totales!J334="1","6",IF(totales!E334="4"&amp;totales!H334="0"&amp;totales!I334="1"&amp;totales!J334="1","7",IF(totales!E334="6"&amp;totales!H334="0"&amp;totales!I334="1"&amp;totales!J334="1","8",IF(totales!E334="1"&amp;totales!H334="1"&amp;totales!I334="0"&amp;totales!J334="1","9"))))))))))))))))))))))))))))))))))))</f>
        <v>0</v>
      </c>
    </row>
    <row r="334" spans="22:22">
      <c r="V334" s="102" t="b">
        <f>IF(totales!E335="1"&amp;totales!H335="0"&amp;totales!I335="0"&amp;totales!J335="0","a",IF(totales!E335="2"&amp;totales!H335="0"&amp;totales!I335="0"&amp;totales!J335="0","b",IF(totales!E335="3"&amp;totales!H335="0"&amp;totales!I335="0"&amp;totales!J335="0","c",IF(totales!E335="4"&amp;totales!H335="0"&amp;totales!I335="0"&amp;totales!J335="0","d",IF(totales!E335="6"&amp;totales!H335="0"&amp;totales!I335="0"&amp;totales!J335="0","e",IF(totales!E335="1"&amp;totales!H335="1"&amp;totales!I335="0"&amp;totales!J335="0","f",IF(totales!E335="2"&amp;totales!H335="1"&amp;totales!I335="0"&amp;totales!J335="0","g",IF(totales!E335="3"&amp;totales!H335="1"&amp;totales!I335="0"&amp;totales!J335="0","h",IF(totales!E335="4"&amp;totales!H335="1"&amp;totales!I335="0"&amp;totales!J335="0","i",IF(totales!E335="6"&amp;totales!H335="1"&amp;totales!I335="0"&amp;totales!J335="0","j",IF(totales!E335="1"&amp;totales!H335="2"&amp;totales!I335="0"&amp;totales!J335="0","k",IF(totales!E335="2"&amp;totales!H335="2"&amp;totales!I335="0"&amp;totales!J335="0","l",IF(totales!E335="3"&amp;totales!H335="2"&amp;totales!I335="0"&amp;totales!J335="0","m",
IF(totales!E335="4"&amp;totales!H335="2"&amp;totales!I335="0"&amp;totales!J335="0","n",IF(totales!E335="6"&amp;totales!H335="2"&amp;totales!I335="0"&amp;totales!J335="0","o",IF(totales!E335="1"&amp;totales!H335="0"&amp;totales!I335="1"&amp;totales!J335="0","p",IF(totales!E335="2"&amp;totales!H335="0"&amp;totales!I335="1"&amp;totales!J335="0","q",IF(totales!E335="3"&amp;totales!H335="0"&amp;totales!I335="1"&amp;totales!J335="0","r",IF(totales!E335="4"&amp;totales!H335="0"&amp;totales!I335="1"&amp;totales!J335="0","s",IF(totales!E335="6"&amp;totales!H335="0"&amp;totales!I335="1"&amp;totales!J335="0","t",IF(totales!E335="1"&amp;totales!H335="2"&amp;totales!I335="1"&amp;totales!J335="0","u",IF(totales!E335="2"&amp;totales!H335="2"&amp;totales!I335="1"&amp;totales!J335="0","v",IF(totales!E335="3"&amp;totales!H335="2"&amp;totales!I335="1"&amp;totales!J335="0","w",IF(totales!E335="4"&amp;totales!H335="2"&amp;totales!I335="1"&amp;totales!J335="0","x",
IF(totales!E335="6"&amp;totales!H335="2"&amp;totales!I335="1"&amp;totales!J335="0","y",IF(totales!E335="1"&amp;totales!H335="1"&amp;totales!I335="1"&amp;totales!J335="0","z",IF(totales!E335="2"&amp;totales!H335="1"&amp;totales!I335="1"&amp;totales!J335="0","0",IF(totales!E335="3"&amp;totales!H335="1"&amp;totales!I335="1"&amp;totales!J335="0","1",IF(totales!E335="4"&amp;totales!H335="1"&amp;totales!I335="1"&amp;totales!J335="0","2",IF(totales!E335="6"&amp;totales!H335="1"&amp;totales!I335="1"&amp;totales!J335="0","3",IF(totales!E335="1"&amp;totales!H335="0"&amp;totales!I335="1"&amp;totales!J335="1","4",IF(totales!E335="2"&amp;totales!H335="0"&amp;totales!I335="1"&amp;totales!J335="1","5",IF(totales!E335="3"&amp;totales!H335="0"&amp;totales!I335="1"&amp;totales!J335="1","6",IF(totales!E335="4"&amp;totales!H335="0"&amp;totales!I335="1"&amp;totales!J335="1","7",IF(totales!E335="6"&amp;totales!H335="0"&amp;totales!I335="1"&amp;totales!J335="1","8",IF(totales!E335="1"&amp;totales!H335="1"&amp;totales!I335="0"&amp;totales!J335="1","9"))))))))))))))))))))))))))))))))))))</f>
        <v>0</v>
      </c>
    </row>
    <row r="335" spans="22:22">
      <c r="V335" s="102" t="b">
        <f>IF(totales!E336="1"&amp;totales!H336="0"&amp;totales!I336="0"&amp;totales!J336="0","a",IF(totales!E336="2"&amp;totales!H336="0"&amp;totales!I336="0"&amp;totales!J336="0","b",IF(totales!E336="3"&amp;totales!H336="0"&amp;totales!I336="0"&amp;totales!J336="0","c",IF(totales!E336="4"&amp;totales!H336="0"&amp;totales!I336="0"&amp;totales!J336="0","d",IF(totales!E336="6"&amp;totales!H336="0"&amp;totales!I336="0"&amp;totales!J336="0","e",IF(totales!E336="1"&amp;totales!H336="1"&amp;totales!I336="0"&amp;totales!J336="0","f",IF(totales!E336="2"&amp;totales!H336="1"&amp;totales!I336="0"&amp;totales!J336="0","g",IF(totales!E336="3"&amp;totales!H336="1"&amp;totales!I336="0"&amp;totales!J336="0","h",IF(totales!E336="4"&amp;totales!H336="1"&amp;totales!I336="0"&amp;totales!J336="0","i",IF(totales!E336="6"&amp;totales!H336="1"&amp;totales!I336="0"&amp;totales!J336="0","j",IF(totales!E336="1"&amp;totales!H336="2"&amp;totales!I336="0"&amp;totales!J336="0","k",IF(totales!E336="2"&amp;totales!H336="2"&amp;totales!I336="0"&amp;totales!J336="0","l",IF(totales!E336="3"&amp;totales!H336="2"&amp;totales!I336="0"&amp;totales!J336="0","m",
IF(totales!E336="4"&amp;totales!H336="2"&amp;totales!I336="0"&amp;totales!J336="0","n",IF(totales!E336="6"&amp;totales!H336="2"&amp;totales!I336="0"&amp;totales!J336="0","o",IF(totales!E336="1"&amp;totales!H336="0"&amp;totales!I336="1"&amp;totales!J336="0","p",IF(totales!E336="2"&amp;totales!H336="0"&amp;totales!I336="1"&amp;totales!J336="0","q",IF(totales!E336="3"&amp;totales!H336="0"&amp;totales!I336="1"&amp;totales!J336="0","r",IF(totales!E336="4"&amp;totales!H336="0"&amp;totales!I336="1"&amp;totales!J336="0","s",IF(totales!E336="6"&amp;totales!H336="0"&amp;totales!I336="1"&amp;totales!J336="0","t",IF(totales!E336="1"&amp;totales!H336="2"&amp;totales!I336="1"&amp;totales!J336="0","u",IF(totales!E336="2"&amp;totales!H336="2"&amp;totales!I336="1"&amp;totales!J336="0","v",IF(totales!E336="3"&amp;totales!H336="2"&amp;totales!I336="1"&amp;totales!J336="0","w",IF(totales!E336="4"&amp;totales!H336="2"&amp;totales!I336="1"&amp;totales!J336="0","x",
IF(totales!E336="6"&amp;totales!H336="2"&amp;totales!I336="1"&amp;totales!J336="0","y",IF(totales!E336="1"&amp;totales!H336="1"&amp;totales!I336="1"&amp;totales!J336="0","z",IF(totales!E336="2"&amp;totales!H336="1"&amp;totales!I336="1"&amp;totales!J336="0","0",IF(totales!E336="3"&amp;totales!H336="1"&amp;totales!I336="1"&amp;totales!J336="0","1",IF(totales!E336="4"&amp;totales!H336="1"&amp;totales!I336="1"&amp;totales!J336="0","2",IF(totales!E336="6"&amp;totales!H336="1"&amp;totales!I336="1"&amp;totales!J336="0","3",IF(totales!E336="1"&amp;totales!H336="0"&amp;totales!I336="1"&amp;totales!J336="1","4",IF(totales!E336="2"&amp;totales!H336="0"&amp;totales!I336="1"&amp;totales!J336="1","5",IF(totales!E336="3"&amp;totales!H336="0"&amp;totales!I336="1"&amp;totales!J336="1","6",IF(totales!E336="4"&amp;totales!H336="0"&amp;totales!I336="1"&amp;totales!J336="1","7",IF(totales!E336="6"&amp;totales!H336="0"&amp;totales!I336="1"&amp;totales!J336="1","8",IF(totales!E336="1"&amp;totales!H336="1"&amp;totales!I336="0"&amp;totales!J336="1","9"))))))))))))))))))))))))))))))))))))</f>
        <v>0</v>
      </c>
    </row>
    <row r="336" spans="22:22">
      <c r="V336" s="102" t="b">
        <f>IF(totales!E337="1"&amp;totales!H337="0"&amp;totales!I337="0"&amp;totales!J337="0","a",IF(totales!E337="2"&amp;totales!H337="0"&amp;totales!I337="0"&amp;totales!J337="0","b",IF(totales!E337="3"&amp;totales!H337="0"&amp;totales!I337="0"&amp;totales!J337="0","c",IF(totales!E337="4"&amp;totales!H337="0"&amp;totales!I337="0"&amp;totales!J337="0","d",IF(totales!E337="6"&amp;totales!H337="0"&amp;totales!I337="0"&amp;totales!J337="0","e",IF(totales!E337="1"&amp;totales!H337="1"&amp;totales!I337="0"&amp;totales!J337="0","f",IF(totales!E337="2"&amp;totales!H337="1"&amp;totales!I337="0"&amp;totales!J337="0","g",IF(totales!E337="3"&amp;totales!H337="1"&amp;totales!I337="0"&amp;totales!J337="0","h",IF(totales!E337="4"&amp;totales!H337="1"&amp;totales!I337="0"&amp;totales!J337="0","i",IF(totales!E337="6"&amp;totales!H337="1"&amp;totales!I337="0"&amp;totales!J337="0","j",IF(totales!E337="1"&amp;totales!H337="2"&amp;totales!I337="0"&amp;totales!J337="0","k",IF(totales!E337="2"&amp;totales!H337="2"&amp;totales!I337="0"&amp;totales!J337="0","l",IF(totales!E337="3"&amp;totales!H337="2"&amp;totales!I337="0"&amp;totales!J337="0","m",
IF(totales!E337="4"&amp;totales!H337="2"&amp;totales!I337="0"&amp;totales!J337="0","n",IF(totales!E337="6"&amp;totales!H337="2"&amp;totales!I337="0"&amp;totales!J337="0","o",IF(totales!E337="1"&amp;totales!H337="0"&amp;totales!I337="1"&amp;totales!J337="0","p",IF(totales!E337="2"&amp;totales!H337="0"&amp;totales!I337="1"&amp;totales!J337="0","q",IF(totales!E337="3"&amp;totales!H337="0"&amp;totales!I337="1"&amp;totales!J337="0","r",IF(totales!E337="4"&amp;totales!H337="0"&amp;totales!I337="1"&amp;totales!J337="0","s",IF(totales!E337="6"&amp;totales!H337="0"&amp;totales!I337="1"&amp;totales!J337="0","t",IF(totales!E337="1"&amp;totales!H337="2"&amp;totales!I337="1"&amp;totales!J337="0","u",IF(totales!E337="2"&amp;totales!H337="2"&amp;totales!I337="1"&amp;totales!J337="0","v",IF(totales!E337="3"&amp;totales!H337="2"&amp;totales!I337="1"&amp;totales!J337="0","w",IF(totales!E337="4"&amp;totales!H337="2"&amp;totales!I337="1"&amp;totales!J337="0","x",
IF(totales!E337="6"&amp;totales!H337="2"&amp;totales!I337="1"&amp;totales!J337="0","y",IF(totales!E337="1"&amp;totales!H337="1"&amp;totales!I337="1"&amp;totales!J337="0","z",IF(totales!E337="2"&amp;totales!H337="1"&amp;totales!I337="1"&amp;totales!J337="0","0",IF(totales!E337="3"&amp;totales!H337="1"&amp;totales!I337="1"&amp;totales!J337="0","1",IF(totales!E337="4"&amp;totales!H337="1"&amp;totales!I337="1"&amp;totales!J337="0","2",IF(totales!E337="6"&amp;totales!H337="1"&amp;totales!I337="1"&amp;totales!J337="0","3",IF(totales!E337="1"&amp;totales!H337="0"&amp;totales!I337="1"&amp;totales!J337="1","4",IF(totales!E337="2"&amp;totales!H337="0"&amp;totales!I337="1"&amp;totales!J337="1","5",IF(totales!E337="3"&amp;totales!H337="0"&amp;totales!I337="1"&amp;totales!J337="1","6",IF(totales!E337="4"&amp;totales!H337="0"&amp;totales!I337="1"&amp;totales!J337="1","7",IF(totales!E337="6"&amp;totales!H337="0"&amp;totales!I337="1"&amp;totales!J337="1","8",IF(totales!E337="1"&amp;totales!H337="1"&amp;totales!I337="0"&amp;totales!J337="1","9"))))))))))))))))))))))))))))))))))))</f>
        <v>0</v>
      </c>
    </row>
    <row r="337" spans="22:22">
      <c r="V337" s="102" t="b">
        <f>IF(totales!E338="1"&amp;totales!H338="0"&amp;totales!I338="0"&amp;totales!J338="0","a",IF(totales!E338="2"&amp;totales!H338="0"&amp;totales!I338="0"&amp;totales!J338="0","b",IF(totales!E338="3"&amp;totales!H338="0"&amp;totales!I338="0"&amp;totales!J338="0","c",IF(totales!E338="4"&amp;totales!H338="0"&amp;totales!I338="0"&amp;totales!J338="0","d",IF(totales!E338="6"&amp;totales!H338="0"&amp;totales!I338="0"&amp;totales!J338="0","e",IF(totales!E338="1"&amp;totales!H338="1"&amp;totales!I338="0"&amp;totales!J338="0","f",IF(totales!E338="2"&amp;totales!H338="1"&amp;totales!I338="0"&amp;totales!J338="0","g",IF(totales!E338="3"&amp;totales!H338="1"&amp;totales!I338="0"&amp;totales!J338="0","h",IF(totales!E338="4"&amp;totales!H338="1"&amp;totales!I338="0"&amp;totales!J338="0","i",IF(totales!E338="6"&amp;totales!H338="1"&amp;totales!I338="0"&amp;totales!J338="0","j",IF(totales!E338="1"&amp;totales!H338="2"&amp;totales!I338="0"&amp;totales!J338="0","k",IF(totales!E338="2"&amp;totales!H338="2"&amp;totales!I338="0"&amp;totales!J338="0","l",IF(totales!E338="3"&amp;totales!H338="2"&amp;totales!I338="0"&amp;totales!J338="0","m",
IF(totales!E338="4"&amp;totales!H338="2"&amp;totales!I338="0"&amp;totales!J338="0","n",IF(totales!E338="6"&amp;totales!H338="2"&amp;totales!I338="0"&amp;totales!J338="0","o",IF(totales!E338="1"&amp;totales!H338="0"&amp;totales!I338="1"&amp;totales!J338="0","p",IF(totales!E338="2"&amp;totales!H338="0"&amp;totales!I338="1"&amp;totales!J338="0","q",IF(totales!E338="3"&amp;totales!H338="0"&amp;totales!I338="1"&amp;totales!J338="0","r",IF(totales!E338="4"&amp;totales!H338="0"&amp;totales!I338="1"&amp;totales!J338="0","s",IF(totales!E338="6"&amp;totales!H338="0"&amp;totales!I338="1"&amp;totales!J338="0","t",IF(totales!E338="1"&amp;totales!H338="2"&amp;totales!I338="1"&amp;totales!J338="0","u",IF(totales!E338="2"&amp;totales!H338="2"&amp;totales!I338="1"&amp;totales!J338="0","v",IF(totales!E338="3"&amp;totales!H338="2"&amp;totales!I338="1"&amp;totales!J338="0","w",IF(totales!E338="4"&amp;totales!H338="2"&amp;totales!I338="1"&amp;totales!J338="0","x",
IF(totales!E338="6"&amp;totales!H338="2"&amp;totales!I338="1"&amp;totales!J338="0","y",IF(totales!E338="1"&amp;totales!H338="1"&amp;totales!I338="1"&amp;totales!J338="0","z",IF(totales!E338="2"&amp;totales!H338="1"&amp;totales!I338="1"&amp;totales!J338="0","0",IF(totales!E338="3"&amp;totales!H338="1"&amp;totales!I338="1"&amp;totales!J338="0","1",IF(totales!E338="4"&amp;totales!H338="1"&amp;totales!I338="1"&amp;totales!J338="0","2",IF(totales!E338="6"&amp;totales!H338="1"&amp;totales!I338="1"&amp;totales!J338="0","3",IF(totales!E338="1"&amp;totales!H338="0"&amp;totales!I338="1"&amp;totales!J338="1","4",IF(totales!E338="2"&amp;totales!H338="0"&amp;totales!I338="1"&amp;totales!J338="1","5",IF(totales!E338="3"&amp;totales!H338="0"&amp;totales!I338="1"&amp;totales!J338="1","6",IF(totales!E338="4"&amp;totales!H338="0"&amp;totales!I338="1"&amp;totales!J338="1","7",IF(totales!E338="6"&amp;totales!H338="0"&amp;totales!I338="1"&amp;totales!J338="1","8",IF(totales!E338="1"&amp;totales!H338="1"&amp;totales!I338="0"&amp;totales!J338="1","9"))))))))))))))))))))))))))))))))))))</f>
        <v>0</v>
      </c>
    </row>
    <row r="338" spans="22:22">
      <c r="V338" s="102" t="b">
        <f>IF(totales!E339="1"&amp;totales!H339="0"&amp;totales!I339="0"&amp;totales!J339="0","a",IF(totales!E339="2"&amp;totales!H339="0"&amp;totales!I339="0"&amp;totales!J339="0","b",IF(totales!E339="3"&amp;totales!H339="0"&amp;totales!I339="0"&amp;totales!J339="0","c",IF(totales!E339="4"&amp;totales!H339="0"&amp;totales!I339="0"&amp;totales!J339="0","d",IF(totales!E339="6"&amp;totales!H339="0"&amp;totales!I339="0"&amp;totales!J339="0","e",IF(totales!E339="1"&amp;totales!H339="1"&amp;totales!I339="0"&amp;totales!J339="0","f",IF(totales!E339="2"&amp;totales!H339="1"&amp;totales!I339="0"&amp;totales!J339="0","g",IF(totales!E339="3"&amp;totales!H339="1"&amp;totales!I339="0"&amp;totales!J339="0","h",IF(totales!E339="4"&amp;totales!H339="1"&amp;totales!I339="0"&amp;totales!J339="0","i",IF(totales!E339="6"&amp;totales!H339="1"&amp;totales!I339="0"&amp;totales!J339="0","j",IF(totales!E339="1"&amp;totales!H339="2"&amp;totales!I339="0"&amp;totales!J339="0","k",IF(totales!E339="2"&amp;totales!H339="2"&amp;totales!I339="0"&amp;totales!J339="0","l",IF(totales!E339="3"&amp;totales!H339="2"&amp;totales!I339="0"&amp;totales!J339="0","m",
IF(totales!E339="4"&amp;totales!H339="2"&amp;totales!I339="0"&amp;totales!J339="0","n",IF(totales!E339="6"&amp;totales!H339="2"&amp;totales!I339="0"&amp;totales!J339="0","o",IF(totales!E339="1"&amp;totales!H339="0"&amp;totales!I339="1"&amp;totales!J339="0","p",IF(totales!E339="2"&amp;totales!H339="0"&amp;totales!I339="1"&amp;totales!J339="0","q",IF(totales!E339="3"&amp;totales!H339="0"&amp;totales!I339="1"&amp;totales!J339="0","r",IF(totales!E339="4"&amp;totales!H339="0"&amp;totales!I339="1"&amp;totales!J339="0","s",IF(totales!E339="6"&amp;totales!H339="0"&amp;totales!I339="1"&amp;totales!J339="0","t",IF(totales!E339="1"&amp;totales!H339="2"&amp;totales!I339="1"&amp;totales!J339="0","u",IF(totales!E339="2"&amp;totales!H339="2"&amp;totales!I339="1"&amp;totales!J339="0","v",IF(totales!E339="3"&amp;totales!H339="2"&amp;totales!I339="1"&amp;totales!J339="0","w",IF(totales!E339="4"&amp;totales!H339="2"&amp;totales!I339="1"&amp;totales!J339="0","x",
IF(totales!E339="6"&amp;totales!H339="2"&amp;totales!I339="1"&amp;totales!J339="0","y",IF(totales!E339="1"&amp;totales!H339="1"&amp;totales!I339="1"&amp;totales!J339="0","z",IF(totales!E339="2"&amp;totales!H339="1"&amp;totales!I339="1"&amp;totales!J339="0","0",IF(totales!E339="3"&amp;totales!H339="1"&amp;totales!I339="1"&amp;totales!J339="0","1",IF(totales!E339="4"&amp;totales!H339="1"&amp;totales!I339="1"&amp;totales!J339="0","2",IF(totales!E339="6"&amp;totales!H339="1"&amp;totales!I339="1"&amp;totales!J339="0","3",IF(totales!E339="1"&amp;totales!H339="0"&amp;totales!I339="1"&amp;totales!J339="1","4",IF(totales!E339="2"&amp;totales!H339="0"&amp;totales!I339="1"&amp;totales!J339="1","5",IF(totales!E339="3"&amp;totales!H339="0"&amp;totales!I339="1"&amp;totales!J339="1","6",IF(totales!E339="4"&amp;totales!H339="0"&amp;totales!I339="1"&amp;totales!J339="1","7",IF(totales!E339="6"&amp;totales!H339="0"&amp;totales!I339="1"&amp;totales!J339="1","8",IF(totales!E339="1"&amp;totales!H339="1"&amp;totales!I339="0"&amp;totales!J339="1","9"))))))))))))))))))))))))))))))))))))</f>
        <v>0</v>
      </c>
    </row>
    <row r="339" spans="22:22">
      <c r="V339" s="102" t="b">
        <f>IF(totales!E340="1"&amp;totales!H340="0"&amp;totales!I340="0"&amp;totales!J340="0","a",IF(totales!E340="2"&amp;totales!H340="0"&amp;totales!I340="0"&amp;totales!J340="0","b",IF(totales!E340="3"&amp;totales!H340="0"&amp;totales!I340="0"&amp;totales!J340="0","c",IF(totales!E340="4"&amp;totales!H340="0"&amp;totales!I340="0"&amp;totales!J340="0","d",IF(totales!E340="6"&amp;totales!H340="0"&amp;totales!I340="0"&amp;totales!J340="0","e",IF(totales!E340="1"&amp;totales!H340="1"&amp;totales!I340="0"&amp;totales!J340="0","f",IF(totales!E340="2"&amp;totales!H340="1"&amp;totales!I340="0"&amp;totales!J340="0","g",IF(totales!E340="3"&amp;totales!H340="1"&amp;totales!I340="0"&amp;totales!J340="0","h",IF(totales!E340="4"&amp;totales!H340="1"&amp;totales!I340="0"&amp;totales!J340="0","i",IF(totales!E340="6"&amp;totales!H340="1"&amp;totales!I340="0"&amp;totales!J340="0","j",IF(totales!E340="1"&amp;totales!H340="2"&amp;totales!I340="0"&amp;totales!J340="0","k",IF(totales!E340="2"&amp;totales!H340="2"&amp;totales!I340="0"&amp;totales!J340="0","l",IF(totales!E340="3"&amp;totales!H340="2"&amp;totales!I340="0"&amp;totales!J340="0","m",
IF(totales!E340="4"&amp;totales!H340="2"&amp;totales!I340="0"&amp;totales!J340="0","n",IF(totales!E340="6"&amp;totales!H340="2"&amp;totales!I340="0"&amp;totales!J340="0","o",IF(totales!E340="1"&amp;totales!H340="0"&amp;totales!I340="1"&amp;totales!J340="0","p",IF(totales!E340="2"&amp;totales!H340="0"&amp;totales!I340="1"&amp;totales!J340="0","q",IF(totales!E340="3"&amp;totales!H340="0"&amp;totales!I340="1"&amp;totales!J340="0","r",IF(totales!E340="4"&amp;totales!H340="0"&amp;totales!I340="1"&amp;totales!J340="0","s",IF(totales!E340="6"&amp;totales!H340="0"&amp;totales!I340="1"&amp;totales!J340="0","t",IF(totales!E340="1"&amp;totales!H340="2"&amp;totales!I340="1"&amp;totales!J340="0","u",IF(totales!E340="2"&amp;totales!H340="2"&amp;totales!I340="1"&amp;totales!J340="0","v",IF(totales!E340="3"&amp;totales!H340="2"&amp;totales!I340="1"&amp;totales!J340="0","w",IF(totales!E340="4"&amp;totales!H340="2"&amp;totales!I340="1"&amp;totales!J340="0","x",
IF(totales!E340="6"&amp;totales!H340="2"&amp;totales!I340="1"&amp;totales!J340="0","y",IF(totales!E340="1"&amp;totales!H340="1"&amp;totales!I340="1"&amp;totales!J340="0","z",IF(totales!E340="2"&amp;totales!H340="1"&amp;totales!I340="1"&amp;totales!J340="0","0",IF(totales!E340="3"&amp;totales!H340="1"&amp;totales!I340="1"&amp;totales!J340="0","1",IF(totales!E340="4"&amp;totales!H340="1"&amp;totales!I340="1"&amp;totales!J340="0","2",IF(totales!E340="6"&amp;totales!H340="1"&amp;totales!I340="1"&amp;totales!J340="0","3",IF(totales!E340="1"&amp;totales!H340="0"&amp;totales!I340="1"&amp;totales!J340="1","4",IF(totales!E340="2"&amp;totales!H340="0"&amp;totales!I340="1"&amp;totales!J340="1","5",IF(totales!E340="3"&amp;totales!H340="0"&amp;totales!I340="1"&amp;totales!J340="1","6",IF(totales!E340="4"&amp;totales!H340="0"&amp;totales!I340="1"&amp;totales!J340="1","7",IF(totales!E340="6"&amp;totales!H340="0"&amp;totales!I340="1"&amp;totales!J340="1","8",IF(totales!E340="1"&amp;totales!H340="1"&amp;totales!I340="0"&amp;totales!J340="1","9"))))))))))))))))))))))))))))))))))))</f>
        <v>0</v>
      </c>
    </row>
    <row r="340" spans="22:22">
      <c r="V340" s="102" t="b">
        <f>IF(totales!E341="1"&amp;totales!H341="0"&amp;totales!I341="0"&amp;totales!J341="0","a",IF(totales!E341="2"&amp;totales!H341="0"&amp;totales!I341="0"&amp;totales!J341="0","b",IF(totales!E341="3"&amp;totales!H341="0"&amp;totales!I341="0"&amp;totales!J341="0","c",IF(totales!E341="4"&amp;totales!H341="0"&amp;totales!I341="0"&amp;totales!J341="0","d",IF(totales!E341="6"&amp;totales!H341="0"&amp;totales!I341="0"&amp;totales!J341="0","e",IF(totales!E341="1"&amp;totales!H341="1"&amp;totales!I341="0"&amp;totales!J341="0","f",IF(totales!E341="2"&amp;totales!H341="1"&amp;totales!I341="0"&amp;totales!J341="0","g",IF(totales!E341="3"&amp;totales!H341="1"&amp;totales!I341="0"&amp;totales!J341="0","h",IF(totales!E341="4"&amp;totales!H341="1"&amp;totales!I341="0"&amp;totales!J341="0","i",IF(totales!E341="6"&amp;totales!H341="1"&amp;totales!I341="0"&amp;totales!J341="0","j",IF(totales!E341="1"&amp;totales!H341="2"&amp;totales!I341="0"&amp;totales!J341="0","k",IF(totales!E341="2"&amp;totales!H341="2"&amp;totales!I341="0"&amp;totales!J341="0","l",IF(totales!E341="3"&amp;totales!H341="2"&amp;totales!I341="0"&amp;totales!J341="0","m",
IF(totales!E341="4"&amp;totales!H341="2"&amp;totales!I341="0"&amp;totales!J341="0","n",IF(totales!E341="6"&amp;totales!H341="2"&amp;totales!I341="0"&amp;totales!J341="0","o",IF(totales!E341="1"&amp;totales!H341="0"&amp;totales!I341="1"&amp;totales!J341="0","p",IF(totales!E341="2"&amp;totales!H341="0"&amp;totales!I341="1"&amp;totales!J341="0","q",IF(totales!E341="3"&amp;totales!H341="0"&amp;totales!I341="1"&amp;totales!J341="0","r",IF(totales!E341="4"&amp;totales!H341="0"&amp;totales!I341="1"&amp;totales!J341="0","s",IF(totales!E341="6"&amp;totales!H341="0"&amp;totales!I341="1"&amp;totales!J341="0","t",IF(totales!E341="1"&amp;totales!H341="2"&amp;totales!I341="1"&amp;totales!J341="0","u",IF(totales!E341="2"&amp;totales!H341="2"&amp;totales!I341="1"&amp;totales!J341="0","v",IF(totales!E341="3"&amp;totales!H341="2"&amp;totales!I341="1"&amp;totales!J341="0","w",IF(totales!E341="4"&amp;totales!H341="2"&amp;totales!I341="1"&amp;totales!J341="0","x",
IF(totales!E341="6"&amp;totales!H341="2"&amp;totales!I341="1"&amp;totales!J341="0","y",IF(totales!E341="1"&amp;totales!H341="1"&amp;totales!I341="1"&amp;totales!J341="0","z",IF(totales!E341="2"&amp;totales!H341="1"&amp;totales!I341="1"&amp;totales!J341="0","0",IF(totales!E341="3"&amp;totales!H341="1"&amp;totales!I341="1"&amp;totales!J341="0","1",IF(totales!E341="4"&amp;totales!H341="1"&amp;totales!I341="1"&amp;totales!J341="0","2",IF(totales!E341="6"&amp;totales!H341="1"&amp;totales!I341="1"&amp;totales!J341="0","3",IF(totales!E341="1"&amp;totales!H341="0"&amp;totales!I341="1"&amp;totales!J341="1","4",IF(totales!E341="2"&amp;totales!H341="0"&amp;totales!I341="1"&amp;totales!J341="1","5",IF(totales!E341="3"&amp;totales!H341="0"&amp;totales!I341="1"&amp;totales!J341="1","6",IF(totales!E341="4"&amp;totales!H341="0"&amp;totales!I341="1"&amp;totales!J341="1","7",IF(totales!E341="6"&amp;totales!H341="0"&amp;totales!I341="1"&amp;totales!J341="1","8",IF(totales!E341="1"&amp;totales!H341="1"&amp;totales!I341="0"&amp;totales!J341="1","9"))))))))))))))))))))))))))))))))))))</f>
        <v>0</v>
      </c>
    </row>
    <row r="341" spans="22:22">
      <c r="V341" s="102" t="b">
        <f>IF(totales!E342="1"&amp;totales!H342="0"&amp;totales!I342="0"&amp;totales!J342="0","a",IF(totales!E342="2"&amp;totales!H342="0"&amp;totales!I342="0"&amp;totales!J342="0","b",IF(totales!E342="3"&amp;totales!H342="0"&amp;totales!I342="0"&amp;totales!J342="0","c",IF(totales!E342="4"&amp;totales!H342="0"&amp;totales!I342="0"&amp;totales!J342="0","d",IF(totales!E342="6"&amp;totales!H342="0"&amp;totales!I342="0"&amp;totales!J342="0","e",IF(totales!E342="1"&amp;totales!H342="1"&amp;totales!I342="0"&amp;totales!J342="0","f",IF(totales!E342="2"&amp;totales!H342="1"&amp;totales!I342="0"&amp;totales!J342="0","g",IF(totales!E342="3"&amp;totales!H342="1"&amp;totales!I342="0"&amp;totales!J342="0","h",IF(totales!E342="4"&amp;totales!H342="1"&amp;totales!I342="0"&amp;totales!J342="0","i",IF(totales!E342="6"&amp;totales!H342="1"&amp;totales!I342="0"&amp;totales!J342="0","j",IF(totales!E342="1"&amp;totales!H342="2"&amp;totales!I342="0"&amp;totales!J342="0","k",IF(totales!E342="2"&amp;totales!H342="2"&amp;totales!I342="0"&amp;totales!J342="0","l",IF(totales!E342="3"&amp;totales!H342="2"&amp;totales!I342="0"&amp;totales!J342="0","m",
IF(totales!E342="4"&amp;totales!H342="2"&amp;totales!I342="0"&amp;totales!J342="0","n",IF(totales!E342="6"&amp;totales!H342="2"&amp;totales!I342="0"&amp;totales!J342="0","o",IF(totales!E342="1"&amp;totales!H342="0"&amp;totales!I342="1"&amp;totales!J342="0","p",IF(totales!E342="2"&amp;totales!H342="0"&amp;totales!I342="1"&amp;totales!J342="0","q",IF(totales!E342="3"&amp;totales!H342="0"&amp;totales!I342="1"&amp;totales!J342="0","r",IF(totales!E342="4"&amp;totales!H342="0"&amp;totales!I342="1"&amp;totales!J342="0","s",IF(totales!E342="6"&amp;totales!H342="0"&amp;totales!I342="1"&amp;totales!J342="0","t",IF(totales!E342="1"&amp;totales!H342="2"&amp;totales!I342="1"&amp;totales!J342="0","u",IF(totales!E342="2"&amp;totales!H342="2"&amp;totales!I342="1"&amp;totales!J342="0","v",IF(totales!E342="3"&amp;totales!H342="2"&amp;totales!I342="1"&amp;totales!J342="0","w",IF(totales!E342="4"&amp;totales!H342="2"&amp;totales!I342="1"&amp;totales!J342="0","x",
IF(totales!E342="6"&amp;totales!H342="2"&amp;totales!I342="1"&amp;totales!J342="0","y",IF(totales!E342="1"&amp;totales!H342="1"&amp;totales!I342="1"&amp;totales!J342="0","z",IF(totales!E342="2"&amp;totales!H342="1"&amp;totales!I342="1"&amp;totales!J342="0","0",IF(totales!E342="3"&amp;totales!H342="1"&amp;totales!I342="1"&amp;totales!J342="0","1",IF(totales!E342="4"&amp;totales!H342="1"&amp;totales!I342="1"&amp;totales!J342="0","2",IF(totales!E342="6"&amp;totales!H342="1"&amp;totales!I342="1"&amp;totales!J342="0","3",IF(totales!E342="1"&amp;totales!H342="0"&amp;totales!I342="1"&amp;totales!J342="1","4",IF(totales!E342="2"&amp;totales!H342="0"&amp;totales!I342="1"&amp;totales!J342="1","5",IF(totales!E342="3"&amp;totales!H342="0"&amp;totales!I342="1"&amp;totales!J342="1","6",IF(totales!E342="4"&amp;totales!H342="0"&amp;totales!I342="1"&amp;totales!J342="1","7",IF(totales!E342="6"&amp;totales!H342="0"&amp;totales!I342="1"&amp;totales!J342="1","8",IF(totales!E342="1"&amp;totales!H342="1"&amp;totales!I342="0"&amp;totales!J342="1","9"))))))))))))))))))))))))))))))))))))</f>
        <v>0</v>
      </c>
    </row>
    <row r="342" spans="22:22">
      <c r="V342" s="102" t="b">
        <f>IF(totales!E343="1"&amp;totales!H343="0"&amp;totales!I343="0"&amp;totales!J343="0","a",IF(totales!E343="2"&amp;totales!H343="0"&amp;totales!I343="0"&amp;totales!J343="0","b",IF(totales!E343="3"&amp;totales!H343="0"&amp;totales!I343="0"&amp;totales!J343="0","c",IF(totales!E343="4"&amp;totales!H343="0"&amp;totales!I343="0"&amp;totales!J343="0","d",IF(totales!E343="6"&amp;totales!H343="0"&amp;totales!I343="0"&amp;totales!J343="0","e",IF(totales!E343="1"&amp;totales!H343="1"&amp;totales!I343="0"&amp;totales!J343="0","f",IF(totales!E343="2"&amp;totales!H343="1"&amp;totales!I343="0"&amp;totales!J343="0","g",IF(totales!E343="3"&amp;totales!H343="1"&amp;totales!I343="0"&amp;totales!J343="0","h",IF(totales!E343="4"&amp;totales!H343="1"&amp;totales!I343="0"&amp;totales!J343="0","i",IF(totales!E343="6"&amp;totales!H343="1"&amp;totales!I343="0"&amp;totales!J343="0","j",IF(totales!E343="1"&amp;totales!H343="2"&amp;totales!I343="0"&amp;totales!J343="0","k",IF(totales!E343="2"&amp;totales!H343="2"&amp;totales!I343="0"&amp;totales!J343="0","l",IF(totales!E343="3"&amp;totales!H343="2"&amp;totales!I343="0"&amp;totales!J343="0","m",
IF(totales!E343="4"&amp;totales!H343="2"&amp;totales!I343="0"&amp;totales!J343="0","n",IF(totales!E343="6"&amp;totales!H343="2"&amp;totales!I343="0"&amp;totales!J343="0","o",IF(totales!E343="1"&amp;totales!H343="0"&amp;totales!I343="1"&amp;totales!J343="0","p",IF(totales!E343="2"&amp;totales!H343="0"&amp;totales!I343="1"&amp;totales!J343="0","q",IF(totales!E343="3"&amp;totales!H343="0"&amp;totales!I343="1"&amp;totales!J343="0","r",IF(totales!E343="4"&amp;totales!H343="0"&amp;totales!I343="1"&amp;totales!J343="0","s",IF(totales!E343="6"&amp;totales!H343="0"&amp;totales!I343="1"&amp;totales!J343="0","t",IF(totales!E343="1"&amp;totales!H343="2"&amp;totales!I343="1"&amp;totales!J343="0","u",IF(totales!E343="2"&amp;totales!H343="2"&amp;totales!I343="1"&amp;totales!J343="0","v",IF(totales!E343="3"&amp;totales!H343="2"&amp;totales!I343="1"&amp;totales!J343="0","w",IF(totales!E343="4"&amp;totales!H343="2"&amp;totales!I343="1"&amp;totales!J343="0","x",
IF(totales!E343="6"&amp;totales!H343="2"&amp;totales!I343="1"&amp;totales!J343="0","y",IF(totales!E343="1"&amp;totales!H343="1"&amp;totales!I343="1"&amp;totales!J343="0","z",IF(totales!E343="2"&amp;totales!H343="1"&amp;totales!I343="1"&amp;totales!J343="0","0",IF(totales!E343="3"&amp;totales!H343="1"&amp;totales!I343="1"&amp;totales!J343="0","1",IF(totales!E343="4"&amp;totales!H343="1"&amp;totales!I343="1"&amp;totales!J343="0","2",IF(totales!E343="6"&amp;totales!H343="1"&amp;totales!I343="1"&amp;totales!J343="0","3",IF(totales!E343="1"&amp;totales!H343="0"&amp;totales!I343="1"&amp;totales!J343="1","4",IF(totales!E343="2"&amp;totales!H343="0"&amp;totales!I343="1"&amp;totales!J343="1","5",IF(totales!E343="3"&amp;totales!H343="0"&amp;totales!I343="1"&amp;totales!J343="1","6",IF(totales!E343="4"&amp;totales!H343="0"&amp;totales!I343="1"&amp;totales!J343="1","7",IF(totales!E343="6"&amp;totales!H343="0"&amp;totales!I343="1"&amp;totales!J343="1","8",IF(totales!E343="1"&amp;totales!H343="1"&amp;totales!I343="0"&amp;totales!J343="1","9"))))))))))))))))))))))))))))))))))))</f>
        <v>0</v>
      </c>
    </row>
    <row r="343" spans="22:22">
      <c r="V343" s="102" t="b">
        <f>IF(totales!E344="1"&amp;totales!H344="0"&amp;totales!I344="0"&amp;totales!J344="0","a",IF(totales!E344="2"&amp;totales!H344="0"&amp;totales!I344="0"&amp;totales!J344="0","b",IF(totales!E344="3"&amp;totales!H344="0"&amp;totales!I344="0"&amp;totales!J344="0","c",IF(totales!E344="4"&amp;totales!H344="0"&amp;totales!I344="0"&amp;totales!J344="0","d",IF(totales!E344="6"&amp;totales!H344="0"&amp;totales!I344="0"&amp;totales!J344="0","e",IF(totales!E344="1"&amp;totales!H344="1"&amp;totales!I344="0"&amp;totales!J344="0","f",IF(totales!E344="2"&amp;totales!H344="1"&amp;totales!I344="0"&amp;totales!J344="0","g",IF(totales!E344="3"&amp;totales!H344="1"&amp;totales!I344="0"&amp;totales!J344="0","h",IF(totales!E344="4"&amp;totales!H344="1"&amp;totales!I344="0"&amp;totales!J344="0","i",IF(totales!E344="6"&amp;totales!H344="1"&amp;totales!I344="0"&amp;totales!J344="0","j",IF(totales!E344="1"&amp;totales!H344="2"&amp;totales!I344="0"&amp;totales!J344="0","k",IF(totales!E344="2"&amp;totales!H344="2"&amp;totales!I344="0"&amp;totales!J344="0","l",IF(totales!E344="3"&amp;totales!H344="2"&amp;totales!I344="0"&amp;totales!J344="0","m",
IF(totales!E344="4"&amp;totales!H344="2"&amp;totales!I344="0"&amp;totales!J344="0","n",IF(totales!E344="6"&amp;totales!H344="2"&amp;totales!I344="0"&amp;totales!J344="0","o",IF(totales!E344="1"&amp;totales!H344="0"&amp;totales!I344="1"&amp;totales!J344="0","p",IF(totales!E344="2"&amp;totales!H344="0"&amp;totales!I344="1"&amp;totales!J344="0","q",IF(totales!E344="3"&amp;totales!H344="0"&amp;totales!I344="1"&amp;totales!J344="0","r",IF(totales!E344="4"&amp;totales!H344="0"&amp;totales!I344="1"&amp;totales!J344="0","s",IF(totales!E344="6"&amp;totales!H344="0"&amp;totales!I344="1"&amp;totales!J344="0","t",IF(totales!E344="1"&amp;totales!H344="2"&amp;totales!I344="1"&amp;totales!J344="0","u",IF(totales!E344="2"&amp;totales!H344="2"&amp;totales!I344="1"&amp;totales!J344="0","v",IF(totales!E344="3"&amp;totales!H344="2"&amp;totales!I344="1"&amp;totales!J344="0","w",IF(totales!E344="4"&amp;totales!H344="2"&amp;totales!I344="1"&amp;totales!J344="0","x",
IF(totales!E344="6"&amp;totales!H344="2"&amp;totales!I344="1"&amp;totales!J344="0","y",IF(totales!E344="1"&amp;totales!H344="1"&amp;totales!I344="1"&amp;totales!J344="0","z",IF(totales!E344="2"&amp;totales!H344="1"&amp;totales!I344="1"&amp;totales!J344="0","0",IF(totales!E344="3"&amp;totales!H344="1"&amp;totales!I344="1"&amp;totales!J344="0","1",IF(totales!E344="4"&amp;totales!H344="1"&amp;totales!I344="1"&amp;totales!J344="0","2",IF(totales!E344="6"&amp;totales!H344="1"&amp;totales!I344="1"&amp;totales!J344="0","3",IF(totales!E344="1"&amp;totales!H344="0"&amp;totales!I344="1"&amp;totales!J344="1","4",IF(totales!E344="2"&amp;totales!H344="0"&amp;totales!I344="1"&amp;totales!J344="1","5",IF(totales!E344="3"&amp;totales!H344="0"&amp;totales!I344="1"&amp;totales!J344="1","6",IF(totales!E344="4"&amp;totales!H344="0"&amp;totales!I344="1"&amp;totales!J344="1","7",IF(totales!E344="6"&amp;totales!H344="0"&amp;totales!I344="1"&amp;totales!J344="1","8",IF(totales!E344="1"&amp;totales!H344="1"&amp;totales!I344="0"&amp;totales!J344="1","9"))))))))))))))))))))))))))))))))))))</f>
        <v>0</v>
      </c>
    </row>
    <row r="344" spans="22:22">
      <c r="V344" s="102" t="b">
        <f>IF(totales!E345="1"&amp;totales!H345="0"&amp;totales!I345="0"&amp;totales!J345="0","a",IF(totales!E345="2"&amp;totales!H345="0"&amp;totales!I345="0"&amp;totales!J345="0","b",IF(totales!E345="3"&amp;totales!H345="0"&amp;totales!I345="0"&amp;totales!J345="0","c",IF(totales!E345="4"&amp;totales!H345="0"&amp;totales!I345="0"&amp;totales!J345="0","d",IF(totales!E345="6"&amp;totales!H345="0"&amp;totales!I345="0"&amp;totales!J345="0","e",IF(totales!E345="1"&amp;totales!H345="1"&amp;totales!I345="0"&amp;totales!J345="0","f",IF(totales!E345="2"&amp;totales!H345="1"&amp;totales!I345="0"&amp;totales!J345="0","g",IF(totales!E345="3"&amp;totales!H345="1"&amp;totales!I345="0"&amp;totales!J345="0","h",IF(totales!E345="4"&amp;totales!H345="1"&amp;totales!I345="0"&amp;totales!J345="0","i",IF(totales!E345="6"&amp;totales!H345="1"&amp;totales!I345="0"&amp;totales!J345="0","j",IF(totales!E345="1"&amp;totales!H345="2"&amp;totales!I345="0"&amp;totales!J345="0","k",IF(totales!E345="2"&amp;totales!H345="2"&amp;totales!I345="0"&amp;totales!J345="0","l",IF(totales!E345="3"&amp;totales!H345="2"&amp;totales!I345="0"&amp;totales!J345="0","m",
IF(totales!E345="4"&amp;totales!H345="2"&amp;totales!I345="0"&amp;totales!J345="0","n",IF(totales!E345="6"&amp;totales!H345="2"&amp;totales!I345="0"&amp;totales!J345="0","o",IF(totales!E345="1"&amp;totales!H345="0"&amp;totales!I345="1"&amp;totales!J345="0","p",IF(totales!E345="2"&amp;totales!H345="0"&amp;totales!I345="1"&amp;totales!J345="0","q",IF(totales!E345="3"&amp;totales!H345="0"&amp;totales!I345="1"&amp;totales!J345="0","r",IF(totales!E345="4"&amp;totales!H345="0"&amp;totales!I345="1"&amp;totales!J345="0","s",IF(totales!E345="6"&amp;totales!H345="0"&amp;totales!I345="1"&amp;totales!J345="0","t",IF(totales!E345="1"&amp;totales!H345="2"&amp;totales!I345="1"&amp;totales!J345="0","u",IF(totales!E345="2"&amp;totales!H345="2"&amp;totales!I345="1"&amp;totales!J345="0","v",IF(totales!E345="3"&amp;totales!H345="2"&amp;totales!I345="1"&amp;totales!J345="0","w",IF(totales!E345="4"&amp;totales!H345="2"&amp;totales!I345="1"&amp;totales!J345="0","x",
IF(totales!E345="6"&amp;totales!H345="2"&amp;totales!I345="1"&amp;totales!J345="0","y",IF(totales!E345="1"&amp;totales!H345="1"&amp;totales!I345="1"&amp;totales!J345="0","z",IF(totales!E345="2"&amp;totales!H345="1"&amp;totales!I345="1"&amp;totales!J345="0","0",IF(totales!E345="3"&amp;totales!H345="1"&amp;totales!I345="1"&amp;totales!J345="0","1",IF(totales!E345="4"&amp;totales!H345="1"&amp;totales!I345="1"&amp;totales!J345="0","2",IF(totales!E345="6"&amp;totales!H345="1"&amp;totales!I345="1"&amp;totales!J345="0","3",IF(totales!E345="1"&amp;totales!H345="0"&amp;totales!I345="1"&amp;totales!J345="1","4",IF(totales!E345="2"&amp;totales!H345="0"&amp;totales!I345="1"&amp;totales!J345="1","5",IF(totales!E345="3"&amp;totales!H345="0"&amp;totales!I345="1"&amp;totales!J345="1","6",IF(totales!E345="4"&amp;totales!H345="0"&amp;totales!I345="1"&amp;totales!J345="1","7",IF(totales!E345="6"&amp;totales!H345="0"&amp;totales!I345="1"&amp;totales!J345="1","8",IF(totales!E345="1"&amp;totales!H345="1"&amp;totales!I345="0"&amp;totales!J345="1","9"))))))))))))))))))))))))))))))))))))</f>
        <v>0</v>
      </c>
    </row>
    <row r="345" spans="22:22">
      <c r="V345" s="102" t="b">
        <f>IF(totales!E346="1"&amp;totales!H346="0"&amp;totales!I346="0"&amp;totales!J346="0","a",IF(totales!E346="2"&amp;totales!H346="0"&amp;totales!I346="0"&amp;totales!J346="0","b",IF(totales!E346="3"&amp;totales!H346="0"&amp;totales!I346="0"&amp;totales!J346="0","c",IF(totales!E346="4"&amp;totales!H346="0"&amp;totales!I346="0"&amp;totales!J346="0","d",IF(totales!E346="6"&amp;totales!H346="0"&amp;totales!I346="0"&amp;totales!J346="0","e",IF(totales!E346="1"&amp;totales!H346="1"&amp;totales!I346="0"&amp;totales!J346="0","f",IF(totales!E346="2"&amp;totales!H346="1"&amp;totales!I346="0"&amp;totales!J346="0","g",IF(totales!E346="3"&amp;totales!H346="1"&amp;totales!I346="0"&amp;totales!J346="0","h",IF(totales!E346="4"&amp;totales!H346="1"&amp;totales!I346="0"&amp;totales!J346="0","i",IF(totales!E346="6"&amp;totales!H346="1"&amp;totales!I346="0"&amp;totales!J346="0","j",IF(totales!E346="1"&amp;totales!H346="2"&amp;totales!I346="0"&amp;totales!J346="0","k",IF(totales!E346="2"&amp;totales!H346="2"&amp;totales!I346="0"&amp;totales!J346="0","l",IF(totales!E346="3"&amp;totales!H346="2"&amp;totales!I346="0"&amp;totales!J346="0","m",
IF(totales!E346="4"&amp;totales!H346="2"&amp;totales!I346="0"&amp;totales!J346="0","n",IF(totales!E346="6"&amp;totales!H346="2"&amp;totales!I346="0"&amp;totales!J346="0","o",IF(totales!E346="1"&amp;totales!H346="0"&amp;totales!I346="1"&amp;totales!J346="0","p",IF(totales!E346="2"&amp;totales!H346="0"&amp;totales!I346="1"&amp;totales!J346="0","q",IF(totales!E346="3"&amp;totales!H346="0"&amp;totales!I346="1"&amp;totales!J346="0","r",IF(totales!E346="4"&amp;totales!H346="0"&amp;totales!I346="1"&amp;totales!J346="0","s",IF(totales!E346="6"&amp;totales!H346="0"&amp;totales!I346="1"&amp;totales!J346="0","t",IF(totales!E346="1"&amp;totales!H346="2"&amp;totales!I346="1"&amp;totales!J346="0","u",IF(totales!E346="2"&amp;totales!H346="2"&amp;totales!I346="1"&amp;totales!J346="0","v",IF(totales!E346="3"&amp;totales!H346="2"&amp;totales!I346="1"&amp;totales!J346="0","w",IF(totales!E346="4"&amp;totales!H346="2"&amp;totales!I346="1"&amp;totales!J346="0","x",
IF(totales!E346="6"&amp;totales!H346="2"&amp;totales!I346="1"&amp;totales!J346="0","y",IF(totales!E346="1"&amp;totales!H346="1"&amp;totales!I346="1"&amp;totales!J346="0","z",IF(totales!E346="2"&amp;totales!H346="1"&amp;totales!I346="1"&amp;totales!J346="0","0",IF(totales!E346="3"&amp;totales!H346="1"&amp;totales!I346="1"&amp;totales!J346="0","1",IF(totales!E346="4"&amp;totales!H346="1"&amp;totales!I346="1"&amp;totales!J346="0","2",IF(totales!E346="6"&amp;totales!H346="1"&amp;totales!I346="1"&amp;totales!J346="0","3",IF(totales!E346="1"&amp;totales!H346="0"&amp;totales!I346="1"&amp;totales!J346="1","4",IF(totales!E346="2"&amp;totales!H346="0"&amp;totales!I346="1"&amp;totales!J346="1","5",IF(totales!E346="3"&amp;totales!H346="0"&amp;totales!I346="1"&amp;totales!J346="1","6",IF(totales!E346="4"&amp;totales!H346="0"&amp;totales!I346="1"&amp;totales!J346="1","7",IF(totales!E346="6"&amp;totales!H346="0"&amp;totales!I346="1"&amp;totales!J346="1","8",IF(totales!E346="1"&amp;totales!H346="1"&amp;totales!I346="0"&amp;totales!J346="1","9"))))))))))))))))))))))))))))))))))))</f>
        <v>0</v>
      </c>
    </row>
    <row r="346" spans="22:22">
      <c r="V346" s="102" t="b">
        <f>IF(totales!E347="1"&amp;totales!H347="0"&amp;totales!I347="0"&amp;totales!J347="0","a",IF(totales!E347="2"&amp;totales!H347="0"&amp;totales!I347="0"&amp;totales!J347="0","b",IF(totales!E347="3"&amp;totales!H347="0"&amp;totales!I347="0"&amp;totales!J347="0","c",IF(totales!E347="4"&amp;totales!H347="0"&amp;totales!I347="0"&amp;totales!J347="0","d",IF(totales!E347="6"&amp;totales!H347="0"&amp;totales!I347="0"&amp;totales!J347="0","e",IF(totales!E347="1"&amp;totales!H347="1"&amp;totales!I347="0"&amp;totales!J347="0","f",IF(totales!E347="2"&amp;totales!H347="1"&amp;totales!I347="0"&amp;totales!J347="0","g",IF(totales!E347="3"&amp;totales!H347="1"&amp;totales!I347="0"&amp;totales!J347="0","h",IF(totales!E347="4"&amp;totales!H347="1"&amp;totales!I347="0"&amp;totales!J347="0","i",IF(totales!E347="6"&amp;totales!H347="1"&amp;totales!I347="0"&amp;totales!J347="0","j",IF(totales!E347="1"&amp;totales!H347="2"&amp;totales!I347="0"&amp;totales!J347="0","k",IF(totales!E347="2"&amp;totales!H347="2"&amp;totales!I347="0"&amp;totales!J347="0","l",IF(totales!E347="3"&amp;totales!H347="2"&amp;totales!I347="0"&amp;totales!J347="0","m",
IF(totales!E347="4"&amp;totales!H347="2"&amp;totales!I347="0"&amp;totales!J347="0","n",IF(totales!E347="6"&amp;totales!H347="2"&amp;totales!I347="0"&amp;totales!J347="0","o",IF(totales!E347="1"&amp;totales!H347="0"&amp;totales!I347="1"&amp;totales!J347="0","p",IF(totales!E347="2"&amp;totales!H347="0"&amp;totales!I347="1"&amp;totales!J347="0","q",IF(totales!E347="3"&amp;totales!H347="0"&amp;totales!I347="1"&amp;totales!J347="0","r",IF(totales!E347="4"&amp;totales!H347="0"&amp;totales!I347="1"&amp;totales!J347="0","s",IF(totales!E347="6"&amp;totales!H347="0"&amp;totales!I347="1"&amp;totales!J347="0","t",IF(totales!E347="1"&amp;totales!H347="2"&amp;totales!I347="1"&amp;totales!J347="0","u",IF(totales!E347="2"&amp;totales!H347="2"&amp;totales!I347="1"&amp;totales!J347="0","v",IF(totales!E347="3"&amp;totales!H347="2"&amp;totales!I347="1"&amp;totales!J347="0","w",IF(totales!E347="4"&amp;totales!H347="2"&amp;totales!I347="1"&amp;totales!J347="0","x",
IF(totales!E347="6"&amp;totales!H347="2"&amp;totales!I347="1"&amp;totales!J347="0","y",IF(totales!E347="1"&amp;totales!H347="1"&amp;totales!I347="1"&amp;totales!J347="0","z",IF(totales!E347="2"&amp;totales!H347="1"&amp;totales!I347="1"&amp;totales!J347="0","0",IF(totales!E347="3"&amp;totales!H347="1"&amp;totales!I347="1"&amp;totales!J347="0","1",IF(totales!E347="4"&amp;totales!H347="1"&amp;totales!I347="1"&amp;totales!J347="0","2",IF(totales!E347="6"&amp;totales!H347="1"&amp;totales!I347="1"&amp;totales!J347="0","3",IF(totales!E347="1"&amp;totales!H347="0"&amp;totales!I347="1"&amp;totales!J347="1","4",IF(totales!E347="2"&amp;totales!H347="0"&amp;totales!I347="1"&amp;totales!J347="1","5",IF(totales!E347="3"&amp;totales!H347="0"&amp;totales!I347="1"&amp;totales!J347="1","6",IF(totales!E347="4"&amp;totales!H347="0"&amp;totales!I347="1"&amp;totales!J347="1","7",IF(totales!E347="6"&amp;totales!H347="0"&amp;totales!I347="1"&amp;totales!J347="1","8",IF(totales!E347="1"&amp;totales!H347="1"&amp;totales!I347="0"&amp;totales!J347="1","9"))))))))))))))))))))))))))))))))))))</f>
        <v>0</v>
      </c>
    </row>
    <row r="347" spans="22:22">
      <c r="V347" s="102" t="b">
        <f>IF(totales!E348="1"&amp;totales!H348="0"&amp;totales!I348="0"&amp;totales!J348="0","a",IF(totales!E348="2"&amp;totales!H348="0"&amp;totales!I348="0"&amp;totales!J348="0","b",IF(totales!E348="3"&amp;totales!H348="0"&amp;totales!I348="0"&amp;totales!J348="0","c",IF(totales!E348="4"&amp;totales!H348="0"&amp;totales!I348="0"&amp;totales!J348="0","d",IF(totales!E348="6"&amp;totales!H348="0"&amp;totales!I348="0"&amp;totales!J348="0","e",IF(totales!E348="1"&amp;totales!H348="1"&amp;totales!I348="0"&amp;totales!J348="0","f",IF(totales!E348="2"&amp;totales!H348="1"&amp;totales!I348="0"&amp;totales!J348="0","g",IF(totales!E348="3"&amp;totales!H348="1"&amp;totales!I348="0"&amp;totales!J348="0","h",IF(totales!E348="4"&amp;totales!H348="1"&amp;totales!I348="0"&amp;totales!J348="0","i",IF(totales!E348="6"&amp;totales!H348="1"&amp;totales!I348="0"&amp;totales!J348="0","j",IF(totales!E348="1"&amp;totales!H348="2"&amp;totales!I348="0"&amp;totales!J348="0","k",IF(totales!E348="2"&amp;totales!H348="2"&amp;totales!I348="0"&amp;totales!J348="0","l",IF(totales!E348="3"&amp;totales!H348="2"&amp;totales!I348="0"&amp;totales!J348="0","m",
IF(totales!E348="4"&amp;totales!H348="2"&amp;totales!I348="0"&amp;totales!J348="0","n",IF(totales!E348="6"&amp;totales!H348="2"&amp;totales!I348="0"&amp;totales!J348="0","o",IF(totales!E348="1"&amp;totales!H348="0"&amp;totales!I348="1"&amp;totales!J348="0","p",IF(totales!E348="2"&amp;totales!H348="0"&amp;totales!I348="1"&amp;totales!J348="0","q",IF(totales!E348="3"&amp;totales!H348="0"&amp;totales!I348="1"&amp;totales!J348="0","r",IF(totales!E348="4"&amp;totales!H348="0"&amp;totales!I348="1"&amp;totales!J348="0","s",IF(totales!E348="6"&amp;totales!H348="0"&amp;totales!I348="1"&amp;totales!J348="0","t",IF(totales!E348="1"&amp;totales!H348="2"&amp;totales!I348="1"&amp;totales!J348="0","u",IF(totales!E348="2"&amp;totales!H348="2"&amp;totales!I348="1"&amp;totales!J348="0","v",IF(totales!E348="3"&amp;totales!H348="2"&amp;totales!I348="1"&amp;totales!J348="0","w",IF(totales!E348="4"&amp;totales!H348="2"&amp;totales!I348="1"&amp;totales!J348="0","x",
IF(totales!E348="6"&amp;totales!H348="2"&amp;totales!I348="1"&amp;totales!J348="0","y",IF(totales!E348="1"&amp;totales!H348="1"&amp;totales!I348="1"&amp;totales!J348="0","z",IF(totales!E348="2"&amp;totales!H348="1"&amp;totales!I348="1"&amp;totales!J348="0","0",IF(totales!E348="3"&amp;totales!H348="1"&amp;totales!I348="1"&amp;totales!J348="0","1",IF(totales!E348="4"&amp;totales!H348="1"&amp;totales!I348="1"&amp;totales!J348="0","2",IF(totales!E348="6"&amp;totales!H348="1"&amp;totales!I348="1"&amp;totales!J348="0","3",IF(totales!E348="1"&amp;totales!H348="0"&amp;totales!I348="1"&amp;totales!J348="1","4",IF(totales!E348="2"&amp;totales!H348="0"&amp;totales!I348="1"&amp;totales!J348="1","5",IF(totales!E348="3"&amp;totales!H348="0"&amp;totales!I348="1"&amp;totales!J348="1","6",IF(totales!E348="4"&amp;totales!H348="0"&amp;totales!I348="1"&amp;totales!J348="1","7",IF(totales!E348="6"&amp;totales!H348="0"&amp;totales!I348="1"&amp;totales!J348="1","8",IF(totales!E348="1"&amp;totales!H348="1"&amp;totales!I348="0"&amp;totales!J348="1","9"))))))))))))))))))))))))))))))))))))</f>
        <v>0</v>
      </c>
    </row>
    <row r="348" spans="22:22">
      <c r="V348" s="102" t="b">
        <f>IF(totales!E349="1"&amp;totales!H349="0"&amp;totales!I349="0"&amp;totales!J349="0","a",IF(totales!E349="2"&amp;totales!H349="0"&amp;totales!I349="0"&amp;totales!J349="0","b",IF(totales!E349="3"&amp;totales!H349="0"&amp;totales!I349="0"&amp;totales!J349="0","c",IF(totales!E349="4"&amp;totales!H349="0"&amp;totales!I349="0"&amp;totales!J349="0","d",IF(totales!E349="6"&amp;totales!H349="0"&amp;totales!I349="0"&amp;totales!J349="0","e",IF(totales!E349="1"&amp;totales!H349="1"&amp;totales!I349="0"&amp;totales!J349="0","f",IF(totales!E349="2"&amp;totales!H349="1"&amp;totales!I349="0"&amp;totales!J349="0","g",IF(totales!E349="3"&amp;totales!H349="1"&amp;totales!I349="0"&amp;totales!J349="0","h",IF(totales!E349="4"&amp;totales!H349="1"&amp;totales!I349="0"&amp;totales!J349="0","i",IF(totales!E349="6"&amp;totales!H349="1"&amp;totales!I349="0"&amp;totales!J349="0","j",IF(totales!E349="1"&amp;totales!H349="2"&amp;totales!I349="0"&amp;totales!J349="0","k",IF(totales!E349="2"&amp;totales!H349="2"&amp;totales!I349="0"&amp;totales!J349="0","l",IF(totales!E349="3"&amp;totales!H349="2"&amp;totales!I349="0"&amp;totales!J349="0","m",
IF(totales!E349="4"&amp;totales!H349="2"&amp;totales!I349="0"&amp;totales!J349="0","n",IF(totales!E349="6"&amp;totales!H349="2"&amp;totales!I349="0"&amp;totales!J349="0","o",IF(totales!E349="1"&amp;totales!H349="0"&amp;totales!I349="1"&amp;totales!J349="0","p",IF(totales!E349="2"&amp;totales!H349="0"&amp;totales!I349="1"&amp;totales!J349="0","q",IF(totales!E349="3"&amp;totales!H349="0"&amp;totales!I349="1"&amp;totales!J349="0","r",IF(totales!E349="4"&amp;totales!H349="0"&amp;totales!I349="1"&amp;totales!J349="0","s",IF(totales!E349="6"&amp;totales!H349="0"&amp;totales!I349="1"&amp;totales!J349="0","t",IF(totales!E349="1"&amp;totales!H349="2"&amp;totales!I349="1"&amp;totales!J349="0","u",IF(totales!E349="2"&amp;totales!H349="2"&amp;totales!I349="1"&amp;totales!J349="0","v",IF(totales!E349="3"&amp;totales!H349="2"&amp;totales!I349="1"&amp;totales!J349="0","w",IF(totales!E349="4"&amp;totales!H349="2"&amp;totales!I349="1"&amp;totales!J349="0","x",
IF(totales!E349="6"&amp;totales!H349="2"&amp;totales!I349="1"&amp;totales!J349="0","y",IF(totales!E349="1"&amp;totales!H349="1"&amp;totales!I349="1"&amp;totales!J349="0","z",IF(totales!E349="2"&amp;totales!H349="1"&amp;totales!I349="1"&amp;totales!J349="0","0",IF(totales!E349="3"&amp;totales!H349="1"&amp;totales!I349="1"&amp;totales!J349="0","1",IF(totales!E349="4"&amp;totales!H349="1"&amp;totales!I349="1"&amp;totales!J349="0","2",IF(totales!E349="6"&amp;totales!H349="1"&amp;totales!I349="1"&amp;totales!J349="0","3",IF(totales!E349="1"&amp;totales!H349="0"&amp;totales!I349="1"&amp;totales!J349="1","4",IF(totales!E349="2"&amp;totales!H349="0"&amp;totales!I349="1"&amp;totales!J349="1","5",IF(totales!E349="3"&amp;totales!H349="0"&amp;totales!I349="1"&amp;totales!J349="1","6",IF(totales!E349="4"&amp;totales!H349="0"&amp;totales!I349="1"&amp;totales!J349="1","7",IF(totales!E349="6"&amp;totales!H349="0"&amp;totales!I349="1"&amp;totales!J349="1","8",IF(totales!E349="1"&amp;totales!H349="1"&amp;totales!I349="0"&amp;totales!J349="1","9"))))))))))))))))))))))))))))))))))))</f>
        <v>0</v>
      </c>
    </row>
    <row r="349" spans="22:22">
      <c r="V349" s="102" t="b">
        <f>IF(totales!E350="1"&amp;totales!H350="0"&amp;totales!I350="0"&amp;totales!J350="0","a",IF(totales!E350="2"&amp;totales!H350="0"&amp;totales!I350="0"&amp;totales!J350="0","b",IF(totales!E350="3"&amp;totales!H350="0"&amp;totales!I350="0"&amp;totales!J350="0","c",IF(totales!E350="4"&amp;totales!H350="0"&amp;totales!I350="0"&amp;totales!J350="0","d",IF(totales!E350="6"&amp;totales!H350="0"&amp;totales!I350="0"&amp;totales!J350="0","e",IF(totales!E350="1"&amp;totales!H350="1"&amp;totales!I350="0"&amp;totales!J350="0","f",IF(totales!E350="2"&amp;totales!H350="1"&amp;totales!I350="0"&amp;totales!J350="0","g",IF(totales!E350="3"&amp;totales!H350="1"&amp;totales!I350="0"&amp;totales!J350="0","h",IF(totales!E350="4"&amp;totales!H350="1"&amp;totales!I350="0"&amp;totales!J350="0","i",IF(totales!E350="6"&amp;totales!H350="1"&amp;totales!I350="0"&amp;totales!J350="0","j",IF(totales!E350="1"&amp;totales!H350="2"&amp;totales!I350="0"&amp;totales!J350="0","k",IF(totales!E350="2"&amp;totales!H350="2"&amp;totales!I350="0"&amp;totales!J350="0","l",IF(totales!E350="3"&amp;totales!H350="2"&amp;totales!I350="0"&amp;totales!J350="0","m",
IF(totales!E350="4"&amp;totales!H350="2"&amp;totales!I350="0"&amp;totales!J350="0","n",IF(totales!E350="6"&amp;totales!H350="2"&amp;totales!I350="0"&amp;totales!J350="0","o",IF(totales!E350="1"&amp;totales!H350="0"&amp;totales!I350="1"&amp;totales!J350="0","p",IF(totales!E350="2"&amp;totales!H350="0"&amp;totales!I350="1"&amp;totales!J350="0","q",IF(totales!E350="3"&amp;totales!H350="0"&amp;totales!I350="1"&amp;totales!J350="0","r",IF(totales!E350="4"&amp;totales!H350="0"&amp;totales!I350="1"&amp;totales!J350="0","s",IF(totales!E350="6"&amp;totales!H350="0"&amp;totales!I350="1"&amp;totales!J350="0","t",IF(totales!E350="1"&amp;totales!H350="2"&amp;totales!I350="1"&amp;totales!J350="0","u",IF(totales!E350="2"&amp;totales!H350="2"&amp;totales!I350="1"&amp;totales!J350="0","v",IF(totales!E350="3"&amp;totales!H350="2"&amp;totales!I350="1"&amp;totales!J350="0","w",IF(totales!E350="4"&amp;totales!H350="2"&amp;totales!I350="1"&amp;totales!J350="0","x",
IF(totales!E350="6"&amp;totales!H350="2"&amp;totales!I350="1"&amp;totales!J350="0","y",IF(totales!E350="1"&amp;totales!H350="1"&amp;totales!I350="1"&amp;totales!J350="0","z",IF(totales!E350="2"&amp;totales!H350="1"&amp;totales!I350="1"&amp;totales!J350="0","0",IF(totales!E350="3"&amp;totales!H350="1"&amp;totales!I350="1"&amp;totales!J350="0","1",IF(totales!E350="4"&amp;totales!H350="1"&amp;totales!I350="1"&amp;totales!J350="0","2",IF(totales!E350="6"&amp;totales!H350="1"&amp;totales!I350="1"&amp;totales!J350="0","3",IF(totales!E350="1"&amp;totales!H350="0"&amp;totales!I350="1"&amp;totales!J350="1","4",IF(totales!E350="2"&amp;totales!H350="0"&amp;totales!I350="1"&amp;totales!J350="1","5",IF(totales!E350="3"&amp;totales!H350="0"&amp;totales!I350="1"&amp;totales!J350="1","6",IF(totales!E350="4"&amp;totales!H350="0"&amp;totales!I350="1"&amp;totales!J350="1","7",IF(totales!E350="6"&amp;totales!H350="0"&amp;totales!I350="1"&amp;totales!J350="1","8",IF(totales!E350="1"&amp;totales!H350="1"&amp;totales!I350="0"&amp;totales!J350="1","9"))))))))))))))))))))))))))))))))))))</f>
        <v>0</v>
      </c>
    </row>
    <row r="350" spans="22:22">
      <c r="V350" s="102" t="b">
        <f>IF(totales!E351="1"&amp;totales!H351="0"&amp;totales!I351="0"&amp;totales!J351="0","a",IF(totales!E351="2"&amp;totales!H351="0"&amp;totales!I351="0"&amp;totales!J351="0","b",IF(totales!E351="3"&amp;totales!H351="0"&amp;totales!I351="0"&amp;totales!J351="0","c",IF(totales!E351="4"&amp;totales!H351="0"&amp;totales!I351="0"&amp;totales!J351="0","d",IF(totales!E351="6"&amp;totales!H351="0"&amp;totales!I351="0"&amp;totales!J351="0","e",IF(totales!E351="1"&amp;totales!H351="1"&amp;totales!I351="0"&amp;totales!J351="0","f",IF(totales!E351="2"&amp;totales!H351="1"&amp;totales!I351="0"&amp;totales!J351="0","g",IF(totales!E351="3"&amp;totales!H351="1"&amp;totales!I351="0"&amp;totales!J351="0","h",IF(totales!E351="4"&amp;totales!H351="1"&amp;totales!I351="0"&amp;totales!J351="0","i",IF(totales!E351="6"&amp;totales!H351="1"&amp;totales!I351="0"&amp;totales!J351="0","j",IF(totales!E351="1"&amp;totales!H351="2"&amp;totales!I351="0"&amp;totales!J351="0","k",IF(totales!E351="2"&amp;totales!H351="2"&amp;totales!I351="0"&amp;totales!J351="0","l",IF(totales!E351="3"&amp;totales!H351="2"&amp;totales!I351="0"&amp;totales!J351="0","m",
IF(totales!E351="4"&amp;totales!H351="2"&amp;totales!I351="0"&amp;totales!J351="0","n",IF(totales!E351="6"&amp;totales!H351="2"&amp;totales!I351="0"&amp;totales!J351="0","o",IF(totales!E351="1"&amp;totales!H351="0"&amp;totales!I351="1"&amp;totales!J351="0","p",IF(totales!E351="2"&amp;totales!H351="0"&amp;totales!I351="1"&amp;totales!J351="0","q",IF(totales!E351="3"&amp;totales!H351="0"&amp;totales!I351="1"&amp;totales!J351="0","r",IF(totales!E351="4"&amp;totales!H351="0"&amp;totales!I351="1"&amp;totales!J351="0","s",IF(totales!E351="6"&amp;totales!H351="0"&amp;totales!I351="1"&amp;totales!J351="0","t",IF(totales!E351="1"&amp;totales!H351="2"&amp;totales!I351="1"&amp;totales!J351="0","u",IF(totales!E351="2"&amp;totales!H351="2"&amp;totales!I351="1"&amp;totales!J351="0","v",IF(totales!E351="3"&amp;totales!H351="2"&amp;totales!I351="1"&amp;totales!J351="0","w",IF(totales!E351="4"&amp;totales!H351="2"&amp;totales!I351="1"&amp;totales!J351="0","x",
IF(totales!E351="6"&amp;totales!H351="2"&amp;totales!I351="1"&amp;totales!J351="0","y",IF(totales!E351="1"&amp;totales!H351="1"&amp;totales!I351="1"&amp;totales!J351="0","z",IF(totales!E351="2"&amp;totales!H351="1"&amp;totales!I351="1"&amp;totales!J351="0","0",IF(totales!E351="3"&amp;totales!H351="1"&amp;totales!I351="1"&amp;totales!J351="0","1",IF(totales!E351="4"&amp;totales!H351="1"&amp;totales!I351="1"&amp;totales!J351="0","2",IF(totales!E351="6"&amp;totales!H351="1"&amp;totales!I351="1"&amp;totales!J351="0","3",IF(totales!E351="1"&amp;totales!H351="0"&amp;totales!I351="1"&amp;totales!J351="1","4",IF(totales!E351="2"&amp;totales!H351="0"&amp;totales!I351="1"&amp;totales!J351="1","5",IF(totales!E351="3"&amp;totales!H351="0"&amp;totales!I351="1"&amp;totales!J351="1","6",IF(totales!E351="4"&amp;totales!H351="0"&amp;totales!I351="1"&amp;totales!J351="1","7",IF(totales!E351="6"&amp;totales!H351="0"&amp;totales!I351="1"&amp;totales!J351="1","8",IF(totales!E351="1"&amp;totales!H351="1"&amp;totales!I351="0"&amp;totales!J351="1","9"))))))))))))))))))))))))))))))))))))</f>
        <v>0</v>
      </c>
    </row>
    <row r="351" spans="22:22">
      <c r="V351" s="102" t="b">
        <f>IF(totales!E352="1"&amp;totales!H352="0"&amp;totales!I352="0"&amp;totales!J352="0","a",IF(totales!E352="2"&amp;totales!H352="0"&amp;totales!I352="0"&amp;totales!J352="0","b",IF(totales!E352="3"&amp;totales!H352="0"&amp;totales!I352="0"&amp;totales!J352="0","c",IF(totales!E352="4"&amp;totales!H352="0"&amp;totales!I352="0"&amp;totales!J352="0","d",IF(totales!E352="6"&amp;totales!H352="0"&amp;totales!I352="0"&amp;totales!J352="0","e",IF(totales!E352="1"&amp;totales!H352="1"&amp;totales!I352="0"&amp;totales!J352="0","f",IF(totales!E352="2"&amp;totales!H352="1"&amp;totales!I352="0"&amp;totales!J352="0","g",IF(totales!E352="3"&amp;totales!H352="1"&amp;totales!I352="0"&amp;totales!J352="0","h",IF(totales!E352="4"&amp;totales!H352="1"&amp;totales!I352="0"&amp;totales!J352="0","i",IF(totales!E352="6"&amp;totales!H352="1"&amp;totales!I352="0"&amp;totales!J352="0","j",IF(totales!E352="1"&amp;totales!H352="2"&amp;totales!I352="0"&amp;totales!J352="0","k",IF(totales!E352="2"&amp;totales!H352="2"&amp;totales!I352="0"&amp;totales!J352="0","l",IF(totales!E352="3"&amp;totales!H352="2"&amp;totales!I352="0"&amp;totales!J352="0","m",
IF(totales!E352="4"&amp;totales!H352="2"&amp;totales!I352="0"&amp;totales!J352="0","n",IF(totales!E352="6"&amp;totales!H352="2"&amp;totales!I352="0"&amp;totales!J352="0","o",IF(totales!E352="1"&amp;totales!H352="0"&amp;totales!I352="1"&amp;totales!J352="0","p",IF(totales!E352="2"&amp;totales!H352="0"&amp;totales!I352="1"&amp;totales!J352="0","q",IF(totales!E352="3"&amp;totales!H352="0"&amp;totales!I352="1"&amp;totales!J352="0","r",IF(totales!E352="4"&amp;totales!H352="0"&amp;totales!I352="1"&amp;totales!J352="0","s",IF(totales!E352="6"&amp;totales!H352="0"&amp;totales!I352="1"&amp;totales!J352="0","t",IF(totales!E352="1"&amp;totales!H352="2"&amp;totales!I352="1"&amp;totales!J352="0","u",IF(totales!E352="2"&amp;totales!H352="2"&amp;totales!I352="1"&amp;totales!J352="0","v",IF(totales!E352="3"&amp;totales!H352="2"&amp;totales!I352="1"&amp;totales!J352="0","w",IF(totales!E352="4"&amp;totales!H352="2"&amp;totales!I352="1"&amp;totales!J352="0","x",
IF(totales!E352="6"&amp;totales!H352="2"&amp;totales!I352="1"&amp;totales!J352="0","y",IF(totales!E352="1"&amp;totales!H352="1"&amp;totales!I352="1"&amp;totales!J352="0","z",IF(totales!E352="2"&amp;totales!H352="1"&amp;totales!I352="1"&amp;totales!J352="0","0",IF(totales!E352="3"&amp;totales!H352="1"&amp;totales!I352="1"&amp;totales!J352="0","1",IF(totales!E352="4"&amp;totales!H352="1"&amp;totales!I352="1"&amp;totales!J352="0","2",IF(totales!E352="6"&amp;totales!H352="1"&amp;totales!I352="1"&amp;totales!J352="0","3",IF(totales!E352="1"&amp;totales!H352="0"&amp;totales!I352="1"&amp;totales!J352="1","4",IF(totales!E352="2"&amp;totales!H352="0"&amp;totales!I352="1"&amp;totales!J352="1","5",IF(totales!E352="3"&amp;totales!H352="0"&amp;totales!I352="1"&amp;totales!J352="1","6",IF(totales!E352="4"&amp;totales!H352="0"&amp;totales!I352="1"&amp;totales!J352="1","7",IF(totales!E352="6"&amp;totales!H352="0"&amp;totales!I352="1"&amp;totales!J352="1","8",IF(totales!E352="1"&amp;totales!H352="1"&amp;totales!I352="0"&amp;totales!J352="1","9"))))))))))))))))))))))))))))))))))))</f>
        <v>0</v>
      </c>
    </row>
    <row r="352" spans="22:22">
      <c r="V352" s="102" t="b">
        <f>IF(totales!E353="1"&amp;totales!H353="0"&amp;totales!I353="0"&amp;totales!J353="0","a",IF(totales!E353="2"&amp;totales!H353="0"&amp;totales!I353="0"&amp;totales!J353="0","b",IF(totales!E353="3"&amp;totales!H353="0"&amp;totales!I353="0"&amp;totales!J353="0","c",IF(totales!E353="4"&amp;totales!H353="0"&amp;totales!I353="0"&amp;totales!J353="0","d",IF(totales!E353="6"&amp;totales!H353="0"&amp;totales!I353="0"&amp;totales!J353="0","e",IF(totales!E353="1"&amp;totales!H353="1"&amp;totales!I353="0"&amp;totales!J353="0","f",IF(totales!E353="2"&amp;totales!H353="1"&amp;totales!I353="0"&amp;totales!J353="0","g",IF(totales!E353="3"&amp;totales!H353="1"&amp;totales!I353="0"&amp;totales!J353="0","h",IF(totales!E353="4"&amp;totales!H353="1"&amp;totales!I353="0"&amp;totales!J353="0","i",IF(totales!E353="6"&amp;totales!H353="1"&amp;totales!I353="0"&amp;totales!J353="0","j",IF(totales!E353="1"&amp;totales!H353="2"&amp;totales!I353="0"&amp;totales!J353="0","k",IF(totales!E353="2"&amp;totales!H353="2"&amp;totales!I353="0"&amp;totales!J353="0","l",IF(totales!E353="3"&amp;totales!H353="2"&amp;totales!I353="0"&amp;totales!J353="0","m",
IF(totales!E353="4"&amp;totales!H353="2"&amp;totales!I353="0"&amp;totales!J353="0","n",IF(totales!E353="6"&amp;totales!H353="2"&amp;totales!I353="0"&amp;totales!J353="0","o",IF(totales!E353="1"&amp;totales!H353="0"&amp;totales!I353="1"&amp;totales!J353="0","p",IF(totales!E353="2"&amp;totales!H353="0"&amp;totales!I353="1"&amp;totales!J353="0","q",IF(totales!E353="3"&amp;totales!H353="0"&amp;totales!I353="1"&amp;totales!J353="0","r",IF(totales!E353="4"&amp;totales!H353="0"&amp;totales!I353="1"&amp;totales!J353="0","s",IF(totales!E353="6"&amp;totales!H353="0"&amp;totales!I353="1"&amp;totales!J353="0","t",IF(totales!E353="1"&amp;totales!H353="2"&amp;totales!I353="1"&amp;totales!J353="0","u",IF(totales!E353="2"&amp;totales!H353="2"&amp;totales!I353="1"&amp;totales!J353="0","v",IF(totales!E353="3"&amp;totales!H353="2"&amp;totales!I353="1"&amp;totales!J353="0","w",IF(totales!E353="4"&amp;totales!H353="2"&amp;totales!I353="1"&amp;totales!J353="0","x",
IF(totales!E353="6"&amp;totales!H353="2"&amp;totales!I353="1"&amp;totales!J353="0","y",IF(totales!E353="1"&amp;totales!H353="1"&amp;totales!I353="1"&amp;totales!J353="0","z",IF(totales!E353="2"&amp;totales!H353="1"&amp;totales!I353="1"&amp;totales!J353="0","0",IF(totales!E353="3"&amp;totales!H353="1"&amp;totales!I353="1"&amp;totales!J353="0","1",IF(totales!E353="4"&amp;totales!H353="1"&amp;totales!I353="1"&amp;totales!J353="0","2",IF(totales!E353="6"&amp;totales!H353="1"&amp;totales!I353="1"&amp;totales!J353="0","3",IF(totales!E353="1"&amp;totales!H353="0"&amp;totales!I353="1"&amp;totales!J353="1","4",IF(totales!E353="2"&amp;totales!H353="0"&amp;totales!I353="1"&amp;totales!J353="1","5",IF(totales!E353="3"&amp;totales!H353="0"&amp;totales!I353="1"&amp;totales!J353="1","6",IF(totales!E353="4"&amp;totales!H353="0"&amp;totales!I353="1"&amp;totales!J353="1","7",IF(totales!E353="6"&amp;totales!H353="0"&amp;totales!I353="1"&amp;totales!J353="1","8",IF(totales!E353="1"&amp;totales!H353="1"&amp;totales!I353="0"&amp;totales!J353="1","9"))))))))))))))))))))))))))))))))))))</f>
        <v>0</v>
      </c>
    </row>
    <row r="353" spans="22:22">
      <c r="V353" s="102" t="b">
        <f>IF(totales!E354="1"&amp;totales!H354="0"&amp;totales!I354="0"&amp;totales!J354="0","a",IF(totales!E354="2"&amp;totales!H354="0"&amp;totales!I354="0"&amp;totales!J354="0","b",IF(totales!E354="3"&amp;totales!H354="0"&amp;totales!I354="0"&amp;totales!J354="0","c",IF(totales!E354="4"&amp;totales!H354="0"&amp;totales!I354="0"&amp;totales!J354="0","d",IF(totales!E354="6"&amp;totales!H354="0"&amp;totales!I354="0"&amp;totales!J354="0","e",IF(totales!E354="1"&amp;totales!H354="1"&amp;totales!I354="0"&amp;totales!J354="0","f",IF(totales!E354="2"&amp;totales!H354="1"&amp;totales!I354="0"&amp;totales!J354="0","g",IF(totales!E354="3"&amp;totales!H354="1"&amp;totales!I354="0"&amp;totales!J354="0","h",IF(totales!E354="4"&amp;totales!H354="1"&amp;totales!I354="0"&amp;totales!J354="0","i",IF(totales!E354="6"&amp;totales!H354="1"&amp;totales!I354="0"&amp;totales!J354="0","j",IF(totales!E354="1"&amp;totales!H354="2"&amp;totales!I354="0"&amp;totales!J354="0","k",IF(totales!E354="2"&amp;totales!H354="2"&amp;totales!I354="0"&amp;totales!J354="0","l",IF(totales!E354="3"&amp;totales!H354="2"&amp;totales!I354="0"&amp;totales!J354="0","m",
IF(totales!E354="4"&amp;totales!H354="2"&amp;totales!I354="0"&amp;totales!J354="0","n",IF(totales!E354="6"&amp;totales!H354="2"&amp;totales!I354="0"&amp;totales!J354="0","o",IF(totales!E354="1"&amp;totales!H354="0"&amp;totales!I354="1"&amp;totales!J354="0","p",IF(totales!E354="2"&amp;totales!H354="0"&amp;totales!I354="1"&amp;totales!J354="0","q",IF(totales!E354="3"&amp;totales!H354="0"&amp;totales!I354="1"&amp;totales!J354="0","r",IF(totales!E354="4"&amp;totales!H354="0"&amp;totales!I354="1"&amp;totales!J354="0","s",IF(totales!E354="6"&amp;totales!H354="0"&amp;totales!I354="1"&amp;totales!J354="0","t",IF(totales!E354="1"&amp;totales!H354="2"&amp;totales!I354="1"&amp;totales!J354="0","u",IF(totales!E354="2"&amp;totales!H354="2"&amp;totales!I354="1"&amp;totales!J354="0","v",IF(totales!E354="3"&amp;totales!H354="2"&amp;totales!I354="1"&amp;totales!J354="0","w",IF(totales!E354="4"&amp;totales!H354="2"&amp;totales!I354="1"&amp;totales!J354="0","x",
IF(totales!E354="6"&amp;totales!H354="2"&amp;totales!I354="1"&amp;totales!J354="0","y",IF(totales!E354="1"&amp;totales!H354="1"&amp;totales!I354="1"&amp;totales!J354="0","z",IF(totales!E354="2"&amp;totales!H354="1"&amp;totales!I354="1"&amp;totales!J354="0","0",IF(totales!E354="3"&amp;totales!H354="1"&amp;totales!I354="1"&amp;totales!J354="0","1",IF(totales!E354="4"&amp;totales!H354="1"&amp;totales!I354="1"&amp;totales!J354="0","2",IF(totales!E354="6"&amp;totales!H354="1"&amp;totales!I354="1"&amp;totales!J354="0","3",IF(totales!E354="1"&amp;totales!H354="0"&amp;totales!I354="1"&amp;totales!J354="1","4",IF(totales!E354="2"&amp;totales!H354="0"&amp;totales!I354="1"&amp;totales!J354="1","5",IF(totales!E354="3"&amp;totales!H354="0"&amp;totales!I354="1"&amp;totales!J354="1","6",IF(totales!E354="4"&amp;totales!H354="0"&amp;totales!I354="1"&amp;totales!J354="1","7",IF(totales!E354="6"&amp;totales!H354="0"&amp;totales!I354="1"&amp;totales!J354="1","8",IF(totales!E354="1"&amp;totales!H354="1"&amp;totales!I354="0"&amp;totales!J354="1","9"))))))))))))))))))))))))))))))))))))</f>
        <v>0</v>
      </c>
    </row>
    <row r="354" spans="22:22">
      <c r="V354" s="102" t="b">
        <f>IF(totales!E355="1"&amp;totales!H355="0"&amp;totales!I355="0"&amp;totales!J355="0","a",IF(totales!E355="2"&amp;totales!H355="0"&amp;totales!I355="0"&amp;totales!J355="0","b",IF(totales!E355="3"&amp;totales!H355="0"&amp;totales!I355="0"&amp;totales!J355="0","c",IF(totales!E355="4"&amp;totales!H355="0"&amp;totales!I355="0"&amp;totales!J355="0","d",IF(totales!E355="6"&amp;totales!H355="0"&amp;totales!I355="0"&amp;totales!J355="0","e",IF(totales!E355="1"&amp;totales!H355="1"&amp;totales!I355="0"&amp;totales!J355="0","f",IF(totales!E355="2"&amp;totales!H355="1"&amp;totales!I355="0"&amp;totales!J355="0","g",IF(totales!E355="3"&amp;totales!H355="1"&amp;totales!I355="0"&amp;totales!J355="0","h",IF(totales!E355="4"&amp;totales!H355="1"&amp;totales!I355="0"&amp;totales!J355="0","i",IF(totales!E355="6"&amp;totales!H355="1"&amp;totales!I355="0"&amp;totales!J355="0","j",IF(totales!E355="1"&amp;totales!H355="2"&amp;totales!I355="0"&amp;totales!J355="0","k",IF(totales!E355="2"&amp;totales!H355="2"&amp;totales!I355="0"&amp;totales!J355="0","l",IF(totales!E355="3"&amp;totales!H355="2"&amp;totales!I355="0"&amp;totales!J355="0","m",
IF(totales!E355="4"&amp;totales!H355="2"&amp;totales!I355="0"&amp;totales!J355="0","n",IF(totales!E355="6"&amp;totales!H355="2"&amp;totales!I355="0"&amp;totales!J355="0","o",IF(totales!E355="1"&amp;totales!H355="0"&amp;totales!I355="1"&amp;totales!J355="0","p",IF(totales!E355="2"&amp;totales!H355="0"&amp;totales!I355="1"&amp;totales!J355="0","q",IF(totales!E355="3"&amp;totales!H355="0"&amp;totales!I355="1"&amp;totales!J355="0","r",IF(totales!E355="4"&amp;totales!H355="0"&amp;totales!I355="1"&amp;totales!J355="0","s",IF(totales!E355="6"&amp;totales!H355="0"&amp;totales!I355="1"&amp;totales!J355="0","t",IF(totales!E355="1"&amp;totales!H355="2"&amp;totales!I355="1"&amp;totales!J355="0","u",IF(totales!E355="2"&amp;totales!H355="2"&amp;totales!I355="1"&amp;totales!J355="0","v",IF(totales!E355="3"&amp;totales!H355="2"&amp;totales!I355="1"&amp;totales!J355="0","w",IF(totales!E355="4"&amp;totales!H355="2"&amp;totales!I355="1"&amp;totales!J355="0","x",
IF(totales!E355="6"&amp;totales!H355="2"&amp;totales!I355="1"&amp;totales!J355="0","y",IF(totales!E355="1"&amp;totales!H355="1"&amp;totales!I355="1"&amp;totales!J355="0","z",IF(totales!E355="2"&amp;totales!H355="1"&amp;totales!I355="1"&amp;totales!J355="0","0",IF(totales!E355="3"&amp;totales!H355="1"&amp;totales!I355="1"&amp;totales!J355="0","1",IF(totales!E355="4"&amp;totales!H355="1"&amp;totales!I355="1"&amp;totales!J355="0","2",IF(totales!E355="6"&amp;totales!H355="1"&amp;totales!I355="1"&amp;totales!J355="0","3",IF(totales!E355="1"&amp;totales!H355="0"&amp;totales!I355="1"&amp;totales!J355="1","4",IF(totales!E355="2"&amp;totales!H355="0"&amp;totales!I355="1"&amp;totales!J355="1","5",IF(totales!E355="3"&amp;totales!H355="0"&amp;totales!I355="1"&amp;totales!J355="1","6",IF(totales!E355="4"&amp;totales!H355="0"&amp;totales!I355="1"&amp;totales!J355="1","7",IF(totales!E355="6"&amp;totales!H355="0"&amp;totales!I355="1"&amp;totales!J355="1","8",IF(totales!E355="1"&amp;totales!H355="1"&amp;totales!I355="0"&amp;totales!J355="1","9"))))))))))))))))))))))))))))))))))))</f>
        <v>0</v>
      </c>
    </row>
    <row r="355" spans="22:22">
      <c r="V355" s="102" t="b">
        <f>IF(totales!E356="1"&amp;totales!H356="0"&amp;totales!I356="0"&amp;totales!J356="0","a",IF(totales!E356="2"&amp;totales!H356="0"&amp;totales!I356="0"&amp;totales!J356="0","b",IF(totales!E356="3"&amp;totales!H356="0"&amp;totales!I356="0"&amp;totales!J356="0","c",IF(totales!E356="4"&amp;totales!H356="0"&amp;totales!I356="0"&amp;totales!J356="0","d",IF(totales!E356="6"&amp;totales!H356="0"&amp;totales!I356="0"&amp;totales!J356="0","e",IF(totales!E356="1"&amp;totales!H356="1"&amp;totales!I356="0"&amp;totales!J356="0","f",IF(totales!E356="2"&amp;totales!H356="1"&amp;totales!I356="0"&amp;totales!J356="0","g",IF(totales!E356="3"&amp;totales!H356="1"&amp;totales!I356="0"&amp;totales!J356="0","h",IF(totales!E356="4"&amp;totales!H356="1"&amp;totales!I356="0"&amp;totales!J356="0","i",IF(totales!E356="6"&amp;totales!H356="1"&amp;totales!I356="0"&amp;totales!J356="0","j",IF(totales!E356="1"&amp;totales!H356="2"&amp;totales!I356="0"&amp;totales!J356="0","k",IF(totales!E356="2"&amp;totales!H356="2"&amp;totales!I356="0"&amp;totales!J356="0","l",IF(totales!E356="3"&amp;totales!H356="2"&amp;totales!I356="0"&amp;totales!J356="0","m",
IF(totales!E356="4"&amp;totales!H356="2"&amp;totales!I356="0"&amp;totales!J356="0","n",IF(totales!E356="6"&amp;totales!H356="2"&amp;totales!I356="0"&amp;totales!J356="0","o",IF(totales!E356="1"&amp;totales!H356="0"&amp;totales!I356="1"&amp;totales!J356="0","p",IF(totales!E356="2"&amp;totales!H356="0"&amp;totales!I356="1"&amp;totales!J356="0","q",IF(totales!E356="3"&amp;totales!H356="0"&amp;totales!I356="1"&amp;totales!J356="0","r",IF(totales!E356="4"&amp;totales!H356="0"&amp;totales!I356="1"&amp;totales!J356="0","s",IF(totales!E356="6"&amp;totales!H356="0"&amp;totales!I356="1"&amp;totales!J356="0","t",IF(totales!E356="1"&amp;totales!H356="2"&amp;totales!I356="1"&amp;totales!J356="0","u",IF(totales!E356="2"&amp;totales!H356="2"&amp;totales!I356="1"&amp;totales!J356="0","v",IF(totales!E356="3"&amp;totales!H356="2"&amp;totales!I356="1"&amp;totales!J356="0","w",IF(totales!E356="4"&amp;totales!H356="2"&amp;totales!I356="1"&amp;totales!J356="0","x",
IF(totales!E356="6"&amp;totales!H356="2"&amp;totales!I356="1"&amp;totales!J356="0","y",IF(totales!E356="1"&amp;totales!H356="1"&amp;totales!I356="1"&amp;totales!J356="0","z",IF(totales!E356="2"&amp;totales!H356="1"&amp;totales!I356="1"&amp;totales!J356="0","0",IF(totales!E356="3"&amp;totales!H356="1"&amp;totales!I356="1"&amp;totales!J356="0","1",IF(totales!E356="4"&amp;totales!H356="1"&amp;totales!I356="1"&amp;totales!J356="0","2",IF(totales!E356="6"&amp;totales!H356="1"&amp;totales!I356="1"&amp;totales!J356="0","3",IF(totales!E356="1"&amp;totales!H356="0"&amp;totales!I356="1"&amp;totales!J356="1","4",IF(totales!E356="2"&amp;totales!H356="0"&amp;totales!I356="1"&amp;totales!J356="1","5",IF(totales!E356="3"&amp;totales!H356="0"&amp;totales!I356="1"&amp;totales!J356="1","6",IF(totales!E356="4"&amp;totales!H356="0"&amp;totales!I356="1"&amp;totales!J356="1","7",IF(totales!E356="6"&amp;totales!H356="0"&amp;totales!I356="1"&amp;totales!J356="1","8",IF(totales!E356="1"&amp;totales!H356="1"&amp;totales!I356="0"&amp;totales!J356="1","9"))))))))))))))))))))))))))))))))))))</f>
        <v>0</v>
      </c>
    </row>
    <row r="356" spans="22:22">
      <c r="V356" s="102" t="b">
        <f>IF(totales!E357="1"&amp;totales!H357="0"&amp;totales!I357="0"&amp;totales!J357="0","a",IF(totales!E357="2"&amp;totales!H357="0"&amp;totales!I357="0"&amp;totales!J357="0","b",IF(totales!E357="3"&amp;totales!H357="0"&amp;totales!I357="0"&amp;totales!J357="0","c",IF(totales!E357="4"&amp;totales!H357="0"&amp;totales!I357="0"&amp;totales!J357="0","d",IF(totales!E357="6"&amp;totales!H357="0"&amp;totales!I357="0"&amp;totales!J357="0","e",IF(totales!E357="1"&amp;totales!H357="1"&amp;totales!I357="0"&amp;totales!J357="0","f",IF(totales!E357="2"&amp;totales!H357="1"&amp;totales!I357="0"&amp;totales!J357="0","g",IF(totales!E357="3"&amp;totales!H357="1"&amp;totales!I357="0"&amp;totales!J357="0","h",IF(totales!E357="4"&amp;totales!H357="1"&amp;totales!I357="0"&amp;totales!J357="0","i",IF(totales!E357="6"&amp;totales!H357="1"&amp;totales!I357="0"&amp;totales!J357="0","j",IF(totales!E357="1"&amp;totales!H357="2"&amp;totales!I357="0"&amp;totales!J357="0","k",IF(totales!E357="2"&amp;totales!H357="2"&amp;totales!I357="0"&amp;totales!J357="0","l",IF(totales!E357="3"&amp;totales!H357="2"&amp;totales!I357="0"&amp;totales!J357="0","m",
IF(totales!E357="4"&amp;totales!H357="2"&amp;totales!I357="0"&amp;totales!J357="0","n",IF(totales!E357="6"&amp;totales!H357="2"&amp;totales!I357="0"&amp;totales!J357="0","o",IF(totales!E357="1"&amp;totales!H357="0"&amp;totales!I357="1"&amp;totales!J357="0","p",IF(totales!E357="2"&amp;totales!H357="0"&amp;totales!I357="1"&amp;totales!J357="0","q",IF(totales!E357="3"&amp;totales!H357="0"&amp;totales!I357="1"&amp;totales!J357="0","r",IF(totales!E357="4"&amp;totales!H357="0"&amp;totales!I357="1"&amp;totales!J357="0","s",IF(totales!E357="6"&amp;totales!H357="0"&amp;totales!I357="1"&amp;totales!J357="0","t",IF(totales!E357="1"&amp;totales!H357="2"&amp;totales!I357="1"&amp;totales!J357="0","u",IF(totales!E357="2"&amp;totales!H357="2"&amp;totales!I357="1"&amp;totales!J357="0","v",IF(totales!E357="3"&amp;totales!H357="2"&amp;totales!I357="1"&amp;totales!J357="0","w",IF(totales!E357="4"&amp;totales!H357="2"&amp;totales!I357="1"&amp;totales!J357="0","x",
IF(totales!E357="6"&amp;totales!H357="2"&amp;totales!I357="1"&amp;totales!J357="0","y",IF(totales!E357="1"&amp;totales!H357="1"&amp;totales!I357="1"&amp;totales!J357="0","z",IF(totales!E357="2"&amp;totales!H357="1"&amp;totales!I357="1"&amp;totales!J357="0","0",IF(totales!E357="3"&amp;totales!H357="1"&amp;totales!I357="1"&amp;totales!J357="0","1",IF(totales!E357="4"&amp;totales!H357="1"&amp;totales!I357="1"&amp;totales!J357="0","2",IF(totales!E357="6"&amp;totales!H357="1"&amp;totales!I357="1"&amp;totales!J357="0","3",IF(totales!E357="1"&amp;totales!H357="0"&amp;totales!I357="1"&amp;totales!J357="1","4",IF(totales!E357="2"&amp;totales!H357="0"&amp;totales!I357="1"&amp;totales!J357="1","5",IF(totales!E357="3"&amp;totales!H357="0"&amp;totales!I357="1"&amp;totales!J357="1","6",IF(totales!E357="4"&amp;totales!H357="0"&amp;totales!I357="1"&amp;totales!J357="1","7",IF(totales!E357="6"&amp;totales!H357="0"&amp;totales!I357="1"&amp;totales!J357="1","8",IF(totales!E357="1"&amp;totales!H357="1"&amp;totales!I357="0"&amp;totales!J357="1","9"))))))))))))))))))))))))))))))))))))</f>
        <v>0</v>
      </c>
    </row>
    <row r="357" spans="22:22">
      <c r="V357" s="102" t="b">
        <f>IF(totales!E358="1"&amp;totales!H358="0"&amp;totales!I358="0"&amp;totales!J358="0","a",IF(totales!E358="2"&amp;totales!H358="0"&amp;totales!I358="0"&amp;totales!J358="0","b",IF(totales!E358="3"&amp;totales!H358="0"&amp;totales!I358="0"&amp;totales!J358="0","c",IF(totales!E358="4"&amp;totales!H358="0"&amp;totales!I358="0"&amp;totales!J358="0","d",IF(totales!E358="6"&amp;totales!H358="0"&amp;totales!I358="0"&amp;totales!J358="0","e",IF(totales!E358="1"&amp;totales!H358="1"&amp;totales!I358="0"&amp;totales!J358="0","f",IF(totales!E358="2"&amp;totales!H358="1"&amp;totales!I358="0"&amp;totales!J358="0","g",IF(totales!E358="3"&amp;totales!H358="1"&amp;totales!I358="0"&amp;totales!J358="0","h",IF(totales!E358="4"&amp;totales!H358="1"&amp;totales!I358="0"&amp;totales!J358="0","i",IF(totales!E358="6"&amp;totales!H358="1"&amp;totales!I358="0"&amp;totales!J358="0","j",IF(totales!E358="1"&amp;totales!H358="2"&amp;totales!I358="0"&amp;totales!J358="0","k",IF(totales!E358="2"&amp;totales!H358="2"&amp;totales!I358="0"&amp;totales!J358="0","l",IF(totales!E358="3"&amp;totales!H358="2"&amp;totales!I358="0"&amp;totales!J358="0","m",
IF(totales!E358="4"&amp;totales!H358="2"&amp;totales!I358="0"&amp;totales!J358="0","n",IF(totales!E358="6"&amp;totales!H358="2"&amp;totales!I358="0"&amp;totales!J358="0","o",IF(totales!E358="1"&amp;totales!H358="0"&amp;totales!I358="1"&amp;totales!J358="0","p",IF(totales!E358="2"&amp;totales!H358="0"&amp;totales!I358="1"&amp;totales!J358="0","q",IF(totales!E358="3"&amp;totales!H358="0"&amp;totales!I358="1"&amp;totales!J358="0","r",IF(totales!E358="4"&amp;totales!H358="0"&amp;totales!I358="1"&amp;totales!J358="0","s",IF(totales!E358="6"&amp;totales!H358="0"&amp;totales!I358="1"&amp;totales!J358="0","t",IF(totales!E358="1"&amp;totales!H358="2"&amp;totales!I358="1"&amp;totales!J358="0","u",IF(totales!E358="2"&amp;totales!H358="2"&amp;totales!I358="1"&amp;totales!J358="0","v",IF(totales!E358="3"&amp;totales!H358="2"&amp;totales!I358="1"&amp;totales!J358="0","w",IF(totales!E358="4"&amp;totales!H358="2"&amp;totales!I358="1"&amp;totales!J358="0","x",
IF(totales!E358="6"&amp;totales!H358="2"&amp;totales!I358="1"&amp;totales!J358="0","y",IF(totales!E358="1"&amp;totales!H358="1"&amp;totales!I358="1"&amp;totales!J358="0","z",IF(totales!E358="2"&amp;totales!H358="1"&amp;totales!I358="1"&amp;totales!J358="0","0",IF(totales!E358="3"&amp;totales!H358="1"&amp;totales!I358="1"&amp;totales!J358="0","1",IF(totales!E358="4"&amp;totales!H358="1"&amp;totales!I358="1"&amp;totales!J358="0","2",IF(totales!E358="6"&amp;totales!H358="1"&amp;totales!I358="1"&amp;totales!J358="0","3",IF(totales!E358="1"&amp;totales!H358="0"&amp;totales!I358="1"&amp;totales!J358="1","4",IF(totales!E358="2"&amp;totales!H358="0"&amp;totales!I358="1"&amp;totales!J358="1","5",IF(totales!E358="3"&amp;totales!H358="0"&amp;totales!I358="1"&amp;totales!J358="1","6",IF(totales!E358="4"&amp;totales!H358="0"&amp;totales!I358="1"&amp;totales!J358="1","7",IF(totales!E358="6"&amp;totales!H358="0"&amp;totales!I358="1"&amp;totales!J358="1","8",IF(totales!E358="1"&amp;totales!H358="1"&amp;totales!I358="0"&amp;totales!J358="1","9"))))))))))))))))))))))))))))))))))))</f>
        <v>0</v>
      </c>
    </row>
    <row r="358" spans="22:22">
      <c r="V358" s="102" t="b">
        <f>IF(totales!E359="1"&amp;totales!H359="0"&amp;totales!I359="0"&amp;totales!J359="0","a",IF(totales!E359="2"&amp;totales!H359="0"&amp;totales!I359="0"&amp;totales!J359="0","b",IF(totales!E359="3"&amp;totales!H359="0"&amp;totales!I359="0"&amp;totales!J359="0","c",IF(totales!E359="4"&amp;totales!H359="0"&amp;totales!I359="0"&amp;totales!J359="0","d",IF(totales!E359="6"&amp;totales!H359="0"&amp;totales!I359="0"&amp;totales!J359="0","e",IF(totales!E359="1"&amp;totales!H359="1"&amp;totales!I359="0"&amp;totales!J359="0","f",IF(totales!E359="2"&amp;totales!H359="1"&amp;totales!I359="0"&amp;totales!J359="0","g",IF(totales!E359="3"&amp;totales!H359="1"&amp;totales!I359="0"&amp;totales!J359="0","h",IF(totales!E359="4"&amp;totales!H359="1"&amp;totales!I359="0"&amp;totales!J359="0","i",IF(totales!E359="6"&amp;totales!H359="1"&amp;totales!I359="0"&amp;totales!J359="0","j",IF(totales!E359="1"&amp;totales!H359="2"&amp;totales!I359="0"&amp;totales!J359="0","k",IF(totales!E359="2"&amp;totales!H359="2"&amp;totales!I359="0"&amp;totales!J359="0","l",IF(totales!E359="3"&amp;totales!H359="2"&amp;totales!I359="0"&amp;totales!J359="0","m",
IF(totales!E359="4"&amp;totales!H359="2"&amp;totales!I359="0"&amp;totales!J359="0","n",IF(totales!E359="6"&amp;totales!H359="2"&amp;totales!I359="0"&amp;totales!J359="0","o",IF(totales!E359="1"&amp;totales!H359="0"&amp;totales!I359="1"&amp;totales!J359="0","p",IF(totales!E359="2"&amp;totales!H359="0"&amp;totales!I359="1"&amp;totales!J359="0","q",IF(totales!E359="3"&amp;totales!H359="0"&amp;totales!I359="1"&amp;totales!J359="0","r",IF(totales!E359="4"&amp;totales!H359="0"&amp;totales!I359="1"&amp;totales!J359="0","s",IF(totales!E359="6"&amp;totales!H359="0"&amp;totales!I359="1"&amp;totales!J359="0","t",IF(totales!E359="1"&amp;totales!H359="2"&amp;totales!I359="1"&amp;totales!J359="0","u",IF(totales!E359="2"&amp;totales!H359="2"&amp;totales!I359="1"&amp;totales!J359="0","v",IF(totales!E359="3"&amp;totales!H359="2"&amp;totales!I359="1"&amp;totales!J359="0","w",IF(totales!E359="4"&amp;totales!H359="2"&amp;totales!I359="1"&amp;totales!J359="0","x",
IF(totales!E359="6"&amp;totales!H359="2"&amp;totales!I359="1"&amp;totales!J359="0","y",IF(totales!E359="1"&amp;totales!H359="1"&amp;totales!I359="1"&amp;totales!J359="0","z",IF(totales!E359="2"&amp;totales!H359="1"&amp;totales!I359="1"&amp;totales!J359="0","0",IF(totales!E359="3"&amp;totales!H359="1"&amp;totales!I359="1"&amp;totales!J359="0","1",IF(totales!E359="4"&amp;totales!H359="1"&amp;totales!I359="1"&amp;totales!J359="0","2",IF(totales!E359="6"&amp;totales!H359="1"&amp;totales!I359="1"&amp;totales!J359="0","3",IF(totales!E359="1"&amp;totales!H359="0"&amp;totales!I359="1"&amp;totales!J359="1","4",IF(totales!E359="2"&amp;totales!H359="0"&amp;totales!I359="1"&amp;totales!J359="1","5",IF(totales!E359="3"&amp;totales!H359="0"&amp;totales!I359="1"&amp;totales!J359="1","6",IF(totales!E359="4"&amp;totales!H359="0"&amp;totales!I359="1"&amp;totales!J359="1","7",IF(totales!E359="6"&amp;totales!H359="0"&amp;totales!I359="1"&amp;totales!J359="1","8",IF(totales!E359="1"&amp;totales!H359="1"&amp;totales!I359="0"&amp;totales!J359="1","9"))))))))))))))))))))))))))))))))))))</f>
        <v>0</v>
      </c>
    </row>
    <row r="359" spans="22:22">
      <c r="V359" s="102" t="b">
        <f>IF(totales!E360="1"&amp;totales!H360="0"&amp;totales!I360="0"&amp;totales!J360="0","a",IF(totales!E360="2"&amp;totales!H360="0"&amp;totales!I360="0"&amp;totales!J360="0","b",IF(totales!E360="3"&amp;totales!H360="0"&amp;totales!I360="0"&amp;totales!J360="0","c",IF(totales!E360="4"&amp;totales!H360="0"&amp;totales!I360="0"&amp;totales!J360="0","d",IF(totales!E360="6"&amp;totales!H360="0"&amp;totales!I360="0"&amp;totales!J360="0","e",IF(totales!E360="1"&amp;totales!H360="1"&amp;totales!I360="0"&amp;totales!J360="0","f",IF(totales!E360="2"&amp;totales!H360="1"&amp;totales!I360="0"&amp;totales!J360="0","g",IF(totales!E360="3"&amp;totales!H360="1"&amp;totales!I360="0"&amp;totales!J360="0","h",IF(totales!E360="4"&amp;totales!H360="1"&amp;totales!I360="0"&amp;totales!J360="0","i",IF(totales!E360="6"&amp;totales!H360="1"&amp;totales!I360="0"&amp;totales!J360="0","j",IF(totales!E360="1"&amp;totales!H360="2"&amp;totales!I360="0"&amp;totales!J360="0","k",IF(totales!E360="2"&amp;totales!H360="2"&amp;totales!I360="0"&amp;totales!J360="0","l",IF(totales!E360="3"&amp;totales!H360="2"&amp;totales!I360="0"&amp;totales!J360="0","m",
IF(totales!E360="4"&amp;totales!H360="2"&amp;totales!I360="0"&amp;totales!J360="0","n",IF(totales!E360="6"&amp;totales!H360="2"&amp;totales!I360="0"&amp;totales!J360="0","o",IF(totales!E360="1"&amp;totales!H360="0"&amp;totales!I360="1"&amp;totales!J360="0","p",IF(totales!E360="2"&amp;totales!H360="0"&amp;totales!I360="1"&amp;totales!J360="0","q",IF(totales!E360="3"&amp;totales!H360="0"&amp;totales!I360="1"&amp;totales!J360="0","r",IF(totales!E360="4"&amp;totales!H360="0"&amp;totales!I360="1"&amp;totales!J360="0","s",IF(totales!E360="6"&amp;totales!H360="0"&amp;totales!I360="1"&amp;totales!J360="0","t",IF(totales!E360="1"&amp;totales!H360="2"&amp;totales!I360="1"&amp;totales!J360="0","u",IF(totales!E360="2"&amp;totales!H360="2"&amp;totales!I360="1"&amp;totales!J360="0","v",IF(totales!E360="3"&amp;totales!H360="2"&amp;totales!I360="1"&amp;totales!J360="0","w",IF(totales!E360="4"&amp;totales!H360="2"&amp;totales!I360="1"&amp;totales!J360="0","x",
IF(totales!E360="6"&amp;totales!H360="2"&amp;totales!I360="1"&amp;totales!J360="0","y",IF(totales!E360="1"&amp;totales!H360="1"&amp;totales!I360="1"&amp;totales!J360="0","z",IF(totales!E360="2"&amp;totales!H360="1"&amp;totales!I360="1"&amp;totales!J360="0","0",IF(totales!E360="3"&amp;totales!H360="1"&amp;totales!I360="1"&amp;totales!J360="0","1",IF(totales!E360="4"&amp;totales!H360="1"&amp;totales!I360="1"&amp;totales!J360="0","2",IF(totales!E360="6"&amp;totales!H360="1"&amp;totales!I360="1"&amp;totales!J360="0","3",IF(totales!E360="1"&amp;totales!H360="0"&amp;totales!I360="1"&amp;totales!J360="1","4",IF(totales!E360="2"&amp;totales!H360="0"&amp;totales!I360="1"&amp;totales!J360="1","5",IF(totales!E360="3"&amp;totales!H360="0"&amp;totales!I360="1"&amp;totales!J360="1","6",IF(totales!E360="4"&amp;totales!H360="0"&amp;totales!I360="1"&amp;totales!J360="1","7",IF(totales!E360="6"&amp;totales!H360="0"&amp;totales!I360="1"&amp;totales!J360="1","8",IF(totales!E360="1"&amp;totales!H360="1"&amp;totales!I360="0"&amp;totales!J360="1","9"))))))))))))))))))))))))))))))))))))</f>
        <v>0</v>
      </c>
    </row>
    <row r="360" spans="22:22">
      <c r="V360" s="102" t="b">
        <f>IF(totales!E361="1"&amp;totales!H361="0"&amp;totales!I361="0"&amp;totales!J361="0","a",IF(totales!E361="2"&amp;totales!H361="0"&amp;totales!I361="0"&amp;totales!J361="0","b",IF(totales!E361="3"&amp;totales!H361="0"&amp;totales!I361="0"&amp;totales!J361="0","c",IF(totales!E361="4"&amp;totales!H361="0"&amp;totales!I361="0"&amp;totales!J361="0","d",IF(totales!E361="6"&amp;totales!H361="0"&amp;totales!I361="0"&amp;totales!J361="0","e",IF(totales!E361="1"&amp;totales!H361="1"&amp;totales!I361="0"&amp;totales!J361="0","f",IF(totales!E361="2"&amp;totales!H361="1"&amp;totales!I361="0"&amp;totales!J361="0","g",IF(totales!E361="3"&amp;totales!H361="1"&amp;totales!I361="0"&amp;totales!J361="0","h",IF(totales!E361="4"&amp;totales!H361="1"&amp;totales!I361="0"&amp;totales!J361="0","i",IF(totales!E361="6"&amp;totales!H361="1"&amp;totales!I361="0"&amp;totales!J361="0","j",IF(totales!E361="1"&amp;totales!H361="2"&amp;totales!I361="0"&amp;totales!J361="0","k",IF(totales!E361="2"&amp;totales!H361="2"&amp;totales!I361="0"&amp;totales!J361="0","l",IF(totales!E361="3"&amp;totales!H361="2"&amp;totales!I361="0"&amp;totales!J361="0","m",
IF(totales!E361="4"&amp;totales!H361="2"&amp;totales!I361="0"&amp;totales!J361="0","n",IF(totales!E361="6"&amp;totales!H361="2"&amp;totales!I361="0"&amp;totales!J361="0","o",IF(totales!E361="1"&amp;totales!H361="0"&amp;totales!I361="1"&amp;totales!J361="0","p",IF(totales!E361="2"&amp;totales!H361="0"&amp;totales!I361="1"&amp;totales!J361="0","q",IF(totales!E361="3"&amp;totales!H361="0"&amp;totales!I361="1"&amp;totales!J361="0","r",IF(totales!E361="4"&amp;totales!H361="0"&amp;totales!I361="1"&amp;totales!J361="0","s",IF(totales!E361="6"&amp;totales!H361="0"&amp;totales!I361="1"&amp;totales!J361="0","t",IF(totales!E361="1"&amp;totales!H361="2"&amp;totales!I361="1"&amp;totales!J361="0","u",IF(totales!E361="2"&amp;totales!H361="2"&amp;totales!I361="1"&amp;totales!J361="0","v",IF(totales!E361="3"&amp;totales!H361="2"&amp;totales!I361="1"&amp;totales!J361="0","w",IF(totales!E361="4"&amp;totales!H361="2"&amp;totales!I361="1"&amp;totales!J361="0","x",
IF(totales!E361="6"&amp;totales!H361="2"&amp;totales!I361="1"&amp;totales!J361="0","y",IF(totales!E361="1"&amp;totales!H361="1"&amp;totales!I361="1"&amp;totales!J361="0","z",IF(totales!E361="2"&amp;totales!H361="1"&amp;totales!I361="1"&amp;totales!J361="0","0",IF(totales!E361="3"&amp;totales!H361="1"&amp;totales!I361="1"&amp;totales!J361="0","1",IF(totales!E361="4"&amp;totales!H361="1"&amp;totales!I361="1"&amp;totales!J361="0","2",IF(totales!E361="6"&amp;totales!H361="1"&amp;totales!I361="1"&amp;totales!J361="0","3",IF(totales!E361="1"&amp;totales!H361="0"&amp;totales!I361="1"&amp;totales!J361="1","4",IF(totales!E361="2"&amp;totales!H361="0"&amp;totales!I361="1"&amp;totales!J361="1","5",IF(totales!E361="3"&amp;totales!H361="0"&amp;totales!I361="1"&amp;totales!J361="1","6",IF(totales!E361="4"&amp;totales!H361="0"&amp;totales!I361="1"&amp;totales!J361="1","7",IF(totales!E361="6"&amp;totales!H361="0"&amp;totales!I361="1"&amp;totales!J361="1","8",IF(totales!E361="1"&amp;totales!H361="1"&amp;totales!I361="0"&amp;totales!J361="1","9"))))))))))))))))))))))))))))))))))))</f>
        <v>0</v>
      </c>
    </row>
    <row r="361" spans="22:22">
      <c r="V361" s="102" t="b">
        <f>IF(totales!E362="1"&amp;totales!H362="0"&amp;totales!I362="0"&amp;totales!J362="0","a",IF(totales!E362="2"&amp;totales!H362="0"&amp;totales!I362="0"&amp;totales!J362="0","b",IF(totales!E362="3"&amp;totales!H362="0"&amp;totales!I362="0"&amp;totales!J362="0","c",IF(totales!E362="4"&amp;totales!H362="0"&amp;totales!I362="0"&amp;totales!J362="0","d",IF(totales!E362="6"&amp;totales!H362="0"&amp;totales!I362="0"&amp;totales!J362="0","e",IF(totales!E362="1"&amp;totales!H362="1"&amp;totales!I362="0"&amp;totales!J362="0","f",IF(totales!E362="2"&amp;totales!H362="1"&amp;totales!I362="0"&amp;totales!J362="0","g",IF(totales!E362="3"&amp;totales!H362="1"&amp;totales!I362="0"&amp;totales!J362="0","h",IF(totales!E362="4"&amp;totales!H362="1"&amp;totales!I362="0"&amp;totales!J362="0","i",IF(totales!E362="6"&amp;totales!H362="1"&amp;totales!I362="0"&amp;totales!J362="0","j",IF(totales!E362="1"&amp;totales!H362="2"&amp;totales!I362="0"&amp;totales!J362="0","k",IF(totales!E362="2"&amp;totales!H362="2"&amp;totales!I362="0"&amp;totales!J362="0","l",IF(totales!E362="3"&amp;totales!H362="2"&amp;totales!I362="0"&amp;totales!J362="0","m",
IF(totales!E362="4"&amp;totales!H362="2"&amp;totales!I362="0"&amp;totales!J362="0","n",IF(totales!E362="6"&amp;totales!H362="2"&amp;totales!I362="0"&amp;totales!J362="0","o",IF(totales!E362="1"&amp;totales!H362="0"&amp;totales!I362="1"&amp;totales!J362="0","p",IF(totales!E362="2"&amp;totales!H362="0"&amp;totales!I362="1"&amp;totales!J362="0","q",IF(totales!E362="3"&amp;totales!H362="0"&amp;totales!I362="1"&amp;totales!J362="0","r",IF(totales!E362="4"&amp;totales!H362="0"&amp;totales!I362="1"&amp;totales!J362="0","s",IF(totales!E362="6"&amp;totales!H362="0"&amp;totales!I362="1"&amp;totales!J362="0","t",IF(totales!E362="1"&amp;totales!H362="2"&amp;totales!I362="1"&amp;totales!J362="0","u",IF(totales!E362="2"&amp;totales!H362="2"&amp;totales!I362="1"&amp;totales!J362="0","v",IF(totales!E362="3"&amp;totales!H362="2"&amp;totales!I362="1"&amp;totales!J362="0","w",IF(totales!E362="4"&amp;totales!H362="2"&amp;totales!I362="1"&amp;totales!J362="0","x",
IF(totales!E362="6"&amp;totales!H362="2"&amp;totales!I362="1"&amp;totales!J362="0","y",IF(totales!E362="1"&amp;totales!H362="1"&amp;totales!I362="1"&amp;totales!J362="0","z",IF(totales!E362="2"&amp;totales!H362="1"&amp;totales!I362="1"&amp;totales!J362="0","0",IF(totales!E362="3"&amp;totales!H362="1"&amp;totales!I362="1"&amp;totales!J362="0","1",IF(totales!E362="4"&amp;totales!H362="1"&amp;totales!I362="1"&amp;totales!J362="0","2",IF(totales!E362="6"&amp;totales!H362="1"&amp;totales!I362="1"&amp;totales!J362="0","3",IF(totales!E362="1"&amp;totales!H362="0"&amp;totales!I362="1"&amp;totales!J362="1","4",IF(totales!E362="2"&amp;totales!H362="0"&amp;totales!I362="1"&amp;totales!J362="1","5",IF(totales!E362="3"&amp;totales!H362="0"&amp;totales!I362="1"&amp;totales!J362="1","6",IF(totales!E362="4"&amp;totales!H362="0"&amp;totales!I362="1"&amp;totales!J362="1","7",IF(totales!E362="6"&amp;totales!H362="0"&amp;totales!I362="1"&amp;totales!J362="1","8",IF(totales!E362="1"&amp;totales!H362="1"&amp;totales!I362="0"&amp;totales!J362="1","9"))))))))))))))))))))))))))))))))))))</f>
        <v>0</v>
      </c>
    </row>
    <row r="362" spans="22:22">
      <c r="V362" s="102" t="b">
        <f>IF(totales!E363="1"&amp;totales!H363="0"&amp;totales!I363="0"&amp;totales!J363="0","a",IF(totales!E363="2"&amp;totales!H363="0"&amp;totales!I363="0"&amp;totales!J363="0","b",IF(totales!E363="3"&amp;totales!H363="0"&amp;totales!I363="0"&amp;totales!J363="0","c",IF(totales!E363="4"&amp;totales!H363="0"&amp;totales!I363="0"&amp;totales!J363="0","d",IF(totales!E363="6"&amp;totales!H363="0"&amp;totales!I363="0"&amp;totales!J363="0","e",IF(totales!E363="1"&amp;totales!H363="1"&amp;totales!I363="0"&amp;totales!J363="0","f",IF(totales!E363="2"&amp;totales!H363="1"&amp;totales!I363="0"&amp;totales!J363="0","g",IF(totales!E363="3"&amp;totales!H363="1"&amp;totales!I363="0"&amp;totales!J363="0","h",IF(totales!E363="4"&amp;totales!H363="1"&amp;totales!I363="0"&amp;totales!J363="0","i",IF(totales!E363="6"&amp;totales!H363="1"&amp;totales!I363="0"&amp;totales!J363="0","j",IF(totales!E363="1"&amp;totales!H363="2"&amp;totales!I363="0"&amp;totales!J363="0","k",IF(totales!E363="2"&amp;totales!H363="2"&amp;totales!I363="0"&amp;totales!J363="0","l",IF(totales!E363="3"&amp;totales!H363="2"&amp;totales!I363="0"&amp;totales!J363="0","m",
IF(totales!E363="4"&amp;totales!H363="2"&amp;totales!I363="0"&amp;totales!J363="0","n",IF(totales!E363="6"&amp;totales!H363="2"&amp;totales!I363="0"&amp;totales!J363="0","o",IF(totales!E363="1"&amp;totales!H363="0"&amp;totales!I363="1"&amp;totales!J363="0","p",IF(totales!E363="2"&amp;totales!H363="0"&amp;totales!I363="1"&amp;totales!J363="0","q",IF(totales!E363="3"&amp;totales!H363="0"&amp;totales!I363="1"&amp;totales!J363="0","r",IF(totales!E363="4"&amp;totales!H363="0"&amp;totales!I363="1"&amp;totales!J363="0","s",IF(totales!E363="6"&amp;totales!H363="0"&amp;totales!I363="1"&amp;totales!J363="0","t",IF(totales!E363="1"&amp;totales!H363="2"&amp;totales!I363="1"&amp;totales!J363="0","u",IF(totales!E363="2"&amp;totales!H363="2"&amp;totales!I363="1"&amp;totales!J363="0","v",IF(totales!E363="3"&amp;totales!H363="2"&amp;totales!I363="1"&amp;totales!J363="0","w",IF(totales!E363="4"&amp;totales!H363="2"&amp;totales!I363="1"&amp;totales!J363="0","x",
IF(totales!E363="6"&amp;totales!H363="2"&amp;totales!I363="1"&amp;totales!J363="0","y",IF(totales!E363="1"&amp;totales!H363="1"&amp;totales!I363="1"&amp;totales!J363="0","z",IF(totales!E363="2"&amp;totales!H363="1"&amp;totales!I363="1"&amp;totales!J363="0","0",IF(totales!E363="3"&amp;totales!H363="1"&amp;totales!I363="1"&amp;totales!J363="0","1",IF(totales!E363="4"&amp;totales!H363="1"&amp;totales!I363="1"&amp;totales!J363="0","2",IF(totales!E363="6"&amp;totales!H363="1"&amp;totales!I363="1"&amp;totales!J363="0","3",IF(totales!E363="1"&amp;totales!H363="0"&amp;totales!I363="1"&amp;totales!J363="1","4",IF(totales!E363="2"&amp;totales!H363="0"&amp;totales!I363="1"&amp;totales!J363="1","5",IF(totales!E363="3"&amp;totales!H363="0"&amp;totales!I363="1"&amp;totales!J363="1","6",IF(totales!E363="4"&amp;totales!H363="0"&amp;totales!I363="1"&amp;totales!J363="1","7",IF(totales!E363="6"&amp;totales!H363="0"&amp;totales!I363="1"&amp;totales!J363="1","8",IF(totales!E363="1"&amp;totales!H363="1"&amp;totales!I363="0"&amp;totales!J363="1","9"))))))))))))))))))))))))))))))))))))</f>
        <v>0</v>
      </c>
    </row>
    <row r="363" spans="22:22">
      <c r="V363" s="102" t="b">
        <f>IF(totales!E364="1"&amp;totales!H364="0"&amp;totales!I364="0"&amp;totales!J364="0","a",IF(totales!E364="2"&amp;totales!H364="0"&amp;totales!I364="0"&amp;totales!J364="0","b",IF(totales!E364="3"&amp;totales!H364="0"&amp;totales!I364="0"&amp;totales!J364="0","c",IF(totales!E364="4"&amp;totales!H364="0"&amp;totales!I364="0"&amp;totales!J364="0","d",IF(totales!E364="6"&amp;totales!H364="0"&amp;totales!I364="0"&amp;totales!J364="0","e",IF(totales!E364="1"&amp;totales!H364="1"&amp;totales!I364="0"&amp;totales!J364="0","f",IF(totales!E364="2"&amp;totales!H364="1"&amp;totales!I364="0"&amp;totales!J364="0","g",IF(totales!E364="3"&amp;totales!H364="1"&amp;totales!I364="0"&amp;totales!J364="0","h",IF(totales!E364="4"&amp;totales!H364="1"&amp;totales!I364="0"&amp;totales!J364="0","i",IF(totales!E364="6"&amp;totales!H364="1"&amp;totales!I364="0"&amp;totales!J364="0","j",IF(totales!E364="1"&amp;totales!H364="2"&amp;totales!I364="0"&amp;totales!J364="0","k",IF(totales!E364="2"&amp;totales!H364="2"&amp;totales!I364="0"&amp;totales!J364="0","l",IF(totales!E364="3"&amp;totales!H364="2"&amp;totales!I364="0"&amp;totales!J364="0","m",
IF(totales!E364="4"&amp;totales!H364="2"&amp;totales!I364="0"&amp;totales!J364="0","n",IF(totales!E364="6"&amp;totales!H364="2"&amp;totales!I364="0"&amp;totales!J364="0","o",IF(totales!E364="1"&amp;totales!H364="0"&amp;totales!I364="1"&amp;totales!J364="0","p",IF(totales!E364="2"&amp;totales!H364="0"&amp;totales!I364="1"&amp;totales!J364="0","q",IF(totales!E364="3"&amp;totales!H364="0"&amp;totales!I364="1"&amp;totales!J364="0","r",IF(totales!E364="4"&amp;totales!H364="0"&amp;totales!I364="1"&amp;totales!J364="0","s",IF(totales!E364="6"&amp;totales!H364="0"&amp;totales!I364="1"&amp;totales!J364="0","t",IF(totales!E364="1"&amp;totales!H364="2"&amp;totales!I364="1"&amp;totales!J364="0","u",IF(totales!E364="2"&amp;totales!H364="2"&amp;totales!I364="1"&amp;totales!J364="0","v",IF(totales!E364="3"&amp;totales!H364="2"&amp;totales!I364="1"&amp;totales!J364="0","w",IF(totales!E364="4"&amp;totales!H364="2"&amp;totales!I364="1"&amp;totales!J364="0","x",
IF(totales!E364="6"&amp;totales!H364="2"&amp;totales!I364="1"&amp;totales!J364="0","y",IF(totales!E364="1"&amp;totales!H364="1"&amp;totales!I364="1"&amp;totales!J364="0","z",IF(totales!E364="2"&amp;totales!H364="1"&amp;totales!I364="1"&amp;totales!J364="0","0",IF(totales!E364="3"&amp;totales!H364="1"&amp;totales!I364="1"&amp;totales!J364="0","1",IF(totales!E364="4"&amp;totales!H364="1"&amp;totales!I364="1"&amp;totales!J364="0","2",IF(totales!E364="6"&amp;totales!H364="1"&amp;totales!I364="1"&amp;totales!J364="0","3",IF(totales!E364="1"&amp;totales!H364="0"&amp;totales!I364="1"&amp;totales!J364="1","4",IF(totales!E364="2"&amp;totales!H364="0"&amp;totales!I364="1"&amp;totales!J364="1","5",IF(totales!E364="3"&amp;totales!H364="0"&amp;totales!I364="1"&amp;totales!J364="1","6",IF(totales!E364="4"&amp;totales!H364="0"&amp;totales!I364="1"&amp;totales!J364="1","7",IF(totales!E364="6"&amp;totales!H364="0"&amp;totales!I364="1"&amp;totales!J364="1","8",IF(totales!E364="1"&amp;totales!H364="1"&amp;totales!I364="0"&amp;totales!J364="1","9"))))))))))))))))))))))))))))))))))))</f>
        <v>0</v>
      </c>
    </row>
    <row r="364" spans="22:22">
      <c r="V364" s="102" t="b">
        <f>IF(totales!E365="1"&amp;totales!H365="0"&amp;totales!I365="0"&amp;totales!J365="0","a",IF(totales!E365="2"&amp;totales!H365="0"&amp;totales!I365="0"&amp;totales!J365="0","b",IF(totales!E365="3"&amp;totales!H365="0"&amp;totales!I365="0"&amp;totales!J365="0","c",IF(totales!E365="4"&amp;totales!H365="0"&amp;totales!I365="0"&amp;totales!J365="0","d",IF(totales!E365="6"&amp;totales!H365="0"&amp;totales!I365="0"&amp;totales!J365="0","e",IF(totales!E365="1"&amp;totales!H365="1"&amp;totales!I365="0"&amp;totales!J365="0","f",IF(totales!E365="2"&amp;totales!H365="1"&amp;totales!I365="0"&amp;totales!J365="0","g",IF(totales!E365="3"&amp;totales!H365="1"&amp;totales!I365="0"&amp;totales!J365="0","h",IF(totales!E365="4"&amp;totales!H365="1"&amp;totales!I365="0"&amp;totales!J365="0","i",IF(totales!E365="6"&amp;totales!H365="1"&amp;totales!I365="0"&amp;totales!J365="0","j",IF(totales!E365="1"&amp;totales!H365="2"&amp;totales!I365="0"&amp;totales!J365="0","k",IF(totales!E365="2"&amp;totales!H365="2"&amp;totales!I365="0"&amp;totales!J365="0","l",IF(totales!E365="3"&amp;totales!H365="2"&amp;totales!I365="0"&amp;totales!J365="0","m",
IF(totales!E365="4"&amp;totales!H365="2"&amp;totales!I365="0"&amp;totales!J365="0","n",IF(totales!E365="6"&amp;totales!H365="2"&amp;totales!I365="0"&amp;totales!J365="0","o",IF(totales!E365="1"&amp;totales!H365="0"&amp;totales!I365="1"&amp;totales!J365="0","p",IF(totales!E365="2"&amp;totales!H365="0"&amp;totales!I365="1"&amp;totales!J365="0","q",IF(totales!E365="3"&amp;totales!H365="0"&amp;totales!I365="1"&amp;totales!J365="0","r",IF(totales!E365="4"&amp;totales!H365="0"&amp;totales!I365="1"&amp;totales!J365="0","s",IF(totales!E365="6"&amp;totales!H365="0"&amp;totales!I365="1"&amp;totales!J365="0","t",IF(totales!E365="1"&amp;totales!H365="2"&amp;totales!I365="1"&amp;totales!J365="0","u",IF(totales!E365="2"&amp;totales!H365="2"&amp;totales!I365="1"&amp;totales!J365="0","v",IF(totales!E365="3"&amp;totales!H365="2"&amp;totales!I365="1"&amp;totales!J365="0","w",IF(totales!E365="4"&amp;totales!H365="2"&amp;totales!I365="1"&amp;totales!J365="0","x",
IF(totales!E365="6"&amp;totales!H365="2"&amp;totales!I365="1"&amp;totales!J365="0","y",IF(totales!E365="1"&amp;totales!H365="1"&amp;totales!I365="1"&amp;totales!J365="0","z",IF(totales!E365="2"&amp;totales!H365="1"&amp;totales!I365="1"&amp;totales!J365="0","0",IF(totales!E365="3"&amp;totales!H365="1"&amp;totales!I365="1"&amp;totales!J365="0","1",IF(totales!E365="4"&amp;totales!H365="1"&amp;totales!I365="1"&amp;totales!J365="0","2",IF(totales!E365="6"&amp;totales!H365="1"&amp;totales!I365="1"&amp;totales!J365="0","3",IF(totales!E365="1"&amp;totales!H365="0"&amp;totales!I365="1"&amp;totales!J365="1","4",IF(totales!E365="2"&amp;totales!H365="0"&amp;totales!I365="1"&amp;totales!J365="1","5",IF(totales!E365="3"&amp;totales!H365="0"&amp;totales!I365="1"&amp;totales!J365="1","6",IF(totales!E365="4"&amp;totales!H365="0"&amp;totales!I365="1"&amp;totales!J365="1","7",IF(totales!E365="6"&amp;totales!H365="0"&amp;totales!I365="1"&amp;totales!J365="1","8",IF(totales!E365="1"&amp;totales!H365="1"&amp;totales!I365="0"&amp;totales!J365="1","9"))))))))))))))))))))))))))))))))))))</f>
        <v>0</v>
      </c>
    </row>
    <row r="365" spans="22:22">
      <c r="V365" s="102" t="b">
        <f>IF(totales!E366="1"&amp;totales!H366="0"&amp;totales!I366="0"&amp;totales!J366="0","a",IF(totales!E366="2"&amp;totales!H366="0"&amp;totales!I366="0"&amp;totales!J366="0","b",IF(totales!E366="3"&amp;totales!H366="0"&amp;totales!I366="0"&amp;totales!J366="0","c",IF(totales!E366="4"&amp;totales!H366="0"&amp;totales!I366="0"&amp;totales!J366="0","d",IF(totales!E366="6"&amp;totales!H366="0"&amp;totales!I366="0"&amp;totales!J366="0","e",IF(totales!E366="1"&amp;totales!H366="1"&amp;totales!I366="0"&amp;totales!J366="0","f",IF(totales!E366="2"&amp;totales!H366="1"&amp;totales!I366="0"&amp;totales!J366="0","g",IF(totales!E366="3"&amp;totales!H366="1"&amp;totales!I366="0"&amp;totales!J366="0","h",IF(totales!E366="4"&amp;totales!H366="1"&amp;totales!I366="0"&amp;totales!J366="0","i",IF(totales!E366="6"&amp;totales!H366="1"&amp;totales!I366="0"&amp;totales!J366="0","j",IF(totales!E366="1"&amp;totales!H366="2"&amp;totales!I366="0"&amp;totales!J366="0","k",IF(totales!E366="2"&amp;totales!H366="2"&amp;totales!I366="0"&amp;totales!J366="0","l",IF(totales!E366="3"&amp;totales!H366="2"&amp;totales!I366="0"&amp;totales!J366="0","m",
IF(totales!E366="4"&amp;totales!H366="2"&amp;totales!I366="0"&amp;totales!J366="0","n",IF(totales!E366="6"&amp;totales!H366="2"&amp;totales!I366="0"&amp;totales!J366="0","o",IF(totales!E366="1"&amp;totales!H366="0"&amp;totales!I366="1"&amp;totales!J366="0","p",IF(totales!E366="2"&amp;totales!H366="0"&amp;totales!I366="1"&amp;totales!J366="0","q",IF(totales!E366="3"&amp;totales!H366="0"&amp;totales!I366="1"&amp;totales!J366="0","r",IF(totales!E366="4"&amp;totales!H366="0"&amp;totales!I366="1"&amp;totales!J366="0","s",IF(totales!E366="6"&amp;totales!H366="0"&amp;totales!I366="1"&amp;totales!J366="0","t",IF(totales!E366="1"&amp;totales!H366="2"&amp;totales!I366="1"&amp;totales!J366="0","u",IF(totales!E366="2"&amp;totales!H366="2"&amp;totales!I366="1"&amp;totales!J366="0","v",IF(totales!E366="3"&amp;totales!H366="2"&amp;totales!I366="1"&amp;totales!J366="0","w",IF(totales!E366="4"&amp;totales!H366="2"&amp;totales!I366="1"&amp;totales!J366="0","x",
IF(totales!E366="6"&amp;totales!H366="2"&amp;totales!I366="1"&amp;totales!J366="0","y",IF(totales!E366="1"&amp;totales!H366="1"&amp;totales!I366="1"&amp;totales!J366="0","z",IF(totales!E366="2"&amp;totales!H366="1"&amp;totales!I366="1"&amp;totales!J366="0","0",IF(totales!E366="3"&amp;totales!H366="1"&amp;totales!I366="1"&amp;totales!J366="0","1",IF(totales!E366="4"&amp;totales!H366="1"&amp;totales!I366="1"&amp;totales!J366="0","2",IF(totales!E366="6"&amp;totales!H366="1"&amp;totales!I366="1"&amp;totales!J366="0","3",IF(totales!E366="1"&amp;totales!H366="0"&amp;totales!I366="1"&amp;totales!J366="1","4",IF(totales!E366="2"&amp;totales!H366="0"&amp;totales!I366="1"&amp;totales!J366="1","5",IF(totales!E366="3"&amp;totales!H366="0"&amp;totales!I366="1"&amp;totales!J366="1","6",IF(totales!E366="4"&amp;totales!H366="0"&amp;totales!I366="1"&amp;totales!J366="1","7",IF(totales!E366="6"&amp;totales!H366="0"&amp;totales!I366="1"&amp;totales!J366="1","8",IF(totales!E366="1"&amp;totales!H366="1"&amp;totales!I366="0"&amp;totales!J366="1","9"))))))))))))))))))))))))))))))))))))</f>
        <v>0</v>
      </c>
    </row>
    <row r="366" spans="22:22">
      <c r="V366" s="102" t="b">
        <f>IF(totales!E367="1"&amp;totales!H367="0"&amp;totales!I367="0"&amp;totales!J367="0","a",IF(totales!E367="2"&amp;totales!H367="0"&amp;totales!I367="0"&amp;totales!J367="0","b",IF(totales!E367="3"&amp;totales!H367="0"&amp;totales!I367="0"&amp;totales!J367="0","c",IF(totales!E367="4"&amp;totales!H367="0"&amp;totales!I367="0"&amp;totales!J367="0","d",IF(totales!E367="6"&amp;totales!H367="0"&amp;totales!I367="0"&amp;totales!J367="0","e",IF(totales!E367="1"&amp;totales!H367="1"&amp;totales!I367="0"&amp;totales!J367="0","f",IF(totales!E367="2"&amp;totales!H367="1"&amp;totales!I367="0"&amp;totales!J367="0","g",IF(totales!E367="3"&amp;totales!H367="1"&amp;totales!I367="0"&amp;totales!J367="0","h",IF(totales!E367="4"&amp;totales!H367="1"&amp;totales!I367="0"&amp;totales!J367="0","i",IF(totales!E367="6"&amp;totales!H367="1"&amp;totales!I367="0"&amp;totales!J367="0","j",IF(totales!E367="1"&amp;totales!H367="2"&amp;totales!I367="0"&amp;totales!J367="0","k",IF(totales!E367="2"&amp;totales!H367="2"&amp;totales!I367="0"&amp;totales!J367="0","l",IF(totales!E367="3"&amp;totales!H367="2"&amp;totales!I367="0"&amp;totales!J367="0","m",
IF(totales!E367="4"&amp;totales!H367="2"&amp;totales!I367="0"&amp;totales!J367="0","n",IF(totales!E367="6"&amp;totales!H367="2"&amp;totales!I367="0"&amp;totales!J367="0","o",IF(totales!E367="1"&amp;totales!H367="0"&amp;totales!I367="1"&amp;totales!J367="0","p",IF(totales!E367="2"&amp;totales!H367="0"&amp;totales!I367="1"&amp;totales!J367="0","q",IF(totales!E367="3"&amp;totales!H367="0"&amp;totales!I367="1"&amp;totales!J367="0","r",IF(totales!E367="4"&amp;totales!H367="0"&amp;totales!I367="1"&amp;totales!J367="0","s",IF(totales!E367="6"&amp;totales!H367="0"&amp;totales!I367="1"&amp;totales!J367="0","t",IF(totales!E367="1"&amp;totales!H367="2"&amp;totales!I367="1"&amp;totales!J367="0","u",IF(totales!E367="2"&amp;totales!H367="2"&amp;totales!I367="1"&amp;totales!J367="0","v",IF(totales!E367="3"&amp;totales!H367="2"&amp;totales!I367="1"&amp;totales!J367="0","w",IF(totales!E367="4"&amp;totales!H367="2"&amp;totales!I367="1"&amp;totales!J367="0","x",
IF(totales!E367="6"&amp;totales!H367="2"&amp;totales!I367="1"&amp;totales!J367="0","y",IF(totales!E367="1"&amp;totales!H367="1"&amp;totales!I367="1"&amp;totales!J367="0","z",IF(totales!E367="2"&amp;totales!H367="1"&amp;totales!I367="1"&amp;totales!J367="0","0",IF(totales!E367="3"&amp;totales!H367="1"&amp;totales!I367="1"&amp;totales!J367="0","1",IF(totales!E367="4"&amp;totales!H367="1"&amp;totales!I367="1"&amp;totales!J367="0","2",IF(totales!E367="6"&amp;totales!H367="1"&amp;totales!I367="1"&amp;totales!J367="0","3",IF(totales!E367="1"&amp;totales!H367="0"&amp;totales!I367="1"&amp;totales!J367="1","4",IF(totales!E367="2"&amp;totales!H367="0"&amp;totales!I367="1"&amp;totales!J367="1","5",IF(totales!E367="3"&amp;totales!H367="0"&amp;totales!I367="1"&amp;totales!J367="1","6",IF(totales!E367="4"&amp;totales!H367="0"&amp;totales!I367="1"&amp;totales!J367="1","7",IF(totales!E367="6"&amp;totales!H367="0"&amp;totales!I367="1"&amp;totales!J367="1","8",IF(totales!E367="1"&amp;totales!H367="1"&amp;totales!I367="0"&amp;totales!J367="1","9"))))))))))))))))))))))))))))))))))))</f>
        <v>0</v>
      </c>
    </row>
    <row r="367" spans="22:22">
      <c r="V367" s="102" t="b">
        <f>IF(totales!E368="1"&amp;totales!H368="0"&amp;totales!I368="0"&amp;totales!J368="0","a",IF(totales!E368="2"&amp;totales!H368="0"&amp;totales!I368="0"&amp;totales!J368="0","b",IF(totales!E368="3"&amp;totales!H368="0"&amp;totales!I368="0"&amp;totales!J368="0","c",IF(totales!E368="4"&amp;totales!H368="0"&amp;totales!I368="0"&amp;totales!J368="0","d",IF(totales!E368="6"&amp;totales!H368="0"&amp;totales!I368="0"&amp;totales!J368="0","e",IF(totales!E368="1"&amp;totales!H368="1"&amp;totales!I368="0"&amp;totales!J368="0","f",IF(totales!E368="2"&amp;totales!H368="1"&amp;totales!I368="0"&amp;totales!J368="0","g",IF(totales!E368="3"&amp;totales!H368="1"&amp;totales!I368="0"&amp;totales!J368="0","h",IF(totales!E368="4"&amp;totales!H368="1"&amp;totales!I368="0"&amp;totales!J368="0","i",IF(totales!E368="6"&amp;totales!H368="1"&amp;totales!I368="0"&amp;totales!J368="0","j",IF(totales!E368="1"&amp;totales!H368="2"&amp;totales!I368="0"&amp;totales!J368="0","k",IF(totales!E368="2"&amp;totales!H368="2"&amp;totales!I368="0"&amp;totales!J368="0","l",IF(totales!E368="3"&amp;totales!H368="2"&amp;totales!I368="0"&amp;totales!J368="0","m",
IF(totales!E368="4"&amp;totales!H368="2"&amp;totales!I368="0"&amp;totales!J368="0","n",IF(totales!E368="6"&amp;totales!H368="2"&amp;totales!I368="0"&amp;totales!J368="0","o",IF(totales!E368="1"&amp;totales!H368="0"&amp;totales!I368="1"&amp;totales!J368="0","p",IF(totales!E368="2"&amp;totales!H368="0"&amp;totales!I368="1"&amp;totales!J368="0","q",IF(totales!E368="3"&amp;totales!H368="0"&amp;totales!I368="1"&amp;totales!J368="0","r",IF(totales!E368="4"&amp;totales!H368="0"&amp;totales!I368="1"&amp;totales!J368="0","s",IF(totales!E368="6"&amp;totales!H368="0"&amp;totales!I368="1"&amp;totales!J368="0","t",IF(totales!E368="1"&amp;totales!H368="2"&amp;totales!I368="1"&amp;totales!J368="0","u",IF(totales!E368="2"&amp;totales!H368="2"&amp;totales!I368="1"&amp;totales!J368="0","v",IF(totales!E368="3"&amp;totales!H368="2"&amp;totales!I368="1"&amp;totales!J368="0","w",IF(totales!E368="4"&amp;totales!H368="2"&amp;totales!I368="1"&amp;totales!J368="0","x",
IF(totales!E368="6"&amp;totales!H368="2"&amp;totales!I368="1"&amp;totales!J368="0","y",IF(totales!E368="1"&amp;totales!H368="1"&amp;totales!I368="1"&amp;totales!J368="0","z",IF(totales!E368="2"&amp;totales!H368="1"&amp;totales!I368="1"&amp;totales!J368="0","0",IF(totales!E368="3"&amp;totales!H368="1"&amp;totales!I368="1"&amp;totales!J368="0","1",IF(totales!E368="4"&amp;totales!H368="1"&amp;totales!I368="1"&amp;totales!J368="0","2",IF(totales!E368="6"&amp;totales!H368="1"&amp;totales!I368="1"&amp;totales!J368="0","3",IF(totales!E368="1"&amp;totales!H368="0"&amp;totales!I368="1"&amp;totales!J368="1","4",IF(totales!E368="2"&amp;totales!H368="0"&amp;totales!I368="1"&amp;totales!J368="1","5",IF(totales!E368="3"&amp;totales!H368="0"&amp;totales!I368="1"&amp;totales!J368="1","6",IF(totales!E368="4"&amp;totales!H368="0"&amp;totales!I368="1"&amp;totales!J368="1","7",IF(totales!E368="6"&amp;totales!H368="0"&amp;totales!I368="1"&amp;totales!J368="1","8",IF(totales!E368="1"&amp;totales!H368="1"&amp;totales!I368="0"&amp;totales!J368="1","9"))))))))))))))))))))))))))))))))))))</f>
        <v>0</v>
      </c>
    </row>
    <row r="368" spans="22:22">
      <c r="V368" s="102" t="b">
        <f>IF(totales!E369="1"&amp;totales!H369="0"&amp;totales!I369="0"&amp;totales!J369="0","a",IF(totales!E369="2"&amp;totales!H369="0"&amp;totales!I369="0"&amp;totales!J369="0","b",IF(totales!E369="3"&amp;totales!H369="0"&amp;totales!I369="0"&amp;totales!J369="0","c",IF(totales!E369="4"&amp;totales!H369="0"&amp;totales!I369="0"&amp;totales!J369="0","d",IF(totales!E369="6"&amp;totales!H369="0"&amp;totales!I369="0"&amp;totales!J369="0","e",IF(totales!E369="1"&amp;totales!H369="1"&amp;totales!I369="0"&amp;totales!J369="0","f",IF(totales!E369="2"&amp;totales!H369="1"&amp;totales!I369="0"&amp;totales!J369="0","g",IF(totales!E369="3"&amp;totales!H369="1"&amp;totales!I369="0"&amp;totales!J369="0","h",IF(totales!E369="4"&amp;totales!H369="1"&amp;totales!I369="0"&amp;totales!J369="0","i",IF(totales!E369="6"&amp;totales!H369="1"&amp;totales!I369="0"&amp;totales!J369="0","j",IF(totales!E369="1"&amp;totales!H369="2"&amp;totales!I369="0"&amp;totales!J369="0","k",IF(totales!E369="2"&amp;totales!H369="2"&amp;totales!I369="0"&amp;totales!J369="0","l",IF(totales!E369="3"&amp;totales!H369="2"&amp;totales!I369="0"&amp;totales!J369="0","m",
IF(totales!E369="4"&amp;totales!H369="2"&amp;totales!I369="0"&amp;totales!J369="0","n",IF(totales!E369="6"&amp;totales!H369="2"&amp;totales!I369="0"&amp;totales!J369="0","o",IF(totales!E369="1"&amp;totales!H369="0"&amp;totales!I369="1"&amp;totales!J369="0","p",IF(totales!E369="2"&amp;totales!H369="0"&amp;totales!I369="1"&amp;totales!J369="0","q",IF(totales!E369="3"&amp;totales!H369="0"&amp;totales!I369="1"&amp;totales!J369="0","r",IF(totales!E369="4"&amp;totales!H369="0"&amp;totales!I369="1"&amp;totales!J369="0","s",IF(totales!E369="6"&amp;totales!H369="0"&amp;totales!I369="1"&amp;totales!J369="0","t",IF(totales!E369="1"&amp;totales!H369="2"&amp;totales!I369="1"&amp;totales!J369="0","u",IF(totales!E369="2"&amp;totales!H369="2"&amp;totales!I369="1"&amp;totales!J369="0","v",IF(totales!E369="3"&amp;totales!H369="2"&amp;totales!I369="1"&amp;totales!J369="0","w",IF(totales!E369="4"&amp;totales!H369="2"&amp;totales!I369="1"&amp;totales!J369="0","x",
IF(totales!E369="6"&amp;totales!H369="2"&amp;totales!I369="1"&amp;totales!J369="0","y",IF(totales!E369="1"&amp;totales!H369="1"&amp;totales!I369="1"&amp;totales!J369="0","z",IF(totales!E369="2"&amp;totales!H369="1"&amp;totales!I369="1"&amp;totales!J369="0","0",IF(totales!E369="3"&amp;totales!H369="1"&amp;totales!I369="1"&amp;totales!J369="0","1",IF(totales!E369="4"&amp;totales!H369="1"&amp;totales!I369="1"&amp;totales!J369="0","2",IF(totales!E369="6"&amp;totales!H369="1"&amp;totales!I369="1"&amp;totales!J369="0","3",IF(totales!E369="1"&amp;totales!H369="0"&amp;totales!I369="1"&amp;totales!J369="1","4",IF(totales!E369="2"&amp;totales!H369="0"&amp;totales!I369="1"&amp;totales!J369="1","5",IF(totales!E369="3"&amp;totales!H369="0"&amp;totales!I369="1"&amp;totales!J369="1","6",IF(totales!E369="4"&amp;totales!H369="0"&amp;totales!I369="1"&amp;totales!J369="1","7",IF(totales!E369="6"&amp;totales!H369="0"&amp;totales!I369="1"&amp;totales!J369="1","8",IF(totales!E369="1"&amp;totales!H369="1"&amp;totales!I369="0"&amp;totales!J369="1","9"))))))))))))))))))))))))))))))))))))</f>
        <v>0</v>
      </c>
    </row>
    <row r="369" spans="22:22">
      <c r="V369" s="102" t="b">
        <f>IF(totales!E370="1"&amp;totales!H370="0"&amp;totales!I370="0"&amp;totales!J370="0","a",IF(totales!E370="2"&amp;totales!H370="0"&amp;totales!I370="0"&amp;totales!J370="0","b",IF(totales!E370="3"&amp;totales!H370="0"&amp;totales!I370="0"&amp;totales!J370="0","c",IF(totales!E370="4"&amp;totales!H370="0"&amp;totales!I370="0"&amp;totales!J370="0","d",IF(totales!E370="6"&amp;totales!H370="0"&amp;totales!I370="0"&amp;totales!J370="0","e",IF(totales!E370="1"&amp;totales!H370="1"&amp;totales!I370="0"&amp;totales!J370="0","f",IF(totales!E370="2"&amp;totales!H370="1"&amp;totales!I370="0"&amp;totales!J370="0","g",IF(totales!E370="3"&amp;totales!H370="1"&amp;totales!I370="0"&amp;totales!J370="0","h",IF(totales!E370="4"&amp;totales!H370="1"&amp;totales!I370="0"&amp;totales!J370="0","i",IF(totales!E370="6"&amp;totales!H370="1"&amp;totales!I370="0"&amp;totales!J370="0","j",IF(totales!E370="1"&amp;totales!H370="2"&amp;totales!I370="0"&amp;totales!J370="0","k",IF(totales!E370="2"&amp;totales!H370="2"&amp;totales!I370="0"&amp;totales!J370="0","l",IF(totales!E370="3"&amp;totales!H370="2"&amp;totales!I370="0"&amp;totales!J370="0","m",
IF(totales!E370="4"&amp;totales!H370="2"&amp;totales!I370="0"&amp;totales!J370="0","n",IF(totales!E370="6"&amp;totales!H370="2"&amp;totales!I370="0"&amp;totales!J370="0","o",IF(totales!E370="1"&amp;totales!H370="0"&amp;totales!I370="1"&amp;totales!J370="0","p",IF(totales!E370="2"&amp;totales!H370="0"&amp;totales!I370="1"&amp;totales!J370="0","q",IF(totales!E370="3"&amp;totales!H370="0"&amp;totales!I370="1"&amp;totales!J370="0","r",IF(totales!E370="4"&amp;totales!H370="0"&amp;totales!I370="1"&amp;totales!J370="0","s",IF(totales!E370="6"&amp;totales!H370="0"&amp;totales!I370="1"&amp;totales!J370="0","t",IF(totales!E370="1"&amp;totales!H370="2"&amp;totales!I370="1"&amp;totales!J370="0","u",IF(totales!E370="2"&amp;totales!H370="2"&amp;totales!I370="1"&amp;totales!J370="0","v",IF(totales!E370="3"&amp;totales!H370="2"&amp;totales!I370="1"&amp;totales!J370="0","w",IF(totales!E370="4"&amp;totales!H370="2"&amp;totales!I370="1"&amp;totales!J370="0","x",
IF(totales!E370="6"&amp;totales!H370="2"&amp;totales!I370="1"&amp;totales!J370="0","y",IF(totales!E370="1"&amp;totales!H370="1"&amp;totales!I370="1"&amp;totales!J370="0","z",IF(totales!E370="2"&amp;totales!H370="1"&amp;totales!I370="1"&amp;totales!J370="0","0",IF(totales!E370="3"&amp;totales!H370="1"&amp;totales!I370="1"&amp;totales!J370="0","1",IF(totales!E370="4"&amp;totales!H370="1"&amp;totales!I370="1"&amp;totales!J370="0","2",IF(totales!E370="6"&amp;totales!H370="1"&amp;totales!I370="1"&amp;totales!J370="0","3",IF(totales!E370="1"&amp;totales!H370="0"&amp;totales!I370="1"&amp;totales!J370="1","4",IF(totales!E370="2"&amp;totales!H370="0"&amp;totales!I370="1"&amp;totales!J370="1","5",IF(totales!E370="3"&amp;totales!H370="0"&amp;totales!I370="1"&amp;totales!J370="1","6",IF(totales!E370="4"&amp;totales!H370="0"&amp;totales!I370="1"&amp;totales!J370="1","7",IF(totales!E370="6"&amp;totales!H370="0"&amp;totales!I370="1"&amp;totales!J370="1","8",IF(totales!E370="1"&amp;totales!H370="1"&amp;totales!I370="0"&amp;totales!J370="1","9"))))))))))))))))))))))))))))))))))))</f>
        <v>0</v>
      </c>
    </row>
    <row r="370" spans="22:22">
      <c r="V370" s="102" t="b">
        <f>IF(totales!E371="1"&amp;totales!H371="0"&amp;totales!I371="0"&amp;totales!J371="0","a",IF(totales!E371="2"&amp;totales!H371="0"&amp;totales!I371="0"&amp;totales!J371="0","b",IF(totales!E371="3"&amp;totales!H371="0"&amp;totales!I371="0"&amp;totales!J371="0","c",IF(totales!E371="4"&amp;totales!H371="0"&amp;totales!I371="0"&amp;totales!J371="0","d",IF(totales!E371="6"&amp;totales!H371="0"&amp;totales!I371="0"&amp;totales!J371="0","e",IF(totales!E371="1"&amp;totales!H371="1"&amp;totales!I371="0"&amp;totales!J371="0","f",IF(totales!E371="2"&amp;totales!H371="1"&amp;totales!I371="0"&amp;totales!J371="0","g",IF(totales!E371="3"&amp;totales!H371="1"&amp;totales!I371="0"&amp;totales!J371="0","h",IF(totales!E371="4"&amp;totales!H371="1"&amp;totales!I371="0"&amp;totales!J371="0","i",IF(totales!E371="6"&amp;totales!H371="1"&amp;totales!I371="0"&amp;totales!J371="0","j",IF(totales!E371="1"&amp;totales!H371="2"&amp;totales!I371="0"&amp;totales!J371="0","k",IF(totales!E371="2"&amp;totales!H371="2"&amp;totales!I371="0"&amp;totales!J371="0","l",IF(totales!E371="3"&amp;totales!H371="2"&amp;totales!I371="0"&amp;totales!J371="0","m",
IF(totales!E371="4"&amp;totales!H371="2"&amp;totales!I371="0"&amp;totales!J371="0","n",IF(totales!E371="6"&amp;totales!H371="2"&amp;totales!I371="0"&amp;totales!J371="0","o",IF(totales!E371="1"&amp;totales!H371="0"&amp;totales!I371="1"&amp;totales!J371="0","p",IF(totales!E371="2"&amp;totales!H371="0"&amp;totales!I371="1"&amp;totales!J371="0","q",IF(totales!E371="3"&amp;totales!H371="0"&amp;totales!I371="1"&amp;totales!J371="0","r",IF(totales!E371="4"&amp;totales!H371="0"&amp;totales!I371="1"&amp;totales!J371="0","s",IF(totales!E371="6"&amp;totales!H371="0"&amp;totales!I371="1"&amp;totales!J371="0","t",IF(totales!E371="1"&amp;totales!H371="2"&amp;totales!I371="1"&amp;totales!J371="0","u",IF(totales!E371="2"&amp;totales!H371="2"&amp;totales!I371="1"&amp;totales!J371="0","v",IF(totales!E371="3"&amp;totales!H371="2"&amp;totales!I371="1"&amp;totales!J371="0","w",IF(totales!E371="4"&amp;totales!H371="2"&amp;totales!I371="1"&amp;totales!J371="0","x",
IF(totales!E371="6"&amp;totales!H371="2"&amp;totales!I371="1"&amp;totales!J371="0","y",IF(totales!E371="1"&amp;totales!H371="1"&amp;totales!I371="1"&amp;totales!J371="0","z",IF(totales!E371="2"&amp;totales!H371="1"&amp;totales!I371="1"&amp;totales!J371="0","0",IF(totales!E371="3"&amp;totales!H371="1"&amp;totales!I371="1"&amp;totales!J371="0","1",IF(totales!E371="4"&amp;totales!H371="1"&amp;totales!I371="1"&amp;totales!J371="0","2",IF(totales!E371="6"&amp;totales!H371="1"&amp;totales!I371="1"&amp;totales!J371="0","3",IF(totales!E371="1"&amp;totales!H371="0"&amp;totales!I371="1"&amp;totales!J371="1","4",IF(totales!E371="2"&amp;totales!H371="0"&amp;totales!I371="1"&amp;totales!J371="1","5",IF(totales!E371="3"&amp;totales!H371="0"&amp;totales!I371="1"&amp;totales!J371="1","6",IF(totales!E371="4"&amp;totales!H371="0"&amp;totales!I371="1"&amp;totales!J371="1","7",IF(totales!E371="6"&amp;totales!H371="0"&amp;totales!I371="1"&amp;totales!J371="1","8",IF(totales!E371="1"&amp;totales!H371="1"&amp;totales!I371="0"&amp;totales!J371="1","9"))))))))))))))))))))))))))))))))))))</f>
        <v>0</v>
      </c>
    </row>
    <row r="371" spans="22:22">
      <c r="V371" s="102" t="b">
        <f>IF(totales!E372="1"&amp;totales!H372="0"&amp;totales!I372="0"&amp;totales!J372="0","a",IF(totales!E372="2"&amp;totales!H372="0"&amp;totales!I372="0"&amp;totales!J372="0","b",IF(totales!E372="3"&amp;totales!H372="0"&amp;totales!I372="0"&amp;totales!J372="0","c",IF(totales!E372="4"&amp;totales!H372="0"&amp;totales!I372="0"&amp;totales!J372="0","d",IF(totales!E372="6"&amp;totales!H372="0"&amp;totales!I372="0"&amp;totales!J372="0","e",IF(totales!E372="1"&amp;totales!H372="1"&amp;totales!I372="0"&amp;totales!J372="0","f",IF(totales!E372="2"&amp;totales!H372="1"&amp;totales!I372="0"&amp;totales!J372="0","g",IF(totales!E372="3"&amp;totales!H372="1"&amp;totales!I372="0"&amp;totales!J372="0","h",IF(totales!E372="4"&amp;totales!H372="1"&amp;totales!I372="0"&amp;totales!J372="0","i",IF(totales!E372="6"&amp;totales!H372="1"&amp;totales!I372="0"&amp;totales!J372="0","j",IF(totales!E372="1"&amp;totales!H372="2"&amp;totales!I372="0"&amp;totales!J372="0","k",IF(totales!E372="2"&amp;totales!H372="2"&amp;totales!I372="0"&amp;totales!J372="0","l",IF(totales!E372="3"&amp;totales!H372="2"&amp;totales!I372="0"&amp;totales!J372="0","m",
IF(totales!E372="4"&amp;totales!H372="2"&amp;totales!I372="0"&amp;totales!J372="0","n",IF(totales!E372="6"&amp;totales!H372="2"&amp;totales!I372="0"&amp;totales!J372="0","o",IF(totales!E372="1"&amp;totales!H372="0"&amp;totales!I372="1"&amp;totales!J372="0","p",IF(totales!E372="2"&amp;totales!H372="0"&amp;totales!I372="1"&amp;totales!J372="0","q",IF(totales!E372="3"&amp;totales!H372="0"&amp;totales!I372="1"&amp;totales!J372="0","r",IF(totales!E372="4"&amp;totales!H372="0"&amp;totales!I372="1"&amp;totales!J372="0","s",IF(totales!E372="6"&amp;totales!H372="0"&amp;totales!I372="1"&amp;totales!J372="0","t",IF(totales!E372="1"&amp;totales!H372="2"&amp;totales!I372="1"&amp;totales!J372="0","u",IF(totales!E372="2"&amp;totales!H372="2"&amp;totales!I372="1"&amp;totales!J372="0","v",IF(totales!E372="3"&amp;totales!H372="2"&amp;totales!I372="1"&amp;totales!J372="0","w",IF(totales!E372="4"&amp;totales!H372="2"&amp;totales!I372="1"&amp;totales!J372="0","x",
IF(totales!E372="6"&amp;totales!H372="2"&amp;totales!I372="1"&amp;totales!J372="0","y",IF(totales!E372="1"&amp;totales!H372="1"&amp;totales!I372="1"&amp;totales!J372="0","z",IF(totales!E372="2"&amp;totales!H372="1"&amp;totales!I372="1"&amp;totales!J372="0","0",IF(totales!E372="3"&amp;totales!H372="1"&amp;totales!I372="1"&amp;totales!J372="0","1",IF(totales!E372="4"&amp;totales!H372="1"&amp;totales!I372="1"&amp;totales!J372="0","2",IF(totales!E372="6"&amp;totales!H372="1"&amp;totales!I372="1"&amp;totales!J372="0","3",IF(totales!E372="1"&amp;totales!H372="0"&amp;totales!I372="1"&amp;totales!J372="1","4",IF(totales!E372="2"&amp;totales!H372="0"&amp;totales!I372="1"&amp;totales!J372="1","5",IF(totales!E372="3"&amp;totales!H372="0"&amp;totales!I372="1"&amp;totales!J372="1","6",IF(totales!E372="4"&amp;totales!H372="0"&amp;totales!I372="1"&amp;totales!J372="1","7",IF(totales!E372="6"&amp;totales!H372="0"&amp;totales!I372="1"&amp;totales!J372="1","8",IF(totales!E372="1"&amp;totales!H372="1"&amp;totales!I372="0"&amp;totales!J372="1","9"))))))))))))))))))))))))))))))))))))</f>
        <v>0</v>
      </c>
    </row>
    <row r="372" spans="22:22">
      <c r="V372" s="102" t="b">
        <f>IF(totales!E373="1"&amp;totales!H373="0"&amp;totales!I373="0"&amp;totales!J373="0","a",IF(totales!E373="2"&amp;totales!H373="0"&amp;totales!I373="0"&amp;totales!J373="0","b",IF(totales!E373="3"&amp;totales!H373="0"&amp;totales!I373="0"&amp;totales!J373="0","c",IF(totales!E373="4"&amp;totales!H373="0"&amp;totales!I373="0"&amp;totales!J373="0","d",IF(totales!E373="6"&amp;totales!H373="0"&amp;totales!I373="0"&amp;totales!J373="0","e",IF(totales!E373="1"&amp;totales!H373="1"&amp;totales!I373="0"&amp;totales!J373="0","f",IF(totales!E373="2"&amp;totales!H373="1"&amp;totales!I373="0"&amp;totales!J373="0","g",IF(totales!E373="3"&amp;totales!H373="1"&amp;totales!I373="0"&amp;totales!J373="0","h",IF(totales!E373="4"&amp;totales!H373="1"&amp;totales!I373="0"&amp;totales!J373="0","i",IF(totales!E373="6"&amp;totales!H373="1"&amp;totales!I373="0"&amp;totales!J373="0","j",IF(totales!E373="1"&amp;totales!H373="2"&amp;totales!I373="0"&amp;totales!J373="0","k",IF(totales!E373="2"&amp;totales!H373="2"&amp;totales!I373="0"&amp;totales!J373="0","l",IF(totales!E373="3"&amp;totales!H373="2"&amp;totales!I373="0"&amp;totales!J373="0","m",
IF(totales!E373="4"&amp;totales!H373="2"&amp;totales!I373="0"&amp;totales!J373="0","n",IF(totales!E373="6"&amp;totales!H373="2"&amp;totales!I373="0"&amp;totales!J373="0","o",IF(totales!E373="1"&amp;totales!H373="0"&amp;totales!I373="1"&amp;totales!J373="0","p",IF(totales!E373="2"&amp;totales!H373="0"&amp;totales!I373="1"&amp;totales!J373="0","q",IF(totales!E373="3"&amp;totales!H373="0"&amp;totales!I373="1"&amp;totales!J373="0","r",IF(totales!E373="4"&amp;totales!H373="0"&amp;totales!I373="1"&amp;totales!J373="0","s",IF(totales!E373="6"&amp;totales!H373="0"&amp;totales!I373="1"&amp;totales!J373="0","t",IF(totales!E373="1"&amp;totales!H373="2"&amp;totales!I373="1"&amp;totales!J373="0","u",IF(totales!E373="2"&amp;totales!H373="2"&amp;totales!I373="1"&amp;totales!J373="0","v",IF(totales!E373="3"&amp;totales!H373="2"&amp;totales!I373="1"&amp;totales!J373="0","w",IF(totales!E373="4"&amp;totales!H373="2"&amp;totales!I373="1"&amp;totales!J373="0","x",
IF(totales!E373="6"&amp;totales!H373="2"&amp;totales!I373="1"&amp;totales!J373="0","y",IF(totales!E373="1"&amp;totales!H373="1"&amp;totales!I373="1"&amp;totales!J373="0","z",IF(totales!E373="2"&amp;totales!H373="1"&amp;totales!I373="1"&amp;totales!J373="0","0",IF(totales!E373="3"&amp;totales!H373="1"&amp;totales!I373="1"&amp;totales!J373="0","1",IF(totales!E373="4"&amp;totales!H373="1"&amp;totales!I373="1"&amp;totales!J373="0","2",IF(totales!E373="6"&amp;totales!H373="1"&amp;totales!I373="1"&amp;totales!J373="0","3",IF(totales!E373="1"&amp;totales!H373="0"&amp;totales!I373="1"&amp;totales!J373="1","4",IF(totales!E373="2"&amp;totales!H373="0"&amp;totales!I373="1"&amp;totales!J373="1","5",IF(totales!E373="3"&amp;totales!H373="0"&amp;totales!I373="1"&amp;totales!J373="1","6",IF(totales!E373="4"&amp;totales!H373="0"&amp;totales!I373="1"&amp;totales!J373="1","7",IF(totales!E373="6"&amp;totales!H373="0"&amp;totales!I373="1"&amp;totales!J373="1","8",IF(totales!E373="1"&amp;totales!H373="1"&amp;totales!I373="0"&amp;totales!J373="1","9"))))))))))))))))))))))))))))))))))))</f>
        <v>0</v>
      </c>
    </row>
    <row r="373" spans="22:22">
      <c r="V373" s="102" t="b">
        <f>IF(totales!E374="1"&amp;totales!H374="0"&amp;totales!I374="0"&amp;totales!J374="0","a",IF(totales!E374="2"&amp;totales!H374="0"&amp;totales!I374="0"&amp;totales!J374="0","b",IF(totales!E374="3"&amp;totales!H374="0"&amp;totales!I374="0"&amp;totales!J374="0","c",IF(totales!E374="4"&amp;totales!H374="0"&amp;totales!I374="0"&amp;totales!J374="0","d",IF(totales!E374="6"&amp;totales!H374="0"&amp;totales!I374="0"&amp;totales!J374="0","e",IF(totales!E374="1"&amp;totales!H374="1"&amp;totales!I374="0"&amp;totales!J374="0","f",IF(totales!E374="2"&amp;totales!H374="1"&amp;totales!I374="0"&amp;totales!J374="0","g",IF(totales!E374="3"&amp;totales!H374="1"&amp;totales!I374="0"&amp;totales!J374="0","h",IF(totales!E374="4"&amp;totales!H374="1"&amp;totales!I374="0"&amp;totales!J374="0","i",IF(totales!E374="6"&amp;totales!H374="1"&amp;totales!I374="0"&amp;totales!J374="0","j",IF(totales!E374="1"&amp;totales!H374="2"&amp;totales!I374="0"&amp;totales!J374="0","k",IF(totales!E374="2"&amp;totales!H374="2"&amp;totales!I374="0"&amp;totales!J374="0","l",IF(totales!E374="3"&amp;totales!H374="2"&amp;totales!I374="0"&amp;totales!J374="0","m",
IF(totales!E374="4"&amp;totales!H374="2"&amp;totales!I374="0"&amp;totales!J374="0","n",IF(totales!E374="6"&amp;totales!H374="2"&amp;totales!I374="0"&amp;totales!J374="0","o",IF(totales!E374="1"&amp;totales!H374="0"&amp;totales!I374="1"&amp;totales!J374="0","p",IF(totales!E374="2"&amp;totales!H374="0"&amp;totales!I374="1"&amp;totales!J374="0","q",IF(totales!E374="3"&amp;totales!H374="0"&amp;totales!I374="1"&amp;totales!J374="0","r",IF(totales!E374="4"&amp;totales!H374="0"&amp;totales!I374="1"&amp;totales!J374="0","s",IF(totales!E374="6"&amp;totales!H374="0"&amp;totales!I374="1"&amp;totales!J374="0","t",IF(totales!E374="1"&amp;totales!H374="2"&amp;totales!I374="1"&amp;totales!J374="0","u",IF(totales!E374="2"&amp;totales!H374="2"&amp;totales!I374="1"&amp;totales!J374="0","v",IF(totales!E374="3"&amp;totales!H374="2"&amp;totales!I374="1"&amp;totales!J374="0","w",IF(totales!E374="4"&amp;totales!H374="2"&amp;totales!I374="1"&amp;totales!J374="0","x",
IF(totales!E374="6"&amp;totales!H374="2"&amp;totales!I374="1"&amp;totales!J374="0","y",IF(totales!E374="1"&amp;totales!H374="1"&amp;totales!I374="1"&amp;totales!J374="0","z",IF(totales!E374="2"&amp;totales!H374="1"&amp;totales!I374="1"&amp;totales!J374="0","0",IF(totales!E374="3"&amp;totales!H374="1"&amp;totales!I374="1"&amp;totales!J374="0","1",IF(totales!E374="4"&amp;totales!H374="1"&amp;totales!I374="1"&amp;totales!J374="0","2",IF(totales!E374="6"&amp;totales!H374="1"&amp;totales!I374="1"&amp;totales!J374="0","3",IF(totales!E374="1"&amp;totales!H374="0"&amp;totales!I374="1"&amp;totales!J374="1","4",IF(totales!E374="2"&amp;totales!H374="0"&amp;totales!I374="1"&amp;totales!J374="1","5",IF(totales!E374="3"&amp;totales!H374="0"&amp;totales!I374="1"&amp;totales!J374="1","6",IF(totales!E374="4"&amp;totales!H374="0"&amp;totales!I374="1"&amp;totales!J374="1","7",IF(totales!E374="6"&amp;totales!H374="0"&amp;totales!I374="1"&amp;totales!J374="1","8",IF(totales!E374="1"&amp;totales!H374="1"&amp;totales!I374="0"&amp;totales!J374="1","9"))))))))))))))))))))))))))))))))))))</f>
        <v>0</v>
      </c>
    </row>
    <row r="374" spans="22:22">
      <c r="V374" s="102" t="b">
        <f>IF(totales!E375="1"&amp;totales!H375="0"&amp;totales!I375="0"&amp;totales!J375="0","a",IF(totales!E375="2"&amp;totales!H375="0"&amp;totales!I375="0"&amp;totales!J375="0","b",IF(totales!E375="3"&amp;totales!H375="0"&amp;totales!I375="0"&amp;totales!J375="0","c",IF(totales!E375="4"&amp;totales!H375="0"&amp;totales!I375="0"&amp;totales!J375="0","d",IF(totales!E375="6"&amp;totales!H375="0"&amp;totales!I375="0"&amp;totales!J375="0","e",IF(totales!E375="1"&amp;totales!H375="1"&amp;totales!I375="0"&amp;totales!J375="0","f",IF(totales!E375="2"&amp;totales!H375="1"&amp;totales!I375="0"&amp;totales!J375="0","g",IF(totales!E375="3"&amp;totales!H375="1"&amp;totales!I375="0"&amp;totales!J375="0","h",IF(totales!E375="4"&amp;totales!H375="1"&amp;totales!I375="0"&amp;totales!J375="0","i",IF(totales!E375="6"&amp;totales!H375="1"&amp;totales!I375="0"&amp;totales!J375="0","j",IF(totales!E375="1"&amp;totales!H375="2"&amp;totales!I375="0"&amp;totales!J375="0","k",IF(totales!E375="2"&amp;totales!H375="2"&amp;totales!I375="0"&amp;totales!J375="0","l",IF(totales!E375="3"&amp;totales!H375="2"&amp;totales!I375="0"&amp;totales!J375="0","m",
IF(totales!E375="4"&amp;totales!H375="2"&amp;totales!I375="0"&amp;totales!J375="0","n",IF(totales!E375="6"&amp;totales!H375="2"&amp;totales!I375="0"&amp;totales!J375="0","o",IF(totales!E375="1"&amp;totales!H375="0"&amp;totales!I375="1"&amp;totales!J375="0","p",IF(totales!E375="2"&amp;totales!H375="0"&amp;totales!I375="1"&amp;totales!J375="0","q",IF(totales!E375="3"&amp;totales!H375="0"&amp;totales!I375="1"&amp;totales!J375="0","r",IF(totales!E375="4"&amp;totales!H375="0"&amp;totales!I375="1"&amp;totales!J375="0","s",IF(totales!E375="6"&amp;totales!H375="0"&amp;totales!I375="1"&amp;totales!J375="0","t",IF(totales!E375="1"&amp;totales!H375="2"&amp;totales!I375="1"&amp;totales!J375="0","u",IF(totales!E375="2"&amp;totales!H375="2"&amp;totales!I375="1"&amp;totales!J375="0","v",IF(totales!E375="3"&amp;totales!H375="2"&amp;totales!I375="1"&amp;totales!J375="0","w",IF(totales!E375="4"&amp;totales!H375="2"&amp;totales!I375="1"&amp;totales!J375="0","x",
IF(totales!E375="6"&amp;totales!H375="2"&amp;totales!I375="1"&amp;totales!J375="0","y",IF(totales!E375="1"&amp;totales!H375="1"&amp;totales!I375="1"&amp;totales!J375="0","z",IF(totales!E375="2"&amp;totales!H375="1"&amp;totales!I375="1"&amp;totales!J375="0","0",IF(totales!E375="3"&amp;totales!H375="1"&amp;totales!I375="1"&amp;totales!J375="0","1",IF(totales!E375="4"&amp;totales!H375="1"&amp;totales!I375="1"&amp;totales!J375="0","2",IF(totales!E375="6"&amp;totales!H375="1"&amp;totales!I375="1"&amp;totales!J375="0","3",IF(totales!E375="1"&amp;totales!H375="0"&amp;totales!I375="1"&amp;totales!J375="1","4",IF(totales!E375="2"&amp;totales!H375="0"&amp;totales!I375="1"&amp;totales!J375="1","5",IF(totales!E375="3"&amp;totales!H375="0"&amp;totales!I375="1"&amp;totales!J375="1","6",IF(totales!E375="4"&amp;totales!H375="0"&amp;totales!I375="1"&amp;totales!J375="1","7",IF(totales!E375="6"&amp;totales!H375="0"&amp;totales!I375="1"&amp;totales!J375="1","8",IF(totales!E375="1"&amp;totales!H375="1"&amp;totales!I375="0"&amp;totales!J375="1","9"))))))))))))))))))))))))))))))))))))</f>
        <v>0</v>
      </c>
    </row>
    <row r="375" spans="22:22">
      <c r="V375" s="102" t="b">
        <f>IF(totales!E376="1"&amp;totales!H376="0"&amp;totales!I376="0"&amp;totales!J376="0","a",IF(totales!E376="2"&amp;totales!H376="0"&amp;totales!I376="0"&amp;totales!J376="0","b",IF(totales!E376="3"&amp;totales!H376="0"&amp;totales!I376="0"&amp;totales!J376="0","c",IF(totales!E376="4"&amp;totales!H376="0"&amp;totales!I376="0"&amp;totales!J376="0","d",IF(totales!E376="6"&amp;totales!H376="0"&amp;totales!I376="0"&amp;totales!J376="0","e",IF(totales!E376="1"&amp;totales!H376="1"&amp;totales!I376="0"&amp;totales!J376="0","f",IF(totales!E376="2"&amp;totales!H376="1"&amp;totales!I376="0"&amp;totales!J376="0","g",IF(totales!E376="3"&amp;totales!H376="1"&amp;totales!I376="0"&amp;totales!J376="0","h",IF(totales!E376="4"&amp;totales!H376="1"&amp;totales!I376="0"&amp;totales!J376="0","i",IF(totales!E376="6"&amp;totales!H376="1"&amp;totales!I376="0"&amp;totales!J376="0","j",IF(totales!E376="1"&amp;totales!H376="2"&amp;totales!I376="0"&amp;totales!J376="0","k",IF(totales!E376="2"&amp;totales!H376="2"&amp;totales!I376="0"&amp;totales!J376="0","l",IF(totales!E376="3"&amp;totales!H376="2"&amp;totales!I376="0"&amp;totales!J376="0","m",
IF(totales!E376="4"&amp;totales!H376="2"&amp;totales!I376="0"&amp;totales!J376="0","n",IF(totales!E376="6"&amp;totales!H376="2"&amp;totales!I376="0"&amp;totales!J376="0","o",IF(totales!E376="1"&amp;totales!H376="0"&amp;totales!I376="1"&amp;totales!J376="0","p",IF(totales!E376="2"&amp;totales!H376="0"&amp;totales!I376="1"&amp;totales!J376="0","q",IF(totales!E376="3"&amp;totales!H376="0"&amp;totales!I376="1"&amp;totales!J376="0","r",IF(totales!E376="4"&amp;totales!H376="0"&amp;totales!I376="1"&amp;totales!J376="0","s",IF(totales!E376="6"&amp;totales!H376="0"&amp;totales!I376="1"&amp;totales!J376="0","t",IF(totales!E376="1"&amp;totales!H376="2"&amp;totales!I376="1"&amp;totales!J376="0","u",IF(totales!E376="2"&amp;totales!H376="2"&amp;totales!I376="1"&amp;totales!J376="0","v",IF(totales!E376="3"&amp;totales!H376="2"&amp;totales!I376="1"&amp;totales!J376="0","w",IF(totales!E376="4"&amp;totales!H376="2"&amp;totales!I376="1"&amp;totales!J376="0","x",
IF(totales!E376="6"&amp;totales!H376="2"&amp;totales!I376="1"&amp;totales!J376="0","y",IF(totales!E376="1"&amp;totales!H376="1"&amp;totales!I376="1"&amp;totales!J376="0","z",IF(totales!E376="2"&amp;totales!H376="1"&amp;totales!I376="1"&amp;totales!J376="0","0",IF(totales!E376="3"&amp;totales!H376="1"&amp;totales!I376="1"&amp;totales!J376="0","1",IF(totales!E376="4"&amp;totales!H376="1"&amp;totales!I376="1"&amp;totales!J376="0","2",IF(totales!E376="6"&amp;totales!H376="1"&amp;totales!I376="1"&amp;totales!J376="0","3",IF(totales!E376="1"&amp;totales!H376="0"&amp;totales!I376="1"&amp;totales!J376="1","4",IF(totales!E376="2"&amp;totales!H376="0"&amp;totales!I376="1"&amp;totales!J376="1","5",IF(totales!E376="3"&amp;totales!H376="0"&amp;totales!I376="1"&amp;totales!J376="1","6",IF(totales!E376="4"&amp;totales!H376="0"&amp;totales!I376="1"&amp;totales!J376="1","7",IF(totales!E376="6"&amp;totales!H376="0"&amp;totales!I376="1"&amp;totales!J376="1","8",IF(totales!E376="1"&amp;totales!H376="1"&amp;totales!I376="0"&amp;totales!J376="1","9"))))))))))))))))))))))))))))))))))))</f>
        <v>0</v>
      </c>
    </row>
    <row r="376" spans="22:22">
      <c r="V376" s="102" t="b">
        <f>IF(totales!E377="1"&amp;totales!H377="0"&amp;totales!I377="0"&amp;totales!J377="0","a",IF(totales!E377="2"&amp;totales!H377="0"&amp;totales!I377="0"&amp;totales!J377="0","b",IF(totales!E377="3"&amp;totales!H377="0"&amp;totales!I377="0"&amp;totales!J377="0","c",IF(totales!E377="4"&amp;totales!H377="0"&amp;totales!I377="0"&amp;totales!J377="0","d",IF(totales!E377="6"&amp;totales!H377="0"&amp;totales!I377="0"&amp;totales!J377="0","e",IF(totales!E377="1"&amp;totales!H377="1"&amp;totales!I377="0"&amp;totales!J377="0","f",IF(totales!E377="2"&amp;totales!H377="1"&amp;totales!I377="0"&amp;totales!J377="0","g",IF(totales!E377="3"&amp;totales!H377="1"&amp;totales!I377="0"&amp;totales!J377="0","h",IF(totales!E377="4"&amp;totales!H377="1"&amp;totales!I377="0"&amp;totales!J377="0","i",IF(totales!E377="6"&amp;totales!H377="1"&amp;totales!I377="0"&amp;totales!J377="0","j",IF(totales!E377="1"&amp;totales!H377="2"&amp;totales!I377="0"&amp;totales!J377="0","k",IF(totales!E377="2"&amp;totales!H377="2"&amp;totales!I377="0"&amp;totales!J377="0","l",IF(totales!E377="3"&amp;totales!H377="2"&amp;totales!I377="0"&amp;totales!J377="0","m",
IF(totales!E377="4"&amp;totales!H377="2"&amp;totales!I377="0"&amp;totales!J377="0","n",IF(totales!E377="6"&amp;totales!H377="2"&amp;totales!I377="0"&amp;totales!J377="0","o",IF(totales!E377="1"&amp;totales!H377="0"&amp;totales!I377="1"&amp;totales!J377="0","p",IF(totales!E377="2"&amp;totales!H377="0"&amp;totales!I377="1"&amp;totales!J377="0","q",IF(totales!E377="3"&amp;totales!H377="0"&amp;totales!I377="1"&amp;totales!J377="0","r",IF(totales!E377="4"&amp;totales!H377="0"&amp;totales!I377="1"&amp;totales!J377="0","s",IF(totales!E377="6"&amp;totales!H377="0"&amp;totales!I377="1"&amp;totales!J377="0","t",IF(totales!E377="1"&amp;totales!H377="2"&amp;totales!I377="1"&amp;totales!J377="0","u",IF(totales!E377="2"&amp;totales!H377="2"&amp;totales!I377="1"&amp;totales!J377="0","v",IF(totales!E377="3"&amp;totales!H377="2"&amp;totales!I377="1"&amp;totales!J377="0","w",IF(totales!E377="4"&amp;totales!H377="2"&amp;totales!I377="1"&amp;totales!J377="0","x",
IF(totales!E377="6"&amp;totales!H377="2"&amp;totales!I377="1"&amp;totales!J377="0","y",IF(totales!E377="1"&amp;totales!H377="1"&amp;totales!I377="1"&amp;totales!J377="0","z",IF(totales!E377="2"&amp;totales!H377="1"&amp;totales!I377="1"&amp;totales!J377="0","0",IF(totales!E377="3"&amp;totales!H377="1"&amp;totales!I377="1"&amp;totales!J377="0","1",IF(totales!E377="4"&amp;totales!H377="1"&amp;totales!I377="1"&amp;totales!J377="0","2",IF(totales!E377="6"&amp;totales!H377="1"&amp;totales!I377="1"&amp;totales!J377="0","3",IF(totales!E377="1"&amp;totales!H377="0"&amp;totales!I377="1"&amp;totales!J377="1","4",IF(totales!E377="2"&amp;totales!H377="0"&amp;totales!I377="1"&amp;totales!J377="1","5",IF(totales!E377="3"&amp;totales!H377="0"&amp;totales!I377="1"&amp;totales!J377="1","6",IF(totales!E377="4"&amp;totales!H377="0"&amp;totales!I377="1"&amp;totales!J377="1","7",IF(totales!E377="6"&amp;totales!H377="0"&amp;totales!I377="1"&amp;totales!J377="1","8",IF(totales!E377="1"&amp;totales!H377="1"&amp;totales!I377="0"&amp;totales!J377="1","9"))))))))))))))))))))))))))))))))))))</f>
        <v>0</v>
      </c>
    </row>
    <row r="377" spans="22:22">
      <c r="V377" s="102" t="b">
        <f>IF(totales!E378="1"&amp;totales!H378="0"&amp;totales!I378="0"&amp;totales!J378="0","a",IF(totales!E378="2"&amp;totales!H378="0"&amp;totales!I378="0"&amp;totales!J378="0","b",IF(totales!E378="3"&amp;totales!H378="0"&amp;totales!I378="0"&amp;totales!J378="0","c",IF(totales!E378="4"&amp;totales!H378="0"&amp;totales!I378="0"&amp;totales!J378="0","d",IF(totales!E378="6"&amp;totales!H378="0"&amp;totales!I378="0"&amp;totales!J378="0","e",IF(totales!E378="1"&amp;totales!H378="1"&amp;totales!I378="0"&amp;totales!J378="0","f",IF(totales!E378="2"&amp;totales!H378="1"&amp;totales!I378="0"&amp;totales!J378="0","g",IF(totales!E378="3"&amp;totales!H378="1"&amp;totales!I378="0"&amp;totales!J378="0","h",IF(totales!E378="4"&amp;totales!H378="1"&amp;totales!I378="0"&amp;totales!J378="0","i",IF(totales!E378="6"&amp;totales!H378="1"&amp;totales!I378="0"&amp;totales!J378="0","j",IF(totales!E378="1"&amp;totales!H378="2"&amp;totales!I378="0"&amp;totales!J378="0","k",IF(totales!E378="2"&amp;totales!H378="2"&amp;totales!I378="0"&amp;totales!J378="0","l",IF(totales!E378="3"&amp;totales!H378="2"&amp;totales!I378="0"&amp;totales!J378="0","m",
IF(totales!E378="4"&amp;totales!H378="2"&amp;totales!I378="0"&amp;totales!J378="0","n",IF(totales!E378="6"&amp;totales!H378="2"&amp;totales!I378="0"&amp;totales!J378="0","o",IF(totales!E378="1"&amp;totales!H378="0"&amp;totales!I378="1"&amp;totales!J378="0","p",IF(totales!E378="2"&amp;totales!H378="0"&amp;totales!I378="1"&amp;totales!J378="0","q",IF(totales!E378="3"&amp;totales!H378="0"&amp;totales!I378="1"&amp;totales!J378="0","r",IF(totales!E378="4"&amp;totales!H378="0"&amp;totales!I378="1"&amp;totales!J378="0","s",IF(totales!E378="6"&amp;totales!H378="0"&amp;totales!I378="1"&amp;totales!J378="0","t",IF(totales!E378="1"&amp;totales!H378="2"&amp;totales!I378="1"&amp;totales!J378="0","u",IF(totales!E378="2"&amp;totales!H378="2"&amp;totales!I378="1"&amp;totales!J378="0","v",IF(totales!E378="3"&amp;totales!H378="2"&amp;totales!I378="1"&amp;totales!J378="0","w",IF(totales!E378="4"&amp;totales!H378="2"&amp;totales!I378="1"&amp;totales!J378="0","x",
IF(totales!E378="6"&amp;totales!H378="2"&amp;totales!I378="1"&amp;totales!J378="0","y",IF(totales!E378="1"&amp;totales!H378="1"&amp;totales!I378="1"&amp;totales!J378="0","z",IF(totales!E378="2"&amp;totales!H378="1"&amp;totales!I378="1"&amp;totales!J378="0","0",IF(totales!E378="3"&amp;totales!H378="1"&amp;totales!I378="1"&amp;totales!J378="0","1",IF(totales!E378="4"&amp;totales!H378="1"&amp;totales!I378="1"&amp;totales!J378="0","2",IF(totales!E378="6"&amp;totales!H378="1"&amp;totales!I378="1"&amp;totales!J378="0","3",IF(totales!E378="1"&amp;totales!H378="0"&amp;totales!I378="1"&amp;totales!J378="1","4",IF(totales!E378="2"&amp;totales!H378="0"&amp;totales!I378="1"&amp;totales!J378="1","5",IF(totales!E378="3"&amp;totales!H378="0"&amp;totales!I378="1"&amp;totales!J378="1","6",IF(totales!E378="4"&amp;totales!H378="0"&amp;totales!I378="1"&amp;totales!J378="1","7",IF(totales!E378="6"&amp;totales!H378="0"&amp;totales!I378="1"&amp;totales!J378="1","8",IF(totales!E378="1"&amp;totales!H378="1"&amp;totales!I378="0"&amp;totales!J378="1","9"))))))))))))))))))))))))))))))))))))</f>
        <v>0</v>
      </c>
    </row>
    <row r="378" spans="22:22">
      <c r="V378" s="102" t="b">
        <f>IF(totales!E379="1"&amp;totales!H379="0"&amp;totales!I379="0"&amp;totales!J379="0","a",IF(totales!E379="2"&amp;totales!H379="0"&amp;totales!I379="0"&amp;totales!J379="0","b",IF(totales!E379="3"&amp;totales!H379="0"&amp;totales!I379="0"&amp;totales!J379="0","c",IF(totales!E379="4"&amp;totales!H379="0"&amp;totales!I379="0"&amp;totales!J379="0","d",IF(totales!E379="6"&amp;totales!H379="0"&amp;totales!I379="0"&amp;totales!J379="0","e",IF(totales!E379="1"&amp;totales!H379="1"&amp;totales!I379="0"&amp;totales!J379="0","f",IF(totales!E379="2"&amp;totales!H379="1"&amp;totales!I379="0"&amp;totales!J379="0","g",IF(totales!E379="3"&amp;totales!H379="1"&amp;totales!I379="0"&amp;totales!J379="0","h",IF(totales!E379="4"&amp;totales!H379="1"&amp;totales!I379="0"&amp;totales!J379="0","i",IF(totales!E379="6"&amp;totales!H379="1"&amp;totales!I379="0"&amp;totales!J379="0","j",IF(totales!E379="1"&amp;totales!H379="2"&amp;totales!I379="0"&amp;totales!J379="0","k",IF(totales!E379="2"&amp;totales!H379="2"&amp;totales!I379="0"&amp;totales!J379="0","l",IF(totales!E379="3"&amp;totales!H379="2"&amp;totales!I379="0"&amp;totales!J379="0","m",
IF(totales!E379="4"&amp;totales!H379="2"&amp;totales!I379="0"&amp;totales!J379="0","n",IF(totales!E379="6"&amp;totales!H379="2"&amp;totales!I379="0"&amp;totales!J379="0","o",IF(totales!E379="1"&amp;totales!H379="0"&amp;totales!I379="1"&amp;totales!J379="0","p",IF(totales!E379="2"&amp;totales!H379="0"&amp;totales!I379="1"&amp;totales!J379="0","q",IF(totales!E379="3"&amp;totales!H379="0"&amp;totales!I379="1"&amp;totales!J379="0","r",IF(totales!E379="4"&amp;totales!H379="0"&amp;totales!I379="1"&amp;totales!J379="0","s",IF(totales!E379="6"&amp;totales!H379="0"&amp;totales!I379="1"&amp;totales!J379="0","t",IF(totales!E379="1"&amp;totales!H379="2"&amp;totales!I379="1"&amp;totales!J379="0","u",IF(totales!E379="2"&amp;totales!H379="2"&amp;totales!I379="1"&amp;totales!J379="0","v",IF(totales!E379="3"&amp;totales!H379="2"&amp;totales!I379="1"&amp;totales!J379="0","w",IF(totales!E379="4"&amp;totales!H379="2"&amp;totales!I379="1"&amp;totales!J379="0","x",
IF(totales!E379="6"&amp;totales!H379="2"&amp;totales!I379="1"&amp;totales!J379="0","y",IF(totales!E379="1"&amp;totales!H379="1"&amp;totales!I379="1"&amp;totales!J379="0","z",IF(totales!E379="2"&amp;totales!H379="1"&amp;totales!I379="1"&amp;totales!J379="0","0",IF(totales!E379="3"&amp;totales!H379="1"&amp;totales!I379="1"&amp;totales!J379="0","1",IF(totales!E379="4"&amp;totales!H379="1"&amp;totales!I379="1"&amp;totales!J379="0","2",IF(totales!E379="6"&amp;totales!H379="1"&amp;totales!I379="1"&amp;totales!J379="0","3",IF(totales!E379="1"&amp;totales!H379="0"&amp;totales!I379="1"&amp;totales!J379="1","4",IF(totales!E379="2"&amp;totales!H379="0"&amp;totales!I379="1"&amp;totales!J379="1","5",IF(totales!E379="3"&amp;totales!H379="0"&amp;totales!I379="1"&amp;totales!J379="1","6",IF(totales!E379="4"&amp;totales!H379="0"&amp;totales!I379="1"&amp;totales!J379="1","7",IF(totales!E379="6"&amp;totales!H379="0"&amp;totales!I379="1"&amp;totales!J379="1","8",IF(totales!E379="1"&amp;totales!H379="1"&amp;totales!I379="0"&amp;totales!J379="1","9"))))))))))))))))))))))))))))))))))))</f>
        <v>0</v>
      </c>
    </row>
    <row r="379" spans="22:22">
      <c r="V379" s="102" t="b">
        <f>IF(totales!E380="1"&amp;totales!H380="0"&amp;totales!I380="0"&amp;totales!J380="0","a",IF(totales!E380="2"&amp;totales!H380="0"&amp;totales!I380="0"&amp;totales!J380="0","b",IF(totales!E380="3"&amp;totales!H380="0"&amp;totales!I380="0"&amp;totales!J380="0","c",IF(totales!E380="4"&amp;totales!H380="0"&amp;totales!I380="0"&amp;totales!J380="0","d",IF(totales!E380="6"&amp;totales!H380="0"&amp;totales!I380="0"&amp;totales!J380="0","e",IF(totales!E380="1"&amp;totales!H380="1"&amp;totales!I380="0"&amp;totales!J380="0","f",IF(totales!E380="2"&amp;totales!H380="1"&amp;totales!I380="0"&amp;totales!J380="0","g",IF(totales!E380="3"&amp;totales!H380="1"&amp;totales!I380="0"&amp;totales!J380="0","h",IF(totales!E380="4"&amp;totales!H380="1"&amp;totales!I380="0"&amp;totales!J380="0","i",IF(totales!E380="6"&amp;totales!H380="1"&amp;totales!I380="0"&amp;totales!J380="0","j",IF(totales!E380="1"&amp;totales!H380="2"&amp;totales!I380="0"&amp;totales!J380="0","k",IF(totales!E380="2"&amp;totales!H380="2"&amp;totales!I380="0"&amp;totales!J380="0","l",IF(totales!E380="3"&amp;totales!H380="2"&amp;totales!I380="0"&amp;totales!J380="0","m",
IF(totales!E380="4"&amp;totales!H380="2"&amp;totales!I380="0"&amp;totales!J380="0","n",IF(totales!E380="6"&amp;totales!H380="2"&amp;totales!I380="0"&amp;totales!J380="0","o",IF(totales!E380="1"&amp;totales!H380="0"&amp;totales!I380="1"&amp;totales!J380="0","p",IF(totales!E380="2"&amp;totales!H380="0"&amp;totales!I380="1"&amp;totales!J380="0","q",IF(totales!E380="3"&amp;totales!H380="0"&amp;totales!I380="1"&amp;totales!J380="0","r",IF(totales!E380="4"&amp;totales!H380="0"&amp;totales!I380="1"&amp;totales!J380="0","s",IF(totales!E380="6"&amp;totales!H380="0"&amp;totales!I380="1"&amp;totales!J380="0","t",IF(totales!E380="1"&amp;totales!H380="2"&amp;totales!I380="1"&amp;totales!J380="0","u",IF(totales!E380="2"&amp;totales!H380="2"&amp;totales!I380="1"&amp;totales!J380="0","v",IF(totales!E380="3"&amp;totales!H380="2"&amp;totales!I380="1"&amp;totales!J380="0","w",IF(totales!E380="4"&amp;totales!H380="2"&amp;totales!I380="1"&amp;totales!J380="0","x",
IF(totales!E380="6"&amp;totales!H380="2"&amp;totales!I380="1"&amp;totales!J380="0","y",IF(totales!E380="1"&amp;totales!H380="1"&amp;totales!I380="1"&amp;totales!J380="0","z",IF(totales!E380="2"&amp;totales!H380="1"&amp;totales!I380="1"&amp;totales!J380="0","0",IF(totales!E380="3"&amp;totales!H380="1"&amp;totales!I380="1"&amp;totales!J380="0","1",IF(totales!E380="4"&amp;totales!H380="1"&amp;totales!I380="1"&amp;totales!J380="0","2",IF(totales!E380="6"&amp;totales!H380="1"&amp;totales!I380="1"&amp;totales!J380="0","3",IF(totales!E380="1"&amp;totales!H380="0"&amp;totales!I380="1"&amp;totales!J380="1","4",IF(totales!E380="2"&amp;totales!H380="0"&amp;totales!I380="1"&amp;totales!J380="1","5",IF(totales!E380="3"&amp;totales!H380="0"&amp;totales!I380="1"&amp;totales!J380="1","6",IF(totales!E380="4"&amp;totales!H380="0"&amp;totales!I380="1"&amp;totales!J380="1","7",IF(totales!E380="6"&amp;totales!H380="0"&amp;totales!I380="1"&amp;totales!J380="1","8",IF(totales!E380="1"&amp;totales!H380="1"&amp;totales!I380="0"&amp;totales!J380="1","9"))))))))))))))))))))))))))))))))))))</f>
        <v>0</v>
      </c>
    </row>
    <row r="380" spans="22:22">
      <c r="V380" s="102" t="b">
        <f>IF(totales!E381="1"&amp;totales!H381="0"&amp;totales!I381="0"&amp;totales!J381="0","a",IF(totales!E381="2"&amp;totales!H381="0"&amp;totales!I381="0"&amp;totales!J381="0","b",IF(totales!E381="3"&amp;totales!H381="0"&amp;totales!I381="0"&amp;totales!J381="0","c",IF(totales!E381="4"&amp;totales!H381="0"&amp;totales!I381="0"&amp;totales!J381="0","d",IF(totales!E381="6"&amp;totales!H381="0"&amp;totales!I381="0"&amp;totales!J381="0","e",IF(totales!E381="1"&amp;totales!H381="1"&amp;totales!I381="0"&amp;totales!J381="0","f",IF(totales!E381="2"&amp;totales!H381="1"&amp;totales!I381="0"&amp;totales!J381="0","g",IF(totales!E381="3"&amp;totales!H381="1"&amp;totales!I381="0"&amp;totales!J381="0","h",IF(totales!E381="4"&amp;totales!H381="1"&amp;totales!I381="0"&amp;totales!J381="0","i",IF(totales!E381="6"&amp;totales!H381="1"&amp;totales!I381="0"&amp;totales!J381="0","j",IF(totales!E381="1"&amp;totales!H381="2"&amp;totales!I381="0"&amp;totales!J381="0","k",IF(totales!E381="2"&amp;totales!H381="2"&amp;totales!I381="0"&amp;totales!J381="0","l",IF(totales!E381="3"&amp;totales!H381="2"&amp;totales!I381="0"&amp;totales!J381="0","m",
IF(totales!E381="4"&amp;totales!H381="2"&amp;totales!I381="0"&amp;totales!J381="0","n",IF(totales!E381="6"&amp;totales!H381="2"&amp;totales!I381="0"&amp;totales!J381="0","o",IF(totales!E381="1"&amp;totales!H381="0"&amp;totales!I381="1"&amp;totales!J381="0","p",IF(totales!E381="2"&amp;totales!H381="0"&amp;totales!I381="1"&amp;totales!J381="0","q",IF(totales!E381="3"&amp;totales!H381="0"&amp;totales!I381="1"&amp;totales!J381="0","r",IF(totales!E381="4"&amp;totales!H381="0"&amp;totales!I381="1"&amp;totales!J381="0","s",IF(totales!E381="6"&amp;totales!H381="0"&amp;totales!I381="1"&amp;totales!J381="0","t",IF(totales!E381="1"&amp;totales!H381="2"&amp;totales!I381="1"&amp;totales!J381="0","u",IF(totales!E381="2"&amp;totales!H381="2"&amp;totales!I381="1"&amp;totales!J381="0","v",IF(totales!E381="3"&amp;totales!H381="2"&amp;totales!I381="1"&amp;totales!J381="0","w",IF(totales!E381="4"&amp;totales!H381="2"&amp;totales!I381="1"&amp;totales!J381="0","x",
IF(totales!E381="6"&amp;totales!H381="2"&amp;totales!I381="1"&amp;totales!J381="0","y",IF(totales!E381="1"&amp;totales!H381="1"&amp;totales!I381="1"&amp;totales!J381="0","z",IF(totales!E381="2"&amp;totales!H381="1"&amp;totales!I381="1"&amp;totales!J381="0","0",IF(totales!E381="3"&amp;totales!H381="1"&amp;totales!I381="1"&amp;totales!J381="0","1",IF(totales!E381="4"&amp;totales!H381="1"&amp;totales!I381="1"&amp;totales!J381="0","2",IF(totales!E381="6"&amp;totales!H381="1"&amp;totales!I381="1"&amp;totales!J381="0","3",IF(totales!E381="1"&amp;totales!H381="0"&amp;totales!I381="1"&amp;totales!J381="1","4",IF(totales!E381="2"&amp;totales!H381="0"&amp;totales!I381="1"&amp;totales!J381="1","5",IF(totales!E381="3"&amp;totales!H381="0"&amp;totales!I381="1"&amp;totales!J381="1","6",IF(totales!E381="4"&amp;totales!H381="0"&amp;totales!I381="1"&amp;totales!J381="1","7",IF(totales!E381="6"&amp;totales!H381="0"&amp;totales!I381="1"&amp;totales!J381="1","8",IF(totales!E381="1"&amp;totales!H381="1"&amp;totales!I381="0"&amp;totales!J381="1","9"))))))))))))))))))))))))))))))))))))</f>
        <v>0</v>
      </c>
    </row>
    <row r="381" spans="22:22">
      <c r="V381" s="102" t="b">
        <f>IF(totales!E382="1"&amp;totales!H382="0"&amp;totales!I382="0"&amp;totales!J382="0","a",IF(totales!E382="2"&amp;totales!H382="0"&amp;totales!I382="0"&amp;totales!J382="0","b",IF(totales!E382="3"&amp;totales!H382="0"&amp;totales!I382="0"&amp;totales!J382="0","c",IF(totales!E382="4"&amp;totales!H382="0"&amp;totales!I382="0"&amp;totales!J382="0","d",IF(totales!E382="6"&amp;totales!H382="0"&amp;totales!I382="0"&amp;totales!J382="0","e",IF(totales!E382="1"&amp;totales!H382="1"&amp;totales!I382="0"&amp;totales!J382="0","f",IF(totales!E382="2"&amp;totales!H382="1"&amp;totales!I382="0"&amp;totales!J382="0","g",IF(totales!E382="3"&amp;totales!H382="1"&amp;totales!I382="0"&amp;totales!J382="0","h",IF(totales!E382="4"&amp;totales!H382="1"&amp;totales!I382="0"&amp;totales!J382="0","i",IF(totales!E382="6"&amp;totales!H382="1"&amp;totales!I382="0"&amp;totales!J382="0","j",IF(totales!E382="1"&amp;totales!H382="2"&amp;totales!I382="0"&amp;totales!J382="0","k",IF(totales!E382="2"&amp;totales!H382="2"&amp;totales!I382="0"&amp;totales!J382="0","l",IF(totales!E382="3"&amp;totales!H382="2"&amp;totales!I382="0"&amp;totales!J382="0","m",
IF(totales!E382="4"&amp;totales!H382="2"&amp;totales!I382="0"&amp;totales!J382="0","n",IF(totales!E382="6"&amp;totales!H382="2"&amp;totales!I382="0"&amp;totales!J382="0","o",IF(totales!E382="1"&amp;totales!H382="0"&amp;totales!I382="1"&amp;totales!J382="0","p",IF(totales!E382="2"&amp;totales!H382="0"&amp;totales!I382="1"&amp;totales!J382="0","q",IF(totales!E382="3"&amp;totales!H382="0"&amp;totales!I382="1"&amp;totales!J382="0","r",IF(totales!E382="4"&amp;totales!H382="0"&amp;totales!I382="1"&amp;totales!J382="0","s",IF(totales!E382="6"&amp;totales!H382="0"&amp;totales!I382="1"&amp;totales!J382="0","t",IF(totales!E382="1"&amp;totales!H382="2"&amp;totales!I382="1"&amp;totales!J382="0","u",IF(totales!E382="2"&amp;totales!H382="2"&amp;totales!I382="1"&amp;totales!J382="0","v",IF(totales!E382="3"&amp;totales!H382="2"&amp;totales!I382="1"&amp;totales!J382="0","w",IF(totales!E382="4"&amp;totales!H382="2"&amp;totales!I382="1"&amp;totales!J382="0","x",
IF(totales!E382="6"&amp;totales!H382="2"&amp;totales!I382="1"&amp;totales!J382="0","y",IF(totales!E382="1"&amp;totales!H382="1"&amp;totales!I382="1"&amp;totales!J382="0","z",IF(totales!E382="2"&amp;totales!H382="1"&amp;totales!I382="1"&amp;totales!J382="0","0",IF(totales!E382="3"&amp;totales!H382="1"&amp;totales!I382="1"&amp;totales!J382="0","1",IF(totales!E382="4"&amp;totales!H382="1"&amp;totales!I382="1"&amp;totales!J382="0","2",IF(totales!E382="6"&amp;totales!H382="1"&amp;totales!I382="1"&amp;totales!J382="0","3",IF(totales!E382="1"&amp;totales!H382="0"&amp;totales!I382="1"&amp;totales!J382="1","4",IF(totales!E382="2"&amp;totales!H382="0"&amp;totales!I382="1"&amp;totales!J382="1","5",IF(totales!E382="3"&amp;totales!H382="0"&amp;totales!I382="1"&amp;totales!J382="1","6",IF(totales!E382="4"&amp;totales!H382="0"&amp;totales!I382="1"&amp;totales!J382="1","7",IF(totales!E382="6"&amp;totales!H382="0"&amp;totales!I382="1"&amp;totales!J382="1","8",IF(totales!E382="1"&amp;totales!H382="1"&amp;totales!I382="0"&amp;totales!J382="1","9"))))))))))))))))))))))))))))))))))))</f>
        <v>0</v>
      </c>
    </row>
    <row r="382" spans="22:22">
      <c r="V382" s="102" t="b">
        <f>IF(totales!E383="1"&amp;totales!H383="0"&amp;totales!I383="0"&amp;totales!J383="0","a",IF(totales!E383="2"&amp;totales!H383="0"&amp;totales!I383="0"&amp;totales!J383="0","b",IF(totales!E383="3"&amp;totales!H383="0"&amp;totales!I383="0"&amp;totales!J383="0","c",IF(totales!E383="4"&amp;totales!H383="0"&amp;totales!I383="0"&amp;totales!J383="0","d",IF(totales!E383="6"&amp;totales!H383="0"&amp;totales!I383="0"&amp;totales!J383="0","e",IF(totales!E383="1"&amp;totales!H383="1"&amp;totales!I383="0"&amp;totales!J383="0","f",IF(totales!E383="2"&amp;totales!H383="1"&amp;totales!I383="0"&amp;totales!J383="0","g",IF(totales!E383="3"&amp;totales!H383="1"&amp;totales!I383="0"&amp;totales!J383="0","h",IF(totales!E383="4"&amp;totales!H383="1"&amp;totales!I383="0"&amp;totales!J383="0","i",IF(totales!E383="6"&amp;totales!H383="1"&amp;totales!I383="0"&amp;totales!J383="0","j",IF(totales!E383="1"&amp;totales!H383="2"&amp;totales!I383="0"&amp;totales!J383="0","k",IF(totales!E383="2"&amp;totales!H383="2"&amp;totales!I383="0"&amp;totales!J383="0","l",IF(totales!E383="3"&amp;totales!H383="2"&amp;totales!I383="0"&amp;totales!J383="0","m",
IF(totales!E383="4"&amp;totales!H383="2"&amp;totales!I383="0"&amp;totales!J383="0","n",IF(totales!E383="6"&amp;totales!H383="2"&amp;totales!I383="0"&amp;totales!J383="0","o",IF(totales!E383="1"&amp;totales!H383="0"&amp;totales!I383="1"&amp;totales!J383="0","p",IF(totales!E383="2"&amp;totales!H383="0"&amp;totales!I383="1"&amp;totales!J383="0","q",IF(totales!E383="3"&amp;totales!H383="0"&amp;totales!I383="1"&amp;totales!J383="0","r",IF(totales!E383="4"&amp;totales!H383="0"&amp;totales!I383="1"&amp;totales!J383="0","s",IF(totales!E383="6"&amp;totales!H383="0"&amp;totales!I383="1"&amp;totales!J383="0","t",IF(totales!E383="1"&amp;totales!H383="2"&amp;totales!I383="1"&amp;totales!J383="0","u",IF(totales!E383="2"&amp;totales!H383="2"&amp;totales!I383="1"&amp;totales!J383="0","v",IF(totales!E383="3"&amp;totales!H383="2"&amp;totales!I383="1"&amp;totales!J383="0","w",IF(totales!E383="4"&amp;totales!H383="2"&amp;totales!I383="1"&amp;totales!J383="0","x",
IF(totales!E383="6"&amp;totales!H383="2"&amp;totales!I383="1"&amp;totales!J383="0","y",IF(totales!E383="1"&amp;totales!H383="1"&amp;totales!I383="1"&amp;totales!J383="0","z",IF(totales!E383="2"&amp;totales!H383="1"&amp;totales!I383="1"&amp;totales!J383="0","0",IF(totales!E383="3"&amp;totales!H383="1"&amp;totales!I383="1"&amp;totales!J383="0","1",IF(totales!E383="4"&amp;totales!H383="1"&amp;totales!I383="1"&amp;totales!J383="0","2",IF(totales!E383="6"&amp;totales!H383="1"&amp;totales!I383="1"&amp;totales!J383="0","3",IF(totales!E383="1"&amp;totales!H383="0"&amp;totales!I383="1"&amp;totales!J383="1","4",IF(totales!E383="2"&amp;totales!H383="0"&amp;totales!I383="1"&amp;totales!J383="1","5",IF(totales!E383="3"&amp;totales!H383="0"&amp;totales!I383="1"&amp;totales!J383="1","6",IF(totales!E383="4"&amp;totales!H383="0"&amp;totales!I383="1"&amp;totales!J383="1","7",IF(totales!E383="6"&amp;totales!H383="0"&amp;totales!I383="1"&amp;totales!J383="1","8",IF(totales!E383="1"&amp;totales!H383="1"&amp;totales!I383="0"&amp;totales!J383="1","9"))))))))))))))))))))))))))))))))))))</f>
        <v>0</v>
      </c>
    </row>
    <row r="383" spans="22:22">
      <c r="V383" s="102" t="b">
        <f>IF(totales!E384="1"&amp;totales!H384="0"&amp;totales!I384="0"&amp;totales!J384="0","a",IF(totales!E384="2"&amp;totales!H384="0"&amp;totales!I384="0"&amp;totales!J384="0","b",IF(totales!E384="3"&amp;totales!H384="0"&amp;totales!I384="0"&amp;totales!J384="0","c",IF(totales!E384="4"&amp;totales!H384="0"&amp;totales!I384="0"&amp;totales!J384="0","d",IF(totales!E384="6"&amp;totales!H384="0"&amp;totales!I384="0"&amp;totales!J384="0","e",IF(totales!E384="1"&amp;totales!H384="1"&amp;totales!I384="0"&amp;totales!J384="0","f",IF(totales!E384="2"&amp;totales!H384="1"&amp;totales!I384="0"&amp;totales!J384="0","g",IF(totales!E384="3"&amp;totales!H384="1"&amp;totales!I384="0"&amp;totales!J384="0","h",IF(totales!E384="4"&amp;totales!H384="1"&amp;totales!I384="0"&amp;totales!J384="0","i",IF(totales!E384="6"&amp;totales!H384="1"&amp;totales!I384="0"&amp;totales!J384="0","j",IF(totales!E384="1"&amp;totales!H384="2"&amp;totales!I384="0"&amp;totales!J384="0","k",IF(totales!E384="2"&amp;totales!H384="2"&amp;totales!I384="0"&amp;totales!J384="0","l",IF(totales!E384="3"&amp;totales!H384="2"&amp;totales!I384="0"&amp;totales!J384="0","m",
IF(totales!E384="4"&amp;totales!H384="2"&amp;totales!I384="0"&amp;totales!J384="0","n",IF(totales!E384="6"&amp;totales!H384="2"&amp;totales!I384="0"&amp;totales!J384="0","o",IF(totales!E384="1"&amp;totales!H384="0"&amp;totales!I384="1"&amp;totales!J384="0","p",IF(totales!E384="2"&amp;totales!H384="0"&amp;totales!I384="1"&amp;totales!J384="0","q",IF(totales!E384="3"&amp;totales!H384="0"&amp;totales!I384="1"&amp;totales!J384="0","r",IF(totales!E384="4"&amp;totales!H384="0"&amp;totales!I384="1"&amp;totales!J384="0","s",IF(totales!E384="6"&amp;totales!H384="0"&amp;totales!I384="1"&amp;totales!J384="0","t",IF(totales!E384="1"&amp;totales!H384="2"&amp;totales!I384="1"&amp;totales!J384="0","u",IF(totales!E384="2"&amp;totales!H384="2"&amp;totales!I384="1"&amp;totales!J384="0","v",IF(totales!E384="3"&amp;totales!H384="2"&amp;totales!I384="1"&amp;totales!J384="0","w",IF(totales!E384="4"&amp;totales!H384="2"&amp;totales!I384="1"&amp;totales!J384="0","x",
IF(totales!E384="6"&amp;totales!H384="2"&amp;totales!I384="1"&amp;totales!J384="0","y",IF(totales!E384="1"&amp;totales!H384="1"&amp;totales!I384="1"&amp;totales!J384="0","z",IF(totales!E384="2"&amp;totales!H384="1"&amp;totales!I384="1"&amp;totales!J384="0","0",IF(totales!E384="3"&amp;totales!H384="1"&amp;totales!I384="1"&amp;totales!J384="0","1",IF(totales!E384="4"&amp;totales!H384="1"&amp;totales!I384="1"&amp;totales!J384="0","2",IF(totales!E384="6"&amp;totales!H384="1"&amp;totales!I384="1"&amp;totales!J384="0","3",IF(totales!E384="1"&amp;totales!H384="0"&amp;totales!I384="1"&amp;totales!J384="1","4",IF(totales!E384="2"&amp;totales!H384="0"&amp;totales!I384="1"&amp;totales!J384="1","5",IF(totales!E384="3"&amp;totales!H384="0"&amp;totales!I384="1"&amp;totales!J384="1","6",IF(totales!E384="4"&amp;totales!H384="0"&amp;totales!I384="1"&amp;totales!J384="1","7",IF(totales!E384="6"&amp;totales!H384="0"&amp;totales!I384="1"&amp;totales!J384="1","8",IF(totales!E384="1"&amp;totales!H384="1"&amp;totales!I384="0"&amp;totales!J384="1","9"))))))))))))))))))))))))))))))))))))</f>
        <v>0</v>
      </c>
    </row>
    <row r="384" spans="22:22">
      <c r="V384" s="102" t="b">
        <f>IF(totales!E385="1"&amp;totales!H385="0"&amp;totales!I385="0"&amp;totales!J385="0","a",IF(totales!E385="2"&amp;totales!H385="0"&amp;totales!I385="0"&amp;totales!J385="0","b",IF(totales!E385="3"&amp;totales!H385="0"&amp;totales!I385="0"&amp;totales!J385="0","c",IF(totales!E385="4"&amp;totales!H385="0"&amp;totales!I385="0"&amp;totales!J385="0","d",IF(totales!E385="6"&amp;totales!H385="0"&amp;totales!I385="0"&amp;totales!J385="0","e",IF(totales!E385="1"&amp;totales!H385="1"&amp;totales!I385="0"&amp;totales!J385="0","f",IF(totales!E385="2"&amp;totales!H385="1"&amp;totales!I385="0"&amp;totales!J385="0","g",IF(totales!E385="3"&amp;totales!H385="1"&amp;totales!I385="0"&amp;totales!J385="0","h",IF(totales!E385="4"&amp;totales!H385="1"&amp;totales!I385="0"&amp;totales!J385="0","i",IF(totales!E385="6"&amp;totales!H385="1"&amp;totales!I385="0"&amp;totales!J385="0","j",IF(totales!E385="1"&amp;totales!H385="2"&amp;totales!I385="0"&amp;totales!J385="0","k",IF(totales!E385="2"&amp;totales!H385="2"&amp;totales!I385="0"&amp;totales!J385="0","l",IF(totales!E385="3"&amp;totales!H385="2"&amp;totales!I385="0"&amp;totales!J385="0","m",
IF(totales!E385="4"&amp;totales!H385="2"&amp;totales!I385="0"&amp;totales!J385="0","n",IF(totales!E385="6"&amp;totales!H385="2"&amp;totales!I385="0"&amp;totales!J385="0","o",IF(totales!E385="1"&amp;totales!H385="0"&amp;totales!I385="1"&amp;totales!J385="0","p",IF(totales!E385="2"&amp;totales!H385="0"&amp;totales!I385="1"&amp;totales!J385="0","q",IF(totales!E385="3"&amp;totales!H385="0"&amp;totales!I385="1"&amp;totales!J385="0","r",IF(totales!E385="4"&amp;totales!H385="0"&amp;totales!I385="1"&amp;totales!J385="0","s",IF(totales!E385="6"&amp;totales!H385="0"&amp;totales!I385="1"&amp;totales!J385="0","t",IF(totales!E385="1"&amp;totales!H385="2"&amp;totales!I385="1"&amp;totales!J385="0","u",IF(totales!E385="2"&amp;totales!H385="2"&amp;totales!I385="1"&amp;totales!J385="0","v",IF(totales!E385="3"&amp;totales!H385="2"&amp;totales!I385="1"&amp;totales!J385="0","w",IF(totales!E385="4"&amp;totales!H385="2"&amp;totales!I385="1"&amp;totales!J385="0","x",
IF(totales!E385="6"&amp;totales!H385="2"&amp;totales!I385="1"&amp;totales!J385="0","y",IF(totales!E385="1"&amp;totales!H385="1"&amp;totales!I385="1"&amp;totales!J385="0","z",IF(totales!E385="2"&amp;totales!H385="1"&amp;totales!I385="1"&amp;totales!J385="0","0",IF(totales!E385="3"&amp;totales!H385="1"&amp;totales!I385="1"&amp;totales!J385="0","1",IF(totales!E385="4"&amp;totales!H385="1"&amp;totales!I385="1"&amp;totales!J385="0","2",IF(totales!E385="6"&amp;totales!H385="1"&amp;totales!I385="1"&amp;totales!J385="0","3",IF(totales!E385="1"&amp;totales!H385="0"&amp;totales!I385="1"&amp;totales!J385="1","4",IF(totales!E385="2"&amp;totales!H385="0"&amp;totales!I385="1"&amp;totales!J385="1","5",IF(totales!E385="3"&amp;totales!H385="0"&amp;totales!I385="1"&amp;totales!J385="1","6",IF(totales!E385="4"&amp;totales!H385="0"&amp;totales!I385="1"&amp;totales!J385="1","7",IF(totales!E385="6"&amp;totales!H385="0"&amp;totales!I385="1"&amp;totales!J385="1","8",IF(totales!E385="1"&amp;totales!H385="1"&amp;totales!I385="0"&amp;totales!J385="1","9"))))))))))))))))))))))))))))))))))))</f>
        <v>0</v>
      </c>
    </row>
    <row r="385" spans="22:22">
      <c r="V385" s="102" t="b">
        <f>IF(totales!E386="1"&amp;totales!H386="0"&amp;totales!I386="0"&amp;totales!J386="0","a",IF(totales!E386="2"&amp;totales!H386="0"&amp;totales!I386="0"&amp;totales!J386="0","b",IF(totales!E386="3"&amp;totales!H386="0"&amp;totales!I386="0"&amp;totales!J386="0","c",IF(totales!E386="4"&amp;totales!H386="0"&amp;totales!I386="0"&amp;totales!J386="0","d",IF(totales!E386="6"&amp;totales!H386="0"&amp;totales!I386="0"&amp;totales!J386="0","e",IF(totales!E386="1"&amp;totales!H386="1"&amp;totales!I386="0"&amp;totales!J386="0","f",IF(totales!E386="2"&amp;totales!H386="1"&amp;totales!I386="0"&amp;totales!J386="0","g",IF(totales!E386="3"&amp;totales!H386="1"&amp;totales!I386="0"&amp;totales!J386="0","h",IF(totales!E386="4"&amp;totales!H386="1"&amp;totales!I386="0"&amp;totales!J386="0","i",IF(totales!E386="6"&amp;totales!H386="1"&amp;totales!I386="0"&amp;totales!J386="0","j",IF(totales!E386="1"&amp;totales!H386="2"&amp;totales!I386="0"&amp;totales!J386="0","k",IF(totales!E386="2"&amp;totales!H386="2"&amp;totales!I386="0"&amp;totales!J386="0","l",IF(totales!E386="3"&amp;totales!H386="2"&amp;totales!I386="0"&amp;totales!J386="0","m",
IF(totales!E386="4"&amp;totales!H386="2"&amp;totales!I386="0"&amp;totales!J386="0","n",IF(totales!E386="6"&amp;totales!H386="2"&amp;totales!I386="0"&amp;totales!J386="0","o",IF(totales!E386="1"&amp;totales!H386="0"&amp;totales!I386="1"&amp;totales!J386="0","p",IF(totales!E386="2"&amp;totales!H386="0"&amp;totales!I386="1"&amp;totales!J386="0","q",IF(totales!E386="3"&amp;totales!H386="0"&amp;totales!I386="1"&amp;totales!J386="0","r",IF(totales!E386="4"&amp;totales!H386="0"&amp;totales!I386="1"&amp;totales!J386="0","s",IF(totales!E386="6"&amp;totales!H386="0"&amp;totales!I386="1"&amp;totales!J386="0","t",IF(totales!E386="1"&amp;totales!H386="2"&amp;totales!I386="1"&amp;totales!J386="0","u",IF(totales!E386="2"&amp;totales!H386="2"&amp;totales!I386="1"&amp;totales!J386="0","v",IF(totales!E386="3"&amp;totales!H386="2"&amp;totales!I386="1"&amp;totales!J386="0","w",IF(totales!E386="4"&amp;totales!H386="2"&amp;totales!I386="1"&amp;totales!J386="0","x",
IF(totales!E386="6"&amp;totales!H386="2"&amp;totales!I386="1"&amp;totales!J386="0","y",IF(totales!E386="1"&amp;totales!H386="1"&amp;totales!I386="1"&amp;totales!J386="0","z",IF(totales!E386="2"&amp;totales!H386="1"&amp;totales!I386="1"&amp;totales!J386="0","0",IF(totales!E386="3"&amp;totales!H386="1"&amp;totales!I386="1"&amp;totales!J386="0","1",IF(totales!E386="4"&amp;totales!H386="1"&amp;totales!I386="1"&amp;totales!J386="0","2",IF(totales!E386="6"&amp;totales!H386="1"&amp;totales!I386="1"&amp;totales!J386="0","3",IF(totales!E386="1"&amp;totales!H386="0"&amp;totales!I386="1"&amp;totales!J386="1","4",IF(totales!E386="2"&amp;totales!H386="0"&amp;totales!I386="1"&amp;totales!J386="1","5",IF(totales!E386="3"&amp;totales!H386="0"&amp;totales!I386="1"&amp;totales!J386="1","6",IF(totales!E386="4"&amp;totales!H386="0"&amp;totales!I386="1"&amp;totales!J386="1","7",IF(totales!E386="6"&amp;totales!H386="0"&amp;totales!I386="1"&amp;totales!J386="1","8",IF(totales!E386="1"&amp;totales!H386="1"&amp;totales!I386="0"&amp;totales!J386="1","9"))))))))))))))))))))))))))))))))))))</f>
        <v>0</v>
      </c>
    </row>
    <row r="386" spans="22:22">
      <c r="V386" s="102" t="b">
        <f>IF(totales!E387="1"&amp;totales!H387="0"&amp;totales!I387="0"&amp;totales!J387="0","a",IF(totales!E387="2"&amp;totales!H387="0"&amp;totales!I387="0"&amp;totales!J387="0","b",IF(totales!E387="3"&amp;totales!H387="0"&amp;totales!I387="0"&amp;totales!J387="0","c",IF(totales!E387="4"&amp;totales!H387="0"&amp;totales!I387="0"&amp;totales!J387="0","d",IF(totales!E387="6"&amp;totales!H387="0"&amp;totales!I387="0"&amp;totales!J387="0","e",IF(totales!E387="1"&amp;totales!H387="1"&amp;totales!I387="0"&amp;totales!J387="0","f",IF(totales!E387="2"&amp;totales!H387="1"&amp;totales!I387="0"&amp;totales!J387="0","g",IF(totales!E387="3"&amp;totales!H387="1"&amp;totales!I387="0"&amp;totales!J387="0","h",IF(totales!E387="4"&amp;totales!H387="1"&amp;totales!I387="0"&amp;totales!J387="0","i",IF(totales!E387="6"&amp;totales!H387="1"&amp;totales!I387="0"&amp;totales!J387="0","j",IF(totales!E387="1"&amp;totales!H387="2"&amp;totales!I387="0"&amp;totales!J387="0","k",IF(totales!E387="2"&amp;totales!H387="2"&amp;totales!I387="0"&amp;totales!J387="0","l",IF(totales!E387="3"&amp;totales!H387="2"&amp;totales!I387="0"&amp;totales!J387="0","m",
IF(totales!E387="4"&amp;totales!H387="2"&amp;totales!I387="0"&amp;totales!J387="0","n",IF(totales!E387="6"&amp;totales!H387="2"&amp;totales!I387="0"&amp;totales!J387="0","o",IF(totales!E387="1"&amp;totales!H387="0"&amp;totales!I387="1"&amp;totales!J387="0","p",IF(totales!E387="2"&amp;totales!H387="0"&amp;totales!I387="1"&amp;totales!J387="0","q",IF(totales!E387="3"&amp;totales!H387="0"&amp;totales!I387="1"&amp;totales!J387="0","r",IF(totales!E387="4"&amp;totales!H387="0"&amp;totales!I387="1"&amp;totales!J387="0","s",IF(totales!E387="6"&amp;totales!H387="0"&amp;totales!I387="1"&amp;totales!J387="0","t",IF(totales!E387="1"&amp;totales!H387="2"&amp;totales!I387="1"&amp;totales!J387="0","u",IF(totales!E387="2"&amp;totales!H387="2"&amp;totales!I387="1"&amp;totales!J387="0","v",IF(totales!E387="3"&amp;totales!H387="2"&amp;totales!I387="1"&amp;totales!J387="0","w",IF(totales!E387="4"&amp;totales!H387="2"&amp;totales!I387="1"&amp;totales!J387="0","x",
IF(totales!E387="6"&amp;totales!H387="2"&amp;totales!I387="1"&amp;totales!J387="0","y",IF(totales!E387="1"&amp;totales!H387="1"&amp;totales!I387="1"&amp;totales!J387="0","z",IF(totales!E387="2"&amp;totales!H387="1"&amp;totales!I387="1"&amp;totales!J387="0","0",IF(totales!E387="3"&amp;totales!H387="1"&amp;totales!I387="1"&amp;totales!J387="0","1",IF(totales!E387="4"&amp;totales!H387="1"&amp;totales!I387="1"&amp;totales!J387="0","2",IF(totales!E387="6"&amp;totales!H387="1"&amp;totales!I387="1"&amp;totales!J387="0","3",IF(totales!E387="1"&amp;totales!H387="0"&amp;totales!I387="1"&amp;totales!J387="1","4",IF(totales!E387="2"&amp;totales!H387="0"&amp;totales!I387="1"&amp;totales!J387="1","5",IF(totales!E387="3"&amp;totales!H387="0"&amp;totales!I387="1"&amp;totales!J387="1","6",IF(totales!E387="4"&amp;totales!H387="0"&amp;totales!I387="1"&amp;totales!J387="1","7",IF(totales!E387="6"&amp;totales!H387="0"&amp;totales!I387="1"&amp;totales!J387="1","8",IF(totales!E387="1"&amp;totales!H387="1"&amp;totales!I387="0"&amp;totales!J387="1","9"))))))))))))))))))))))))))))))))))))</f>
        <v>0</v>
      </c>
    </row>
    <row r="387" spans="22:22">
      <c r="V387" s="102" t="b">
        <f>IF(totales!E388="1"&amp;totales!H388="0"&amp;totales!I388="0"&amp;totales!J388="0","a",IF(totales!E388="2"&amp;totales!H388="0"&amp;totales!I388="0"&amp;totales!J388="0","b",IF(totales!E388="3"&amp;totales!H388="0"&amp;totales!I388="0"&amp;totales!J388="0","c",IF(totales!E388="4"&amp;totales!H388="0"&amp;totales!I388="0"&amp;totales!J388="0","d",IF(totales!E388="6"&amp;totales!H388="0"&amp;totales!I388="0"&amp;totales!J388="0","e",IF(totales!E388="1"&amp;totales!H388="1"&amp;totales!I388="0"&amp;totales!J388="0","f",IF(totales!E388="2"&amp;totales!H388="1"&amp;totales!I388="0"&amp;totales!J388="0","g",IF(totales!E388="3"&amp;totales!H388="1"&amp;totales!I388="0"&amp;totales!J388="0","h",IF(totales!E388="4"&amp;totales!H388="1"&amp;totales!I388="0"&amp;totales!J388="0","i",IF(totales!E388="6"&amp;totales!H388="1"&amp;totales!I388="0"&amp;totales!J388="0","j",IF(totales!E388="1"&amp;totales!H388="2"&amp;totales!I388="0"&amp;totales!J388="0","k",IF(totales!E388="2"&amp;totales!H388="2"&amp;totales!I388="0"&amp;totales!J388="0","l",IF(totales!E388="3"&amp;totales!H388="2"&amp;totales!I388="0"&amp;totales!J388="0","m",
IF(totales!E388="4"&amp;totales!H388="2"&amp;totales!I388="0"&amp;totales!J388="0","n",IF(totales!E388="6"&amp;totales!H388="2"&amp;totales!I388="0"&amp;totales!J388="0","o",IF(totales!E388="1"&amp;totales!H388="0"&amp;totales!I388="1"&amp;totales!J388="0","p",IF(totales!E388="2"&amp;totales!H388="0"&amp;totales!I388="1"&amp;totales!J388="0","q",IF(totales!E388="3"&amp;totales!H388="0"&amp;totales!I388="1"&amp;totales!J388="0","r",IF(totales!E388="4"&amp;totales!H388="0"&amp;totales!I388="1"&amp;totales!J388="0","s",IF(totales!E388="6"&amp;totales!H388="0"&amp;totales!I388="1"&amp;totales!J388="0","t",IF(totales!E388="1"&amp;totales!H388="2"&amp;totales!I388="1"&amp;totales!J388="0","u",IF(totales!E388="2"&amp;totales!H388="2"&amp;totales!I388="1"&amp;totales!J388="0","v",IF(totales!E388="3"&amp;totales!H388="2"&amp;totales!I388="1"&amp;totales!J388="0","w",IF(totales!E388="4"&amp;totales!H388="2"&amp;totales!I388="1"&amp;totales!J388="0","x",
IF(totales!E388="6"&amp;totales!H388="2"&amp;totales!I388="1"&amp;totales!J388="0","y",IF(totales!E388="1"&amp;totales!H388="1"&amp;totales!I388="1"&amp;totales!J388="0","z",IF(totales!E388="2"&amp;totales!H388="1"&amp;totales!I388="1"&amp;totales!J388="0","0",IF(totales!E388="3"&amp;totales!H388="1"&amp;totales!I388="1"&amp;totales!J388="0","1",IF(totales!E388="4"&amp;totales!H388="1"&amp;totales!I388="1"&amp;totales!J388="0","2",IF(totales!E388="6"&amp;totales!H388="1"&amp;totales!I388="1"&amp;totales!J388="0","3",IF(totales!E388="1"&amp;totales!H388="0"&amp;totales!I388="1"&amp;totales!J388="1","4",IF(totales!E388="2"&amp;totales!H388="0"&amp;totales!I388="1"&amp;totales!J388="1","5",IF(totales!E388="3"&amp;totales!H388="0"&amp;totales!I388="1"&amp;totales!J388="1","6",IF(totales!E388="4"&amp;totales!H388="0"&amp;totales!I388="1"&amp;totales!J388="1","7",IF(totales!E388="6"&amp;totales!H388="0"&amp;totales!I388="1"&amp;totales!J388="1","8",IF(totales!E388="1"&amp;totales!H388="1"&amp;totales!I388="0"&amp;totales!J388="1","9"))))))))))))))))))))))))))))))))))))</f>
        <v>0</v>
      </c>
    </row>
    <row r="388" spans="22:22">
      <c r="V388" s="102" t="b">
        <f>IF(totales!E389="1"&amp;totales!H389="0"&amp;totales!I389="0"&amp;totales!J389="0","a",IF(totales!E389="2"&amp;totales!H389="0"&amp;totales!I389="0"&amp;totales!J389="0","b",IF(totales!E389="3"&amp;totales!H389="0"&amp;totales!I389="0"&amp;totales!J389="0","c",IF(totales!E389="4"&amp;totales!H389="0"&amp;totales!I389="0"&amp;totales!J389="0","d",IF(totales!E389="6"&amp;totales!H389="0"&amp;totales!I389="0"&amp;totales!J389="0","e",IF(totales!E389="1"&amp;totales!H389="1"&amp;totales!I389="0"&amp;totales!J389="0","f",IF(totales!E389="2"&amp;totales!H389="1"&amp;totales!I389="0"&amp;totales!J389="0","g",IF(totales!E389="3"&amp;totales!H389="1"&amp;totales!I389="0"&amp;totales!J389="0","h",IF(totales!E389="4"&amp;totales!H389="1"&amp;totales!I389="0"&amp;totales!J389="0","i",IF(totales!E389="6"&amp;totales!H389="1"&amp;totales!I389="0"&amp;totales!J389="0","j",IF(totales!E389="1"&amp;totales!H389="2"&amp;totales!I389="0"&amp;totales!J389="0","k",IF(totales!E389="2"&amp;totales!H389="2"&amp;totales!I389="0"&amp;totales!J389="0","l",IF(totales!E389="3"&amp;totales!H389="2"&amp;totales!I389="0"&amp;totales!J389="0","m",
IF(totales!E389="4"&amp;totales!H389="2"&amp;totales!I389="0"&amp;totales!J389="0","n",IF(totales!E389="6"&amp;totales!H389="2"&amp;totales!I389="0"&amp;totales!J389="0","o",IF(totales!E389="1"&amp;totales!H389="0"&amp;totales!I389="1"&amp;totales!J389="0","p",IF(totales!E389="2"&amp;totales!H389="0"&amp;totales!I389="1"&amp;totales!J389="0","q",IF(totales!E389="3"&amp;totales!H389="0"&amp;totales!I389="1"&amp;totales!J389="0","r",IF(totales!E389="4"&amp;totales!H389="0"&amp;totales!I389="1"&amp;totales!J389="0","s",IF(totales!E389="6"&amp;totales!H389="0"&amp;totales!I389="1"&amp;totales!J389="0","t",IF(totales!E389="1"&amp;totales!H389="2"&amp;totales!I389="1"&amp;totales!J389="0","u",IF(totales!E389="2"&amp;totales!H389="2"&amp;totales!I389="1"&amp;totales!J389="0","v",IF(totales!E389="3"&amp;totales!H389="2"&amp;totales!I389="1"&amp;totales!J389="0","w",IF(totales!E389="4"&amp;totales!H389="2"&amp;totales!I389="1"&amp;totales!J389="0","x",
IF(totales!E389="6"&amp;totales!H389="2"&amp;totales!I389="1"&amp;totales!J389="0","y",IF(totales!E389="1"&amp;totales!H389="1"&amp;totales!I389="1"&amp;totales!J389="0","z",IF(totales!E389="2"&amp;totales!H389="1"&amp;totales!I389="1"&amp;totales!J389="0","0",IF(totales!E389="3"&amp;totales!H389="1"&amp;totales!I389="1"&amp;totales!J389="0","1",IF(totales!E389="4"&amp;totales!H389="1"&amp;totales!I389="1"&amp;totales!J389="0","2",IF(totales!E389="6"&amp;totales!H389="1"&amp;totales!I389="1"&amp;totales!J389="0","3",IF(totales!E389="1"&amp;totales!H389="0"&amp;totales!I389="1"&amp;totales!J389="1","4",IF(totales!E389="2"&amp;totales!H389="0"&amp;totales!I389="1"&amp;totales!J389="1","5",IF(totales!E389="3"&amp;totales!H389="0"&amp;totales!I389="1"&amp;totales!J389="1","6",IF(totales!E389="4"&amp;totales!H389="0"&amp;totales!I389="1"&amp;totales!J389="1","7",IF(totales!E389="6"&amp;totales!H389="0"&amp;totales!I389="1"&amp;totales!J389="1","8",IF(totales!E389="1"&amp;totales!H389="1"&amp;totales!I389="0"&amp;totales!J389="1","9"))))))))))))))))))))))))))))))))))))</f>
        <v>0</v>
      </c>
    </row>
    <row r="389" spans="22:22">
      <c r="V389" s="102" t="b">
        <f>IF(totales!E390="1"&amp;totales!H390="0"&amp;totales!I390="0"&amp;totales!J390="0","a",IF(totales!E390="2"&amp;totales!H390="0"&amp;totales!I390="0"&amp;totales!J390="0","b",IF(totales!E390="3"&amp;totales!H390="0"&amp;totales!I390="0"&amp;totales!J390="0","c",IF(totales!E390="4"&amp;totales!H390="0"&amp;totales!I390="0"&amp;totales!J390="0","d",IF(totales!E390="6"&amp;totales!H390="0"&amp;totales!I390="0"&amp;totales!J390="0","e",IF(totales!E390="1"&amp;totales!H390="1"&amp;totales!I390="0"&amp;totales!J390="0","f",IF(totales!E390="2"&amp;totales!H390="1"&amp;totales!I390="0"&amp;totales!J390="0","g",IF(totales!E390="3"&amp;totales!H390="1"&amp;totales!I390="0"&amp;totales!J390="0","h",IF(totales!E390="4"&amp;totales!H390="1"&amp;totales!I390="0"&amp;totales!J390="0","i",IF(totales!E390="6"&amp;totales!H390="1"&amp;totales!I390="0"&amp;totales!J390="0","j",IF(totales!E390="1"&amp;totales!H390="2"&amp;totales!I390="0"&amp;totales!J390="0","k",IF(totales!E390="2"&amp;totales!H390="2"&amp;totales!I390="0"&amp;totales!J390="0","l",IF(totales!E390="3"&amp;totales!H390="2"&amp;totales!I390="0"&amp;totales!J390="0","m",
IF(totales!E390="4"&amp;totales!H390="2"&amp;totales!I390="0"&amp;totales!J390="0","n",IF(totales!E390="6"&amp;totales!H390="2"&amp;totales!I390="0"&amp;totales!J390="0","o",IF(totales!E390="1"&amp;totales!H390="0"&amp;totales!I390="1"&amp;totales!J390="0","p",IF(totales!E390="2"&amp;totales!H390="0"&amp;totales!I390="1"&amp;totales!J390="0","q",IF(totales!E390="3"&amp;totales!H390="0"&amp;totales!I390="1"&amp;totales!J390="0","r",IF(totales!E390="4"&amp;totales!H390="0"&amp;totales!I390="1"&amp;totales!J390="0","s",IF(totales!E390="6"&amp;totales!H390="0"&amp;totales!I390="1"&amp;totales!J390="0","t",IF(totales!E390="1"&amp;totales!H390="2"&amp;totales!I390="1"&amp;totales!J390="0","u",IF(totales!E390="2"&amp;totales!H390="2"&amp;totales!I390="1"&amp;totales!J390="0","v",IF(totales!E390="3"&amp;totales!H390="2"&amp;totales!I390="1"&amp;totales!J390="0","w",IF(totales!E390="4"&amp;totales!H390="2"&amp;totales!I390="1"&amp;totales!J390="0","x",
IF(totales!E390="6"&amp;totales!H390="2"&amp;totales!I390="1"&amp;totales!J390="0","y",IF(totales!E390="1"&amp;totales!H390="1"&amp;totales!I390="1"&amp;totales!J390="0","z",IF(totales!E390="2"&amp;totales!H390="1"&amp;totales!I390="1"&amp;totales!J390="0","0",IF(totales!E390="3"&amp;totales!H390="1"&amp;totales!I390="1"&amp;totales!J390="0","1",IF(totales!E390="4"&amp;totales!H390="1"&amp;totales!I390="1"&amp;totales!J390="0","2",IF(totales!E390="6"&amp;totales!H390="1"&amp;totales!I390="1"&amp;totales!J390="0","3",IF(totales!E390="1"&amp;totales!H390="0"&amp;totales!I390="1"&amp;totales!J390="1","4",IF(totales!E390="2"&amp;totales!H390="0"&amp;totales!I390="1"&amp;totales!J390="1","5",IF(totales!E390="3"&amp;totales!H390="0"&amp;totales!I390="1"&amp;totales!J390="1","6",IF(totales!E390="4"&amp;totales!H390="0"&amp;totales!I390="1"&amp;totales!J390="1","7",IF(totales!E390="6"&amp;totales!H390="0"&amp;totales!I390="1"&amp;totales!J390="1","8",IF(totales!E390="1"&amp;totales!H390="1"&amp;totales!I390="0"&amp;totales!J390="1","9"))))))))))))))))))))))))))))))))))))</f>
        <v>0</v>
      </c>
    </row>
    <row r="390" spans="22:22">
      <c r="V390" s="102" t="b">
        <f>IF(totales!E391="1"&amp;totales!H391="0"&amp;totales!I391="0"&amp;totales!J391="0","a",IF(totales!E391="2"&amp;totales!H391="0"&amp;totales!I391="0"&amp;totales!J391="0","b",IF(totales!E391="3"&amp;totales!H391="0"&amp;totales!I391="0"&amp;totales!J391="0","c",IF(totales!E391="4"&amp;totales!H391="0"&amp;totales!I391="0"&amp;totales!J391="0","d",IF(totales!E391="6"&amp;totales!H391="0"&amp;totales!I391="0"&amp;totales!J391="0","e",IF(totales!E391="1"&amp;totales!H391="1"&amp;totales!I391="0"&amp;totales!J391="0","f",IF(totales!E391="2"&amp;totales!H391="1"&amp;totales!I391="0"&amp;totales!J391="0","g",IF(totales!E391="3"&amp;totales!H391="1"&amp;totales!I391="0"&amp;totales!J391="0","h",IF(totales!E391="4"&amp;totales!H391="1"&amp;totales!I391="0"&amp;totales!J391="0","i",IF(totales!E391="6"&amp;totales!H391="1"&amp;totales!I391="0"&amp;totales!J391="0","j",IF(totales!E391="1"&amp;totales!H391="2"&amp;totales!I391="0"&amp;totales!J391="0","k",IF(totales!E391="2"&amp;totales!H391="2"&amp;totales!I391="0"&amp;totales!J391="0","l",IF(totales!E391="3"&amp;totales!H391="2"&amp;totales!I391="0"&amp;totales!J391="0","m",
IF(totales!E391="4"&amp;totales!H391="2"&amp;totales!I391="0"&amp;totales!J391="0","n",IF(totales!E391="6"&amp;totales!H391="2"&amp;totales!I391="0"&amp;totales!J391="0","o",IF(totales!E391="1"&amp;totales!H391="0"&amp;totales!I391="1"&amp;totales!J391="0","p",IF(totales!E391="2"&amp;totales!H391="0"&amp;totales!I391="1"&amp;totales!J391="0","q",IF(totales!E391="3"&amp;totales!H391="0"&amp;totales!I391="1"&amp;totales!J391="0","r",IF(totales!E391="4"&amp;totales!H391="0"&amp;totales!I391="1"&amp;totales!J391="0","s",IF(totales!E391="6"&amp;totales!H391="0"&amp;totales!I391="1"&amp;totales!J391="0","t",IF(totales!E391="1"&amp;totales!H391="2"&amp;totales!I391="1"&amp;totales!J391="0","u",IF(totales!E391="2"&amp;totales!H391="2"&amp;totales!I391="1"&amp;totales!J391="0","v",IF(totales!E391="3"&amp;totales!H391="2"&amp;totales!I391="1"&amp;totales!J391="0","w",IF(totales!E391="4"&amp;totales!H391="2"&amp;totales!I391="1"&amp;totales!J391="0","x",
IF(totales!E391="6"&amp;totales!H391="2"&amp;totales!I391="1"&amp;totales!J391="0","y",IF(totales!E391="1"&amp;totales!H391="1"&amp;totales!I391="1"&amp;totales!J391="0","z",IF(totales!E391="2"&amp;totales!H391="1"&amp;totales!I391="1"&amp;totales!J391="0","0",IF(totales!E391="3"&amp;totales!H391="1"&amp;totales!I391="1"&amp;totales!J391="0","1",IF(totales!E391="4"&amp;totales!H391="1"&amp;totales!I391="1"&amp;totales!J391="0","2",IF(totales!E391="6"&amp;totales!H391="1"&amp;totales!I391="1"&amp;totales!J391="0","3",IF(totales!E391="1"&amp;totales!H391="0"&amp;totales!I391="1"&amp;totales!J391="1","4",IF(totales!E391="2"&amp;totales!H391="0"&amp;totales!I391="1"&amp;totales!J391="1","5",IF(totales!E391="3"&amp;totales!H391="0"&amp;totales!I391="1"&amp;totales!J391="1","6",IF(totales!E391="4"&amp;totales!H391="0"&amp;totales!I391="1"&amp;totales!J391="1","7",IF(totales!E391="6"&amp;totales!H391="0"&amp;totales!I391="1"&amp;totales!J391="1","8",IF(totales!E391="1"&amp;totales!H391="1"&amp;totales!I391="0"&amp;totales!J391="1","9"))))))))))))))))))))))))))))))))))))</f>
        <v>0</v>
      </c>
    </row>
    <row r="391" spans="22:22">
      <c r="V391" s="102" t="b">
        <f>IF(totales!E392="1"&amp;totales!H392="0"&amp;totales!I392="0"&amp;totales!J392="0","a",IF(totales!E392="2"&amp;totales!H392="0"&amp;totales!I392="0"&amp;totales!J392="0","b",IF(totales!E392="3"&amp;totales!H392="0"&amp;totales!I392="0"&amp;totales!J392="0","c",IF(totales!E392="4"&amp;totales!H392="0"&amp;totales!I392="0"&amp;totales!J392="0","d",IF(totales!E392="6"&amp;totales!H392="0"&amp;totales!I392="0"&amp;totales!J392="0","e",IF(totales!E392="1"&amp;totales!H392="1"&amp;totales!I392="0"&amp;totales!J392="0","f",IF(totales!E392="2"&amp;totales!H392="1"&amp;totales!I392="0"&amp;totales!J392="0","g",IF(totales!E392="3"&amp;totales!H392="1"&amp;totales!I392="0"&amp;totales!J392="0","h",IF(totales!E392="4"&amp;totales!H392="1"&amp;totales!I392="0"&amp;totales!J392="0","i",IF(totales!E392="6"&amp;totales!H392="1"&amp;totales!I392="0"&amp;totales!J392="0","j",IF(totales!E392="1"&amp;totales!H392="2"&amp;totales!I392="0"&amp;totales!J392="0","k",IF(totales!E392="2"&amp;totales!H392="2"&amp;totales!I392="0"&amp;totales!J392="0","l",IF(totales!E392="3"&amp;totales!H392="2"&amp;totales!I392="0"&amp;totales!J392="0","m",
IF(totales!E392="4"&amp;totales!H392="2"&amp;totales!I392="0"&amp;totales!J392="0","n",IF(totales!E392="6"&amp;totales!H392="2"&amp;totales!I392="0"&amp;totales!J392="0","o",IF(totales!E392="1"&amp;totales!H392="0"&amp;totales!I392="1"&amp;totales!J392="0","p",IF(totales!E392="2"&amp;totales!H392="0"&amp;totales!I392="1"&amp;totales!J392="0","q",IF(totales!E392="3"&amp;totales!H392="0"&amp;totales!I392="1"&amp;totales!J392="0","r",IF(totales!E392="4"&amp;totales!H392="0"&amp;totales!I392="1"&amp;totales!J392="0","s",IF(totales!E392="6"&amp;totales!H392="0"&amp;totales!I392="1"&amp;totales!J392="0","t",IF(totales!E392="1"&amp;totales!H392="2"&amp;totales!I392="1"&amp;totales!J392="0","u",IF(totales!E392="2"&amp;totales!H392="2"&amp;totales!I392="1"&amp;totales!J392="0","v",IF(totales!E392="3"&amp;totales!H392="2"&amp;totales!I392="1"&amp;totales!J392="0","w",IF(totales!E392="4"&amp;totales!H392="2"&amp;totales!I392="1"&amp;totales!J392="0","x",
IF(totales!E392="6"&amp;totales!H392="2"&amp;totales!I392="1"&amp;totales!J392="0","y",IF(totales!E392="1"&amp;totales!H392="1"&amp;totales!I392="1"&amp;totales!J392="0","z",IF(totales!E392="2"&amp;totales!H392="1"&amp;totales!I392="1"&amp;totales!J392="0","0",IF(totales!E392="3"&amp;totales!H392="1"&amp;totales!I392="1"&amp;totales!J392="0","1",IF(totales!E392="4"&amp;totales!H392="1"&amp;totales!I392="1"&amp;totales!J392="0","2",IF(totales!E392="6"&amp;totales!H392="1"&amp;totales!I392="1"&amp;totales!J392="0","3",IF(totales!E392="1"&amp;totales!H392="0"&amp;totales!I392="1"&amp;totales!J392="1","4",IF(totales!E392="2"&amp;totales!H392="0"&amp;totales!I392="1"&amp;totales!J392="1","5",IF(totales!E392="3"&amp;totales!H392="0"&amp;totales!I392="1"&amp;totales!J392="1","6",IF(totales!E392="4"&amp;totales!H392="0"&amp;totales!I392="1"&amp;totales!J392="1","7",IF(totales!E392="6"&amp;totales!H392="0"&amp;totales!I392="1"&amp;totales!J392="1","8",IF(totales!E392="1"&amp;totales!H392="1"&amp;totales!I392="0"&amp;totales!J392="1","9"))))))))))))))))))))))))))))))))))))</f>
        <v>0</v>
      </c>
    </row>
    <row r="392" spans="22:22">
      <c r="V392" s="102" t="b">
        <f>IF(totales!E393="1"&amp;totales!H393="0"&amp;totales!I393="0"&amp;totales!J393="0","a",IF(totales!E393="2"&amp;totales!H393="0"&amp;totales!I393="0"&amp;totales!J393="0","b",IF(totales!E393="3"&amp;totales!H393="0"&amp;totales!I393="0"&amp;totales!J393="0","c",IF(totales!E393="4"&amp;totales!H393="0"&amp;totales!I393="0"&amp;totales!J393="0","d",IF(totales!E393="6"&amp;totales!H393="0"&amp;totales!I393="0"&amp;totales!J393="0","e",IF(totales!E393="1"&amp;totales!H393="1"&amp;totales!I393="0"&amp;totales!J393="0","f",IF(totales!E393="2"&amp;totales!H393="1"&amp;totales!I393="0"&amp;totales!J393="0","g",IF(totales!E393="3"&amp;totales!H393="1"&amp;totales!I393="0"&amp;totales!J393="0","h",IF(totales!E393="4"&amp;totales!H393="1"&amp;totales!I393="0"&amp;totales!J393="0","i",IF(totales!E393="6"&amp;totales!H393="1"&amp;totales!I393="0"&amp;totales!J393="0","j",IF(totales!E393="1"&amp;totales!H393="2"&amp;totales!I393="0"&amp;totales!J393="0","k",IF(totales!E393="2"&amp;totales!H393="2"&amp;totales!I393="0"&amp;totales!J393="0","l",IF(totales!E393="3"&amp;totales!H393="2"&amp;totales!I393="0"&amp;totales!J393="0","m",
IF(totales!E393="4"&amp;totales!H393="2"&amp;totales!I393="0"&amp;totales!J393="0","n",IF(totales!E393="6"&amp;totales!H393="2"&amp;totales!I393="0"&amp;totales!J393="0","o",IF(totales!E393="1"&amp;totales!H393="0"&amp;totales!I393="1"&amp;totales!J393="0","p",IF(totales!E393="2"&amp;totales!H393="0"&amp;totales!I393="1"&amp;totales!J393="0","q",IF(totales!E393="3"&amp;totales!H393="0"&amp;totales!I393="1"&amp;totales!J393="0","r",IF(totales!E393="4"&amp;totales!H393="0"&amp;totales!I393="1"&amp;totales!J393="0","s",IF(totales!E393="6"&amp;totales!H393="0"&amp;totales!I393="1"&amp;totales!J393="0","t",IF(totales!E393="1"&amp;totales!H393="2"&amp;totales!I393="1"&amp;totales!J393="0","u",IF(totales!E393="2"&amp;totales!H393="2"&amp;totales!I393="1"&amp;totales!J393="0","v",IF(totales!E393="3"&amp;totales!H393="2"&amp;totales!I393="1"&amp;totales!J393="0","w",IF(totales!E393="4"&amp;totales!H393="2"&amp;totales!I393="1"&amp;totales!J393="0","x",
IF(totales!E393="6"&amp;totales!H393="2"&amp;totales!I393="1"&amp;totales!J393="0","y",IF(totales!E393="1"&amp;totales!H393="1"&amp;totales!I393="1"&amp;totales!J393="0","z",IF(totales!E393="2"&amp;totales!H393="1"&amp;totales!I393="1"&amp;totales!J393="0","0",IF(totales!E393="3"&amp;totales!H393="1"&amp;totales!I393="1"&amp;totales!J393="0","1",IF(totales!E393="4"&amp;totales!H393="1"&amp;totales!I393="1"&amp;totales!J393="0","2",IF(totales!E393="6"&amp;totales!H393="1"&amp;totales!I393="1"&amp;totales!J393="0","3",IF(totales!E393="1"&amp;totales!H393="0"&amp;totales!I393="1"&amp;totales!J393="1","4",IF(totales!E393="2"&amp;totales!H393="0"&amp;totales!I393="1"&amp;totales!J393="1","5",IF(totales!E393="3"&amp;totales!H393="0"&amp;totales!I393="1"&amp;totales!J393="1","6",IF(totales!E393="4"&amp;totales!H393="0"&amp;totales!I393="1"&amp;totales!J393="1","7",IF(totales!E393="6"&amp;totales!H393="0"&amp;totales!I393="1"&amp;totales!J393="1","8",IF(totales!E393="1"&amp;totales!H393="1"&amp;totales!I393="0"&amp;totales!J393="1","9"))))))))))))))))))))))))))))))))))))</f>
        <v>0</v>
      </c>
    </row>
    <row r="393" spans="22:22">
      <c r="V393" s="102" t="b">
        <f>IF(totales!E394="1"&amp;totales!H394="0"&amp;totales!I394="0"&amp;totales!J394="0","a",IF(totales!E394="2"&amp;totales!H394="0"&amp;totales!I394="0"&amp;totales!J394="0","b",IF(totales!E394="3"&amp;totales!H394="0"&amp;totales!I394="0"&amp;totales!J394="0","c",IF(totales!E394="4"&amp;totales!H394="0"&amp;totales!I394="0"&amp;totales!J394="0","d",IF(totales!E394="6"&amp;totales!H394="0"&amp;totales!I394="0"&amp;totales!J394="0","e",IF(totales!E394="1"&amp;totales!H394="1"&amp;totales!I394="0"&amp;totales!J394="0","f",IF(totales!E394="2"&amp;totales!H394="1"&amp;totales!I394="0"&amp;totales!J394="0","g",IF(totales!E394="3"&amp;totales!H394="1"&amp;totales!I394="0"&amp;totales!J394="0","h",IF(totales!E394="4"&amp;totales!H394="1"&amp;totales!I394="0"&amp;totales!J394="0","i",IF(totales!E394="6"&amp;totales!H394="1"&amp;totales!I394="0"&amp;totales!J394="0","j",IF(totales!E394="1"&amp;totales!H394="2"&amp;totales!I394="0"&amp;totales!J394="0","k",IF(totales!E394="2"&amp;totales!H394="2"&amp;totales!I394="0"&amp;totales!J394="0","l",IF(totales!E394="3"&amp;totales!H394="2"&amp;totales!I394="0"&amp;totales!J394="0","m",
IF(totales!E394="4"&amp;totales!H394="2"&amp;totales!I394="0"&amp;totales!J394="0","n",IF(totales!E394="6"&amp;totales!H394="2"&amp;totales!I394="0"&amp;totales!J394="0","o",IF(totales!E394="1"&amp;totales!H394="0"&amp;totales!I394="1"&amp;totales!J394="0","p",IF(totales!E394="2"&amp;totales!H394="0"&amp;totales!I394="1"&amp;totales!J394="0","q",IF(totales!E394="3"&amp;totales!H394="0"&amp;totales!I394="1"&amp;totales!J394="0","r",IF(totales!E394="4"&amp;totales!H394="0"&amp;totales!I394="1"&amp;totales!J394="0","s",IF(totales!E394="6"&amp;totales!H394="0"&amp;totales!I394="1"&amp;totales!J394="0","t",IF(totales!E394="1"&amp;totales!H394="2"&amp;totales!I394="1"&amp;totales!J394="0","u",IF(totales!E394="2"&amp;totales!H394="2"&amp;totales!I394="1"&amp;totales!J394="0","v",IF(totales!E394="3"&amp;totales!H394="2"&amp;totales!I394="1"&amp;totales!J394="0","w",IF(totales!E394="4"&amp;totales!H394="2"&amp;totales!I394="1"&amp;totales!J394="0","x",
IF(totales!E394="6"&amp;totales!H394="2"&amp;totales!I394="1"&amp;totales!J394="0","y",IF(totales!E394="1"&amp;totales!H394="1"&amp;totales!I394="1"&amp;totales!J394="0","z",IF(totales!E394="2"&amp;totales!H394="1"&amp;totales!I394="1"&amp;totales!J394="0","0",IF(totales!E394="3"&amp;totales!H394="1"&amp;totales!I394="1"&amp;totales!J394="0","1",IF(totales!E394="4"&amp;totales!H394="1"&amp;totales!I394="1"&amp;totales!J394="0","2",IF(totales!E394="6"&amp;totales!H394="1"&amp;totales!I394="1"&amp;totales!J394="0","3",IF(totales!E394="1"&amp;totales!H394="0"&amp;totales!I394="1"&amp;totales!J394="1","4",IF(totales!E394="2"&amp;totales!H394="0"&amp;totales!I394="1"&amp;totales!J394="1","5",IF(totales!E394="3"&amp;totales!H394="0"&amp;totales!I394="1"&amp;totales!J394="1","6",IF(totales!E394="4"&amp;totales!H394="0"&amp;totales!I394="1"&amp;totales!J394="1","7",IF(totales!E394="6"&amp;totales!H394="0"&amp;totales!I394="1"&amp;totales!J394="1","8",IF(totales!E394="1"&amp;totales!H394="1"&amp;totales!I394="0"&amp;totales!J394="1","9"))))))))))))))))))))))))))))))))))))</f>
        <v>0</v>
      </c>
    </row>
    <row r="394" spans="22:22">
      <c r="V394" s="102" t="b">
        <f>IF(totales!E395="1"&amp;totales!H395="0"&amp;totales!I395="0"&amp;totales!J395="0","a",IF(totales!E395="2"&amp;totales!H395="0"&amp;totales!I395="0"&amp;totales!J395="0","b",IF(totales!E395="3"&amp;totales!H395="0"&amp;totales!I395="0"&amp;totales!J395="0","c",IF(totales!E395="4"&amp;totales!H395="0"&amp;totales!I395="0"&amp;totales!J395="0","d",IF(totales!E395="6"&amp;totales!H395="0"&amp;totales!I395="0"&amp;totales!J395="0","e",IF(totales!E395="1"&amp;totales!H395="1"&amp;totales!I395="0"&amp;totales!J395="0","f",IF(totales!E395="2"&amp;totales!H395="1"&amp;totales!I395="0"&amp;totales!J395="0","g",IF(totales!E395="3"&amp;totales!H395="1"&amp;totales!I395="0"&amp;totales!J395="0","h",IF(totales!E395="4"&amp;totales!H395="1"&amp;totales!I395="0"&amp;totales!J395="0","i",IF(totales!E395="6"&amp;totales!H395="1"&amp;totales!I395="0"&amp;totales!J395="0","j",IF(totales!E395="1"&amp;totales!H395="2"&amp;totales!I395="0"&amp;totales!J395="0","k",IF(totales!E395="2"&amp;totales!H395="2"&amp;totales!I395="0"&amp;totales!J395="0","l",IF(totales!E395="3"&amp;totales!H395="2"&amp;totales!I395="0"&amp;totales!J395="0","m",
IF(totales!E395="4"&amp;totales!H395="2"&amp;totales!I395="0"&amp;totales!J395="0","n",IF(totales!E395="6"&amp;totales!H395="2"&amp;totales!I395="0"&amp;totales!J395="0","o",IF(totales!E395="1"&amp;totales!H395="0"&amp;totales!I395="1"&amp;totales!J395="0","p",IF(totales!E395="2"&amp;totales!H395="0"&amp;totales!I395="1"&amp;totales!J395="0","q",IF(totales!E395="3"&amp;totales!H395="0"&amp;totales!I395="1"&amp;totales!J395="0","r",IF(totales!E395="4"&amp;totales!H395="0"&amp;totales!I395="1"&amp;totales!J395="0","s",IF(totales!E395="6"&amp;totales!H395="0"&amp;totales!I395="1"&amp;totales!J395="0","t",IF(totales!E395="1"&amp;totales!H395="2"&amp;totales!I395="1"&amp;totales!J395="0","u",IF(totales!E395="2"&amp;totales!H395="2"&amp;totales!I395="1"&amp;totales!J395="0","v",IF(totales!E395="3"&amp;totales!H395="2"&amp;totales!I395="1"&amp;totales!J395="0","w",IF(totales!E395="4"&amp;totales!H395="2"&amp;totales!I395="1"&amp;totales!J395="0","x",
IF(totales!E395="6"&amp;totales!H395="2"&amp;totales!I395="1"&amp;totales!J395="0","y",IF(totales!E395="1"&amp;totales!H395="1"&amp;totales!I395="1"&amp;totales!J395="0","z",IF(totales!E395="2"&amp;totales!H395="1"&amp;totales!I395="1"&amp;totales!J395="0","0",IF(totales!E395="3"&amp;totales!H395="1"&amp;totales!I395="1"&amp;totales!J395="0","1",IF(totales!E395="4"&amp;totales!H395="1"&amp;totales!I395="1"&amp;totales!J395="0","2",IF(totales!E395="6"&amp;totales!H395="1"&amp;totales!I395="1"&amp;totales!J395="0","3",IF(totales!E395="1"&amp;totales!H395="0"&amp;totales!I395="1"&amp;totales!J395="1","4",IF(totales!E395="2"&amp;totales!H395="0"&amp;totales!I395="1"&amp;totales!J395="1","5",IF(totales!E395="3"&amp;totales!H395="0"&amp;totales!I395="1"&amp;totales!J395="1","6",IF(totales!E395="4"&amp;totales!H395="0"&amp;totales!I395="1"&amp;totales!J395="1","7",IF(totales!E395="6"&amp;totales!H395="0"&amp;totales!I395="1"&amp;totales!J395="1","8",IF(totales!E395="1"&amp;totales!H395="1"&amp;totales!I395="0"&amp;totales!J395="1","9"))))))))))))))))))))))))))))))))))))</f>
        <v>0</v>
      </c>
    </row>
    <row r="395" spans="22:22">
      <c r="V395" s="102" t="b">
        <f>IF(totales!E396="1"&amp;totales!H396="0"&amp;totales!I396="0"&amp;totales!J396="0","a",IF(totales!E396="2"&amp;totales!H396="0"&amp;totales!I396="0"&amp;totales!J396="0","b",IF(totales!E396="3"&amp;totales!H396="0"&amp;totales!I396="0"&amp;totales!J396="0","c",IF(totales!E396="4"&amp;totales!H396="0"&amp;totales!I396="0"&amp;totales!J396="0","d",IF(totales!E396="6"&amp;totales!H396="0"&amp;totales!I396="0"&amp;totales!J396="0","e",IF(totales!E396="1"&amp;totales!H396="1"&amp;totales!I396="0"&amp;totales!J396="0","f",IF(totales!E396="2"&amp;totales!H396="1"&amp;totales!I396="0"&amp;totales!J396="0","g",IF(totales!E396="3"&amp;totales!H396="1"&amp;totales!I396="0"&amp;totales!J396="0","h",IF(totales!E396="4"&amp;totales!H396="1"&amp;totales!I396="0"&amp;totales!J396="0","i",IF(totales!E396="6"&amp;totales!H396="1"&amp;totales!I396="0"&amp;totales!J396="0","j",IF(totales!E396="1"&amp;totales!H396="2"&amp;totales!I396="0"&amp;totales!J396="0","k",IF(totales!E396="2"&amp;totales!H396="2"&amp;totales!I396="0"&amp;totales!J396="0","l",IF(totales!E396="3"&amp;totales!H396="2"&amp;totales!I396="0"&amp;totales!J396="0","m",
IF(totales!E396="4"&amp;totales!H396="2"&amp;totales!I396="0"&amp;totales!J396="0","n",IF(totales!E396="6"&amp;totales!H396="2"&amp;totales!I396="0"&amp;totales!J396="0","o",IF(totales!E396="1"&amp;totales!H396="0"&amp;totales!I396="1"&amp;totales!J396="0","p",IF(totales!E396="2"&amp;totales!H396="0"&amp;totales!I396="1"&amp;totales!J396="0","q",IF(totales!E396="3"&amp;totales!H396="0"&amp;totales!I396="1"&amp;totales!J396="0","r",IF(totales!E396="4"&amp;totales!H396="0"&amp;totales!I396="1"&amp;totales!J396="0","s",IF(totales!E396="6"&amp;totales!H396="0"&amp;totales!I396="1"&amp;totales!J396="0","t",IF(totales!E396="1"&amp;totales!H396="2"&amp;totales!I396="1"&amp;totales!J396="0","u",IF(totales!E396="2"&amp;totales!H396="2"&amp;totales!I396="1"&amp;totales!J396="0","v",IF(totales!E396="3"&amp;totales!H396="2"&amp;totales!I396="1"&amp;totales!J396="0","w",IF(totales!E396="4"&amp;totales!H396="2"&amp;totales!I396="1"&amp;totales!J396="0","x",
IF(totales!E396="6"&amp;totales!H396="2"&amp;totales!I396="1"&amp;totales!J396="0","y",IF(totales!E396="1"&amp;totales!H396="1"&amp;totales!I396="1"&amp;totales!J396="0","z",IF(totales!E396="2"&amp;totales!H396="1"&amp;totales!I396="1"&amp;totales!J396="0","0",IF(totales!E396="3"&amp;totales!H396="1"&amp;totales!I396="1"&amp;totales!J396="0","1",IF(totales!E396="4"&amp;totales!H396="1"&amp;totales!I396="1"&amp;totales!J396="0","2",IF(totales!E396="6"&amp;totales!H396="1"&amp;totales!I396="1"&amp;totales!J396="0","3",IF(totales!E396="1"&amp;totales!H396="0"&amp;totales!I396="1"&amp;totales!J396="1","4",IF(totales!E396="2"&amp;totales!H396="0"&amp;totales!I396="1"&amp;totales!J396="1","5",IF(totales!E396="3"&amp;totales!H396="0"&amp;totales!I396="1"&amp;totales!J396="1","6",IF(totales!E396="4"&amp;totales!H396="0"&amp;totales!I396="1"&amp;totales!J396="1","7",IF(totales!E396="6"&amp;totales!H396="0"&amp;totales!I396="1"&amp;totales!J396="1","8",IF(totales!E396="1"&amp;totales!H396="1"&amp;totales!I396="0"&amp;totales!J396="1","9"))))))))))))))))))))))))))))))))))))</f>
        <v>0</v>
      </c>
    </row>
    <row r="396" spans="22:22">
      <c r="V396" s="102" t="b">
        <f>IF(totales!E397="1"&amp;totales!H397="0"&amp;totales!I397="0"&amp;totales!J397="0","a",IF(totales!E397="2"&amp;totales!H397="0"&amp;totales!I397="0"&amp;totales!J397="0","b",IF(totales!E397="3"&amp;totales!H397="0"&amp;totales!I397="0"&amp;totales!J397="0","c",IF(totales!E397="4"&amp;totales!H397="0"&amp;totales!I397="0"&amp;totales!J397="0","d",IF(totales!E397="6"&amp;totales!H397="0"&amp;totales!I397="0"&amp;totales!J397="0","e",IF(totales!E397="1"&amp;totales!H397="1"&amp;totales!I397="0"&amp;totales!J397="0","f",IF(totales!E397="2"&amp;totales!H397="1"&amp;totales!I397="0"&amp;totales!J397="0","g",IF(totales!E397="3"&amp;totales!H397="1"&amp;totales!I397="0"&amp;totales!J397="0","h",IF(totales!E397="4"&amp;totales!H397="1"&amp;totales!I397="0"&amp;totales!J397="0","i",IF(totales!E397="6"&amp;totales!H397="1"&amp;totales!I397="0"&amp;totales!J397="0","j",IF(totales!E397="1"&amp;totales!H397="2"&amp;totales!I397="0"&amp;totales!J397="0","k",IF(totales!E397="2"&amp;totales!H397="2"&amp;totales!I397="0"&amp;totales!J397="0","l",IF(totales!E397="3"&amp;totales!H397="2"&amp;totales!I397="0"&amp;totales!J397="0","m",
IF(totales!E397="4"&amp;totales!H397="2"&amp;totales!I397="0"&amp;totales!J397="0","n",IF(totales!E397="6"&amp;totales!H397="2"&amp;totales!I397="0"&amp;totales!J397="0","o",IF(totales!E397="1"&amp;totales!H397="0"&amp;totales!I397="1"&amp;totales!J397="0","p",IF(totales!E397="2"&amp;totales!H397="0"&amp;totales!I397="1"&amp;totales!J397="0","q",IF(totales!E397="3"&amp;totales!H397="0"&amp;totales!I397="1"&amp;totales!J397="0","r",IF(totales!E397="4"&amp;totales!H397="0"&amp;totales!I397="1"&amp;totales!J397="0","s",IF(totales!E397="6"&amp;totales!H397="0"&amp;totales!I397="1"&amp;totales!J397="0","t",IF(totales!E397="1"&amp;totales!H397="2"&amp;totales!I397="1"&amp;totales!J397="0","u",IF(totales!E397="2"&amp;totales!H397="2"&amp;totales!I397="1"&amp;totales!J397="0","v",IF(totales!E397="3"&amp;totales!H397="2"&amp;totales!I397="1"&amp;totales!J397="0","w",IF(totales!E397="4"&amp;totales!H397="2"&amp;totales!I397="1"&amp;totales!J397="0","x",
IF(totales!E397="6"&amp;totales!H397="2"&amp;totales!I397="1"&amp;totales!J397="0","y",IF(totales!E397="1"&amp;totales!H397="1"&amp;totales!I397="1"&amp;totales!J397="0","z",IF(totales!E397="2"&amp;totales!H397="1"&amp;totales!I397="1"&amp;totales!J397="0","0",IF(totales!E397="3"&amp;totales!H397="1"&amp;totales!I397="1"&amp;totales!J397="0","1",IF(totales!E397="4"&amp;totales!H397="1"&amp;totales!I397="1"&amp;totales!J397="0","2",IF(totales!E397="6"&amp;totales!H397="1"&amp;totales!I397="1"&amp;totales!J397="0","3",IF(totales!E397="1"&amp;totales!H397="0"&amp;totales!I397="1"&amp;totales!J397="1","4",IF(totales!E397="2"&amp;totales!H397="0"&amp;totales!I397="1"&amp;totales!J397="1","5",IF(totales!E397="3"&amp;totales!H397="0"&amp;totales!I397="1"&amp;totales!J397="1","6",IF(totales!E397="4"&amp;totales!H397="0"&amp;totales!I397="1"&amp;totales!J397="1","7",IF(totales!E397="6"&amp;totales!H397="0"&amp;totales!I397="1"&amp;totales!J397="1","8",IF(totales!E397="1"&amp;totales!H397="1"&amp;totales!I397="0"&amp;totales!J397="1","9"))))))))))))))))))))))))))))))))))))</f>
        <v>0</v>
      </c>
    </row>
    <row r="397" spans="22:22">
      <c r="V397" s="102" t="b">
        <f>IF(totales!E398="1"&amp;totales!H398="0"&amp;totales!I398="0"&amp;totales!J398="0","a",IF(totales!E398="2"&amp;totales!H398="0"&amp;totales!I398="0"&amp;totales!J398="0","b",IF(totales!E398="3"&amp;totales!H398="0"&amp;totales!I398="0"&amp;totales!J398="0","c",IF(totales!E398="4"&amp;totales!H398="0"&amp;totales!I398="0"&amp;totales!J398="0","d",IF(totales!E398="6"&amp;totales!H398="0"&amp;totales!I398="0"&amp;totales!J398="0","e",IF(totales!E398="1"&amp;totales!H398="1"&amp;totales!I398="0"&amp;totales!J398="0","f",IF(totales!E398="2"&amp;totales!H398="1"&amp;totales!I398="0"&amp;totales!J398="0","g",IF(totales!E398="3"&amp;totales!H398="1"&amp;totales!I398="0"&amp;totales!J398="0","h",IF(totales!E398="4"&amp;totales!H398="1"&amp;totales!I398="0"&amp;totales!J398="0","i",IF(totales!E398="6"&amp;totales!H398="1"&amp;totales!I398="0"&amp;totales!J398="0","j",IF(totales!E398="1"&amp;totales!H398="2"&amp;totales!I398="0"&amp;totales!J398="0","k",IF(totales!E398="2"&amp;totales!H398="2"&amp;totales!I398="0"&amp;totales!J398="0","l",IF(totales!E398="3"&amp;totales!H398="2"&amp;totales!I398="0"&amp;totales!J398="0","m",
IF(totales!E398="4"&amp;totales!H398="2"&amp;totales!I398="0"&amp;totales!J398="0","n",IF(totales!E398="6"&amp;totales!H398="2"&amp;totales!I398="0"&amp;totales!J398="0","o",IF(totales!E398="1"&amp;totales!H398="0"&amp;totales!I398="1"&amp;totales!J398="0","p",IF(totales!E398="2"&amp;totales!H398="0"&amp;totales!I398="1"&amp;totales!J398="0","q",IF(totales!E398="3"&amp;totales!H398="0"&amp;totales!I398="1"&amp;totales!J398="0","r",IF(totales!E398="4"&amp;totales!H398="0"&amp;totales!I398="1"&amp;totales!J398="0","s",IF(totales!E398="6"&amp;totales!H398="0"&amp;totales!I398="1"&amp;totales!J398="0","t",IF(totales!E398="1"&amp;totales!H398="2"&amp;totales!I398="1"&amp;totales!J398="0","u",IF(totales!E398="2"&amp;totales!H398="2"&amp;totales!I398="1"&amp;totales!J398="0","v",IF(totales!E398="3"&amp;totales!H398="2"&amp;totales!I398="1"&amp;totales!J398="0","w",IF(totales!E398="4"&amp;totales!H398="2"&amp;totales!I398="1"&amp;totales!J398="0","x",
IF(totales!E398="6"&amp;totales!H398="2"&amp;totales!I398="1"&amp;totales!J398="0","y",IF(totales!E398="1"&amp;totales!H398="1"&amp;totales!I398="1"&amp;totales!J398="0","z",IF(totales!E398="2"&amp;totales!H398="1"&amp;totales!I398="1"&amp;totales!J398="0","0",IF(totales!E398="3"&amp;totales!H398="1"&amp;totales!I398="1"&amp;totales!J398="0","1",IF(totales!E398="4"&amp;totales!H398="1"&amp;totales!I398="1"&amp;totales!J398="0","2",IF(totales!E398="6"&amp;totales!H398="1"&amp;totales!I398="1"&amp;totales!J398="0","3",IF(totales!E398="1"&amp;totales!H398="0"&amp;totales!I398="1"&amp;totales!J398="1","4",IF(totales!E398="2"&amp;totales!H398="0"&amp;totales!I398="1"&amp;totales!J398="1","5",IF(totales!E398="3"&amp;totales!H398="0"&amp;totales!I398="1"&amp;totales!J398="1","6",IF(totales!E398="4"&amp;totales!H398="0"&amp;totales!I398="1"&amp;totales!J398="1","7",IF(totales!E398="6"&amp;totales!H398="0"&amp;totales!I398="1"&amp;totales!J398="1","8",IF(totales!E398="1"&amp;totales!H398="1"&amp;totales!I398="0"&amp;totales!J398="1","9"))))))))))))))))))))))))))))))))))))</f>
        <v>0</v>
      </c>
    </row>
    <row r="398" spans="22:22">
      <c r="V398" s="102" t="b">
        <f>IF(totales!E399="1"&amp;totales!H399="0"&amp;totales!I399="0"&amp;totales!J399="0","a",IF(totales!E399="2"&amp;totales!H399="0"&amp;totales!I399="0"&amp;totales!J399="0","b",IF(totales!E399="3"&amp;totales!H399="0"&amp;totales!I399="0"&amp;totales!J399="0","c",IF(totales!E399="4"&amp;totales!H399="0"&amp;totales!I399="0"&amp;totales!J399="0","d",IF(totales!E399="6"&amp;totales!H399="0"&amp;totales!I399="0"&amp;totales!J399="0","e",IF(totales!E399="1"&amp;totales!H399="1"&amp;totales!I399="0"&amp;totales!J399="0","f",IF(totales!E399="2"&amp;totales!H399="1"&amp;totales!I399="0"&amp;totales!J399="0","g",IF(totales!E399="3"&amp;totales!H399="1"&amp;totales!I399="0"&amp;totales!J399="0","h",IF(totales!E399="4"&amp;totales!H399="1"&amp;totales!I399="0"&amp;totales!J399="0","i",IF(totales!E399="6"&amp;totales!H399="1"&amp;totales!I399="0"&amp;totales!J399="0","j",IF(totales!E399="1"&amp;totales!H399="2"&amp;totales!I399="0"&amp;totales!J399="0","k",IF(totales!E399="2"&amp;totales!H399="2"&amp;totales!I399="0"&amp;totales!J399="0","l",IF(totales!E399="3"&amp;totales!H399="2"&amp;totales!I399="0"&amp;totales!J399="0","m",
IF(totales!E399="4"&amp;totales!H399="2"&amp;totales!I399="0"&amp;totales!J399="0","n",IF(totales!E399="6"&amp;totales!H399="2"&amp;totales!I399="0"&amp;totales!J399="0","o",IF(totales!E399="1"&amp;totales!H399="0"&amp;totales!I399="1"&amp;totales!J399="0","p",IF(totales!E399="2"&amp;totales!H399="0"&amp;totales!I399="1"&amp;totales!J399="0","q",IF(totales!E399="3"&amp;totales!H399="0"&amp;totales!I399="1"&amp;totales!J399="0","r",IF(totales!E399="4"&amp;totales!H399="0"&amp;totales!I399="1"&amp;totales!J399="0","s",IF(totales!E399="6"&amp;totales!H399="0"&amp;totales!I399="1"&amp;totales!J399="0","t",IF(totales!E399="1"&amp;totales!H399="2"&amp;totales!I399="1"&amp;totales!J399="0","u",IF(totales!E399="2"&amp;totales!H399="2"&amp;totales!I399="1"&amp;totales!J399="0","v",IF(totales!E399="3"&amp;totales!H399="2"&amp;totales!I399="1"&amp;totales!J399="0","w",IF(totales!E399="4"&amp;totales!H399="2"&amp;totales!I399="1"&amp;totales!J399="0","x",
IF(totales!E399="6"&amp;totales!H399="2"&amp;totales!I399="1"&amp;totales!J399="0","y",IF(totales!E399="1"&amp;totales!H399="1"&amp;totales!I399="1"&amp;totales!J399="0","z",IF(totales!E399="2"&amp;totales!H399="1"&amp;totales!I399="1"&amp;totales!J399="0","0",IF(totales!E399="3"&amp;totales!H399="1"&amp;totales!I399="1"&amp;totales!J399="0","1",IF(totales!E399="4"&amp;totales!H399="1"&amp;totales!I399="1"&amp;totales!J399="0","2",IF(totales!E399="6"&amp;totales!H399="1"&amp;totales!I399="1"&amp;totales!J399="0","3",IF(totales!E399="1"&amp;totales!H399="0"&amp;totales!I399="1"&amp;totales!J399="1","4",IF(totales!E399="2"&amp;totales!H399="0"&amp;totales!I399="1"&amp;totales!J399="1","5",IF(totales!E399="3"&amp;totales!H399="0"&amp;totales!I399="1"&amp;totales!J399="1","6",IF(totales!E399="4"&amp;totales!H399="0"&amp;totales!I399="1"&amp;totales!J399="1","7",IF(totales!E399="6"&amp;totales!H399="0"&amp;totales!I399="1"&amp;totales!J399="1","8",IF(totales!E399="1"&amp;totales!H399="1"&amp;totales!I399="0"&amp;totales!J399="1","9"))))))))))))))))))))))))))))))))))))</f>
        <v>0</v>
      </c>
    </row>
    <row r="399" spans="22:22">
      <c r="V399" s="102" t="b">
        <f>IF(totales!E400="1"&amp;totales!H400="0"&amp;totales!I400="0"&amp;totales!J400="0","a",IF(totales!E400="2"&amp;totales!H400="0"&amp;totales!I400="0"&amp;totales!J400="0","b",IF(totales!E400="3"&amp;totales!H400="0"&amp;totales!I400="0"&amp;totales!J400="0","c",IF(totales!E400="4"&amp;totales!H400="0"&amp;totales!I400="0"&amp;totales!J400="0","d",IF(totales!E400="6"&amp;totales!H400="0"&amp;totales!I400="0"&amp;totales!J400="0","e",IF(totales!E400="1"&amp;totales!H400="1"&amp;totales!I400="0"&amp;totales!J400="0","f",IF(totales!E400="2"&amp;totales!H400="1"&amp;totales!I400="0"&amp;totales!J400="0","g",IF(totales!E400="3"&amp;totales!H400="1"&amp;totales!I400="0"&amp;totales!J400="0","h",IF(totales!E400="4"&amp;totales!H400="1"&amp;totales!I400="0"&amp;totales!J400="0","i",IF(totales!E400="6"&amp;totales!H400="1"&amp;totales!I400="0"&amp;totales!J400="0","j",IF(totales!E400="1"&amp;totales!H400="2"&amp;totales!I400="0"&amp;totales!J400="0","k",IF(totales!E400="2"&amp;totales!H400="2"&amp;totales!I400="0"&amp;totales!J400="0","l",IF(totales!E400="3"&amp;totales!H400="2"&amp;totales!I400="0"&amp;totales!J400="0","m",
IF(totales!E400="4"&amp;totales!H400="2"&amp;totales!I400="0"&amp;totales!J400="0","n",IF(totales!E400="6"&amp;totales!H400="2"&amp;totales!I400="0"&amp;totales!J400="0","o",IF(totales!E400="1"&amp;totales!H400="0"&amp;totales!I400="1"&amp;totales!J400="0","p",IF(totales!E400="2"&amp;totales!H400="0"&amp;totales!I400="1"&amp;totales!J400="0","q",IF(totales!E400="3"&amp;totales!H400="0"&amp;totales!I400="1"&amp;totales!J400="0","r",IF(totales!E400="4"&amp;totales!H400="0"&amp;totales!I400="1"&amp;totales!J400="0","s",IF(totales!E400="6"&amp;totales!H400="0"&amp;totales!I400="1"&amp;totales!J400="0","t",IF(totales!E400="1"&amp;totales!H400="2"&amp;totales!I400="1"&amp;totales!J400="0","u",IF(totales!E400="2"&amp;totales!H400="2"&amp;totales!I400="1"&amp;totales!J400="0","v",IF(totales!E400="3"&amp;totales!H400="2"&amp;totales!I400="1"&amp;totales!J400="0","w",IF(totales!E400="4"&amp;totales!H400="2"&amp;totales!I400="1"&amp;totales!J400="0","x",
IF(totales!E400="6"&amp;totales!H400="2"&amp;totales!I400="1"&amp;totales!J400="0","y",IF(totales!E400="1"&amp;totales!H400="1"&amp;totales!I400="1"&amp;totales!J400="0","z",IF(totales!E400="2"&amp;totales!H400="1"&amp;totales!I400="1"&amp;totales!J400="0","0",IF(totales!E400="3"&amp;totales!H400="1"&amp;totales!I400="1"&amp;totales!J400="0","1",IF(totales!E400="4"&amp;totales!H400="1"&amp;totales!I400="1"&amp;totales!J400="0","2",IF(totales!E400="6"&amp;totales!H400="1"&amp;totales!I400="1"&amp;totales!J400="0","3",IF(totales!E400="1"&amp;totales!H400="0"&amp;totales!I400="1"&amp;totales!J400="1","4",IF(totales!E400="2"&amp;totales!H400="0"&amp;totales!I400="1"&amp;totales!J400="1","5",IF(totales!E400="3"&amp;totales!H400="0"&amp;totales!I400="1"&amp;totales!J400="1","6",IF(totales!E400="4"&amp;totales!H400="0"&amp;totales!I400="1"&amp;totales!J400="1","7",IF(totales!E400="6"&amp;totales!H400="0"&amp;totales!I400="1"&amp;totales!J400="1","8",IF(totales!E400="1"&amp;totales!H400="1"&amp;totales!I400="0"&amp;totales!J400="1","9"))))))))))))))))))))))))))))))))))))</f>
        <v>0</v>
      </c>
    </row>
    <row r="400" spans="22:22">
      <c r="V400" s="102" t="b">
        <f>IF(totales!E401="1"&amp;totales!H401="0"&amp;totales!I401="0"&amp;totales!J401="0","a",IF(totales!E401="2"&amp;totales!H401="0"&amp;totales!I401="0"&amp;totales!J401="0","b",IF(totales!E401="3"&amp;totales!H401="0"&amp;totales!I401="0"&amp;totales!J401="0","c",IF(totales!E401="4"&amp;totales!H401="0"&amp;totales!I401="0"&amp;totales!J401="0","d",IF(totales!E401="6"&amp;totales!H401="0"&amp;totales!I401="0"&amp;totales!J401="0","e",IF(totales!E401="1"&amp;totales!H401="1"&amp;totales!I401="0"&amp;totales!J401="0","f",IF(totales!E401="2"&amp;totales!H401="1"&amp;totales!I401="0"&amp;totales!J401="0","g",IF(totales!E401="3"&amp;totales!H401="1"&amp;totales!I401="0"&amp;totales!J401="0","h",IF(totales!E401="4"&amp;totales!H401="1"&amp;totales!I401="0"&amp;totales!J401="0","i",IF(totales!E401="6"&amp;totales!H401="1"&amp;totales!I401="0"&amp;totales!J401="0","j",IF(totales!E401="1"&amp;totales!H401="2"&amp;totales!I401="0"&amp;totales!J401="0","k",IF(totales!E401="2"&amp;totales!H401="2"&amp;totales!I401="0"&amp;totales!J401="0","l",IF(totales!E401="3"&amp;totales!H401="2"&amp;totales!I401="0"&amp;totales!J401="0","m",
IF(totales!E401="4"&amp;totales!H401="2"&amp;totales!I401="0"&amp;totales!J401="0","n",IF(totales!E401="6"&amp;totales!H401="2"&amp;totales!I401="0"&amp;totales!J401="0","o",IF(totales!E401="1"&amp;totales!H401="0"&amp;totales!I401="1"&amp;totales!J401="0","p",IF(totales!E401="2"&amp;totales!H401="0"&amp;totales!I401="1"&amp;totales!J401="0","q",IF(totales!E401="3"&amp;totales!H401="0"&amp;totales!I401="1"&amp;totales!J401="0","r",IF(totales!E401="4"&amp;totales!H401="0"&amp;totales!I401="1"&amp;totales!J401="0","s",IF(totales!E401="6"&amp;totales!H401="0"&amp;totales!I401="1"&amp;totales!J401="0","t",IF(totales!E401="1"&amp;totales!H401="2"&amp;totales!I401="1"&amp;totales!J401="0","u",IF(totales!E401="2"&amp;totales!H401="2"&amp;totales!I401="1"&amp;totales!J401="0","v",IF(totales!E401="3"&amp;totales!H401="2"&amp;totales!I401="1"&amp;totales!J401="0","w",IF(totales!E401="4"&amp;totales!H401="2"&amp;totales!I401="1"&amp;totales!J401="0","x",
IF(totales!E401="6"&amp;totales!H401="2"&amp;totales!I401="1"&amp;totales!J401="0","y",IF(totales!E401="1"&amp;totales!H401="1"&amp;totales!I401="1"&amp;totales!J401="0","z",IF(totales!E401="2"&amp;totales!H401="1"&amp;totales!I401="1"&amp;totales!J401="0","0",IF(totales!E401="3"&amp;totales!H401="1"&amp;totales!I401="1"&amp;totales!J401="0","1",IF(totales!E401="4"&amp;totales!H401="1"&amp;totales!I401="1"&amp;totales!J401="0","2",IF(totales!E401="6"&amp;totales!H401="1"&amp;totales!I401="1"&amp;totales!J401="0","3",IF(totales!E401="1"&amp;totales!H401="0"&amp;totales!I401="1"&amp;totales!J401="1","4",IF(totales!E401="2"&amp;totales!H401="0"&amp;totales!I401="1"&amp;totales!J401="1","5",IF(totales!E401="3"&amp;totales!H401="0"&amp;totales!I401="1"&amp;totales!J401="1","6",IF(totales!E401="4"&amp;totales!H401="0"&amp;totales!I401="1"&amp;totales!J401="1","7",IF(totales!E401="6"&amp;totales!H401="0"&amp;totales!I401="1"&amp;totales!J401="1","8",IF(totales!E401="1"&amp;totales!H401="1"&amp;totales!I401="0"&amp;totales!J401="1","9"))))))))))))))))))))))))))))))))))))</f>
        <v>0</v>
      </c>
    </row>
    <row r="401" spans="22:22">
      <c r="V401" s="102" t="b">
        <f>IF(totales!E402="1"&amp;totales!H402="0"&amp;totales!I402="0"&amp;totales!J402="0","a",IF(totales!E402="2"&amp;totales!H402="0"&amp;totales!I402="0"&amp;totales!J402="0","b",IF(totales!E402="3"&amp;totales!H402="0"&amp;totales!I402="0"&amp;totales!J402="0","c",IF(totales!E402="4"&amp;totales!H402="0"&amp;totales!I402="0"&amp;totales!J402="0","d",IF(totales!E402="6"&amp;totales!H402="0"&amp;totales!I402="0"&amp;totales!J402="0","e",IF(totales!E402="1"&amp;totales!H402="1"&amp;totales!I402="0"&amp;totales!J402="0","f",IF(totales!E402="2"&amp;totales!H402="1"&amp;totales!I402="0"&amp;totales!J402="0","g",IF(totales!E402="3"&amp;totales!H402="1"&amp;totales!I402="0"&amp;totales!J402="0","h",IF(totales!E402="4"&amp;totales!H402="1"&amp;totales!I402="0"&amp;totales!J402="0","i",IF(totales!E402="6"&amp;totales!H402="1"&amp;totales!I402="0"&amp;totales!J402="0","j",IF(totales!E402="1"&amp;totales!H402="2"&amp;totales!I402="0"&amp;totales!J402="0","k",IF(totales!E402="2"&amp;totales!H402="2"&amp;totales!I402="0"&amp;totales!J402="0","l",IF(totales!E402="3"&amp;totales!H402="2"&amp;totales!I402="0"&amp;totales!J402="0","m",
IF(totales!E402="4"&amp;totales!H402="2"&amp;totales!I402="0"&amp;totales!J402="0","n",IF(totales!E402="6"&amp;totales!H402="2"&amp;totales!I402="0"&amp;totales!J402="0","o",IF(totales!E402="1"&amp;totales!H402="0"&amp;totales!I402="1"&amp;totales!J402="0","p",IF(totales!E402="2"&amp;totales!H402="0"&amp;totales!I402="1"&amp;totales!J402="0","q",IF(totales!E402="3"&amp;totales!H402="0"&amp;totales!I402="1"&amp;totales!J402="0","r",IF(totales!E402="4"&amp;totales!H402="0"&amp;totales!I402="1"&amp;totales!J402="0","s",IF(totales!E402="6"&amp;totales!H402="0"&amp;totales!I402="1"&amp;totales!J402="0","t",IF(totales!E402="1"&amp;totales!H402="2"&amp;totales!I402="1"&amp;totales!J402="0","u",IF(totales!E402="2"&amp;totales!H402="2"&amp;totales!I402="1"&amp;totales!J402="0","v",IF(totales!E402="3"&amp;totales!H402="2"&amp;totales!I402="1"&amp;totales!J402="0","w",IF(totales!E402="4"&amp;totales!H402="2"&amp;totales!I402="1"&amp;totales!J402="0","x",
IF(totales!E402="6"&amp;totales!H402="2"&amp;totales!I402="1"&amp;totales!J402="0","y",IF(totales!E402="1"&amp;totales!H402="1"&amp;totales!I402="1"&amp;totales!J402="0","z",IF(totales!E402="2"&amp;totales!H402="1"&amp;totales!I402="1"&amp;totales!J402="0","0",IF(totales!E402="3"&amp;totales!H402="1"&amp;totales!I402="1"&amp;totales!J402="0","1",IF(totales!E402="4"&amp;totales!H402="1"&amp;totales!I402="1"&amp;totales!J402="0","2",IF(totales!E402="6"&amp;totales!H402="1"&amp;totales!I402="1"&amp;totales!J402="0","3",IF(totales!E402="1"&amp;totales!H402="0"&amp;totales!I402="1"&amp;totales!J402="1","4",IF(totales!E402="2"&amp;totales!H402="0"&amp;totales!I402="1"&amp;totales!J402="1","5",IF(totales!E402="3"&amp;totales!H402="0"&amp;totales!I402="1"&amp;totales!J402="1","6",IF(totales!E402="4"&amp;totales!H402="0"&amp;totales!I402="1"&amp;totales!J402="1","7",IF(totales!E402="6"&amp;totales!H402="0"&amp;totales!I402="1"&amp;totales!J402="1","8",IF(totales!E402="1"&amp;totales!H402="1"&amp;totales!I402="0"&amp;totales!J402="1","9"))))))))))))))))))))))))))))))))))))</f>
        <v>0</v>
      </c>
    </row>
    <row r="402" spans="22:22">
      <c r="V402" s="102" t="b">
        <f>IF(totales!E403="1"&amp;totales!H403="0"&amp;totales!I403="0"&amp;totales!J403="0","a",IF(totales!E403="2"&amp;totales!H403="0"&amp;totales!I403="0"&amp;totales!J403="0","b",IF(totales!E403="3"&amp;totales!H403="0"&amp;totales!I403="0"&amp;totales!J403="0","c",IF(totales!E403="4"&amp;totales!H403="0"&amp;totales!I403="0"&amp;totales!J403="0","d",IF(totales!E403="6"&amp;totales!H403="0"&amp;totales!I403="0"&amp;totales!J403="0","e",IF(totales!E403="1"&amp;totales!H403="1"&amp;totales!I403="0"&amp;totales!J403="0","f",IF(totales!E403="2"&amp;totales!H403="1"&amp;totales!I403="0"&amp;totales!J403="0","g",IF(totales!E403="3"&amp;totales!H403="1"&amp;totales!I403="0"&amp;totales!J403="0","h",IF(totales!E403="4"&amp;totales!H403="1"&amp;totales!I403="0"&amp;totales!J403="0","i",IF(totales!E403="6"&amp;totales!H403="1"&amp;totales!I403="0"&amp;totales!J403="0","j",IF(totales!E403="1"&amp;totales!H403="2"&amp;totales!I403="0"&amp;totales!J403="0","k",IF(totales!E403="2"&amp;totales!H403="2"&amp;totales!I403="0"&amp;totales!J403="0","l",IF(totales!E403="3"&amp;totales!H403="2"&amp;totales!I403="0"&amp;totales!J403="0","m",
IF(totales!E403="4"&amp;totales!H403="2"&amp;totales!I403="0"&amp;totales!J403="0","n",IF(totales!E403="6"&amp;totales!H403="2"&amp;totales!I403="0"&amp;totales!J403="0","o",IF(totales!E403="1"&amp;totales!H403="0"&amp;totales!I403="1"&amp;totales!J403="0","p",IF(totales!E403="2"&amp;totales!H403="0"&amp;totales!I403="1"&amp;totales!J403="0","q",IF(totales!E403="3"&amp;totales!H403="0"&amp;totales!I403="1"&amp;totales!J403="0","r",IF(totales!E403="4"&amp;totales!H403="0"&amp;totales!I403="1"&amp;totales!J403="0","s",IF(totales!E403="6"&amp;totales!H403="0"&amp;totales!I403="1"&amp;totales!J403="0","t",IF(totales!E403="1"&amp;totales!H403="2"&amp;totales!I403="1"&amp;totales!J403="0","u",IF(totales!E403="2"&amp;totales!H403="2"&amp;totales!I403="1"&amp;totales!J403="0","v",IF(totales!E403="3"&amp;totales!H403="2"&amp;totales!I403="1"&amp;totales!J403="0","w",IF(totales!E403="4"&amp;totales!H403="2"&amp;totales!I403="1"&amp;totales!J403="0","x",
IF(totales!E403="6"&amp;totales!H403="2"&amp;totales!I403="1"&amp;totales!J403="0","y",IF(totales!E403="1"&amp;totales!H403="1"&amp;totales!I403="1"&amp;totales!J403="0","z",IF(totales!E403="2"&amp;totales!H403="1"&amp;totales!I403="1"&amp;totales!J403="0","0",IF(totales!E403="3"&amp;totales!H403="1"&amp;totales!I403="1"&amp;totales!J403="0","1",IF(totales!E403="4"&amp;totales!H403="1"&amp;totales!I403="1"&amp;totales!J403="0","2",IF(totales!E403="6"&amp;totales!H403="1"&amp;totales!I403="1"&amp;totales!J403="0","3",IF(totales!E403="1"&amp;totales!H403="0"&amp;totales!I403="1"&amp;totales!J403="1","4",IF(totales!E403="2"&amp;totales!H403="0"&amp;totales!I403="1"&amp;totales!J403="1","5",IF(totales!E403="3"&amp;totales!H403="0"&amp;totales!I403="1"&amp;totales!J403="1","6",IF(totales!E403="4"&amp;totales!H403="0"&amp;totales!I403="1"&amp;totales!J403="1","7",IF(totales!E403="6"&amp;totales!H403="0"&amp;totales!I403="1"&amp;totales!J403="1","8",IF(totales!E403="1"&amp;totales!H403="1"&amp;totales!I403="0"&amp;totales!J403="1","9"))))))))))))))))))))))))))))))))))))</f>
        <v>0</v>
      </c>
    </row>
    <row r="403" spans="22:22">
      <c r="V403" s="102" t="b">
        <f>IF(totales!E404="1"&amp;totales!H404="0"&amp;totales!I404="0"&amp;totales!J404="0","a",IF(totales!E404="2"&amp;totales!H404="0"&amp;totales!I404="0"&amp;totales!J404="0","b",IF(totales!E404="3"&amp;totales!H404="0"&amp;totales!I404="0"&amp;totales!J404="0","c",IF(totales!E404="4"&amp;totales!H404="0"&amp;totales!I404="0"&amp;totales!J404="0","d",IF(totales!E404="6"&amp;totales!H404="0"&amp;totales!I404="0"&amp;totales!J404="0","e",IF(totales!E404="1"&amp;totales!H404="1"&amp;totales!I404="0"&amp;totales!J404="0","f",IF(totales!E404="2"&amp;totales!H404="1"&amp;totales!I404="0"&amp;totales!J404="0","g",IF(totales!E404="3"&amp;totales!H404="1"&amp;totales!I404="0"&amp;totales!J404="0","h",IF(totales!E404="4"&amp;totales!H404="1"&amp;totales!I404="0"&amp;totales!J404="0","i",IF(totales!E404="6"&amp;totales!H404="1"&amp;totales!I404="0"&amp;totales!J404="0","j",IF(totales!E404="1"&amp;totales!H404="2"&amp;totales!I404="0"&amp;totales!J404="0","k",IF(totales!E404="2"&amp;totales!H404="2"&amp;totales!I404="0"&amp;totales!J404="0","l",IF(totales!E404="3"&amp;totales!H404="2"&amp;totales!I404="0"&amp;totales!J404="0","m",
IF(totales!E404="4"&amp;totales!H404="2"&amp;totales!I404="0"&amp;totales!J404="0","n",IF(totales!E404="6"&amp;totales!H404="2"&amp;totales!I404="0"&amp;totales!J404="0","o",IF(totales!E404="1"&amp;totales!H404="0"&amp;totales!I404="1"&amp;totales!J404="0","p",IF(totales!E404="2"&amp;totales!H404="0"&amp;totales!I404="1"&amp;totales!J404="0","q",IF(totales!E404="3"&amp;totales!H404="0"&amp;totales!I404="1"&amp;totales!J404="0","r",IF(totales!E404="4"&amp;totales!H404="0"&amp;totales!I404="1"&amp;totales!J404="0","s",IF(totales!E404="6"&amp;totales!H404="0"&amp;totales!I404="1"&amp;totales!J404="0","t",IF(totales!E404="1"&amp;totales!H404="2"&amp;totales!I404="1"&amp;totales!J404="0","u",IF(totales!E404="2"&amp;totales!H404="2"&amp;totales!I404="1"&amp;totales!J404="0","v",IF(totales!E404="3"&amp;totales!H404="2"&amp;totales!I404="1"&amp;totales!J404="0","w",IF(totales!E404="4"&amp;totales!H404="2"&amp;totales!I404="1"&amp;totales!J404="0","x",
IF(totales!E404="6"&amp;totales!H404="2"&amp;totales!I404="1"&amp;totales!J404="0","y",IF(totales!E404="1"&amp;totales!H404="1"&amp;totales!I404="1"&amp;totales!J404="0","z",IF(totales!E404="2"&amp;totales!H404="1"&amp;totales!I404="1"&amp;totales!J404="0","0",IF(totales!E404="3"&amp;totales!H404="1"&amp;totales!I404="1"&amp;totales!J404="0","1",IF(totales!E404="4"&amp;totales!H404="1"&amp;totales!I404="1"&amp;totales!J404="0","2",IF(totales!E404="6"&amp;totales!H404="1"&amp;totales!I404="1"&amp;totales!J404="0","3",IF(totales!E404="1"&amp;totales!H404="0"&amp;totales!I404="1"&amp;totales!J404="1","4",IF(totales!E404="2"&amp;totales!H404="0"&amp;totales!I404="1"&amp;totales!J404="1","5",IF(totales!E404="3"&amp;totales!H404="0"&amp;totales!I404="1"&amp;totales!J404="1","6",IF(totales!E404="4"&amp;totales!H404="0"&amp;totales!I404="1"&amp;totales!J404="1","7",IF(totales!E404="6"&amp;totales!H404="0"&amp;totales!I404="1"&amp;totales!J404="1","8",IF(totales!E404="1"&amp;totales!H404="1"&amp;totales!I404="0"&amp;totales!J404="1","9"))))))))))))))))))))))))))))))))))))</f>
        <v>0</v>
      </c>
    </row>
    <row r="404" spans="22:22">
      <c r="V404" s="102" t="b">
        <f>IF(totales!E405="1"&amp;totales!H405="0"&amp;totales!I405="0"&amp;totales!J405="0","a",IF(totales!E405="2"&amp;totales!H405="0"&amp;totales!I405="0"&amp;totales!J405="0","b",IF(totales!E405="3"&amp;totales!H405="0"&amp;totales!I405="0"&amp;totales!J405="0","c",IF(totales!E405="4"&amp;totales!H405="0"&amp;totales!I405="0"&amp;totales!J405="0","d",IF(totales!E405="6"&amp;totales!H405="0"&amp;totales!I405="0"&amp;totales!J405="0","e",IF(totales!E405="1"&amp;totales!H405="1"&amp;totales!I405="0"&amp;totales!J405="0","f",IF(totales!E405="2"&amp;totales!H405="1"&amp;totales!I405="0"&amp;totales!J405="0","g",IF(totales!E405="3"&amp;totales!H405="1"&amp;totales!I405="0"&amp;totales!J405="0","h",IF(totales!E405="4"&amp;totales!H405="1"&amp;totales!I405="0"&amp;totales!J405="0","i",IF(totales!E405="6"&amp;totales!H405="1"&amp;totales!I405="0"&amp;totales!J405="0","j",IF(totales!E405="1"&amp;totales!H405="2"&amp;totales!I405="0"&amp;totales!J405="0","k",IF(totales!E405="2"&amp;totales!H405="2"&amp;totales!I405="0"&amp;totales!J405="0","l",IF(totales!E405="3"&amp;totales!H405="2"&amp;totales!I405="0"&amp;totales!J405="0","m",
IF(totales!E405="4"&amp;totales!H405="2"&amp;totales!I405="0"&amp;totales!J405="0","n",IF(totales!E405="6"&amp;totales!H405="2"&amp;totales!I405="0"&amp;totales!J405="0","o",IF(totales!E405="1"&amp;totales!H405="0"&amp;totales!I405="1"&amp;totales!J405="0","p",IF(totales!E405="2"&amp;totales!H405="0"&amp;totales!I405="1"&amp;totales!J405="0","q",IF(totales!E405="3"&amp;totales!H405="0"&amp;totales!I405="1"&amp;totales!J405="0","r",IF(totales!E405="4"&amp;totales!H405="0"&amp;totales!I405="1"&amp;totales!J405="0","s",IF(totales!E405="6"&amp;totales!H405="0"&amp;totales!I405="1"&amp;totales!J405="0","t",IF(totales!E405="1"&amp;totales!H405="2"&amp;totales!I405="1"&amp;totales!J405="0","u",IF(totales!E405="2"&amp;totales!H405="2"&amp;totales!I405="1"&amp;totales!J405="0","v",IF(totales!E405="3"&amp;totales!H405="2"&amp;totales!I405="1"&amp;totales!J405="0","w",IF(totales!E405="4"&amp;totales!H405="2"&amp;totales!I405="1"&amp;totales!J405="0","x",
IF(totales!E405="6"&amp;totales!H405="2"&amp;totales!I405="1"&amp;totales!J405="0","y",IF(totales!E405="1"&amp;totales!H405="1"&amp;totales!I405="1"&amp;totales!J405="0","z",IF(totales!E405="2"&amp;totales!H405="1"&amp;totales!I405="1"&amp;totales!J405="0","0",IF(totales!E405="3"&amp;totales!H405="1"&amp;totales!I405="1"&amp;totales!J405="0","1",IF(totales!E405="4"&amp;totales!H405="1"&amp;totales!I405="1"&amp;totales!J405="0","2",IF(totales!E405="6"&amp;totales!H405="1"&amp;totales!I405="1"&amp;totales!J405="0","3",IF(totales!E405="1"&amp;totales!H405="0"&amp;totales!I405="1"&amp;totales!J405="1","4",IF(totales!E405="2"&amp;totales!H405="0"&amp;totales!I405="1"&amp;totales!J405="1","5",IF(totales!E405="3"&amp;totales!H405="0"&amp;totales!I405="1"&amp;totales!J405="1","6",IF(totales!E405="4"&amp;totales!H405="0"&amp;totales!I405="1"&amp;totales!J405="1","7",IF(totales!E405="6"&amp;totales!H405="0"&amp;totales!I405="1"&amp;totales!J405="1","8",IF(totales!E405="1"&amp;totales!H405="1"&amp;totales!I405="0"&amp;totales!J405="1","9"))))))))))))))))))))))))))))))))))))</f>
        <v>0</v>
      </c>
    </row>
    <row r="405" spans="22:22">
      <c r="V405" s="102" t="b">
        <f>IF(totales!E406="1"&amp;totales!H406="0"&amp;totales!I406="0"&amp;totales!J406="0","a",IF(totales!E406="2"&amp;totales!H406="0"&amp;totales!I406="0"&amp;totales!J406="0","b",IF(totales!E406="3"&amp;totales!H406="0"&amp;totales!I406="0"&amp;totales!J406="0","c",IF(totales!E406="4"&amp;totales!H406="0"&amp;totales!I406="0"&amp;totales!J406="0","d",IF(totales!E406="6"&amp;totales!H406="0"&amp;totales!I406="0"&amp;totales!J406="0","e",IF(totales!E406="1"&amp;totales!H406="1"&amp;totales!I406="0"&amp;totales!J406="0","f",IF(totales!E406="2"&amp;totales!H406="1"&amp;totales!I406="0"&amp;totales!J406="0","g",IF(totales!E406="3"&amp;totales!H406="1"&amp;totales!I406="0"&amp;totales!J406="0","h",IF(totales!E406="4"&amp;totales!H406="1"&amp;totales!I406="0"&amp;totales!J406="0","i",IF(totales!E406="6"&amp;totales!H406="1"&amp;totales!I406="0"&amp;totales!J406="0","j",IF(totales!E406="1"&amp;totales!H406="2"&amp;totales!I406="0"&amp;totales!J406="0","k",IF(totales!E406="2"&amp;totales!H406="2"&amp;totales!I406="0"&amp;totales!J406="0","l",IF(totales!E406="3"&amp;totales!H406="2"&amp;totales!I406="0"&amp;totales!J406="0","m",
IF(totales!E406="4"&amp;totales!H406="2"&amp;totales!I406="0"&amp;totales!J406="0","n",IF(totales!E406="6"&amp;totales!H406="2"&amp;totales!I406="0"&amp;totales!J406="0","o",IF(totales!E406="1"&amp;totales!H406="0"&amp;totales!I406="1"&amp;totales!J406="0","p",IF(totales!E406="2"&amp;totales!H406="0"&amp;totales!I406="1"&amp;totales!J406="0","q",IF(totales!E406="3"&amp;totales!H406="0"&amp;totales!I406="1"&amp;totales!J406="0","r",IF(totales!E406="4"&amp;totales!H406="0"&amp;totales!I406="1"&amp;totales!J406="0","s",IF(totales!E406="6"&amp;totales!H406="0"&amp;totales!I406="1"&amp;totales!J406="0","t",IF(totales!E406="1"&amp;totales!H406="2"&amp;totales!I406="1"&amp;totales!J406="0","u",IF(totales!E406="2"&amp;totales!H406="2"&amp;totales!I406="1"&amp;totales!J406="0","v",IF(totales!E406="3"&amp;totales!H406="2"&amp;totales!I406="1"&amp;totales!J406="0","w",IF(totales!E406="4"&amp;totales!H406="2"&amp;totales!I406="1"&amp;totales!J406="0","x",
IF(totales!E406="6"&amp;totales!H406="2"&amp;totales!I406="1"&amp;totales!J406="0","y",IF(totales!E406="1"&amp;totales!H406="1"&amp;totales!I406="1"&amp;totales!J406="0","z",IF(totales!E406="2"&amp;totales!H406="1"&amp;totales!I406="1"&amp;totales!J406="0","0",IF(totales!E406="3"&amp;totales!H406="1"&amp;totales!I406="1"&amp;totales!J406="0","1",IF(totales!E406="4"&amp;totales!H406="1"&amp;totales!I406="1"&amp;totales!J406="0","2",IF(totales!E406="6"&amp;totales!H406="1"&amp;totales!I406="1"&amp;totales!J406="0","3",IF(totales!E406="1"&amp;totales!H406="0"&amp;totales!I406="1"&amp;totales!J406="1","4",IF(totales!E406="2"&amp;totales!H406="0"&amp;totales!I406="1"&amp;totales!J406="1","5",IF(totales!E406="3"&amp;totales!H406="0"&amp;totales!I406="1"&amp;totales!J406="1","6",IF(totales!E406="4"&amp;totales!H406="0"&amp;totales!I406="1"&amp;totales!J406="1","7",IF(totales!E406="6"&amp;totales!H406="0"&amp;totales!I406="1"&amp;totales!J406="1","8",IF(totales!E406="1"&amp;totales!H406="1"&amp;totales!I406="0"&amp;totales!J406="1","9"))))))))))))))))))))))))))))))))))))</f>
        <v>0</v>
      </c>
    </row>
    <row r="406" spans="22:22">
      <c r="V406" s="102" t="b">
        <f>IF(totales!E407="1"&amp;totales!H407="0"&amp;totales!I407="0"&amp;totales!J407="0","a",IF(totales!E407="2"&amp;totales!H407="0"&amp;totales!I407="0"&amp;totales!J407="0","b",IF(totales!E407="3"&amp;totales!H407="0"&amp;totales!I407="0"&amp;totales!J407="0","c",IF(totales!E407="4"&amp;totales!H407="0"&amp;totales!I407="0"&amp;totales!J407="0","d",IF(totales!E407="6"&amp;totales!H407="0"&amp;totales!I407="0"&amp;totales!J407="0","e",IF(totales!E407="1"&amp;totales!H407="1"&amp;totales!I407="0"&amp;totales!J407="0","f",IF(totales!E407="2"&amp;totales!H407="1"&amp;totales!I407="0"&amp;totales!J407="0","g",IF(totales!E407="3"&amp;totales!H407="1"&amp;totales!I407="0"&amp;totales!J407="0","h",IF(totales!E407="4"&amp;totales!H407="1"&amp;totales!I407="0"&amp;totales!J407="0","i",IF(totales!E407="6"&amp;totales!H407="1"&amp;totales!I407="0"&amp;totales!J407="0","j",IF(totales!E407="1"&amp;totales!H407="2"&amp;totales!I407="0"&amp;totales!J407="0","k",IF(totales!E407="2"&amp;totales!H407="2"&amp;totales!I407="0"&amp;totales!J407="0","l",IF(totales!E407="3"&amp;totales!H407="2"&amp;totales!I407="0"&amp;totales!J407="0","m",
IF(totales!E407="4"&amp;totales!H407="2"&amp;totales!I407="0"&amp;totales!J407="0","n",IF(totales!E407="6"&amp;totales!H407="2"&amp;totales!I407="0"&amp;totales!J407="0","o",IF(totales!E407="1"&amp;totales!H407="0"&amp;totales!I407="1"&amp;totales!J407="0","p",IF(totales!E407="2"&amp;totales!H407="0"&amp;totales!I407="1"&amp;totales!J407="0","q",IF(totales!E407="3"&amp;totales!H407="0"&amp;totales!I407="1"&amp;totales!J407="0","r",IF(totales!E407="4"&amp;totales!H407="0"&amp;totales!I407="1"&amp;totales!J407="0","s",IF(totales!E407="6"&amp;totales!H407="0"&amp;totales!I407="1"&amp;totales!J407="0","t",IF(totales!E407="1"&amp;totales!H407="2"&amp;totales!I407="1"&amp;totales!J407="0","u",IF(totales!E407="2"&amp;totales!H407="2"&amp;totales!I407="1"&amp;totales!J407="0","v",IF(totales!E407="3"&amp;totales!H407="2"&amp;totales!I407="1"&amp;totales!J407="0","w",IF(totales!E407="4"&amp;totales!H407="2"&amp;totales!I407="1"&amp;totales!J407="0","x",
IF(totales!E407="6"&amp;totales!H407="2"&amp;totales!I407="1"&amp;totales!J407="0","y",IF(totales!E407="1"&amp;totales!H407="1"&amp;totales!I407="1"&amp;totales!J407="0","z",IF(totales!E407="2"&amp;totales!H407="1"&amp;totales!I407="1"&amp;totales!J407="0","0",IF(totales!E407="3"&amp;totales!H407="1"&amp;totales!I407="1"&amp;totales!J407="0","1",IF(totales!E407="4"&amp;totales!H407="1"&amp;totales!I407="1"&amp;totales!J407="0","2",IF(totales!E407="6"&amp;totales!H407="1"&amp;totales!I407="1"&amp;totales!J407="0","3",IF(totales!E407="1"&amp;totales!H407="0"&amp;totales!I407="1"&amp;totales!J407="1","4",IF(totales!E407="2"&amp;totales!H407="0"&amp;totales!I407="1"&amp;totales!J407="1","5",IF(totales!E407="3"&amp;totales!H407="0"&amp;totales!I407="1"&amp;totales!J407="1","6",IF(totales!E407="4"&amp;totales!H407="0"&amp;totales!I407="1"&amp;totales!J407="1","7",IF(totales!E407="6"&amp;totales!H407="0"&amp;totales!I407="1"&amp;totales!J407="1","8",IF(totales!E407="1"&amp;totales!H407="1"&amp;totales!I407="0"&amp;totales!J407="1","9"))))))))))))))))))))))))))))))))))))</f>
        <v>0</v>
      </c>
    </row>
    <row r="407" spans="22:22">
      <c r="V407" s="102" t="b">
        <f>IF(totales!E408="1"&amp;totales!H408="0"&amp;totales!I408="0"&amp;totales!J408="0","a",IF(totales!E408="2"&amp;totales!H408="0"&amp;totales!I408="0"&amp;totales!J408="0","b",IF(totales!E408="3"&amp;totales!H408="0"&amp;totales!I408="0"&amp;totales!J408="0","c",IF(totales!E408="4"&amp;totales!H408="0"&amp;totales!I408="0"&amp;totales!J408="0","d",IF(totales!E408="6"&amp;totales!H408="0"&amp;totales!I408="0"&amp;totales!J408="0","e",IF(totales!E408="1"&amp;totales!H408="1"&amp;totales!I408="0"&amp;totales!J408="0","f",IF(totales!E408="2"&amp;totales!H408="1"&amp;totales!I408="0"&amp;totales!J408="0","g",IF(totales!E408="3"&amp;totales!H408="1"&amp;totales!I408="0"&amp;totales!J408="0","h",IF(totales!E408="4"&amp;totales!H408="1"&amp;totales!I408="0"&amp;totales!J408="0","i",IF(totales!E408="6"&amp;totales!H408="1"&amp;totales!I408="0"&amp;totales!J408="0","j",IF(totales!E408="1"&amp;totales!H408="2"&amp;totales!I408="0"&amp;totales!J408="0","k",IF(totales!E408="2"&amp;totales!H408="2"&amp;totales!I408="0"&amp;totales!J408="0","l",IF(totales!E408="3"&amp;totales!H408="2"&amp;totales!I408="0"&amp;totales!J408="0","m",
IF(totales!E408="4"&amp;totales!H408="2"&amp;totales!I408="0"&amp;totales!J408="0","n",IF(totales!E408="6"&amp;totales!H408="2"&amp;totales!I408="0"&amp;totales!J408="0","o",IF(totales!E408="1"&amp;totales!H408="0"&amp;totales!I408="1"&amp;totales!J408="0","p",IF(totales!E408="2"&amp;totales!H408="0"&amp;totales!I408="1"&amp;totales!J408="0","q",IF(totales!E408="3"&amp;totales!H408="0"&amp;totales!I408="1"&amp;totales!J408="0","r",IF(totales!E408="4"&amp;totales!H408="0"&amp;totales!I408="1"&amp;totales!J408="0","s",IF(totales!E408="6"&amp;totales!H408="0"&amp;totales!I408="1"&amp;totales!J408="0","t",IF(totales!E408="1"&amp;totales!H408="2"&amp;totales!I408="1"&amp;totales!J408="0","u",IF(totales!E408="2"&amp;totales!H408="2"&amp;totales!I408="1"&amp;totales!J408="0","v",IF(totales!E408="3"&amp;totales!H408="2"&amp;totales!I408="1"&amp;totales!J408="0","w",IF(totales!E408="4"&amp;totales!H408="2"&amp;totales!I408="1"&amp;totales!J408="0","x",
IF(totales!E408="6"&amp;totales!H408="2"&amp;totales!I408="1"&amp;totales!J408="0","y",IF(totales!E408="1"&amp;totales!H408="1"&amp;totales!I408="1"&amp;totales!J408="0","z",IF(totales!E408="2"&amp;totales!H408="1"&amp;totales!I408="1"&amp;totales!J408="0","0",IF(totales!E408="3"&amp;totales!H408="1"&amp;totales!I408="1"&amp;totales!J408="0","1",IF(totales!E408="4"&amp;totales!H408="1"&amp;totales!I408="1"&amp;totales!J408="0","2",IF(totales!E408="6"&amp;totales!H408="1"&amp;totales!I408="1"&amp;totales!J408="0","3",IF(totales!E408="1"&amp;totales!H408="0"&amp;totales!I408="1"&amp;totales!J408="1","4",IF(totales!E408="2"&amp;totales!H408="0"&amp;totales!I408="1"&amp;totales!J408="1","5",IF(totales!E408="3"&amp;totales!H408="0"&amp;totales!I408="1"&amp;totales!J408="1","6",IF(totales!E408="4"&amp;totales!H408="0"&amp;totales!I408="1"&amp;totales!J408="1","7",IF(totales!E408="6"&amp;totales!H408="0"&amp;totales!I408="1"&amp;totales!J408="1","8",IF(totales!E408="1"&amp;totales!H408="1"&amp;totales!I408="0"&amp;totales!J408="1","9"))))))))))))))))))))))))))))))))))))</f>
        <v>0</v>
      </c>
    </row>
    <row r="408" spans="22:22">
      <c r="V408" s="102" t="b">
        <f>IF(totales!E409="1"&amp;totales!H409="0"&amp;totales!I409="0"&amp;totales!J409="0","a",IF(totales!E409="2"&amp;totales!H409="0"&amp;totales!I409="0"&amp;totales!J409="0","b",IF(totales!E409="3"&amp;totales!H409="0"&amp;totales!I409="0"&amp;totales!J409="0","c",IF(totales!E409="4"&amp;totales!H409="0"&amp;totales!I409="0"&amp;totales!J409="0","d",IF(totales!E409="6"&amp;totales!H409="0"&amp;totales!I409="0"&amp;totales!J409="0","e",IF(totales!E409="1"&amp;totales!H409="1"&amp;totales!I409="0"&amp;totales!J409="0","f",IF(totales!E409="2"&amp;totales!H409="1"&amp;totales!I409="0"&amp;totales!J409="0","g",IF(totales!E409="3"&amp;totales!H409="1"&amp;totales!I409="0"&amp;totales!J409="0","h",IF(totales!E409="4"&amp;totales!H409="1"&amp;totales!I409="0"&amp;totales!J409="0","i",IF(totales!E409="6"&amp;totales!H409="1"&amp;totales!I409="0"&amp;totales!J409="0","j",IF(totales!E409="1"&amp;totales!H409="2"&amp;totales!I409="0"&amp;totales!J409="0","k",IF(totales!E409="2"&amp;totales!H409="2"&amp;totales!I409="0"&amp;totales!J409="0","l",IF(totales!E409="3"&amp;totales!H409="2"&amp;totales!I409="0"&amp;totales!J409="0","m",
IF(totales!E409="4"&amp;totales!H409="2"&amp;totales!I409="0"&amp;totales!J409="0","n",IF(totales!E409="6"&amp;totales!H409="2"&amp;totales!I409="0"&amp;totales!J409="0","o",IF(totales!E409="1"&amp;totales!H409="0"&amp;totales!I409="1"&amp;totales!J409="0","p",IF(totales!E409="2"&amp;totales!H409="0"&amp;totales!I409="1"&amp;totales!J409="0","q",IF(totales!E409="3"&amp;totales!H409="0"&amp;totales!I409="1"&amp;totales!J409="0","r",IF(totales!E409="4"&amp;totales!H409="0"&amp;totales!I409="1"&amp;totales!J409="0","s",IF(totales!E409="6"&amp;totales!H409="0"&amp;totales!I409="1"&amp;totales!J409="0","t",IF(totales!E409="1"&amp;totales!H409="2"&amp;totales!I409="1"&amp;totales!J409="0","u",IF(totales!E409="2"&amp;totales!H409="2"&amp;totales!I409="1"&amp;totales!J409="0","v",IF(totales!E409="3"&amp;totales!H409="2"&amp;totales!I409="1"&amp;totales!J409="0","w",IF(totales!E409="4"&amp;totales!H409="2"&amp;totales!I409="1"&amp;totales!J409="0","x",
IF(totales!E409="6"&amp;totales!H409="2"&amp;totales!I409="1"&amp;totales!J409="0","y",IF(totales!E409="1"&amp;totales!H409="1"&amp;totales!I409="1"&amp;totales!J409="0","z",IF(totales!E409="2"&amp;totales!H409="1"&amp;totales!I409="1"&amp;totales!J409="0","0",IF(totales!E409="3"&amp;totales!H409="1"&amp;totales!I409="1"&amp;totales!J409="0","1",IF(totales!E409="4"&amp;totales!H409="1"&amp;totales!I409="1"&amp;totales!J409="0","2",IF(totales!E409="6"&amp;totales!H409="1"&amp;totales!I409="1"&amp;totales!J409="0","3",IF(totales!E409="1"&amp;totales!H409="0"&amp;totales!I409="1"&amp;totales!J409="1","4",IF(totales!E409="2"&amp;totales!H409="0"&amp;totales!I409="1"&amp;totales!J409="1","5",IF(totales!E409="3"&amp;totales!H409="0"&amp;totales!I409="1"&amp;totales!J409="1","6",IF(totales!E409="4"&amp;totales!H409="0"&amp;totales!I409="1"&amp;totales!J409="1","7",IF(totales!E409="6"&amp;totales!H409="0"&amp;totales!I409="1"&amp;totales!J409="1","8",IF(totales!E409="1"&amp;totales!H409="1"&amp;totales!I409="0"&amp;totales!J409="1","9"))))))))))))))))))))))))))))))))))))</f>
        <v>0</v>
      </c>
    </row>
    <row r="409" spans="22:22">
      <c r="V409" s="102" t="b">
        <f>IF(totales!E410="1"&amp;totales!H410="0"&amp;totales!I410="0"&amp;totales!J410="0","a",IF(totales!E410="2"&amp;totales!H410="0"&amp;totales!I410="0"&amp;totales!J410="0","b",IF(totales!E410="3"&amp;totales!H410="0"&amp;totales!I410="0"&amp;totales!J410="0","c",IF(totales!E410="4"&amp;totales!H410="0"&amp;totales!I410="0"&amp;totales!J410="0","d",IF(totales!E410="6"&amp;totales!H410="0"&amp;totales!I410="0"&amp;totales!J410="0","e",IF(totales!E410="1"&amp;totales!H410="1"&amp;totales!I410="0"&amp;totales!J410="0","f",IF(totales!E410="2"&amp;totales!H410="1"&amp;totales!I410="0"&amp;totales!J410="0","g",IF(totales!E410="3"&amp;totales!H410="1"&amp;totales!I410="0"&amp;totales!J410="0","h",IF(totales!E410="4"&amp;totales!H410="1"&amp;totales!I410="0"&amp;totales!J410="0","i",IF(totales!E410="6"&amp;totales!H410="1"&amp;totales!I410="0"&amp;totales!J410="0","j",IF(totales!E410="1"&amp;totales!H410="2"&amp;totales!I410="0"&amp;totales!J410="0","k",IF(totales!E410="2"&amp;totales!H410="2"&amp;totales!I410="0"&amp;totales!J410="0","l",IF(totales!E410="3"&amp;totales!H410="2"&amp;totales!I410="0"&amp;totales!J410="0","m",
IF(totales!E410="4"&amp;totales!H410="2"&amp;totales!I410="0"&amp;totales!J410="0","n",IF(totales!E410="6"&amp;totales!H410="2"&amp;totales!I410="0"&amp;totales!J410="0","o",IF(totales!E410="1"&amp;totales!H410="0"&amp;totales!I410="1"&amp;totales!J410="0","p",IF(totales!E410="2"&amp;totales!H410="0"&amp;totales!I410="1"&amp;totales!J410="0","q",IF(totales!E410="3"&amp;totales!H410="0"&amp;totales!I410="1"&amp;totales!J410="0","r",IF(totales!E410="4"&amp;totales!H410="0"&amp;totales!I410="1"&amp;totales!J410="0","s",IF(totales!E410="6"&amp;totales!H410="0"&amp;totales!I410="1"&amp;totales!J410="0","t",IF(totales!E410="1"&amp;totales!H410="2"&amp;totales!I410="1"&amp;totales!J410="0","u",IF(totales!E410="2"&amp;totales!H410="2"&amp;totales!I410="1"&amp;totales!J410="0","v",IF(totales!E410="3"&amp;totales!H410="2"&amp;totales!I410="1"&amp;totales!J410="0","w",IF(totales!E410="4"&amp;totales!H410="2"&amp;totales!I410="1"&amp;totales!J410="0","x",
IF(totales!E410="6"&amp;totales!H410="2"&amp;totales!I410="1"&amp;totales!J410="0","y",IF(totales!E410="1"&amp;totales!H410="1"&amp;totales!I410="1"&amp;totales!J410="0","z",IF(totales!E410="2"&amp;totales!H410="1"&amp;totales!I410="1"&amp;totales!J410="0","0",IF(totales!E410="3"&amp;totales!H410="1"&amp;totales!I410="1"&amp;totales!J410="0","1",IF(totales!E410="4"&amp;totales!H410="1"&amp;totales!I410="1"&amp;totales!J410="0","2",IF(totales!E410="6"&amp;totales!H410="1"&amp;totales!I410="1"&amp;totales!J410="0","3",IF(totales!E410="1"&amp;totales!H410="0"&amp;totales!I410="1"&amp;totales!J410="1","4",IF(totales!E410="2"&amp;totales!H410="0"&amp;totales!I410="1"&amp;totales!J410="1","5",IF(totales!E410="3"&amp;totales!H410="0"&amp;totales!I410="1"&amp;totales!J410="1","6",IF(totales!E410="4"&amp;totales!H410="0"&amp;totales!I410="1"&amp;totales!J410="1","7",IF(totales!E410="6"&amp;totales!H410="0"&amp;totales!I410="1"&amp;totales!J410="1","8",IF(totales!E410="1"&amp;totales!H410="1"&amp;totales!I410="0"&amp;totales!J410="1","9"))))))))))))))))))))))))))))))))))))</f>
        <v>0</v>
      </c>
    </row>
    <row r="410" spans="22:22">
      <c r="V410" s="102" t="b">
        <f>IF(totales!E411="1"&amp;totales!H411="0"&amp;totales!I411="0"&amp;totales!J411="0","a",IF(totales!E411="2"&amp;totales!H411="0"&amp;totales!I411="0"&amp;totales!J411="0","b",IF(totales!E411="3"&amp;totales!H411="0"&amp;totales!I411="0"&amp;totales!J411="0","c",IF(totales!E411="4"&amp;totales!H411="0"&amp;totales!I411="0"&amp;totales!J411="0","d",IF(totales!E411="6"&amp;totales!H411="0"&amp;totales!I411="0"&amp;totales!J411="0","e",IF(totales!E411="1"&amp;totales!H411="1"&amp;totales!I411="0"&amp;totales!J411="0","f",IF(totales!E411="2"&amp;totales!H411="1"&amp;totales!I411="0"&amp;totales!J411="0","g",IF(totales!E411="3"&amp;totales!H411="1"&amp;totales!I411="0"&amp;totales!J411="0","h",IF(totales!E411="4"&amp;totales!H411="1"&amp;totales!I411="0"&amp;totales!J411="0","i",IF(totales!E411="6"&amp;totales!H411="1"&amp;totales!I411="0"&amp;totales!J411="0","j",IF(totales!E411="1"&amp;totales!H411="2"&amp;totales!I411="0"&amp;totales!J411="0","k",IF(totales!E411="2"&amp;totales!H411="2"&amp;totales!I411="0"&amp;totales!J411="0","l",IF(totales!E411="3"&amp;totales!H411="2"&amp;totales!I411="0"&amp;totales!J411="0","m",
IF(totales!E411="4"&amp;totales!H411="2"&amp;totales!I411="0"&amp;totales!J411="0","n",IF(totales!E411="6"&amp;totales!H411="2"&amp;totales!I411="0"&amp;totales!J411="0","o",IF(totales!E411="1"&amp;totales!H411="0"&amp;totales!I411="1"&amp;totales!J411="0","p",IF(totales!E411="2"&amp;totales!H411="0"&amp;totales!I411="1"&amp;totales!J411="0","q",IF(totales!E411="3"&amp;totales!H411="0"&amp;totales!I411="1"&amp;totales!J411="0","r",IF(totales!E411="4"&amp;totales!H411="0"&amp;totales!I411="1"&amp;totales!J411="0","s",IF(totales!E411="6"&amp;totales!H411="0"&amp;totales!I411="1"&amp;totales!J411="0","t",IF(totales!E411="1"&amp;totales!H411="2"&amp;totales!I411="1"&amp;totales!J411="0","u",IF(totales!E411="2"&amp;totales!H411="2"&amp;totales!I411="1"&amp;totales!J411="0","v",IF(totales!E411="3"&amp;totales!H411="2"&amp;totales!I411="1"&amp;totales!J411="0","w",IF(totales!E411="4"&amp;totales!H411="2"&amp;totales!I411="1"&amp;totales!J411="0","x",
IF(totales!E411="6"&amp;totales!H411="2"&amp;totales!I411="1"&amp;totales!J411="0","y",IF(totales!E411="1"&amp;totales!H411="1"&amp;totales!I411="1"&amp;totales!J411="0","z",IF(totales!E411="2"&amp;totales!H411="1"&amp;totales!I411="1"&amp;totales!J411="0","0",IF(totales!E411="3"&amp;totales!H411="1"&amp;totales!I411="1"&amp;totales!J411="0","1",IF(totales!E411="4"&amp;totales!H411="1"&amp;totales!I411="1"&amp;totales!J411="0","2",IF(totales!E411="6"&amp;totales!H411="1"&amp;totales!I411="1"&amp;totales!J411="0","3",IF(totales!E411="1"&amp;totales!H411="0"&amp;totales!I411="1"&amp;totales!J411="1","4",IF(totales!E411="2"&amp;totales!H411="0"&amp;totales!I411="1"&amp;totales!J411="1","5",IF(totales!E411="3"&amp;totales!H411="0"&amp;totales!I411="1"&amp;totales!J411="1","6",IF(totales!E411="4"&amp;totales!H411="0"&amp;totales!I411="1"&amp;totales!J411="1","7",IF(totales!E411="6"&amp;totales!H411="0"&amp;totales!I411="1"&amp;totales!J411="1","8",IF(totales!E411="1"&amp;totales!H411="1"&amp;totales!I411="0"&amp;totales!J411="1","9"))))))))))))))))))))))))))))))))))))</f>
        <v>0</v>
      </c>
    </row>
    <row r="411" spans="22:22">
      <c r="V411" s="102" t="b">
        <f>IF(totales!E412="1"&amp;totales!H412="0"&amp;totales!I412="0"&amp;totales!J412="0","a",IF(totales!E412="2"&amp;totales!H412="0"&amp;totales!I412="0"&amp;totales!J412="0","b",IF(totales!E412="3"&amp;totales!H412="0"&amp;totales!I412="0"&amp;totales!J412="0","c",IF(totales!E412="4"&amp;totales!H412="0"&amp;totales!I412="0"&amp;totales!J412="0","d",IF(totales!E412="6"&amp;totales!H412="0"&amp;totales!I412="0"&amp;totales!J412="0","e",IF(totales!E412="1"&amp;totales!H412="1"&amp;totales!I412="0"&amp;totales!J412="0","f",IF(totales!E412="2"&amp;totales!H412="1"&amp;totales!I412="0"&amp;totales!J412="0","g",IF(totales!E412="3"&amp;totales!H412="1"&amp;totales!I412="0"&amp;totales!J412="0","h",IF(totales!E412="4"&amp;totales!H412="1"&amp;totales!I412="0"&amp;totales!J412="0","i",IF(totales!E412="6"&amp;totales!H412="1"&amp;totales!I412="0"&amp;totales!J412="0","j",IF(totales!E412="1"&amp;totales!H412="2"&amp;totales!I412="0"&amp;totales!J412="0","k",IF(totales!E412="2"&amp;totales!H412="2"&amp;totales!I412="0"&amp;totales!J412="0","l",IF(totales!E412="3"&amp;totales!H412="2"&amp;totales!I412="0"&amp;totales!J412="0","m",
IF(totales!E412="4"&amp;totales!H412="2"&amp;totales!I412="0"&amp;totales!J412="0","n",IF(totales!E412="6"&amp;totales!H412="2"&amp;totales!I412="0"&amp;totales!J412="0","o",IF(totales!E412="1"&amp;totales!H412="0"&amp;totales!I412="1"&amp;totales!J412="0","p",IF(totales!E412="2"&amp;totales!H412="0"&amp;totales!I412="1"&amp;totales!J412="0","q",IF(totales!E412="3"&amp;totales!H412="0"&amp;totales!I412="1"&amp;totales!J412="0","r",IF(totales!E412="4"&amp;totales!H412="0"&amp;totales!I412="1"&amp;totales!J412="0","s",IF(totales!E412="6"&amp;totales!H412="0"&amp;totales!I412="1"&amp;totales!J412="0","t",IF(totales!E412="1"&amp;totales!H412="2"&amp;totales!I412="1"&amp;totales!J412="0","u",IF(totales!E412="2"&amp;totales!H412="2"&amp;totales!I412="1"&amp;totales!J412="0","v",IF(totales!E412="3"&amp;totales!H412="2"&amp;totales!I412="1"&amp;totales!J412="0","w",IF(totales!E412="4"&amp;totales!H412="2"&amp;totales!I412="1"&amp;totales!J412="0","x",
IF(totales!E412="6"&amp;totales!H412="2"&amp;totales!I412="1"&amp;totales!J412="0","y",IF(totales!E412="1"&amp;totales!H412="1"&amp;totales!I412="1"&amp;totales!J412="0","z",IF(totales!E412="2"&amp;totales!H412="1"&amp;totales!I412="1"&amp;totales!J412="0","0",IF(totales!E412="3"&amp;totales!H412="1"&amp;totales!I412="1"&amp;totales!J412="0","1",IF(totales!E412="4"&amp;totales!H412="1"&amp;totales!I412="1"&amp;totales!J412="0","2",IF(totales!E412="6"&amp;totales!H412="1"&amp;totales!I412="1"&amp;totales!J412="0","3",IF(totales!E412="1"&amp;totales!H412="0"&amp;totales!I412="1"&amp;totales!J412="1","4",IF(totales!E412="2"&amp;totales!H412="0"&amp;totales!I412="1"&amp;totales!J412="1","5",IF(totales!E412="3"&amp;totales!H412="0"&amp;totales!I412="1"&amp;totales!J412="1","6",IF(totales!E412="4"&amp;totales!H412="0"&amp;totales!I412="1"&amp;totales!J412="1","7",IF(totales!E412="6"&amp;totales!H412="0"&amp;totales!I412="1"&amp;totales!J412="1","8",IF(totales!E412="1"&amp;totales!H412="1"&amp;totales!I412="0"&amp;totales!J412="1","9"))))))))))))))))))))))))))))))))))))</f>
        <v>0</v>
      </c>
    </row>
    <row r="412" spans="22:22">
      <c r="V412" s="102" t="b">
        <f>IF(totales!E413="1"&amp;totales!H413="0"&amp;totales!I413="0"&amp;totales!J413="0","a",IF(totales!E413="2"&amp;totales!H413="0"&amp;totales!I413="0"&amp;totales!J413="0","b",IF(totales!E413="3"&amp;totales!H413="0"&amp;totales!I413="0"&amp;totales!J413="0","c",IF(totales!E413="4"&amp;totales!H413="0"&amp;totales!I413="0"&amp;totales!J413="0","d",IF(totales!E413="6"&amp;totales!H413="0"&amp;totales!I413="0"&amp;totales!J413="0","e",IF(totales!E413="1"&amp;totales!H413="1"&amp;totales!I413="0"&amp;totales!J413="0","f",IF(totales!E413="2"&amp;totales!H413="1"&amp;totales!I413="0"&amp;totales!J413="0","g",IF(totales!E413="3"&amp;totales!H413="1"&amp;totales!I413="0"&amp;totales!J413="0","h",IF(totales!E413="4"&amp;totales!H413="1"&amp;totales!I413="0"&amp;totales!J413="0","i",IF(totales!E413="6"&amp;totales!H413="1"&amp;totales!I413="0"&amp;totales!J413="0","j",IF(totales!E413="1"&amp;totales!H413="2"&amp;totales!I413="0"&amp;totales!J413="0","k",IF(totales!E413="2"&amp;totales!H413="2"&amp;totales!I413="0"&amp;totales!J413="0","l",IF(totales!E413="3"&amp;totales!H413="2"&amp;totales!I413="0"&amp;totales!J413="0","m",
IF(totales!E413="4"&amp;totales!H413="2"&amp;totales!I413="0"&amp;totales!J413="0","n",IF(totales!E413="6"&amp;totales!H413="2"&amp;totales!I413="0"&amp;totales!J413="0","o",IF(totales!E413="1"&amp;totales!H413="0"&amp;totales!I413="1"&amp;totales!J413="0","p",IF(totales!E413="2"&amp;totales!H413="0"&amp;totales!I413="1"&amp;totales!J413="0","q",IF(totales!E413="3"&amp;totales!H413="0"&amp;totales!I413="1"&amp;totales!J413="0","r",IF(totales!E413="4"&amp;totales!H413="0"&amp;totales!I413="1"&amp;totales!J413="0","s",IF(totales!E413="6"&amp;totales!H413="0"&amp;totales!I413="1"&amp;totales!J413="0","t",IF(totales!E413="1"&amp;totales!H413="2"&amp;totales!I413="1"&amp;totales!J413="0","u",IF(totales!E413="2"&amp;totales!H413="2"&amp;totales!I413="1"&amp;totales!J413="0","v",IF(totales!E413="3"&amp;totales!H413="2"&amp;totales!I413="1"&amp;totales!J413="0","w",IF(totales!E413="4"&amp;totales!H413="2"&amp;totales!I413="1"&amp;totales!J413="0","x",
IF(totales!E413="6"&amp;totales!H413="2"&amp;totales!I413="1"&amp;totales!J413="0","y",IF(totales!E413="1"&amp;totales!H413="1"&amp;totales!I413="1"&amp;totales!J413="0","z",IF(totales!E413="2"&amp;totales!H413="1"&amp;totales!I413="1"&amp;totales!J413="0","0",IF(totales!E413="3"&amp;totales!H413="1"&amp;totales!I413="1"&amp;totales!J413="0","1",IF(totales!E413="4"&amp;totales!H413="1"&amp;totales!I413="1"&amp;totales!J413="0","2",IF(totales!E413="6"&amp;totales!H413="1"&amp;totales!I413="1"&amp;totales!J413="0","3",IF(totales!E413="1"&amp;totales!H413="0"&amp;totales!I413="1"&amp;totales!J413="1","4",IF(totales!E413="2"&amp;totales!H413="0"&amp;totales!I413="1"&amp;totales!J413="1","5",IF(totales!E413="3"&amp;totales!H413="0"&amp;totales!I413="1"&amp;totales!J413="1","6",IF(totales!E413="4"&amp;totales!H413="0"&amp;totales!I413="1"&amp;totales!J413="1","7",IF(totales!E413="6"&amp;totales!H413="0"&amp;totales!I413="1"&amp;totales!J413="1","8",IF(totales!E413="1"&amp;totales!H413="1"&amp;totales!I413="0"&amp;totales!J413="1","9"))))))))))))))))))))))))))))))))))))</f>
        <v>0</v>
      </c>
    </row>
    <row r="413" spans="22:22">
      <c r="V413" s="102" t="b">
        <f>IF(totales!E414="1"&amp;totales!H414="0"&amp;totales!I414="0"&amp;totales!J414="0","a",IF(totales!E414="2"&amp;totales!H414="0"&amp;totales!I414="0"&amp;totales!J414="0","b",IF(totales!E414="3"&amp;totales!H414="0"&amp;totales!I414="0"&amp;totales!J414="0","c",IF(totales!E414="4"&amp;totales!H414="0"&amp;totales!I414="0"&amp;totales!J414="0","d",IF(totales!E414="6"&amp;totales!H414="0"&amp;totales!I414="0"&amp;totales!J414="0","e",IF(totales!E414="1"&amp;totales!H414="1"&amp;totales!I414="0"&amp;totales!J414="0","f",IF(totales!E414="2"&amp;totales!H414="1"&amp;totales!I414="0"&amp;totales!J414="0","g",IF(totales!E414="3"&amp;totales!H414="1"&amp;totales!I414="0"&amp;totales!J414="0","h",IF(totales!E414="4"&amp;totales!H414="1"&amp;totales!I414="0"&amp;totales!J414="0","i",IF(totales!E414="6"&amp;totales!H414="1"&amp;totales!I414="0"&amp;totales!J414="0","j",IF(totales!E414="1"&amp;totales!H414="2"&amp;totales!I414="0"&amp;totales!J414="0","k",IF(totales!E414="2"&amp;totales!H414="2"&amp;totales!I414="0"&amp;totales!J414="0","l",IF(totales!E414="3"&amp;totales!H414="2"&amp;totales!I414="0"&amp;totales!J414="0","m",
IF(totales!E414="4"&amp;totales!H414="2"&amp;totales!I414="0"&amp;totales!J414="0","n",IF(totales!E414="6"&amp;totales!H414="2"&amp;totales!I414="0"&amp;totales!J414="0","o",IF(totales!E414="1"&amp;totales!H414="0"&amp;totales!I414="1"&amp;totales!J414="0","p",IF(totales!E414="2"&amp;totales!H414="0"&amp;totales!I414="1"&amp;totales!J414="0","q",IF(totales!E414="3"&amp;totales!H414="0"&amp;totales!I414="1"&amp;totales!J414="0","r",IF(totales!E414="4"&amp;totales!H414="0"&amp;totales!I414="1"&amp;totales!J414="0","s",IF(totales!E414="6"&amp;totales!H414="0"&amp;totales!I414="1"&amp;totales!J414="0","t",IF(totales!E414="1"&amp;totales!H414="2"&amp;totales!I414="1"&amp;totales!J414="0","u",IF(totales!E414="2"&amp;totales!H414="2"&amp;totales!I414="1"&amp;totales!J414="0","v",IF(totales!E414="3"&amp;totales!H414="2"&amp;totales!I414="1"&amp;totales!J414="0","w",IF(totales!E414="4"&amp;totales!H414="2"&amp;totales!I414="1"&amp;totales!J414="0","x",
IF(totales!E414="6"&amp;totales!H414="2"&amp;totales!I414="1"&amp;totales!J414="0","y",IF(totales!E414="1"&amp;totales!H414="1"&amp;totales!I414="1"&amp;totales!J414="0","z",IF(totales!E414="2"&amp;totales!H414="1"&amp;totales!I414="1"&amp;totales!J414="0","0",IF(totales!E414="3"&amp;totales!H414="1"&amp;totales!I414="1"&amp;totales!J414="0","1",IF(totales!E414="4"&amp;totales!H414="1"&amp;totales!I414="1"&amp;totales!J414="0","2",IF(totales!E414="6"&amp;totales!H414="1"&amp;totales!I414="1"&amp;totales!J414="0","3",IF(totales!E414="1"&amp;totales!H414="0"&amp;totales!I414="1"&amp;totales!J414="1","4",IF(totales!E414="2"&amp;totales!H414="0"&amp;totales!I414="1"&amp;totales!J414="1","5",IF(totales!E414="3"&amp;totales!H414="0"&amp;totales!I414="1"&amp;totales!J414="1","6",IF(totales!E414="4"&amp;totales!H414="0"&amp;totales!I414="1"&amp;totales!J414="1","7",IF(totales!E414="6"&amp;totales!H414="0"&amp;totales!I414="1"&amp;totales!J414="1","8",IF(totales!E414="1"&amp;totales!H414="1"&amp;totales!I414="0"&amp;totales!J414="1","9"))))))))))))))))))))))))))))))))))))</f>
        <v>0</v>
      </c>
    </row>
    <row r="414" spans="22:22">
      <c r="V414" s="102" t="b">
        <f>IF(totales!E415="1"&amp;totales!H415="0"&amp;totales!I415="0"&amp;totales!J415="0","a",IF(totales!E415="2"&amp;totales!H415="0"&amp;totales!I415="0"&amp;totales!J415="0","b",IF(totales!E415="3"&amp;totales!H415="0"&amp;totales!I415="0"&amp;totales!J415="0","c",IF(totales!E415="4"&amp;totales!H415="0"&amp;totales!I415="0"&amp;totales!J415="0","d",IF(totales!E415="6"&amp;totales!H415="0"&amp;totales!I415="0"&amp;totales!J415="0","e",IF(totales!E415="1"&amp;totales!H415="1"&amp;totales!I415="0"&amp;totales!J415="0","f",IF(totales!E415="2"&amp;totales!H415="1"&amp;totales!I415="0"&amp;totales!J415="0","g",IF(totales!E415="3"&amp;totales!H415="1"&amp;totales!I415="0"&amp;totales!J415="0","h",IF(totales!E415="4"&amp;totales!H415="1"&amp;totales!I415="0"&amp;totales!J415="0","i",IF(totales!E415="6"&amp;totales!H415="1"&amp;totales!I415="0"&amp;totales!J415="0","j",IF(totales!E415="1"&amp;totales!H415="2"&amp;totales!I415="0"&amp;totales!J415="0","k",IF(totales!E415="2"&amp;totales!H415="2"&amp;totales!I415="0"&amp;totales!J415="0","l",IF(totales!E415="3"&amp;totales!H415="2"&amp;totales!I415="0"&amp;totales!J415="0","m",
IF(totales!E415="4"&amp;totales!H415="2"&amp;totales!I415="0"&amp;totales!J415="0","n",IF(totales!E415="6"&amp;totales!H415="2"&amp;totales!I415="0"&amp;totales!J415="0","o",IF(totales!E415="1"&amp;totales!H415="0"&amp;totales!I415="1"&amp;totales!J415="0","p",IF(totales!E415="2"&amp;totales!H415="0"&amp;totales!I415="1"&amp;totales!J415="0","q",IF(totales!E415="3"&amp;totales!H415="0"&amp;totales!I415="1"&amp;totales!J415="0","r",IF(totales!E415="4"&amp;totales!H415="0"&amp;totales!I415="1"&amp;totales!J415="0","s",IF(totales!E415="6"&amp;totales!H415="0"&amp;totales!I415="1"&amp;totales!J415="0","t",IF(totales!E415="1"&amp;totales!H415="2"&amp;totales!I415="1"&amp;totales!J415="0","u",IF(totales!E415="2"&amp;totales!H415="2"&amp;totales!I415="1"&amp;totales!J415="0","v",IF(totales!E415="3"&amp;totales!H415="2"&amp;totales!I415="1"&amp;totales!J415="0","w",IF(totales!E415="4"&amp;totales!H415="2"&amp;totales!I415="1"&amp;totales!J415="0","x",
IF(totales!E415="6"&amp;totales!H415="2"&amp;totales!I415="1"&amp;totales!J415="0","y",IF(totales!E415="1"&amp;totales!H415="1"&amp;totales!I415="1"&amp;totales!J415="0","z",IF(totales!E415="2"&amp;totales!H415="1"&amp;totales!I415="1"&amp;totales!J415="0","0",IF(totales!E415="3"&amp;totales!H415="1"&amp;totales!I415="1"&amp;totales!J415="0","1",IF(totales!E415="4"&amp;totales!H415="1"&amp;totales!I415="1"&amp;totales!J415="0","2",IF(totales!E415="6"&amp;totales!H415="1"&amp;totales!I415="1"&amp;totales!J415="0","3",IF(totales!E415="1"&amp;totales!H415="0"&amp;totales!I415="1"&amp;totales!J415="1","4",IF(totales!E415="2"&amp;totales!H415="0"&amp;totales!I415="1"&amp;totales!J415="1","5",IF(totales!E415="3"&amp;totales!H415="0"&amp;totales!I415="1"&amp;totales!J415="1","6",IF(totales!E415="4"&amp;totales!H415="0"&amp;totales!I415="1"&amp;totales!J415="1","7",IF(totales!E415="6"&amp;totales!H415="0"&amp;totales!I415="1"&amp;totales!J415="1","8",IF(totales!E415="1"&amp;totales!H415="1"&amp;totales!I415="0"&amp;totales!J415="1","9"))))))))))))))))))))))))))))))))))))</f>
        <v>0</v>
      </c>
    </row>
    <row r="415" spans="22:22">
      <c r="V415" s="102" t="b">
        <f>IF(totales!E416="1"&amp;totales!H416="0"&amp;totales!I416="0"&amp;totales!J416="0","a",IF(totales!E416="2"&amp;totales!H416="0"&amp;totales!I416="0"&amp;totales!J416="0","b",IF(totales!E416="3"&amp;totales!H416="0"&amp;totales!I416="0"&amp;totales!J416="0","c",IF(totales!E416="4"&amp;totales!H416="0"&amp;totales!I416="0"&amp;totales!J416="0","d",IF(totales!E416="6"&amp;totales!H416="0"&amp;totales!I416="0"&amp;totales!J416="0","e",IF(totales!E416="1"&amp;totales!H416="1"&amp;totales!I416="0"&amp;totales!J416="0","f",IF(totales!E416="2"&amp;totales!H416="1"&amp;totales!I416="0"&amp;totales!J416="0","g",IF(totales!E416="3"&amp;totales!H416="1"&amp;totales!I416="0"&amp;totales!J416="0","h",IF(totales!E416="4"&amp;totales!H416="1"&amp;totales!I416="0"&amp;totales!J416="0","i",IF(totales!E416="6"&amp;totales!H416="1"&amp;totales!I416="0"&amp;totales!J416="0","j",IF(totales!E416="1"&amp;totales!H416="2"&amp;totales!I416="0"&amp;totales!J416="0","k",IF(totales!E416="2"&amp;totales!H416="2"&amp;totales!I416="0"&amp;totales!J416="0","l",IF(totales!E416="3"&amp;totales!H416="2"&amp;totales!I416="0"&amp;totales!J416="0","m",
IF(totales!E416="4"&amp;totales!H416="2"&amp;totales!I416="0"&amp;totales!J416="0","n",IF(totales!E416="6"&amp;totales!H416="2"&amp;totales!I416="0"&amp;totales!J416="0","o",IF(totales!E416="1"&amp;totales!H416="0"&amp;totales!I416="1"&amp;totales!J416="0","p",IF(totales!E416="2"&amp;totales!H416="0"&amp;totales!I416="1"&amp;totales!J416="0","q",IF(totales!E416="3"&amp;totales!H416="0"&amp;totales!I416="1"&amp;totales!J416="0","r",IF(totales!E416="4"&amp;totales!H416="0"&amp;totales!I416="1"&amp;totales!J416="0","s",IF(totales!E416="6"&amp;totales!H416="0"&amp;totales!I416="1"&amp;totales!J416="0","t",IF(totales!E416="1"&amp;totales!H416="2"&amp;totales!I416="1"&amp;totales!J416="0","u",IF(totales!E416="2"&amp;totales!H416="2"&amp;totales!I416="1"&amp;totales!J416="0","v",IF(totales!E416="3"&amp;totales!H416="2"&amp;totales!I416="1"&amp;totales!J416="0","w",IF(totales!E416="4"&amp;totales!H416="2"&amp;totales!I416="1"&amp;totales!J416="0","x",
IF(totales!E416="6"&amp;totales!H416="2"&amp;totales!I416="1"&amp;totales!J416="0","y",IF(totales!E416="1"&amp;totales!H416="1"&amp;totales!I416="1"&amp;totales!J416="0","z",IF(totales!E416="2"&amp;totales!H416="1"&amp;totales!I416="1"&amp;totales!J416="0","0",IF(totales!E416="3"&amp;totales!H416="1"&amp;totales!I416="1"&amp;totales!J416="0","1",IF(totales!E416="4"&amp;totales!H416="1"&amp;totales!I416="1"&amp;totales!J416="0","2",IF(totales!E416="6"&amp;totales!H416="1"&amp;totales!I416="1"&amp;totales!J416="0","3",IF(totales!E416="1"&amp;totales!H416="0"&amp;totales!I416="1"&amp;totales!J416="1","4",IF(totales!E416="2"&amp;totales!H416="0"&amp;totales!I416="1"&amp;totales!J416="1","5",IF(totales!E416="3"&amp;totales!H416="0"&amp;totales!I416="1"&amp;totales!J416="1","6",IF(totales!E416="4"&amp;totales!H416="0"&amp;totales!I416="1"&amp;totales!J416="1","7",IF(totales!E416="6"&amp;totales!H416="0"&amp;totales!I416="1"&amp;totales!J416="1","8",IF(totales!E416="1"&amp;totales!H416="1"&amp;totales!I416="0"&amp;totales!J416="1","9"))))))))))))))))))))))))))))))))))))</f>
        <v>0</v>
      </c>
    </row>
    <row r="416" spans="22:22">
      <c r="V416" s="102" t="b">
        <f>IF(totales!E417="1"&amp;totales!H417="0"&amp;totales!I417="0"&amp;totales!J417="0","a",IF(totales!E417="2"&amp;totales!H417="0"&amp;totales!I417="0"&amp;totales!J417="0","b",IF(totales!E417="3"&amp;totales!H417="0"&amp;totales!I417="0"&amp;totales!J417="0","c",IF(totales!E417="4"&amp;totales!H417="0"&amp;totales!I417="0"&amp;totales!J417="0","d",IF(totales!E417="6"&amp;totales!H417="0"&amp;totales!I417="0"&amp;totales!J417="0","e",IF(totales!E417="1"&amp;totales!H417="1"&amp;totales!I417="0"&amp;totales!J417="0","f",IF(totales!E417="2"&amp;totales!H417="1"&amp;totales!I417="0"&amp;totales!J417="0","g",IF(totales!E417="3"&amp;totales!H417="1"&amp;totales!I417="0"&amp;totales!J417="0","h",IF(totales!E417="4"&amp;totales!H417="1"&amp;totales!I417="0"&amp;totales!J417="0","i",IF(totales!E417="6"&amp;totales!H417="1"&amp;totales!I417="0"&amp;totales!J417="0","j",IF(totales!E417="1"&amp;totales!H417="2"&amp;totales!I417="0"&amp;totales!J417="0","k",IF(totales!E417="2"&amp;totales!H417="2"&amp;totales!I417="0"&amp;totales!J417="0","l",IF(totales!E417="3"&amp;totales!H417="2"&amp;totales!I417="0"&amp;totales!J417="0","m",
IF(totales!E417="4"&amp;totales!H417="2"&amp;totales!I417="0"&amp;totales!J417="0","n",IF(totales!E417="6"&amp;totales!H417="2"&amp;totales!I417="0"&amp;totales!J417="0","o",IF(totales!E417="1"&amp;totales!H417="0"&amp;totales!I417="1"&amp;totales!J417="0","p",IF(totales!E417="2"&amp;totales!H417="0"&amp;totales!I417="1"&amp;totales!J417="0","q",IF(totales!E417="3"&amp;totales!H417="0"&amp;totales!I417="1"&amp;totales!J417="0","r",IF(totales!E417="4"&amp;totales!H417="0"&amp;totales!I417="1"&amp;totales!J417="0","s",IF(totales!E417="6"&amp;totales!H417="0"&amp;totales!I417="1"&amp;totales!J417="0","t",IF(totales!E417="1"&amp;totales!H417="2"&amp;totales!I417="1"&amp;totales!J417="0","u",IF(totales!E417="2"&amp;totales!H417="2"&amp;totales!I417="1"&amp;totales!J417="0","v",IF(totales!E417="3"&amp;totales!H417="2"&amp;totales!I417="1"&amp;totales!J417="0","w",IF(totales!E417="4"&amp;totales!H417="2"&amp;totales!I417="1"&amp;totales!J417="0","x",
IF(totales!E417="6"&amp;totales!H417="2"&amp;totales!I417="1"&amp;totales!J417="0","y",IF(totales!E417="1"&amp;totales!H417="1"&amp;totales!I417="1"&amp;totales!J417="0","z",IF(totales!E417="2"&amp;totales!H417="1"&amp;totales!I417="1"&amp;totales!J417="0","0",IF(totales!E417="3"&amp;totales!H417="1"&amp;totales!I417="1"&amp;totales!J417="0","1",IF(totales!E417="4"&amp;totales!H417="1"&amp;totales!I417="1"&amp;totales!J417="0","2",IF(totales!E417="6"&amp;totales!H417="1"&amp;totales!I417="1"&amp;totales!J417="0","3",IF(totales!E417="1"&amp;totales!H417="0"&amp;totales!I417="1"&amp;totales!J417="1","4",IF(totales!E417="2"&amp;totales!H417="0"&amp;totales!I417="1"&amp;totales!J417="1","5",IF(totales!E417="3"&amp;totales!H417="0"&amp;totales!I417="1"&amp;totales!J417="1","6",IF(totales!E417="4"&amp;totales!H417="0"&amp;totales!I417="1"&amp;totales!J417="1","7",IF(totales!E417="6"&amp;totales!H417="0"&amp;totales!I417="1"&amp;totales!J417="1","8",IF(totales!E417="1"&amp;totales!H417="1"&amp;totales!I417="0"&amp;totales!J417="1","9"))))))))))))))))))))))))))))))))))))</f>
        <v>0</v>
      </c>
    </row>
    <row r="417" spans="22:22">
      <c r="V417" s="102" t="b">
        <f>IF(totales!E418="1"&amp;totales!H418="0"&amp;totales!I418="0"&amp;totales!J418="0","a",IF(totales!E418="2"&amp;totales!H418="0"&amp;totales!I418="0"&amp;totales!J418="0","b",IF(totales!E418="3"&amp;totales!H418="0"&amp;totales!I418="0"&amp;totales!J418="0","c",IF(totales!E418="4"&amp;totales!H418="0"&amp;totales!I418="0"&amp;totales!J418="0","d",IF(totales!E418="6"&amp;totales!H418="0"&amp;totales!I418="0"&amp;totales!J418="0","e",IF(totales!E418="1"&amp;totales!H418="1"&amp;totales!I418="0"&amp;totales!J418="0","f",IF(totales!E418="2"&amp;totales!H418="1"&amp;totales!I418="0"&amp;totales!J418="0","g",IF(totales!E418="3"&amp;totales!H418="1"&amp;totales!I418="0"&amp;totales!J418="0","h",IF(totales!E418="4"&amp;totales!H418="1"&amp;totales!I418="0"&amp;totales!J418="0","i",IF(totales!E418="6"&amp;totales!H418="1"&amp;totales!I418="0"&amp;totales!J418="0","j",IF(totales!E418="1"&amp;totales!H418="2"&amp;totales!I418="0"&amp;totales!J418="0","k",IF(totales!E418="2"&amp;totales!H418="2"&amp;totales!I418="0"&amp;totales!J418="0","l",IF(totales!E418="3"&amp;totales!H418="2"&amp;totales!I418="0"&amp;totales!J418="0","m",
IF(totales!E418="4"&amp;totales!H418="2"&amp;totales!I418="0"&amp;totales!J418="0","n",IF(totales!E418="6"&amp;totales!H418="2"&amp;totales!I418="0"&amp;totales!J418="0","o",IF(totales!E418="1"&amp;totales!H418="0"&amp;totales!I418="1"&amp;totales!J418="0","p",IF(totales!E418="2"&amp;totales!H418="0"&amp;totales!I418="1"&amp;totales!J418="0","q",IF(totales!E418="3"&amp;totales!H418="0"&amp;totales!I418="1"&amp;totales!J418="0","r",IF(totales!E418="4"&amp;totales!H418="0"&amp;totales!I418="1"&amp;totales!J418="0","s",IF(totales!E418="6"&amp;totales!H418="0"&amp;totales!I418="1"&amp;totales!J418="0","t",IF(totales!E418="1"&amp;totales!H418="2"&amp;totales!I418="1"&amp;totales!J418="0","u",IF(totales!E418="2"&amp;totales!H418="2"&amp;totales!I418="1"&amp;totales!J418="0","v",IF(totales!E418="3"&amp;totales!H418="2"&amp;totales!I418="1"&amp;totales!J418="0","w",IF(totales!E418="4"&amp;totales!H418="2"&amp;totales!I418="1"&amp;totales!J418="0","x",
IF(totales!E418="6"&amp;totales!H418="2"&amp;totales!I418="1"&amp;totales!J418="0","y",IF(totales!E418="1"&amp;totales!H418="1"&amp;totales!I418="1"&amp;totales!J418="0","z",IF(totales!E418="2"&amp;totales!H418="1"&amp;totales!I418="1"&amp;totales!J418="0","0",IF(totales!E418="3"&amp;totales!H418="1"&amp;totales!I418="1"&amp;totales!J418="0","1",IF(totales!E418="4"&amp;totales!H418="1"&amp;totales!I418="1"&amp;totales!J418="0","2",IF(totales!E418="6"&amp;totales!H418="1"&amp;totales!I418="1"&amp;totales!J418="0","3",IF(totales!E418="1"&amp;totales!H418="0"&amp;totales!I418="1"&amp;totales!J418="1","4",IF(totales!E418="2"&amp;totales!H418="0"&amp;totales!I418="1"&amp;totales!J418="1","5",IF(totales!E418="3"&amp;totales!H418="0"&amp;totales!I418="1"&amp;totales!J418="1","6",IF(totales!E418="4"&amp;totales!H418="0"&amp;totales!I418="1"&amp;totales!J418="1","7",IF(totales!E418="6"&amp;totales!H418="0"&amp;totales!I418="1"&amp;totales!J418="1","8",IF(totales!E418="1"&amp;totales!H418="1"&amp;totales!I418="0"&amp;totales!J418="1","9"))))))))))))))))))))))))))))))))))))</f>
        <v>0</v>
      </c>
    </row>
    <row r="418" spans="22:22">
      <c r="V418" s="102" t="b">
        <f>IF(totales!E419="1"&amp;totales!H419="0"&amp;totales!I419="0"&amp;totales!J419="0","a",IF(totales!E419="2"&amp;totales!H419="0"&amp;totales!I419="0"&amp;totales!J419="0","b",IF(totales!E419="3"&amp;totales!H419="0"&amp;totales!I419="0"&amp;totales!J419="0","c",IF(totales!E419="4"&amp;totales!H419="0"&amp;totales!I419="0"&amp;totales!J419="0","d",IF(totales!E419="6"&amp;totales!H419="0"&amp;totales!I419="0"&amp;totales!J419="0","e",IF(totales!E419="1"&amp;totales!H419="1"&amp;totales!I419="0"&amp;totales!J419="0","f",IF(totales!E419="2"&amp;totales!H419="1"&amp;totales!I419="0"&amp;totales!J419="0","g",IF(totales!E419="3"&amp;totales!H419="1"&amp;totales!I419="0"&amp;totales!J419="0","h",IF(totales!E419="4"&amp;totales!H419="1"&amp;totales!I419="0"&amp;totales!J419="0","i",IF(totales!E419="6"&amp;totales!H419="1"&amp;totales!I419="0"&amp;totales!J419="0","j",IF(totales!E419="1"&amp;totales!H419="2"&amp;totales!I419="0"&amp;totales!J419="0","k",IF(totales!E419="2"&amp;totales!H419="2"&amp;totales!I419="0"&amp;totales!J419="0","l",IF(totales!E419="3"&amp;totales!H419="2"&amp;totales!I419="0"&amp;totales!J419="0","m",
IF(totales!E419="4"&amp;totales!H419="2"&amp;totales!I419="0"&amp;totales!J419="0","n",IF(totales!E419="6"&amp;totales!H419="2"&amp;totales!I419="0"&amp;totales!J419="0","o",IF(totales!E419="1"&amp;totales!H419="0"&amp;totales!I419="1"&amp;totales!J419="0","p",IF(totales!E419="2"&amp;totales!H419="0"&amp;totales!I419="1"&amp;totales!J419="0","q",IF(totales!E419="3"&amp;totales!H419="0"&amp;totales!I419="1"&amp;totales!J419="0","r",IF(totales!E419="4"&amp;totales!H419="0"&amp;totales!I419="1"&amp;totales!J419="0","s",IF(totales!E419="6"&amp;totales!H419="0"&amp;totales!I419="1"&amp;totales!J419="0","t",IF(totales!E419="1"&amp;totales!H419="2"&amp;totales!I419="1"&amp;totales!J419="0","u",IF(totales!E419="2"&amp;totales!H419="2"&amp;totales!I419="1"&amp;totales!J419="0","v",IF(totales!E419="3"&amp;totales!H419="2"&amp;totales!I419="1"&amp;totales!J419="0","w",IF(totales!E419="4"&amp;totales!H419="2"&amp;totales!I419="1"&amp;totales!J419="0","x",
IF(totales!E419="6"&amp;totales!H419="2"&amp;totales!I419="1"&amp;totales!J419="0","y",IF(totales!E419="1"&amp;totales!H419="1"&amp;totales!I419="1"&amp;totales!J419="0","z",IF(totales!E419="2"&amp;totales!H419="1"&amp;totales!I419="1"&amp;totales!J419="0","0",IF(totales!E419="3"&amp;totales!H419="1"&amp;totales!I419="1"&amp;totales!J419="0","1",IF(totales!E419="4"&amp;totales!H419="1"&amp;totales!I419="1"&amp;totales!J419="0","2",IF(totales!E419="6"&amp;totales!H419="1"&amp;totales!I419="1"&amp;totales!J419="0","3",IF(totales!E419="1"&amp;totales!H419="0"&amp;totales!I419="1"&amp;totales!J419="1","4",IF(totales!E419="2"&amp;totales!H419="0"&amp;totales!I419="1"&amp;totales!J419="1","5",IF(totales!E419="3"&amp;totales!H419="0"&amp;totales!I419="1"&amp;totales!J419="1","6",IF(totales!E419="4"&amp;totales!H419="0"&amp;totales!I419="1"&amp;totales!J419="1","7",IF(totales!E419="6"&amp;totales!H419="0"&amp;totales!I419="1"&amp;totales!J419="1","8",IF(totales!E419="1"&amp;totales!H419="1"&amp;totales!I419="0"&amp;totales!J419="1","9"))))))))))))))))))))))))))))))))))))</f>
        <v>0</v>
      </c>
    </row>
    <row r="419" spans="22:22">
      <c r="V419" s="102" t="b">
        <f>IF(totales!E420="1"&amp;totales!H420="0"&amp;totales!I420="0"&amp;totales!J420="0","a",IF(totales!E420="2"&amp;totales!H420="0"&amp;totales!I420="0"&amp;totales!J420="0","b",IF(totales!E420="3"&amp;totales!H420="0"&amp;totales!I420="0"&amp;totales!J420="0","c",IF(totales!E420="4"&amp;totales!H420="0"&amp;totales!I420="0"&amp;totales!J420="0","d",IF(totales!E420="6"&amp;totales!H420="0"&amp;totales!I420="0"&amp;totales!J420="0","e",IF(totales!E420="1"&amp;totales!H420="1"&amp;totales!I420="0"&amp;totales!J420="0","f",IF(totales!E420="2"&amp;totales!H420="1"&amp;totales!I420="0"&amp;totales!J420="0","g",IF(totales!E420="3"&amp;totales!H420="1"&amp;totales!I420="0"&amp;totales!J420="0","h",IF(totales!E420="4"&amp;totales!H420="1"&amp;totales!I420="0"&amp;totales!J420="0","i",IF(totales!E420="6"&amp;totales!H420="1"&amp;totales!I420="0"&amp;totales!J420="0","j",IF(totales!E420="1"&amp;totales!H420="2"&amp;totales!I420="0"&amp;totales!J420="0","k",IF(totales!E420="2"&amp;totales!H420="2"&amp;totales!I420="0"&amp;totales!J420="0","l",IF(totales!E420="3"&amp;totales!H420="2"&amp;totales!I420="0"&amp;totales!J420="0","m",
IF(totales!E420="4"&amp;totales!H420="2"&amp;totales!I420="0"&amp;totales!J420="0","n",IF(totales!E420="6"&amp;totales!H420="2"&amp;totales!I420="0"&amp;totales!J420="0","o",IF(totales!E420="1"&amp;totales!H420="0"&amp;totales!I420="1"&amp;totales!J420="0","p",IF(totales!E420="2"&amp;totales!H420="0"&amp;totales!I420="1"&amp;totales!J420="0","q",IF(totales!E420="3"&amp;totales!H420="0"&amp;totales!I420="1"&amp;totales!J420="0","r",IF(totales!E420="4"&amp;totales!H420="0"&amp;totales!I420="1"&amp;totales!J420="0","s",IF(totales!E420="6"&amp;totales!H420="0"&amp;totales!I420="1"&amp;totales!J420="0","t",IF(totales!E420="1"&amp;totales!H420="2"&amp;totales!I420="1"&amp;totales!J420="0","u",IF(totales!E420="2"&amp;totales!H420="2"&amp;totales!I420="1"&amp;totales!J420="0","v",IF(totales!E420="3"&amp;totales!H420="2"&amp;totales!I420="1"&amp;totales!J420="0","w",IF(totales!E420="4"&amp;totales!H420="2"&amp;totales!I420="1"&amp;totales!J420="0","x",
IF(totales!E420="6"&amp;totales!H420="2"&amp;totales!I420="1"&amp;totales!J420="0","y",IF(totales!E420="1"&amp;totales!H420="1"&amp;totales!I420="1"&amp;totales!J420="0","z",IF(totales!E420="2"&amp;totales!H420="1"&amp;totales!I420="1"&amp;totales!J420="0","0",IF(totales!E420="3"&amp;totales!H420="1"&amp;totales!I420="1"&amp;totales!J420="0","1",IF(totales!E420="4"&amp;totales!H420="1"&amp;totales!I420="1"&amp;totales!J420="0","2",IF(totales!E420="6"&amp;totales!H420="1"&amp;totales!I420="1"&amp;totales!J420="0","3",IF(totales!E420="1"&amp;totales!H420="0"&amp;totales!I420="1"&amp;totales!J420="1","4",IF(totales!E420="2"&amp;totales!H420="0"&amp;totales!I420="1"&amp;totales!J420="1","5",IF(totales!E420="3"&amp;totales!H420="0"&amp;totales!I420="1"&amp;totales!J420="1","6",IF(totales!E420="4"&amp;totales!H420="0"&amp;totales!I420="1"&amp;totales!J420="1","7",IF(totales!E420="6"&amp;totales!H420="0"&amp;totales!I420="1"&amp;totales!J420="1","8",IF(totales!E420="1"&amp;totales!H420="1"&amp;totales!I420="0"&amp;totales!J420="1","9"))))))))))))))))))))))))))))))))))))</f>
        <v>0</v>
      </c>
    </row>
    <row r="420" spans="22:22">
      <c r="V420" s="102" t="b">
        <f>IF(totales!E421="1"&amp;totales!H421="0"&amp;totales!I421="0"&amp;totales!J421="0","a",IF(totales!E421="2"&amp;totales!H421="0"&amp;totales!I421="0"&amp;totales!J421="0","b",IF(totales!E421="3"&amp;totales!H421="0"&amp;totales!I421="0"&amp;totales!J421="0","c",IF(totales!E421="4"&amp;totales!H421="0"&amp;totales!I421="0"&amp;totales!J421="0","d",IF(totales!E421="6"&amp;totales!H421="0"&amp;totales!I421="0"&amp;totales!J421="0","e",IF(totales!E421="1"&amp;totales!H421="1"&amp;totales!I421="0"&amp;totales!J421="0","f",IF(totales!E421="2"&amp;totales!H421="1"&amp;totales!I421="0"&amp;totales!J421="0","g",IF(totales!E421="3"&amp;totales!H421="1"&amp;totales!I421="0"&amp;totales!J421="0","h",IF(totales!E421="4"&amp;totales!H421="1"&amp;totales!I421="0"&amp;totales!J421="0","i",IF(totales!E421="6"&amp;totales!H421="1"&amp;totales!I421="0"&amp;totales!J421="0","j",IF(totales!E421="1"&amp;totales!H421="2"&amp;totales!I421="0"&amp;totales!J421="0","k",IF(totales!E421="2"&amp;totales!H421="2"&amp;totales!I421="0"&amp;totales!J421="0","l",IF(totales!E421="3"&amp;totales!H421="2"&amp;totales!I421="0"&amp;totales!J421="0","m",
IF(totales!E421="4"&amp;totales!H421="2"&amp;totales!I421="0"&amp;totales!J421="0","n",IF(totales!E421="6"&amp;totales!H421="2"&amp;totales!I421="0"&amp;totales!J421="0","o",IF(totales!E421="1"&amp;totales!H421="0"&amp;totales!I421="1"&amp;totales!J421="0","p",IF(totales!E421="2"&amp;totales!H421="0"&amp;totales!I421="1"&amp;totales!J421="0","q",IF(totales!E421="3"&amp;totales!H421="0"&amp;totales!I421="1"&amp;totales!J421="0","r",IF(totales!E421="4"&amp;totales!H421="0"&amp;totales!I421="1"&amp;totales!J421="0","s",IF(totales!E421="6"&amp;totales!H421="0"&amp;totales!I421="1"&amp;totales!J421="0","t",IF(totales!E421="1"&amp;totales!H421="2"&amp;totales!I421="1"&amp;totales!J421="0","u",IF(totales!E421="2"&amp;totales!H421="2"&amp;totales!I421="1"&amp;totales!J421="0","v",IF(totales!E421="3"&amp;totales!H421="2"&amp;totales!I421="1"&amp;totales!J421="0","w",IF(totales!E421="4"&amp;totales!H421="2"&amp;totales!I421="1"&amp;totales!J421="0","x",
IF(totales!E421="6"&amp;totales!H421="2"&amp;totales!I421="1"&amp;totales!J421="0","y",IF(totales!E421="1"&amp;totales!H421="1"&amp;totales!I421="1"&amp;totales!J421="0","z",IF(totales!E421="2"&amp;totales!H421="1"&amp;totales!I421="1"&amp;totales!J421="0","0",IF(totales!E421="3"&amp;totales!H421="1"&amp;totales!I421="1"&amp;totales!J421="0","1",IF(totales!E421="4"&amp;totales!H421="1"&amp;totales!I421="1"&amp;totales!J421="0","2",IF(totales!E421="6"&amp;totales!H421="1"&amp;totales!I421="1"&amp;totales!J421="0","3",IF(totales!E421="1"&amp;totales!H421="0"&amp;totales!I421="1"&amp;totales!J421="1","4",IF(totales!E421="2"&amp;totales!H421="0"&amp;totales!I421="1"&amp;totales!J421="1","5",IF(totales!E421="3"&amp;totales!H421="0"&amp;totales!I421="1"&amp;totales!J421="1","6",IF(totales!E421="4"&amp;totales!H421="0"&amp;totales!I421="1"&amp;totales!J421="1","7",IF(totales!E421="6"&amp;totales!H421="0"&amp;totales!I421="1"&amp;totales!J421="1","8",IF(totales!E421="1"&amp;totales!H421="1"&amp;totales!I421="0"&amp;totales!J421="1","9"))))))))))))))))))))))))))))))))))))</f>
        <v>0</v>
      </c>
    </row>
    <row r="421" spans="22:22">
      <c r="V421" s="102" t="b">
        <f>IF(totales!E422="1"&amp;totales!H422="0"&amp;totales!I422="0"&amp;totales!J422="0","a",IF(totales!E422="2"&amp;totales!H422="0"&amp;totales!I422="0"&amp;totales!J422="0","b",IF(totales!E422="3"&amp;totales!H422="0"&amp;totales!I422="0"&amp;totales!J422="0","c",IF(totales!E422="4"&amp;totales!H422="0"&amp;totales!I422="0"&amp;totales!J422="0","d",IF(totales!E422="6"&amp;totales!H422="0"&amp;totales!I422="0"&amp;totales!J422="0","e",IF(totales!E422="1"&amp;totales!H422="1"&amp;totales!I422="0"&amp;totales!J422="0","f",IF(totales!E422="2"&amp;totales!H422="1"&amp;totales!I422="0"&amp;totales!J422="0","g",IF(totales!E422="3"&amp;totales!H422="1"&amp;totales!I422="0"&amp;totales!J422="0","h",IF(totales!E422="4"&amp;totales!H422="1"&amp;totales!I422="0"&amp;totales!J422="0","i",IF(totales!E422="6"&amp;totales!H422="1"&amp;totales!I422="0"&amp;totales!J422="0","j",IF(totales!E422="1"&amp;totales!H422="2"&amp;totales!I422="0"&amp;totales!J422="0","k",IF(totales!E422="2"&amp;totales!H422="2"&amp;totales!I422="0"&amp;totales!J422="0","l",IF(totales!E422="3"&amp;totales!H422="2"&amp;totales!I422="0"&amp;totales!J422="0","m",
IF(totales!E422="4"&amp;totales!H422="2"&amp;totales!I422="0"&amp;totales!J422="0","n",IF(totales!E422="6"&amp;totales!H422="2"&amp;totales!I422="0"&amp;totales!J422="0","o",IF(totales!E422="1"&amp;totales!H422="0"&amp;totales!I422="1"&amp;totales!J422="0","p",IF(totales!E422="2"&amp;totales!H422="0"&amp;totales!I422="1"&amp;totales!J422="0","q",IF(totales!E422="3"&amp;totales!H422="0"&amp;totales!I422="1"&amp;totales!J422="0","r",IF(totales!E422="4"&amp;totales!H422="0"&amp;totales!I422="1"&amp;totales!J422="0","s",IF(totales!E422="6"&amp;totales!H422="0"&amp;totales!I422="1"&amp;totales!J422="0","t",IF(totales!E422="1"&amp;totales!H422="2"&amp;totales!I422="1"&amp;totales!J422="0","u",IF(totales!E422="2"&amp;totales!H422="2"&amp;totales!I422="1"&amp;totales!J422="0","v",IF(totales!E422="3"&amp;totales!H422="2"&amp;totales!I422="1"&amp;totales!J422="0","w",IF(totales!E422="4"&amp;totales!H422="2"&amp;totales!I422="1"&amp;totales!J422="0","x",
IF(totales!E422="6"&amp;totales!H422="2"&amp;totales!I422="1"&amp;totales!J422="0","y",IF(totales!E422="1"&amp;totales!H422="1"&amp;totales!I422="1"&amp;totales!J422="0","z",IF(totales!E422="2"&amp;totales!H422="1"&amp;totales!I422="1"&amp;totales!J422="0","0",IF(totales!E422="3"&amp;totales!H422="1"&amp;totales!I422="1"&amp;totales!J422="0","1",IF(totales!E422="4"&amp;totales!H422="1"&amp;totales!I422="1"&amp;totales!J422="0","2",IF(totales!E422="6"&amp;totales!H422="1"&amp;totales!I422="1"&amp;totales!J422="0","3",IF(totales!E422="1"&amp;totales!H422="0"&amp;totales!I422="1"&amp;totales!J422="1","4",IF(totales!E422="2"&amp;totales!H422="0"&amp;totales!I422="1"&amp;totales!J422="1","5",IF(totales!E422="3"&amp;totales!H422="0"&amp;totales!I422="1"&amp;totales!J422="1","6",IF(totales!E422="4"&amp;totales!H422="0"&amp;totales!I422="1"&amp;totales!J422="1","7",IF(totales!E422="6"&amp;totales!H422="0"&amp;totales!I422="1"&amp;totales!J422="1","8",IF(totales!E422="1"&amp;totales!H422="1"&amp;totales!I422="0"&amp;totales!J422="1","9"))))))))))))))))))))))))))))))))))))</f>
        <v>0</v>
      </c>
    </row>
    <row r="422" spans="22:22">
      <c r="V422" s="102" t="b">
        <f>IF(totales!E423="1"&amp;totales!H423="0"&amp;totales!I423="0"&amp;totales!J423="0","a",IF(totales!E423="2"&amp;totales!H423="0"&amp;totales!I423="0"&amp;totales!J423="0","b",IF(totales!E423="3"&amp;totales!H423="0"&amp;totales!I423="0"&amp;totales!J423="0","c",IF(totales!E423="4"&amp;totales!H423="0"&amp;totales!I423="0"&amp;totales!J423="0","d",IF(totales!E423="6"&amp;totales!H423="0"&amp;totales!I423="0"&amp;totales!J423="0","e",IF(totales!E423="1"&amp;totales!H423="1"&amp;totales!I423="0"&amp;totales!J423="0","f",IF(totales!E423="2"&amp;totales!H423="1"&amp;totales!I423="0"&amp;totales!J423="0","g",IF(totales!E423="3"&amp;totales!H423="1"&amp;totales!I423="0"&amp;totales!J423="0","h",IF(totales!E423="4"&amp;totales!H423="1"&amp;totales!I423="0"&amp;totales!J423="0","i",IF(totales!E423="6"&amp;totales!H423="1"&amp;totales!I423="0"&amp;totales!J423="0","j",IF(totales!E423="1"&amp;totales!H423="2"&amp;totales!I423="0"&amp;totales!J423="0","k",IF(totales!E423="2"&amp;totales!H423="2"&amp;totales!I423="0"&amp;totales!J423="0","l",IF(totales!E423="3"&amp;totales!H423="2"&amp;totales!I423="0"&amp;totales!J423="0","m",
IF(totales!E423="4"&amp;totales!H423="2"&amp;totales!I423="0"&amp;totales!J423="0","n",IF(totales!E423="6"&amp;totales!H423="2"&amp;totales!I423="0"&amp;totales!J423="0","o",IF(totales!E423="1"&amp;totales!H423="0"&amp;totales!I423="1"&amp;totales!J423="0","p",IF(totales!E423="2"&amp;totales!H423="0"&amp;totales!I423="1"&amp;totales!J423="0","q",IF(totales!E423="3"&amp;totales!H423="0"&amp;totales!I423="1"&amp;totales!J423="0","r",IF(totales!E423="4"&amp;totales!H423="0"&amp;totales!I423="1"&amp;totales!J423="0","s",IF(totales!E423="6"&amp;totales!H423="0"&amp;totales!I423="1"&amp;totales!J423="0","t",IF(totales!E423="1"&amp;totales!H423="2"&amp;totales!I423="1"&amp;totales!J423="0","u",IF(totales!E423="2"&amp;totales!H423="2"&amp;totales!I423="1"&amp;totales!J423="0","v",IF(totales!E423="3"&amp;totales!H423="2"&amp;totales!I423="1"&amp;totales!J423="0","w",IF(totales!E423="4"&amp;totales!H423="2"&amp;totales!I423="1"&amp;totales!J423="0","x",
IF(totales!E423="6"&amp;totales!H423="2"&amp;totales!I423="1"&amp;totales!J423="0","y",IF(totales!E423="1"&amp;totales!H423="1"&amp;totales!I423="1"&amp;totales!J423="0","z",IF(totales!E423="2"&amp;totales!H423="1"&amp;totales!I423="1"&amp;totales!J423="0","0",IF(totales!E423="3"&amp;totales!H423="1"&amp;totales!I423="1"&amp;totales!J423="0","1",IF(totales!E423="4"&amp;totales!H423="1"&amp;totales!I423="1"&amp;totales!J423="0","2",IF(totales!E423="6"&amp;totales!H423="1"&amp;totales!I423="1"&amp;totales!J423="0","3",IF(totales!E423="1"&amp;totales!H423="0"&amp;totales!I423="1"&amp;totales!J423="1","4",IF(totales!E423="2"&amp;totales!H423="0"&amp;totales!I423="1"&amp;totales!J423="1","5",IF(totales!E423="3"&amp;totales!H423="0"&amp;totales!I423="1"&amp;totales!J423="1","6",IF(totales!E423="4"&amp;totales!H423="0"&amp;totales!I423="1"&amp;totales!J423="1","7",IF(totales!E423="6"&amp;totales!H423="0"&amp;totales!I423="1"&amp;totales!J423="1","8",IF(totales!E423="1"&amp;totales!H423="1"&amp;totales!I423="0"&amp;totales!J423="1","9"))))))))))))))))))))))))))))))))))))</f>
        <v>0</v>
      </c>
    </row>
    <row r="423" spans="22:22">
      <c r="V423" s="102" t="b">
        <f>IF(totales!E424="1"&amp;totales!H424="0"&amp;totales!I424="0"&amp;totales!J424="0","a",IF(totales!E424="2"&amp;totales!H424="0"&amp;totales!I424="0"&amp;totales!J424="0","b",IF(totales!E424="3"&amp;totales!H424="0"&amp;totales!I424="0"&amp;totales!J424="0","c",IF(totales!E424="4"&amp;totales!H424="0"&amp;totales!I424="0"&amp;totales!J424="0","d",IF(totales!E424="6"&amp;totales!H424="0"&amp;totales!I424="0"&amp;totales!J424="0","e",IF(totales!E424="1"&amp;totales!H424="1"&amp;totales!I424="0"&amp;totales!J424="0","f",IF(totales!E424="2"&amp;totales!H424="1"&amp;totales!I424="0"&amp;totales!J424="0","g",IF(totales!E424="3"&amp;totales!H424="1"&amp;totales!I424="0"&amp;totales!J424="0","h",IF(totales!E424="4"&amp;totales!H424="1"&amp;totales!I424="0"&amp;totales!J424="0","i",IF(totales!E424="6"&amp;totales!H424="1"&amp;totales!I424="0"&amp;totales!J424="0","j",IF(totales!E424="1"&amp;totales!H424="2"&amp;totales!I424="0"&amp;totales!J424="0","k",IF(totales!E424="2"&amp;totales!H424="2"&amp;totales!I424="0"&amp;totales!J424="0","l",IF(totales!E424="3"&amp;totales!H424="2"&amp;totales!I424="0"&amp;totales!J424="0","m",
IF(totales!E424="4"&amp;totales!H424="2"&amp;totales!I424="0"&amp;totales!J424="0","n",IF(totales!E424="6"&amp;totales!H424="2"&amp;totales!I424="0"&amp;totales!J424="0","o",IF(totales!E424="1"&amp;totales!H424="0"&amp;totales!I424="1"&amp;totales!J424="0","p",IF(totales!E424="2"&amp;totales!H424="0"&amp;totales!I424="1"&amp;totales!J424="0","q",IF(totales!E424="3"&amp;totales!H424="0"&amp;totales!I424="1"&amp;totales!J424="0","r",IF(totales!E424="4"&amp;totales!H424="0"&amp;totales!I424="1"&amp;totales!J424="0","s",IF(totales!E424="6"&amp;totales!H424="0"&amp;totales!I424="1"&amp;totales!J424="0","t",IF(totales!E424="1"&amp;totales!H424="2"&amp;totales!I424="1"&amp;totales!J424="0","u",IF(totales!E424="2"&amp;totales!H424="2"&amp;totales!I424="1"&amp;totales!J424="0","v",IF(totales!E424="3"&amp;totales!H424="2"&amp;totales!I424="1"&amp;totales!J424="0","w",IF(totales!E424="4"&amp;totales!H424="2"&amp;totales!I424="1"&amp;totales!J424="0","x",
IF(totales!E424="6"&amp;totales!H424="2"&amp;totales!I424="1"&amp;totales!J424="0","y",IF(totales!E424="1"&amp;totales!H424="1"&amp;totales!I424="1"&amp;totales!J424="0","z",IF(totales!E424="2"&amp;totales!H424="1"&amp;totales!I424="1"&amp;totales!J424="0","0",IF(totales!E424="3"&amp;totales!H424="1"&amp;totales!I424="1"&amp;totales!J424="0","1",IF(totales!E424="4"&amp;totales!H424="1"&amp;totales!I424="1"&amp;totales!J424="0","2",IF(totales!E424="6"&amp;totales!H424="1"&amp;totales!I424="1"&amp;totales!J424="0","3",IF(totales!E424="1"&amp;totales!H424="0"&amp;totales!I424="1"&amp;totales!J424="1","4",IF(totales!E424="2"&amp;totales!H424="0"&amp;totales!I424="1"&amp;totales!J424="1","5",IF(totales!E424="3"&amp;totales!H424="0"&amp;totales!I424="1"&amp;totales!J424="1","6",IF(totales!E424="4"&amp;totales!H424="0"&amp;totales!I424="1"&amp;totales!J424="1","7",IF(totales!E424="6"&amp;totales!H424="0"&amp;totales!I424="1"&amp;totales!J424="1","8",IF(totales!E424="1"&amp;totales!H424="1"&amp;totales!I424="0"&amp;totales!J424="1","9"))))))))))))))))))))))))))))))))))))</f>
        <v>0</v>
      </c>
    </row>
    <row r="424" spans="22:22">
      <c r="V424" s="102" t="b">
        <f>IF(totales!E425="1"&amp;totales!H425="0"&amp;totales!I425="0"&amp;totales!J425="0","a",IF(totales!E425="2"&amp;totales!H425="0"&amp;totales!I425="0"&amp;totales!J425="0","b",IF(totales!E425="3"&amp;totales!H425="0"&amp;totales!I425="0"&amp;totales!J425="0","c",IF(totales!E425="4"&amp;totales!H425="0"&amp;totales!I425="0"&amp;totales!J425="0","d",IF(totales!E425="6"&amp;totales!H425="0"&amp;totales!I425="0"&amp;totales!J425="0","e",IF(totales!E425="1"&amp;totales!H425="1"&amp;totales!I425="0"&amp;totales!J425="0","f",IF(totales!E425="2"&amp;totales!H425="1"&amp;totales!I425="0"&amp;totales!J425="0","g",IF(totales!E425="3"&amp;totales!H425="1"&amp;totales!I425="0"&amp;totales!J425="0","h",IF(totales!E425="4"&amp;totales!H425="1"&amp;totales!I425="0"&amp;totales!J425="0","i",IF(totales!E425="6"&amp;totales!H425="1"&amp;totales!I425="0"&amp;totales!J425="0","j",IF(totales!E425="1"&amp;totales!H425="2"&amp;totales!I425="0"&amp;totales!J425="0","k",IF(totales!E425="2"&amp;totales!H425="2"&amp;totales!I425="0"&amp;totales!J425="0","l",IF(totales!E425="3"&amp;totales!H425="2"&amp;totales!I425="0"&amp;totales!J425="0","m",
IF(totales!E425="4"&amp;totales!H425="2"&amp;totales!I425="0"&amp;totales!J425="0","n",IF(totales!E425="6"&amp;totales!H425="2"&amp;totales!I425="0"&amp;totales!J425="0","o",IF(totales!E425="1"&amp;totales!H425="0"&amp;totales!I425="1"&amp;totales!J425="0","p",IF(totales!E425="2"&amp;totales!H425="0"&amp;totales!I425="1"&amp;totales!J425="0","q",IF(totales!E425="3"&amp;totales!H425="0"&amp;totales!I425="1"&amp;totales!J425="0","r",IF(totales!E425="4"&amp;totales!H425="0"&amp;totales!I425="1"&amp;totales!J425="0","s",IF(totales!E425="6"&amp;totales!H425="0"&amp;totales!I425="1"&amp;totales!J425="0","t",IF(totales!E425="1"&amp;totales!H425="2"&amp;totales!I425="1"&amp;totales!J425="0","u",IF(totales!E425="2"&amp;totales!H425="2"&amp;totales!I425="1"&amp;totales!J425="0","v",IF(totales!E425="3"&amp;totales!H425="2"&amp;totales!I425="1"&amp;totales!J425="0","w",IF(totales!E425="4"&amp;totales!H425="2"&amp;totales!I425="1"&amp;totales!J425="0","x",
IF(totales!E425="6"&amp;totales!H425="2"&amp;totales!I425="1"&amp;totales!J425="0","y",IF(totales!E425="1"&amp;totales!H425="1"&amp;totales!I425="1"&amp;totales!J425="0","z",IF(totales!E425="2"&amp;totales!H425="1"&amp;totales!I425="1"&amp;totales!J425="0","0",IF(totales!E425="3"&amp;totales!H425="1"&amp;totales!I425="1"&amp;totales!J425="0","1",IF(totales!E425="4"&amp;totales!H425="1"&amp;totales!I425="1"&amp;totales!J425="0","2",IF(totales!E425="6"&amp;totales!H425="1"&amp;totales!I425="1"&amp;totales!J425="0","3",IF(totales!E425="1"&amp;totales!H425="0"&amp;totales!I425="1"&amp;totales!J425="1","4",IF(totales!E425="2"&amp;totales!H425="0"&amp;totales!I425="1"&amp;totales!J425="1","5",IF(totales!E425="3"&amp;totales!H425="0"&amp;totales!I425="1"&amp;totales!J425="1","6",IF(totales!E425="4"&amp;totales!H425="0"&amp;totales!I425="1"&amp;totales!J425="1","7",IF(totales!E425="6"&amp;totales!H425="0"&amp;totales!I425="1"&amp;totales!J425="1","8",IF(totales!E425="1"&amp;totales!H425="1"&amp;totales!I425="0"&amp;totales!J425="1","9"))))))))))))))))))))))))))))))))))))</f>
        <v>0</v>
      </c>
    </row>
    <row r="425" spans="22:22">
      <c r="V425" s="102" t="b">
        <f>IF(totales!E426="1"&amp;totales!H426="0"&amp;totales!I426="0"&amp;totales!J426="0","a",IF(totales!E426="2"&amp;totales!H426="0"&amp;totales!I426="0"&amp;totales!J426="0","b",IF(totales!E426="3"&amp;totales!H426="0"&amp;totales!I426="0"&amp;totales!J426="0","c",IF(totales!E426="4"&amp;totales!H426="0"&amp;totales!I426="0"&amp;totales!J426="0","d",IF(totales!E426="6"&amp;totales!H426="0"&amp;totales!I426="0"&amp;totales!J426="0","e",IF(totales!E426="1"&amp;totales!H426="1"&amp;totales!I426="0"&amp;totales!J426="0","f",IF(totales!E426="2"&amp;totales!H426="1"&amp;totales!I426="0"&amp;totales!J426="0","g",IF(totales!E426="3"&amp;totales!H426="1"&amp;totales!I426="0"&amp;totales!J426="0","h",IF(totales!E426="4"&amp;totales!H426="1"&amp;totales!I426="0"&amp;totales!J426="0","i",IF(totales!E426="6"&amp;totales!H426="1"&amp;totales!I426="0"&amp;totales!J426="0","j",IF(totales!E426="1"&amp;totales!H426="2"&amp;totales!I426="0"&amp;totales!J426="0","k",IF(totales!E426="2"&amp;totales!H426="2"&amp;totales!I426="0"&amp;totales!J426="0","l",IF(totales!E426="3"&amp;totales!H426="2"&amp;totales!I426="0"&amp;totales!J426="0","m",
IF(totales!E426="4"&amp;totales!H426="2"&amp;totales!I426="0"&amp;totales!J426="0","n",IF(totales!E426="6"&amp;totales!H426="2"&amp;totales!I426="0"&amp;totales!J426="0","o",IF(totales!E426="1"&amp;totales!H426="0"&amp;totales!I426="1"&amp;totales!J426="0","p",IF(totales!E426="2"&amp;totales!H426="0"&amp;totales!I426="1"&amp;totales!J426="0","q",IF(totales!E426="3"&amp;totales!H426="0"&amp;totales!I426="1"&amp;totales!J426="0","r",IF(totales!E426="4"&amp;totales!H426="0"&amp;totales!I426="1"&amp;totales!J426="0","s",IF(totales!E426="6"&amp;totales!H426="0"&amp;totales!I426="1"&amp;totales!J426="0","t",IF(totales!E426="1"&amp;totales!H426="2"&amp;totales!I426="1"&amp;totales!J426="0","u",IF(totales!E426="2"&amp;totales!H426="2"&amp;totales!I426="1"&amp;totales!J426="0","v",IF(totales!E426="3"&amp;totales!H426="2"&amp;totales!I426="1"&amp;totales!J426="0","w",IF(totales!E426="4"&amp;totales!H426="2"&amp;totales!I426="1"&amp;totales!J426="0","x",
IF(totales!E426="6"&amp;totales!H426="2"&amp;totales!I426="1"&amp;totales!J426="0","y",IF(totales!E426="1"&amp;totales!H426="1"&amp;totales!I426="1"&amp;totales!J426="0","z",IF(totales!E426="2"&amp;totales!H426="1"&amp;totales!I426="1"&amp;totales!J426="0","0",IF(totales!E426="3"&amp;totales!H426="1"&amp;totales!I426="1"&amp;totales!J426="0","1",IF(totales!E426="4"&amp;totales!H426="1"&amp;totales!I426="1"&amp;totales!J426="0","2",IF(totales!E426="6"&amp;totales!H426="1"&amp;totales!I426="1"&amp;totales!J426="0","3",IF(totales!E426="1"&amp;totales!H426="0"&amp;totales!I426="1"&amp;totales!J426="1","4",IF(totales!E426="2"&amp;totales!H426="0"&amp;totales!I426="1"&amp;totales!J426="1","5",IF(totales!E426="3"&amp;totales!H426="0"&amp;totales!I426="1"&amp;totales!J426="1","6",IF(totales!E426="4"&amp;totales!H426="0"&amp;totales!I426="1"&amp;totales!J426="1","7",IF(totales!E426="6"&amp;totales!H426="0"&amp;totales!I426="1"&amp;totales!J426="1","8",IF(totales!E426="1"&amp;totales!H426="1"&amp;totales!I426="0"&amp;totales!J426="1","9"))))))))))))))))))))))))))))))))))))</f>
        <v>0</v>
      </c>
    </row>
    <row r="426" spans="22:22">
      <c r="V426" s="102" t="b">
        <f>IF(totales!E427="1"&amp;totales!H427="0"&amp;totales!I427="0"&amp;totales!J427="0","a",IF(totales!E427="2"&amp;totales!H427="0"&amp;totales!I427="0"&amp;totales!J427="0","b",IF(totales!E427="3"&amp;totales!H427="0"&amp;totales!I427="0"&amp;totales!J427="0","c",IF(totales!E427="4"&amp;totales!H427="0"&amp;totales!I427="0"&amp;totales!J427="0","d",IF(totales!E427="6"&amp;totales!H427="0"&amp;totales!I427="0"&amp;totales!J427="0","e",IF(totales!E427="1"&amp;totales!H427="1"&amp;totales!I427="0"&amp;totales!J427="0","f",IF(totales!E427="2"&amp;totales!H427="1"&amp;totales!I427="0"&amp;totales!J427="0","g",IF(totales!E427="3"&amp;totales!H427="1"&amp;totales!I427="0"&amp;totales!J427="0","h",IF(totales!E427="4"&amp;totales!H427="1"&amp;totales!I427="0"&amp;totales!J427="0","i",IF(totales!E427="6"&amp;totales!H427="1"&amp;totales!I427="0"&amp;totales!J427="0","j",IF(totales!E427="1"&amp;totales!H427="2"&amp;totales!I427="0"&amp;totales!J427="0","k",IF(totales!E427="2"&amp;totales!H427="2"&amp;totales!I427="0"&amp;totales!J427="0","l",IF(totales!E427="3"&amp;totales!H427="2"&amp;totales!I427="0"&amp;totales!J427="0","m",
IF(totales!E427="4"&amp;totales!H427="2"&amp;totales!I427="0"&amp;totales!J427="0","n",IF(totales!E427="6"&amp;totales!H427="2"&amp;totales!I427="0"&amp;totales!J427="0","o",IF(totales!E427="1"&amp;totales!H427="0"&amp;totales!I427="1"&amp;totales!J427="0","p",IF(totales!E427="2"&amp;totales!H427="0"&amp;totales!I427="1"&amp;totales!J427="0","q",IF(totales!E427="3"&amp;totales!H427="0"&amp;totales!I427="1"&amp;totales!J427="0","r",IF(totales!E427="4"&amp;totales!H427="0"&amp;totales!I427="1"&amp;totales!J427="0","s",IF(totales!E427="6"&amp;totales!H427="0"&amp;totales!I427="1"&amp;totales!J427="0","t",IF(totales!E427="1"&amp;totales!H427="2"&amp;totales!I427="1"&amp;totales!J427="0","u",IF(totales!E427="2"&amp;totales!H427="2"&amp;totales!I427="1"&amp;totales!J427="0","v",IF(totales!E427="3"&amp;totales!H427="2"&amp;totales!I427="1"&amp;totales!J427="0","w",IF(totales!E427="4"&amp;totales!H427="2"&amp;totales!I427="1"&amp;totales!J427="0","x",
IF(totales!E427="6"&amp;totales!H427="2"&amp;totales!I427="1"&amp;totales!J427="0","y",IF(totales!E427="1"&amp;totales!H427="1"&amp;totales!I427="1"&amp;totales!J427="0","z",IF(totales!E427="2"&amp;totales!H427="1"&amp;totales!I427="1"&amp;totales!J427="0","0",IF(totales!E427="3"&amp;totales!H427="1"&amp;totales!I427="1"&amp;totales!J427="0","1",IF(totales!E427="4"&amp;totales!H427="1"&amp;totales!I427="1"&amp;totales!J427="0","2",IF(totales!E427="6"&amp;totales!H427="1"&amp;totales!I427="1"&amp;totales!J427="0","3",IF(totales!E427="1"&amp;totales!H427="0"&amp;totales!I427="1"&amp;totales!J427="1","4",IF(totales!E427="2"&amp;totales!H427="0"&amp;totales!I427="1"&amp;totales!J427="1","5",IF(totales!E427="3"&amp;totales!H427="0"&amp;totales!I427="1"&amp;totales!J427="1","6",IF(totales!E427="4"&amp;totales!H427="0"&amp;totales!I427="1"&amp;totales!J427="1","7",IF(totales!E427="6"&amp;totales!H427="0"&amp;totales!I427="1"&amp;totales!J427="1","8",IF(totales!E427="1"&amp;totales!H427="1"&amp;totales!I427="0"&amp;totales!J427="1","9"))))))))))))))))))))))))))))))))))))</f>
        <v>0</v>
      </c>
    </row>
    <row r="427" spans="22:22">
      <c r="V427" s="102" t="b">
        <f>IF(totales!E428="1"&amp;totales!H428="0"&amp;totales!I428="0"&amp;totales!J428="0","a",IF(totales!E428="2"&amp;totales!H428="0"&amp;totales!I428="0"&amp;totales!J428="0","b",IF(totales!E428="3"&amp;totales!H428="0"&amp;totales!I428="0"&amp;totales!J428="0","c",IF(totales!E428="4"&amp;totales!H428="0"&amp;totales!I428="0"&amp;totales!J428="0","d",IF(totales!E428="6"&amp;totales!H428="0"&amp;totales!I428="0"&amp;totales!J428="0","e",IF(totales!E428="1"&amp;totales!H428="1"&amp;totales!I428="0"&amp;totales!J428="0","f",IF(totales!E428="2"&amp;totales!H428="1"&amp;totales!I428="0"&amp;totales!J428="0","g",IF(totales!E428="3"&amp;totales!H428="1"&amp;totales!I428="0"&amp;totales!J428="0","h",IF(totales!E428="4"&amp;totales!H428="1"&amp;totales!I428="0"&amp;totales!J428="0","i",IF(totales!E428="6"&amp;totales!H428="1"&amp;totales!I428="0"&amp;totales!J428="0","j",IF(totales!E428="1"&amp;totales!H428="2"&amp;totales!I428="0"&amp;totales!J428="0","k",IF(totales!E428="2"&amp;totales!H428="2"&amp;totales!I428="0"&amp;totales!J428="0","l",IF(totales!E428="3"&amp;totales!H428="2"&amp;totales!I428="0"&amp;totales!J428="0","m",
IF(totales!E428="4"&amp;totales!H428="2"&amp;totales!I428="0"&amp;totales!J428="0","n",IF(totales!E428="6"&amp;totales!H428="2"&amp;totales!I428="0"&amp;totales!J428="0","o",IF(totales!E428="1"&amp;totales!H428="0"&amp;totales!I428="1"&amp;totales!J428="0","p",IF(totales!E428="2"&amp;totales!H428="0"&amp;totales!I428="1"&amp;totales!J428="0","q",IF(totales!E428="3"&amp;totales!H428="0"&amp;totales!I428="1"&amp;totales!J428="0","r",IF(totales!E428="4"&amp;totales!H428="0"&amp;totales!I428="1"&amp;totales!J428="0","s",IF(totales!E428="6"&amp;totales!H428="0"&amp;totales!I428="1"&amp;totales!J428="0","t",IF(totales!E428="1"&amp;totales!H428="2"&amp;totales!I428="1"&amp;totales!J428="0","u",IF(totales!E428="2"&amp;totales!H428="2"&amp;totales!I428="1"&amp;totales!J428="0","v",IF(totales!E428="3"&amp;totales!H428="2"&amp;totales!I428="1"&amp;totales!J428="0","w",IF(totales!E428="4"&amp;totales!H428="2"&amp;totales!I428="1"&amp;totales!J428="0","x",
IF(totales!E428="6"&amp;totales!H428="2"&amp;totales!I428="1"&amp;totales!J428="0","y",IF(totales!E428="1"&amp;totales!H428="1"&amp;totales!I428="1"&amp;totales!J428="0","z",IF(totales!E428="2"&amp;totales!H428="1"&amp;totales!I428="1"&amp;totales!J428="0","0",IF(totales!E428="3"&amp;totales!H428="1"&amp;totales!I428="1"&amp;totales!J428="0","1",IF(totales!E428="4"&amp;totales!H428="1"&amp;totales!I428="1"&amp;totales!J428="0","2",IF(totales!E428="6"&amp;totales!H428="1"&amp;totales!I428="1"&amp;totales!J428="0","3",IF(totales!E428="1"&amp;totales!H428="0"&amp;totales!I428="1"&amp;totales!J428="1","4",IF(totales!E428="2"&amp;totales!H428="0"&amp;totales!I428="1"&amp;totales!J428="1","5",IF(totales!E428="3"&amp;totales!H428="0"&amp;totales!I428="1"&amp;totales!J428="1","6",IF(totales!E428="4"&amp;totales!H428="0"&amp;totales!I428="1"&amp;totales!J428="1","7",IF(totales!E428="6"&amp;totales!H428="0"&amp;totales!I428="1"&amp;totales!J428="1","8",IF(totales!E428="1"&amp;totales!H428="1"&amp;totales!I428="0"&amp;totales!J428="1","9"))))))))))))))))))))))))))))))))))))</f>
        <v>0</v>
      </c>
    </row>
    <row r="428" spans="22:22">
      <c r="V428" s="102" t="b">
        <f>IF(totales!E429="1"&amp;totales!H429="0"&amp;totales!I429="0"&amp;totales!J429="0","a",IF(totales!E429="2"&amp;totales!H429="0"&amp;totales!I429="0"&amp;totales!J429="0","b",IF(totales!E429="3"&amp;totales!H429="0"&amp;totales!I429="0"&amp;totales!J429="0","c",IF(totales!E429="4"&amp;totales!H429="0"&amp;totales!I429="0"&amp;totales!J429="0","d",IF(totales!E429="6"&amp;totales!H429="0"&amp;totales!I429="0"&amp;totales!J429="0","e",IF(totales!E429="1"&amp;totales!H429="1"&amp;totales!I429="0"&amp;totales!J429="0","f",IF(totales!E429="2"&amp;totales!H429="1"&amp;totales!I429="0"&amp;totales!J429="0","g",IF(totales!E429="3"&amp;totales!H429="1"&amp;totales!I429="0"&amp;totales!J429="0","h",IF(totales!E429="4"&amp;totales!H429="1"&amp;totales!I429="0"&amp;totales!J429="0","i",IF(totales!E429="6"&amp;totales!H429="1"&amp;totales!I429="0"&amp;totales!J429="0","j",IF(totales!E429="1"&amp;totales!H429="2"&amp;totales!I429="0"&amp;totales!J429="0","k",IF(totales!E429="2"&amp;totales!H429="2"&amp;totales!I429="0"&amp;totales!J429="0","l",IF(totales!E429="3"&amp;totales!H429="2"&amp;totales!I429="0"&amp;totales!J429="0","m",
IF(totales!E429="4"&amp;totales!H429="2"&amp;totales!I429="0"&amp;totales!J429="0","n",IF(totales!E429="6"&amp;totales!H429="2"&amp;totales!I429="0"&amp;totales!J429="0","o",IF(totales!E429="1"&amp;totales!H429="0"&amp;totales!I429="1"&amp;totales!J429="0","p",IF(totales!E429="2"&amp;totales!H429="0"&amp;totales!I429="1"&amp;totales!J429="0","q",IF(totales!E429="3"&amp;totales!H429="0"&amp;totales!I429="1"&amp;totales!J429="0","r",IF(totales!E429="4"&amp;totales!H429="0"&amp;totales!I429="1"&amp;totales!J429="0","s",IF(totales!E429="6"&amp;totales!H429="0"&amp;totales!I429="1"&amp;totales!J429="0","t",IF(totales!E429="1"&amp;totales!H429="2"&amp;totales!I429="1"&amp;totales!J429="0","u",IF(totales!E429="2"&amp;totales!H429="2"&amp;totales!I429="1"&amp;totales!J429="0","v",IF(totales!E429="3"&amp;totales!H429="2"&amp;totales!I429="1"&amp;totales!J429="0","w",IF(totales!E429="4"&amp;totales!H429="2"&amp;totales!I429="1"&amp;totales!J429="0","x",
IF(totales!E429="6"&amp;totales!H429="2"&amp;totales!I429="1"&amp;totales!J429="0","y",IF(totales!E429="1"&amp;totales!H429="1"&amp;totales!I429="1"&amp;totales!J429="0","z",IF(totales!E429="2"&amp;totales!H429="1"&amp;totales!I429="1"&amp;totales!J429="0","0",IF(totales!E429="3"&amp;totales!H429="1"&amp;totales!I429="1"&amp;totales!J429="0","1",IF(totales!E429="4"&amp;totales!H429="1"&amp;totales!I429="1"&amp;totales!J429="0","2",IF(totales!E429="6"&amp;totales!H429="1"&amp;totales!I429="1"&amp;totales!J429="0","3",IF(totales!E429="1"&amp;totales!H429="0"&amp;totales!I429="1"&amp;totales!J429="1","4",IF(totales!E429="2"&amp;totales!H429="0"&amp;totales!I429="1"&amp;totales!J429="1","5",IF(totales!E429="3"&amp;totales!H429="0"&amp;totales!I429="1"&amp;totales!J429="1","6",IF(totales!E429="4"&amp;totales!H429="0"&amp;totales!I429="1"&amp;totales!J429="1","7",IF(totales!E429="6"&amp;totales!H429="0"&amp;totales!I429="1"&amp;totales!J429="1","8",IF(totales!E429="1"&amp;totales!H429="1"&amp;totales!I429="0"&amp;totales!J429="1","9"))))))))))))))))))))))))))))))))))))</f>
        <v>0</v>
      </c>
    </row>
    <row r="429" spans="22:22">
      <c r="V429" s="102" t="b">
        <f>IF(totales!E430="1"&amp;totales!H430="0"&amp;totales!I430="0"&amp;totales!J430="0","a",IF(totales!E430="2"&amp;totales!H430="0"&amp;totales!I430="0"&amp;totales!J430="0","b",IF(totales!E430="3"&amp;totales!H430="0"&amp;totales!I430="0"&amp;totales!J430="0","c",IF(totales!E430="4"&amp;totales!H430="0"&amp;totales!I430="0"&amp;totales!J430="0","d",IF(totales!E430="6"&amp;totales!H430="0"&amp;totales!I430="0"&amp;totales!J430="0","e",IF(totales!E430="1"&amp;totales!H430="1"&amp;totales!I430="0"&amp;totales!J430="0","f",IF(totales!E430="2"&amp;totales!H430="1"&amp;totales!I430="0"&amp;totales!J430="0","g",IF(totales!E430="3"&amp;totales!H430="1"&amp;totales!I430="0"&amp;totales!J430="0","h",IF(totales!E430="4"&amp;totales!H430="1"&amp;totales!I430="0"&amp;totales!J430="0","i",IF(totales!E430="6"&amp;totales!H430="1"&amp;totales!I430="0"&amp;totales!J430="0","j",IF(totales!E430="1"&amp;totales!H430="2"&amp;totales!I430="0"&amp;totales!J430="0","k",IF(totales!E430="2"&amp;totales!H430="2"&amp;totales!I430="0"&amp;totales!J430="0","l",IF(totales!E430="3"&amp;totales!H430="2"&amp;totales!I430="0"&amp;totales!J430="0","m",
IF(totales!E430="4"&amp;totales!H430="2"&amp;totales!I430="0"&amp;totales!J430="0","n",IF(totales!E430="6"&amp;totales!H430="2"&amp;totales!I430="0"&amp;totales!J430="0","o",IF(totales!E430="1"&amp;totales!H430="0"&amp;totales!I430="1"&amp;totales!J430="0","p",IF(totales!E430="2"&amp;totales!H430="0"&amp;totales!I430="1"&amp;totales!J430="0","q",IF(totales!E430="3"&amp;totales!H430="0"&amp;totales!I430="1"&amp;totales!J430="0","r",IF(totales!E430="4"&amp;totales!H430="0"&amp;totales!I430="1"&amp;totales!J430="0","s",IF(totales!E430="6"&amp;totales!H430="0"&amp;totales!I430="1"&amp;totales!J430="0","t",IF(totales!E430="1"&amp;totales!H430="2"&amp;totales!I430="1"&amp;totales!J430="0","u",IF(totales!E430="2"&amp;totales!H430="2"&amp;totales!I430="1"&amp;totales!J430="0","v",IF(totales!E430="3"&amp;totales!H430="2"&amp;totales!I430="1"&amp;totales!J430="0","w",IF(totales!E430="4"&amp;totales!H430="2"&amp;totales!I430="1"&amp;totales!J430="0","x",
IF(totales!E430="6"&amp;totales!H430="2"&amp;totales!I430="1"&amp;totales!J430="0","y",IF(totales!E430="1"&amp;totales!H430="1"&amp;totales!I430="1"&amp;totales!J430="0","z",IF(totales!E430="2"&amp;totales!H430="1"&amp;totales!I430="1"&amp;totales!J430="0","0",IF(totales!E430="3"&amp;totales!H430="1"&amp;totales!I430="1"&amp;totales!J430="0","1",IF(totales!E430="4"&amp;totales!H430="1"&amp;totales!I430="1"&amp;totales!J430="0","2",IF(totales!E430="6"&amp;totales!H430="1"&amp;totales!I430="1"&amp;totales!J430="0","3",IF(totales!E430="1"&amp;totales!H430="0"&amp;totales!I430="1"&amp;totales!J430="1","4",IF(totales!E430="2"&amp;totales!H430="0"&amp;totales!I430="1"&amp;totales!J430="1","5",IF(totales!E430="3"&amp;totales!H430="0"&amp;totales!I430="1"&amp;totales!J430="1","6",IF(totales!E430="4"&amp;totales!H430="0"&amp;totales!I430="1"&amp;totales!J430="1","7",IF(totales!E430="6"&amp;totales!H430="0"&amp;totales!I430="1"&amp;totales!J430="1","8",IF(totales!E430="1"&amp;totales!H430="1"&amp;totales!I430="0"&amp;totales!J430="1","9"))))))))))))))))))))))))))))))))))))</f>
        <v>0</v>
      </c>
    </row>
    <row r="430" spans="22:22">
      <c r="V430" s="102" t="b">
        <f>IF(totales!E431="1"&amp;totales!H431="0"&amp;totales!I431="0"&amp;totales!J431="0","a",IF(totales!E431="2"&amp;totales!H431="0"&amp;totales!I431="0"&amp;totales!J431="0","b",IF(totales!E431="3"&amp;totales!H431="0"&amp;totales!I431="0"&amp;totales!J431="0","c",IF(totales!E431="4"&amp;totales!H431="0"&amp;totales!I431="0"&amp;totales!J431="0","d",IF(totales!E431="6"&amp;totales!H431="0"&amp;totales!I431="0"&amp;totales!J431="0","e",IF(totales!E431="1"&amp;totales!H431="1"&amp;totales!I431="0"&amp;totales!J431="0","f",IF(totales!E431="2"&amp;totales!H431="1"&amp;totales!I431="0"&amp;totales!J431="0","g",IF(totales!E431="3"&amp;totales!H431="1"&amp;totales!I431="0"&amp;totales!J431="0","h",IF(totales!E431="4"&amp;totales!H431="1"&amp;totales!I431="0"&amp;totales!J431="0","i",IF(totales!E431="6"&amp;totales!H431="1"&amp;totales!I431="0"&amp;totales!J431="0","j",IF(totales!E431="1"&amp;totales!H431="2"&amp;totales!I431="0"&amp;totales!J431="0","k",IF(totales!E431="2"&amp;totales!H431="2"&amp;totales!I431="0"&amp;totales!J431="0","l",IF(totales!E431="3"&amp;totales!H431="2"&amp;totales!I431="0"&amp;totales!J431="0","m",
IF(totales!E431="4"&amp;totales!H431="2"&amp;totales!I431="0"&amp;totales!J431="0","n",IF(totales!E431="6"&amp;totales!H431="2"&amp;totales!I431="0"&amp;totales!J431="0","o",IF(totales!E431="1"&amp;totales!H431="0"&amp;totales!I431="1"&amp;totales!J431="0","p",IF(totales!E431="2"&amp;totales!H431="0"&amp;totales!I431="1"&amp;totales!J431="0","q",IF(totales!E431="3"&amp;totales!H431="0"&amp;totales!I431="1"&amp;totales!J431="0","r",IF(totales!E431="4"&amp;totales!H431="0"&amp;totales!I431="1"&amp;totales!J431="0","s",IF(totales!E431="6"&amp;totales!H431="0"&amp;totales!I431="1"&amp;totales!J431="0","t",IF(totales!E431="1"&amp;totales!H431="2"&amp;totales!I431="1"&amp;totales!J431="0","u",IF(totales!E431="2"&amp;totales!H431="2"&amp;totales!I431="1"&amp;totales!J431="0","v",IF(totales!E431="3"&amp;totales!H431="2"&amp;totales!I431="1"&amp;totales!J431="0","w",IF(totales!E431="4"&amp;totales!H431="2"&amp;totales!I431="1"&amp;totales!J431="0","x",
IF(totales!E431="6"&amp;totales!H431="2"&amp;totales!I431="1"&amp;totales!J431="0","y",IF(totales!E431="1"&amp;totales!H431="1"&amp;totales!I431="1"&amp;totales!J431="0","z",IF(totales!E431="2"&amp;totales!H431="1"&amp;totales!I431="1"&amp;totales!J431="0","0",IF(totales!E431="3"&amp;totales!H431="1"&amp;totales!I431="1"&amp;totales!J431="0","1",IF(totales!E431="4"&amp;totales!H431="1"&amp;totales!I431="1"&amp;totales!J431="0","2",IF(totales!E431="6"&amp;totales!H431="1"&amp;totales!I431="1"&amp;totales!J431="0","3",IF(totales!E431="1"&amp;totales!H431="0"&amp;totales!I431="1"&amp;totales!J431="1","4",IF(totales!E431="2"&amp;totales!H431="0"&amp;totales!I431="1"&amp;totales!J431="1","5",IF(totales!E431="3"&amp;totales!H431="0"&amp;totales!I431="1"&amp;totales!J431="1","6",IF(totales!E431="4"&amp;totales!H431="0"&amp;totales!I431="1"&amp;totales!J431="1","7",IF(totales!E431="6"&amp;totales!H431="0"&amp;totales!I431="1"&amp;totales!J431="1","8",IF(totales!E431="1"&amp;totales!H431="1"&amp;totales!I431="0"&amp;totales!J431="1","9"))))))))))))))))))))))))))))))))))))</f>
        <v>0</v>
      </c>
    </row>
    <row r="431" spans="22:22">
      <c r="V431" s="102" t="b">
        <f>IF(totales!E432="1"&amp;totales!H432="0"&amp;totales!I432="0"&amp;totales!J432="0","a",IF(totales!E432="2"&amp;totales!H432="0"&amp;totales!I432="0"&amp;totales!J432="0","b",IF(totales!E432="3"&amp;totales!H432="0"&amp;totales!I432="0"&amp;totales!J432="0","c",IF(totales!E432="4"&amp;totales!H432="0"&amp;totales!I432="0"&amp;totales!J432="0","d",IF(totales!E432="6"&amp;totales!H432="0"&amp;totales!I432="0"&amp;totales!J432="0","e",IF(totales!E432="1"&amp;totales!H432="1"&amp;totales!I432="0"&amp;totales!J432="0","f",IF(totales!E432="2"&amp;totales!H432="1"&amp;totales!I432="0"&amp;totales!J432="0","g",IF(totales!E432="3"&amp;totales!H432="1"&amp;totales!I432="0"&amp;totales!J432="0","h",IF(totales!E432="4"&amp;totales!H432="1"&amp;totales!I432="0"&amp;totales!J432="0","i",IF(totales!E432="6"&amp;totales!H432="1"&amp;totales!I432="0"&amp;totales!J432="0","j",IF(totales!E432="1"&amp;totales!H432="2"&amp;totales!I432="0"&amp;totales!J432="0","k",IF(totales!E432="2"&amp;totales!H432="2"&amp;totales!I432="0"&amp;totales!J432="0","l",IF(totales!E432="3"&amp;totales!H432="2"&amp;totales!I432="0"&amp;totales!J432="0","m",
IF(totales!E432="4"&amp;totales!H432="2"&amp;totales!I432="0"&amp;totales!J432="0","n",IF(totales!E432="6"&amp;totales!H432="2"&amp;totales!I432="0"&amp;totales!J432="0","o",IF(totales!E432="1"&amp;totales!H432="0"&amp;totales!I432="1"&amp;totales!J432="0","p",IF(totales!E432="2"&amp;totales!H432="0"&amp;totales!I432="1"&amp;totales!J432="0","q",IF(totales!E432="3"&amp;totales!H432="0"&amp;totales!I432="1"&amp;totales!J432="0","r",IF(totales!E432="4"&amp;totales!H432="0"&amp;totales!I432="1"&amp;totales!J432="0","s",IF(totales!E432="6"&amp;totales!H432="0"&amp;totales!I432="1"&amp;totales!J432="0","t",IF(totales!E432="1"&amp;totales!H432="2"&amp;totales!I432="1"&amp;totales!J432="0","u",IF(totales!E432="2"&amp;totales!H432="2"&amp;totales!I432="1"&amp;totales!J432="0","v",IF(totales!E432="3"&amp;totales!H432="2"&amp;totales!I432="1"&amp;totales!J432="0","w",IF(totales!E432="4"&amp;totales!H432="2"&amp;totales!I432="1"&amp;totales!J432="0","x",
IF(totales!E432="6"&amp;totales!H432="2"&amp;totales!I432="1"&amp;totales!J432="0","y",IF(totales!E432="1"&amp;totales!H432="1"&amp;totales!I432="1"&amp;totales!J432="0","z",IF(totales!E432="2"&amp;totales!H432="1"&amp;totales!I432="1"&amp;totales!J432="0","0",IF(totales!E432="3"&amp;totales!H432="1"&amp;totales!I432="1"&amp;totales!J432="0","1",IF(totales!E432="4"&amp;totales!H432="1"&amp;totales!I432="1"&amp;totales!J432="0","2",IF(totales!E432="6"&amp;totales!H432="1"&amp;totales!I432="1"&amp;totales!J432="0","3",IF(totales!E432="1"&amp;totales!H432="0"&amp;totales!I432="1"&amp;totales!J432="1","4",IF(totales!E432="2"&amp;totales!H432="0"&amp;totales!I432="1"&amp;totales!J432="1","5",IF(totales!E432="3"&amp;totales!H432="0"&amp;totales!I432="1"&amp;totales!J432="1","6",IF(totales!E432="4"&amp;totales!H432="0"&amp;totales!I432="1"&amp;totales!J432="1","7",IF(totales!E432="6"&amp;totales!H432="0"&amp;totales!I432="1"&amp;totales!J432="1","8",IF(totales!E432="1"&amp;totales!H432="1"&amp;totales!I432="0"&amp;totales!J432="1","9"))))))))))))))))))))))))))))))))))))</f>
        <v>0</v>
      </c>
    </row>
    <row r="432" spans="22:22">
      <c r="V432" s="102" t="b">
        <f>IF(totales!E433="1"&amp;totales!H433="0"&amp;totales!I433="0"&amp;totales!J433="0","a",IF(totales!E433="2"&amp;totales!H433="0"&amp;totales!I433="0"&amp;totales!J433="0","b",IF(totales!E433="3"&amp;totales!H433="0"&amp;totales!I433="0"&amp;totales!J433="0","c",IF(totales!E433="4"&amp;totales!H433="0"&amp;totales!I433="0"&amp;totales!J433="0","d",IF(totales!E433="6"&amp;totales!H433="0"&amp;totales!I433="0"&amp;totales!J433="0","e",IF(totales!E433="1"&amp;totales!H433="1"&amp;totales!I433="0"&amp;totales!J433="0","f",IF(totales!E433="2"&amp;totales!H433="1"&amp;totales!I433="0"&amp;totales!J433="0","g",IF(totales!E433="3"&amp;totales!H433="1"&amp;totales!I433="0"&amp;totales!J433="0","h",IF(totales!E433="4"&amp;totales!H433="1"&amp;totales!I433="0"&amp;totales!J433="0","i",IF(totales!E433="6"&amp;totales!H433="1"&amp;totales!I433="0"&amp;totales!J433="0","j",IF(totales!E433="1"&amp;totales!H433="2"&amp;totales!I433="0"&amp;totales!J433="0","k",IF(totales!E433="2"&amp;totales!H433="2"&amp;totales!I433="0"&amp;totales!J433="0","l",IF(totales!E433="3"&amp;totales!H433="2"&amp;totales!I433="0"&amp;totales!J433="0","m",
IF(totales!E433="4"&amp;totales!H433="2"&amp;totales!I433="0"&amp;totales!J433="0","n",IF(totales!E433="6"&amp;totales!H433="2"&amp;totales!I433="0"&amp;totales!J433="0","o",IF(totales!E433="1"&amp;totales!H433="0"&amp;totales!I433="1"&amp;totales!J433="0","p",IF(totales!E433="2"&amp;totales!H433="0"&amp;totales!I433="1"&amp;totales!J433="0","q",IF(totales!E433="3"&amp;totales!H433="0"&amp;totales!I433="1"&amp;totales!J433="0","r",IF(totales!E433="4"&amp;totales!H433="0"&amp;totales!I433="1"&amp;totales!J433="0","s",IF(totales!E433="6"&amp;totales!H433="0"&amp;totales!I433="1"&amp;totales!J433="0","t",IF(totales!E433="1"&amp;totales!H433="2"&amp;totales!I433="1"&amp;totales!J433="0","u",IF(totales!E433="2"&amp;totales!H433="2"&amp;totales!I433="1"&amp;totales!J433="0","v",IF(totales!E433="3"&amp;totales!H433="2"&amp;totales!I433="1"&amp;totales!J433="0","w",IF(totales!E433="4"&amp;totales!H433="2"&amp;totales!I433="1"&amp;totales!J433="0","x",
IF(totales!E433="6"&amp;totales!H433="2"&amp;totales!I433="1"&amp;totales!J433="0","y",IF(totales!E433="1"&amp;totales!H433="1"&amp;totales!I433="1"&amp;totales!J433="0","z",IF(totales!E433="2"&amp;totales!H433="1"&amp;totales!I433="1"&amp;totales!J433="0","0",IF(totales!E433="3"&amp;totales!H433="1"&amp;totales!I433="1"&amp;totales!J433="0","1",IF(totales!E433="4"&amp;totales!H433="1"&amp;totales!I433="1"&amp;totales!J433="0","2",IF(totales!E433="6"&amp;totales!H433="1"&amp;totales!I433="1"&amp;totales!J433="0","3",IF(totales!E433="1"&amp;totales!H433="0"&amp;totales!I433="1"&amp;totales!J433="1","4",IF(totales!E433="2"&amp;totales!H433="0"&amp;totales!I433="1"&amp;totales!J433="1","5",IF(totales!E433="3"&amp;totales!H433="0"&amp;totales!I433="1"&amp;totales!J433="1","6",IF(totales!E433="4"&amp;totales!H433="0"&amp;totales!I433="1"&amp;totales!J433="1","7",IF(totales!E433="6"&amp;totales!H433="0"&amp;totales!I433="1"&amp;totales!J433="1","8",IF(totales!E433="1"&amp;totales!H433="1"&amp;totales!I433="0"&amp;totales!J433="1","9"))))))))))))))))))))))))))))))))))))</f>
        <v>0</v>
      </c>
    </row>
    <row r="433" spans="22:22">
      <c r="V433" s="102" t="b">
        <f>IF(totales!E434="1"&amp;totales!H434="0"&amp;totales!I434="0"&amp;totales!J434="0","a",IF(totales!E434="2"&amp;totales!H434="0"&amp;totales!I434="0"&amp;totales!J434="0","b",IF(totales!E434="3"&amp;totales!H434="0"&amp;totales!I434="0"&amp;totales!J434="0","c",IF(totales!E434="4"&amp;totales!H434="0"&amp;totales!I434="0"&amp;totales!J434="0","d",IF(totales!E434="6"&amp;totales!H434="0"&amp;totales!I434="0"&amp;totales!J434="0","e",IF(totales!E434="1"&amp;totales!H434="1"&amp;totales!I434="0"&amp;totales!J434="0","f",IF(totales!E434="2"&amp;totales!H434="1"&amp;totales!I434="0"&amp;totales!J434="0","g",IF(totales!E434="3"&amp;totales!H434="1"&amp;totales!I434="0"&amp;totales!J434="0","h",IF(totales!E434="4"&amp;totales!H434="1"&amp;totales!I434="0"&amp;totales!J434="0","i",IF(totales!E434="6"&amp;totales!H434="1"&amp;totales!I434="0"&amp;totales!J434="0","j",IF(totales!E434="1"&amp;totales!H434="2"&amp;totales!I434="0"&amp;totales!J434="0","k",IF(totales!E434="2"&amp;totales!H434="2"&amp;totales!I434="0"&amp;totales!J434="0","l",IF(totales!E434="3"&amp;totales!H434="2"&amp;totales!I434="0"&amp;totales!J434="0","m",
IF(totales!E434="4"&amp;totales!H434="2"&amp;totales!I434="0"&amp;totales!J434="0","n",IF(totales!E434="6"&amp;totales!H434="2"&amp;totales!I434="0"&amp;totales!J434="0","o",IF(totales!E434="1"&amp;totales!H434="0"&amp;totales!I434="1"&amp;totales!J434="0","p",IF(totales!E434="2"&amp;totales!H434="0"&amp;totales!I434="1"&amp;totales!J434="0","q",IF(totales!E434="3"&amp;totales!H434="0"&amp;totales!I434="1"&amp;totales!J434="0","r",IF(totales!E434="4"&amp;totales!H434="0"&amp;totales!I434="1"&amp;totales!J434="0","s",IF(totales!E434="6"&amp;totales!H434="0"&amp;totales!I434="1"&amp;totales!J434="0","t",IF(totales!E434="1"&amp;totales!H434="2"&amp;totales!I434="1"&amp;totales!J434="0","u",IF(totales!E434="2"&amp;totales!H434="2"&amp;totales!I434="1"&amp;totales!J434="0","v",IF(totales!E434="3"&amp;totales!H434="2"&amp;totales!I434="1"&amp;totales!J434="0","w",IF(totales!E434="4"&amp;totales!H434="2"&amp;totales!I434="1"&amp;totales!J434="0","x",
IF(totales!E434="6"&amp;totales!H434="2"&amp;totales!I434="1"&amp;totales!J434="0","y",IF(totales!E434="1"&amp;totales!H434="1"&amp;totales!I434="1"&amp;totales!J434="0","z",IF(totales!E434="2"&amp;totales!H434="1"&amp;totales!I434="1"&amp;totales!J434="0","0",IF(totales!E434="3"&amp;totales!H434="1"&amp;totales!I434="1"&amp;totales!J434="0","1",IF(totales!E434="4"&amp;totales!H434="1"&amp;totales!I434="1"&amp;totales!J434="0","2",IF(totales!E434="6"&amp;totales!H434="1"&amp;totales!I434="1"&amp;totales!J434="0","3",IF(totales!E434="1"&amp;totales!H434="0"&amp;totales!I434="1"&amp;totales!J434="1","4",IF(totales!E434="2"&amp;totales!H434="0"&amp;totales!I434="1"&amp;totales!J434="1","5",IF(totales!E434="3"&amp;totales!H434="0"&amp;totales!I434="1"&amp;totales!J434="1","6",IF(totales!E434="4"&amp;totales!H434="0"&amp;totales!I434="1"&amp;totales!J434="1","7",IF(totales!E434="6"&amp;totales!H434="0"&amp;totales!I434="1"&amp;totales!J434="1","8",IF(totales!E434="1"&amp;totales!H434="1"&amp;totales!I434="0"&amp;totales!J434="1","9"))))))))))))))))))))))))))))))))))))</f>
        <v>0</v>
      </c>
    </row>
    <row r="434" spans="22:22">
      <c r="V434" s="102" t="b">
        <f>IF(totales!E435="1"&amp;totales!H435="0"&amp;totales!I435="0"&amp;totales!J435="0","a",IF(totales!E435="2"&amp;totales!H435="0"&amp;totales!I435="0"&amp;totales!J435="0","b",IF(totales!E435="3"&amp;totales!H435="0"&amp;totales!I435="0"&amp;totales!J435="0","c",IF(totales!E435="4"&amp;totales!H435="0"&amp;totales!I435="0"&amp;totales!J435="0","d",IF(totales!E435="6"&amp;totales!H435="0"&amp;totales!I435="0"&amp;totales!J435="0","e",IF(totales!E435="1"&amp;totales!H435="1"&amp;totales!I435="0"&amp;totales!J435="0","f",IF(totales!E435="2"&amp;totales!H435="1"&amp;totales!I435="0"&amp;totales!J435="0","g",IF(totales!E435="3"&amp;totales!H435="1"&amp;totales!I435="0"&amp;totales!J435="0","h",IF(totales!E435="4"&amp;totales!H435="1"&amp;totales!I435="0"&amp;totales!J435="0","i",IF(totales!E435="6"&amp;totales!H435="1"&amp;totales!I435="0"&amp;totales!J435="0","j",IF(totales!E435="1"&amp;totales!H435="2"&amp;totales!I435="0"&amp;totales!J435="0","k",IF(totales!E435="2"&amp;totales!H435="2"&amp;totales!I435="0"&amp;totales!J435="0","l",IF(totales!E435="3"&amp;totales!H435="2"&amp;totales!I435="0"&amp;totales!J435="0","m",
IF(totales!E435="4"&amp;totales!H435="2"&amp;totales!I435="0"&amp;totales!J435="0","n",IF(totales!E435="6"&amp;totales!H435="2"&amp;totales!I435="0"&amp;totales!J435="0","o",IF(totales!E435="1"&amp;totales!H435="0"&amp;totales!I435="1"&amp;totales!J435="0","p",IF(totales!E435="2"&amp;totales!H435="0"&amp;totales!I435="1"&amp;totales!J435="0","q",IF(totales!E435="3"&amp;totales!H435="0"&amp;totales!I435="1"&amp;totales!J435="0","r",IF(totales!E435="4"&amp;totales!H435="0"&amp;totales!I435="1"&amp;totales!J435="0","s",IF(totales!E435="6"&amp;totales!H435="0"&amp;totales!I435="1"&amp;totales!J435="0","t",IF(totales!E435="1"&amp;totales!H435="2"&amp;totales!I435="1"&amp;totales!J435="0","u",IF(totales!E435="2"&amp;totales!H435="2"&amp;totales!I435="1"&amp;totales!J435="0","v",IF(totales!E435="3"&amp;totales!H435="2"&amp;totales!I435="1"&amp;totales!J435="0","w",IF(totales!E435="4"&amp;totales!H435="2"&amp;totales!I435="1"&amp;totales!J435="0","x",
IF(totales!E435="6"&amp;totales!H435="2"&amp;totales!I435="1"&amp;totales!J435="0","y",IF(totales!E435="1"&amp;totales!H435="1"&amp;totales!I435="1"&amp;totales!J435="0","z",IF(totales!E435="2"&amp;totales!H435="1"&amp;totales!I435="1"&amp;totales!J435="0","0",IF(totales!E435="3"&amp;totales!H435="1"&amp;totales!I435="1"&amp;totales!J435="0","1",IF(totales!E435="4"&amp;totales!H435="1"&amp;totales!I435="1"&amp;totales!J435="0","2",IF(totales!E435="6"&amp;totales!H435="1"&amp;totales!I435="1"&amp;totales!J435="0","3",IF(totales!E435="1"&amp;totales!H435="0"&amp;totales!I435="1"&amp;totales!J435="1","4",IF(totales!E435="2"&amp;totales!H435="0"&amp;totales!I435="1"&amp;totales!J435="1","5",IF(totales!E435="3"&amp;totales!H435="0"&amp;totales!I435="1"&amp;totales!J435="1","6",IF(totales!E435="4"&amp;totales!H435="0"&amp;totales!I435="1"&amp;totales!J435="1","7",IF(totales!E435="6"&amp;totales!H435="0"&amp;totales!I435="1"&amp;totales!J435="1","8",IF(totales!E435="1"&amp;totales!H435="1"&amp;totales!I435="0"&amp;totales!J435="1","9"))))))))))))))))))))))))))))))))))))</f>
        <v>0</v>
      </c>
    </row>
    <row r="435" spans="22:22">
      <c r="V435" s="102" t="b">
        <f>IF(totales!E436="1"&amp;totales!H436="0"&amp;totales!I436="0"&amp;totales!J436="0","a",IF(totales!E436="2"&amp;totales!H436="0"&amp;totales!I436="0"&amp;totales!J436="0","b",IF(totales!E436="3"&amp;totales!H436="0"&amp;totales!I436="0"&amp;totales!J436="0","c",IF(totales!E436="4"&amp;totales!H436="0"&amp;totales!I436="0"&amp;totales!J436="0","d",IF(totales!E436="6"&amp;totales!H436="0"&amp;totales!I436="0"&amp;totales!J436="0","e",IF(totales!E436="1"&amp;totales!H436="1"&amp;totales!I436="0"&amp;totales!J436="0","f",IF(totales!E436="2"&amp;totales!H436="1"&amp;totales!I436="0"&amp;totales!J436="0","g",IF(totales!E436="3"&amp;totales!H436="1"&amp;totales!I436="0"&amp;totales!J436="0","h",IF(totales!E436="4"&amp;totales!H436="1"&amp;totales!I436="0"&amp;totales!J436="0","i",IF(totales!E436="6"&amp;totales!H436="1"&amp;totales!I436="0"&amp;totales!J436="0","j",IF(totales!E436="1"&amp;totales!H436="2"&amp;totales!I436="0"&amp;totales!J436="0","k",IF(totales!E436="2"&amp;totales!H436="2"&amp;totales!I436="0"&amp;totales!J436="0","l",IF(totales!E436="3"&amp;totales!H436="2"&amp;totales!I436="0"&amp;totales!J436="0","m",
IF(totales!E436="4"&amp;totales!H436="2"&amp;totales!I436="0"&amp;totales!J436="0","n",IF(totales!E436="6"&amp;totales!H436="2"&amp;totales!I436="0"&amp;totales!J436="0","o",IF(totales!E436="1"&amp;totales!H436="0"&amp;totales!I436="1"&amp;totales!J436="0","p",IF(totales!E436="2"&amp;totales!H436="0"&amp;totales!I436="1"&amp;totales!J436="0","q",IF(totales!E436="3"&amp;totales!H436="0"&amp;totales!I436="1"&amp;totales!J436="0","r",IF(totales!E436="4"&amp;totales!H436="0"&amp;totales!I436="1"&amp;totales!J436="0","s",IF(totales!E436="6"&amp;totales!H436="0"&amp;totales!I436="1"&amp;totales!J436="0","t",IF(totales!E436="1"&amp;totales!H436="2"&amp;totales!I436="1"&amp;totales!J436="0","u",IF(totales!E436="2"&amp;totales!H436="2"&amp;totales!I436="1"&amp;totales!J436="0","v",IF(totales!E436="3"&amp;totales!H436="2"&amp;totales!I436="1"&amp;totales!J436="0","w",IF(totales!E436="4"&amp;totales!H436="2"&amp;totales!I436="1"&amp;totales!J436="0","x",
IF(totales!E436="6"&amp;totales!H436="2"&amp;totales!I436="1"&amp;totales!J436="0","y",IF(totales!E436="1"&amp;totales!H436="1"&amp;totales!I436="1"&amp;totales!J436="0","z",IF(totales!E436="2"&amp;totales!H436="1"&amp;totales!I436="1"&amp;totales!J436="0","0",IF(totales!E436="3"&amp;totales!H436="1"&amp;totales!I436="1"&amp;totales!J436="0","1",IF(totales!E436="4"&amp;totales!H436="1"&amp;totales!I436="1"&amp;totales!J436="0","2",IF(totales!E436="6"&amp;totales!H436="1"&amp;totales!I436="1"&amp;totales!J436="0","3",IF(totales!E436="1"&amp;totales!H436="0"&amp;totales!I436="1"&amp;totales!J436="1","4",IF(totales!E436="2"&amp;totales!H436="0"&amp;totales!I436="1"&amp;totales!J436="1","5",IF(totales!E436="3"&amp;totales!H436="0"&amp;totales!I436="1"&amp;totales!J436="1","6",IF(totales!E436="4"&amp;totales!H436="0"&amp;totales!I436="1"&amp;totales!J436="1","7",IF(totales!E436="6"&amp;totales!H436="0"&amp;totales!I436="1"&amp;totales!J436="1","8",IF(totales!E436="1"&amp;totales!H436="1"&amp;totales!I436="0"&amp;totales!J436="1","9"))))))))))))))))))))))))))))))))))))</f>
        <v>0</v>
      </c>
    </row>
    <row r="436" spans="22:22">
      <c r="V436" s="102" t="b">
        <f>IF(totales!E437="1"&amp;totales!H437="0"&amp;totales!I437="0"&amp;totales!J437="0","a",IF(totales!E437="2"&amp;totales!H437="0"&amp;totales!I437="0"&amp;totales!J437="0","b",IF(totales!E437="3"&amp;totales!H437="0"&amp;totales!I437="0"&amp;totales!J437="0","c",IF(totales!E437="4"&amp;totales!H437="0"&amp;totales!I437="0"&amp;totales!J437="0","d",IF(totales!E437="6"&amp;totales!H437="0"&amp;totales!I437="0"&amp;totales!J437="0","e",IF(totales!E437="1"&amp;totales!H437="1"&amp;totales!I437="0"&amp;totales!J437="0","f",IF(totales!E437="2"&amp;totales!H437="1"&amp;totales!I437="0"&amp;totales!J437="0","g",IF(totales!E437="3"&amp;totales!H437="1"&amp;totales!I437="0"&amp;totales!J437="0","h",IF(totales!E437="4"&amp;totales!H437="1"&amp;totales!I437="0"&amp;totales!J437="0","i",IF(totales!E437="6"&amp;totales!H437="1"&amp;totales!I437="0"&amp;totales!J437="0","j",IF(totales!E437="1"&amp;totales!H437="2"&amp;totales!I437="0"&amp;totales!J437="0","k",IF(totales!E437="2"&amp;totales!H437="2"&amp;totales!I437="0"&amp;totales!J437="0","l",IF(totales!E437="3"&amp;totales!H437="2"&amp;totales!I437="0"&amp;totales!J437="0","m",
IF(totales!E437="4"&amp;totales!H437="2"&amp;totales!I437="0"&amp;totales!J437="0","n",IF(totales!E437="6"&amp;totales!H437="2"&amp;totales!I437="0"&amp;totales!J437="0","o",IF(totales!E437="1"&amp;totales!H437="0"&amp;totales!I437="1"&amp;totales!J437="0","p",IF(totales!E437="2"&amp;totales!H437="0"&amp;totales!I437="1"&amp;totales!J437="0","q",IF(totales!E437="3"&amp;totales!H437="0"&amp;totales!I437="1"&amp;totales!J437="0","r",IF(totales!E437="4"&amp;totales!H437="0"&amp;totales!I437="1"&amp;totales!J437="0","s",IF(totales!E437="6"&amp;totales!H437="0"&amp;totales!I437="1"&amp;totales!J437="0","t",IF(totales!E437="1"&amp;totales!H437="2"&amp;totales!I437="1"&amp;totales!J437="0","u",IF(totales!E437="2"&amp;totales!H437="2"&amp;totales!I437="1"&amp;totales!J437="0","v",IF(totales!E437="3"&amp;totales!H437="2"&amp;totales!I437="1"&amp;totales!J437="0","w",IF(totales!E437="4"&amp;totales!H437="2"&amp;totales!I437="1"&amp;totales!J437="0","x",
IF(totales!E437="6"&amp;totales!H437="2"&amp;totales!I437="1"&amp;totales!J437="0","y",IF(totales!E437="1"&amp;totales!H437="1"&amp;totales!I437="1"&amp;totales!J437="0","z",IF(totales!E437="2"&amp;totales!H437="1"&amp;totales!I437="1"&amp;totales!J437="0","0",IF(totales!E437="3"&amp;totales!H437="1"&amp;totales!I437="1"&amp;totales!J437="0","1",IF(totales!E437="4"&amp;totales!H437="1"&amp;totales!I437="1"&amp;totales!J437="0","2",IF(totales!E437="6"&amp;totales!H437="1"&amp;totales!I437="1"&amp;totales!J437="0","3",IF(totales!E437="1"&amp;totales!H437="0"&amp;totales!I437="1"&amp;totales!J437="1","4",IF(totales!E437="2"&amp;totales!H437="0"&amp;totales!I437="1"&amp;totales!J437="1","5",IF(totales!E437="3"&amp;totales!H437="0"&amp;totales!I437="1"&amp;totales!J437="1","6",IF(totales!E437="4"&amp;totales!H437="0"&amp;totales!I437="1"&amp;totales!J437="1","7",IF(totales!E437="6"&amp;totales!H437="0"&amp;totales!I437="1"&amp;totales!J437="1","8",IF(totales!E437="1"&amp;totales!H437="1"&amp;totales!I437="0"&amp;totales!J437="1","9"))))))))))))))))))))))))))))))))))))</f>
        <v>0</v>
      </c>
    </row>
    <row r="437" spans="22:22">
      <c r="V437" s="102" t="b">
        <f>IF(totales!E438="1"&amp;totales!H438="0"&amp;totales!I438="0"&amp;totales!J438="0","a",IF(totales!E438="2"&amp;totales!H438="0"&amp;totales!I438="0"&amp;totales!J438="0","b",IF(totales!E438="3"&amp;totales!H438="0"&amp;totales!I438="0"&amp;totales!J438="0","c",IF(totales!E438="4"&amp;totales!H438="0"&amp;totales!I438="0"&amp;totales!J438="0","d",IF(totales!E438="6"&amp;totales!H438="0"&amp;totales!I438="0"&amp;totales!J438="0","e",IF(totales!E438="1"&amp;totales!H438="1"&amp;totales!I438="0"&amp;totales!J438="0","f",IF(totales!E438="2"&amp;totales!H438="1"&amp;totales!I438="0"&amp;totales!J438="0","g",IF(totales!E438="3"&amp;totales!H438="1"&amp;totales!I438="0"&amp;totales!J438="0","h",IF(totales!E438="4"&amp;totales!H438="1"&amp;totales!I438="0"&amp;totales!J438="0","i",IF(totales!E438="6"&amp;totales!H438="1"&amp;totales!I438="0"&amp;totales!J438="0","j",IF(totales!E438="1"&amp;totales!H438="2"&amp;totales!I438="0"&amp;totales!J438="0","k",IF(totales!E438="2"&amp;totales!H438="2"&amp;totales!I438="0"&amp;totales!J438="0","l",IF(totales!E438="3"&amp;totales!H438="2"&amp;totales!I438="0"&amp;totales!J438="0","m",
IF(totales!E438="4"&amp;totales!H438="2"&amp;totales!I438="0"&amp;totales!J438="0","n",IF(totales!E438="6"&amp;totales!H438="2"&amp;totales!I438="0"&amp;totales!J438="0","o",IF(totales!E438="1"&amp;totales!H438="0"&amp;totales!I438="1"&amp;totales!J438="0","p",IF(totales!E438="2"&amp;totales!H438="0"&amp;totales!I438="1"&amp;totales!J438="0","q",IF(totales!E438="3"&amp;totales!H438="0"&amp;totales!I438="1"&amp;totales!J438="0","r",IF(totales!E438="4"&amp;totales!H438="0"&amp;totales!I438="1"&amp;totales!J438="0","s",IF(totales!E438="6"&amp;totales!H438="0"&amp;totales!I438="1"&amp;totales!J438="0","t",IF(totales!E438="1"&amp;totales!H438="2"&amp;totales!I438="1"&amp;totales!J438="0","u",IF(totales!E438="2"&amp;totales!H438="2"&amp;totales!I438="1"&amp;totales!J438="0","v",IF(totales!E438="3"&amp;totales!H438="2"&amp;totales!I438="1"&amp;totales!J438="0","w",IF(totales!E438="4"&amp;totales!H438="2"&amp;totales!I438="1"&amp;totales!J438="0","x",
IF(totales!E438="6"&amp;totales!H438="2"&amp;totales!I438="1"&amp;totales!J438="0","y",IF(totales!E438="1"&amp;totales!H438="1"&amp;totales!I438="1"&amp;totales!J438="0","z",IF(totales!E438="2"&amp;totales!H438="1"&amp;totales!I438="1"&amp;totales!J438="0","0",IF(totales!E438="3"&amp;totales!H438="1"&amp;totales!I438="1"&amp;totales!J438="0","1",IF(totales!E438="4"&amp;totales!H438="1"&amp;totales!I438="1"&amp;totales!J438="0","2",IF(totales!E438="6"&amp;totales!H438="1"&amp;totales!I438="1"&amp;totales!J438="0","3",IF(totales!E438="1"&amp;totales!H438="0"&amp;totales!I438="1"&amp;totales!J438="1","4",IF(totales!E438="2"&amp;totales!H438="0"&amp;totales!I438="1"&amp;totales!J438="1","5",IF(totales!E438="3"&amp;totales!H438="0"&amp;totales!I438="1"&amp;totales!J438="1","6",IF(totales!E438="4"&amp;totales!H438="0"&amp;totales!I438="1"&amp;totales!J438="1","7",IF(totales!E438="6"&amp;totales!H438="0"&amp;totales!I438="1"&amp;totales!J438="1","8",IF(totales!E438="1"&amp;totales!H438="1"&amp;totales!I438="0"&amp;totales!J438="1","9"))))))))))))))))))))))))))))))))))))</f>
        <v>0</v>
      </c>
    </row>
    <row r="438" spans="22:22">
      <c r="V438" s="102" t="b">
        <f>IF(totales!E439="1"&amp;totales!H439="0"&amp;totales!I439="0"&amp;totales!J439="0","a",IF(totales!E439="2"&amp;totales!H439="0"&amp;totales!I439="0"&amp;totales!J439="0","b",IF(totales!E439="3"&amp;totales!H439="0"&amp;totales!I439="0"&amp;totales!J439="0","c",IF(totales!E439="4"&amp;totales!H439="0"&amp;totales!I439="0"&amp;totales!J439="0","d",IF(totales!E439="6"&amp;totales!H439="0"&amp;totales!I439="0"&amp;totales!J439="0","e",IF(totales!E439="1"&amp;totales!H439="1"&amp;totales!I439="0"&amp;totales!J439="0","f",IF(totales!E439="2"&amp;totales!H439="1"&amp;totales!I439="0"&amp;totales!J439="0","g",IF(totales!E439="3"&amp;totales!H439="1"&amp;totales!I439="0"&amp;totales!J439="0","h",IF(totales!E439="4"&amp;totales!H439="1"&amp;totales!I439="0"&amp;totales!J439="0","i",IF(totales!E439="6"&amp;totales!H439="1"&amp;totales!I439="0"&amp;totales!J439="0","j",IF(totales!E439="1"&amp;totales!H439="2"&amp;totales!I439="0"&amp;totales!J439="0","k",IF(totales!E439="2"&amp;totales!H439="2"&amp;totales!I439="0"&amp;totales!J439="0","l",IF(totales!E439="3"&amp;totales!H439="2"&amp;totales!I439="0"&amp;totales!J439="0","m",
IF(totales!E439="4"&amp;totales!H439="2"&amp;totales!I439="0"&amp;totales!J439="0","n",IF(totales!E439="6"&amp;totales!H439="2"&amp;totales!I439="0"&amp;totales!J439="0","o",IF(totales!E439="1"&amp;totales!H439="0"&amp;totales!I439="1"&amp;totales!J439="0","p",IF(totales!E439="2"&amp;totales!H439="0"&amp;totales!I439="1"&amp;totales!J439="0","q",IF(totales!E439="3"&amp;totales!H439="0"&amp;totales!I439="1"&amp;totales!J439="0","r",IF(totales!E439="4"&amp;totales!H439="0"&amp;totales!I439="1"&amp;totales!J439="0","s",IF(totales!E439="6"&amp;totales!H439="0"&amp;totales!I439="1"&amp;totales!J439="0","t",IF(totales!E439="1"&amp;totales!H439="2"&amp;totales!I439="1"&amp;totales!J439="0","u",IF(totales!E439="2"&amp;totales!H439="2"&amp;totales!I439="1"&amp;totales!J439="0","v",IF(totales!E439="3"&amp;totales!H439="2"&amp;totales!I439="1"&amp;totales!J439="0","w",IF(totales!E439="4"&amp;totales!H439="2"&amp;totales!I439="1"&amp;totales!J439="0","x",
IF(totales!E439="6"&amp;totales!H439="2"&amp;totales!I439="1"&amp;totales!J439="0","y",IF(totales!E439="1"&amp;totales!H439="1"&amp;totales!I439="1"&amp;totales!J439="0","z",IF(totales!E439="2"&amp;totales!H439="1"&amp;totales!I439="1"&amp;totales!J439="0","0",IF(totales!E439="3"&amp;totales!H439="1"&amp;totales!I439="1"&amp;totales!J439="0","1",IF(totales!E439="4"&amp;totales!H439="1"&amp;totales!I439="1"&amp;totales!J439="0","2",IF(totales!E439="6"&amp;totales!H439="1"&amp;totales!I439="1"&amp;totales!J439="0","3",IF(totales!E439="1"&amp;totales!H439="0"&amp;totales!I439="1"&amp;totales!J439="1","4",IF(totales!E439="2"&amp;totales!H439="0"&amp;totales!I439="1"&amp;totales!J439="1","5",IF(totales!E439="3"&amp;totales!H439="0"&amp;totales!I439="1"&amp;totales!J439="1","6",IF(totales!E439="4"&amp;totales!H439="0"&amp;totales!I439="1"&amp;totales!J439="1","7",IF(totales!E439="6"&amp;totales!H439="0"&amp;totales!I439="1"&amp;totales!J439="1","8",IF(totales!E439="1"&amp;totales!H439="1"&amp;totales!I439="0"&amp;totales!J439="1","9"))))))))))))))))))))))))))))))))))))</f>
        <v>0</v>
      </c>
    </row>
    <row r="439" spans="22:22">
      <c r="V439" s="102" t="b">
        <f>IF(totales!E440="1"&amp;totales!H440="0"&amp;totales!I440="0"&amp;totales!J440="0","a",IF(totales!E440="2"&amp;totales!H440="0"&amp;totales!I440="0"&amp;totales!J440="0","b",IF(totales!E440="3"&amp;totales!H440="0"&amp;totales!I440="0"&amp;totales!J440="0","c",IF(totales!E440="4"&amp;totales!H440="0"&amp;totales!I440="0"&amp;totales!J440="0","d",IF(totales!E440="6"&amp;totales!H440="0"&amp;totales!I440="0"&amp;totales!J440="0","e",IF(totales!E440="1"&amp;totales!H440="1"&amp;totales!I440="0"&amp;totales!J440="0","f",IF(totales!E440="2"&amp;totales!H440="1"&amp;totales!I440="0"&amp;totales!J440="0","g",IF(totales!E440="3"&amp;totales!H440="1"&amp;totales!I440="0"&amp;totales!J440="0","h",IF(totales!E440="4"&amp;totales!H440="1"&amp;totales!I440="0"&amp;totales!J440="0","i",IF(totales!E440="6"&amp;totales!H440="1"&amp;totales!I440="0"&amp;totales!J440="0","j",IF(totales!E440="1"&amp;totales!H440="2"&amp;totales!I440="0"&amp;totales!J440="0","k",IF(totales!E440="2"&amp;totales!H440="2"&amp;totales!I440="0"&amp;totales!J440="0","l",IF(totales!E440="3"&amp;totales!H440="2"&amp;totales!I440="0"&amp;totales!J440="0","m",
IF(totales!E440="4"&amp;totales!H440="2"&amp;totales!I440="0"&amp;totales!J440="0","n",IF(totales!E440="6"&amp;totales!H440="2"&amp;totales!I440="0"&amp;totales!J440="0","o",IF(totales!E440="1"&amp;totales!H440="0"&amp;totales!I440="1"&amp;totales!J440="0","p",IF(totales!E440="2"&amp;totales!H440="0"&amp;totales!I440="1"&amp;totales!J440="0","q",IF(totales!E440="3"&amp;totales!H440="0"&amp;totales!I440="1"&amp;totales!J440="0","r",IF(totales!E440="4"&amp;totales!H440="0"&amp;totales!I440="1"&amp;totales!J440="0","s",IF(totales!E440="6"&amp;totales!H440="0"&amp;totales!I440="1"&amp;totales!J440="0","t",IF(totales!E440="1"&amp;totales!H440="2"&amp;totales!I440="1"&amp;totales!J440="0","u",IF(totales!E440="2"&amp;totales!H440="2"&amp;totales!I440="1"&amp;totales!J440="0","v",IF(totales!E440="3"&amp;totales!H440="2"&amp;totales!I440="1"&amp;totales!J440="0","w",IF(totales!E440="4"&amp;totales!H440="2"&amp;totales!I440="1"&amp;totales!J440="0","x",
IF(totales!E440="6"&amp;totales!H440="2"&amp;totales!I440="1"&amp;totales!J440="0","y",IF(totales!E440="1"&amp;totales!H440="1"&amp;totales!I440="1"&amp;totales!J440="0","z",IF(totales!E440="2"&amp;totales!H440="1"&amp;totales!I440="1"&amp;totales!J440="0","0",IF(totales!E440="3"&amp;totales!H440="1"&amp;totales!I440="1"&amp;totales!J440="0","1",IF(totales!E440="4"&amp;totales!H440="1"&amp;totales!I440="1"&amp;totales!J440="0","2",IF(totales!E440="6"&amp;totales!H440="1"&amp;totales!I440="1"&amp;totales!J440="0","3",IF(totales!E440="1"&amp;totales!H440="0"&amp;totales!I440="1"&amp;totales!J440="1","4",IF(totales!E440="2"&amp;totales!H440="0"&amp;totales!I440="1"&amp;totales!J440="1","5",IF(totales!E440="3"&amp;totales!H440="0"&amp;totales!I440="1"&amp;totales!J440="1","6",IF(totales!E440="4"&amp;totales!H440="0"&amp;totales!I440="1"&amp;totales!J440="1","7",IF(totales!E440="6"&amp;totales!H440="0"&amp;totales!I440="1"&amp;totales!J440="1","8",IF(totales!E440="1"&amp;totales!H440="1"&amp;totales!I440="0"&amp;totales!J440="1","9"))))))))))))))))))))))))))))))))))))</f>
        <v>0</v>
      </c>
    </row>
    <row r="440" spans="22:22">
      <c r="V440" s="102" t="b">
        <f>IF(totales!E441="1"&amp;totales!H441="0"&amp;totales!I441="0"&amp;totales!J441="0","a",IF(totales!E441="2"&amp;totales!H441="0"&amp;totales!I441="0"&amp;totales!J441="0","b",IF(totales!E441="3"&amp;totales!H441="0"&amp;totales!I441="0"&amp;totales!J441="0","c",IF(totales!E441="4"&amp;totales!H441="0"&amp;totales!I441="0"&amp;totales!J441="0","d",IF(totales!E441="6"&amp;totales!H441="0"&amp;totales!I441="0"&amp;totales!J441="0","e",IF(totales!E441="1"&amp;totales!H441="1"&amp;totales!I441="0"&amp;totales!J441="0","f",IF(totales!E441="2"&amp;totales!H441="1"&amp;totales!I441="0"&amp;totales!J441="0","g",IF(totales!E441="3"&amp;totales!H441="1"&amp;totales!I441="0"&amp;totales!J441="0","h",IF(totales!E441="4"&amp;totales!H441="1"&amp;totales!I441="0"&amp;totales!J441="0","i",IF(totales!E441="6"&amp;totales!H441="1"&amp;totales!I441="0"&amp;totales!J441="0","j",IF(totales!E441="1"&amp;totales!H441="2"&amp;totales!I441="0"&amp;totales!J441="0","k",IF(totales!E441="2"&amp;totales!H441="2"&amp;totales!I441="0"&amp;totales!J441="0","l",IF(totales!E441="3"&amp;totales!H441="2"&amp;totales!I441="0"&amp;totales!J441="0","m",
IF(totales!E441="4"&amp;totales!H441="2"&amp;totales!I441="0"&amp;totales!J441="0","n",IF(totales!E441="6"&amp;totales!H441="2"&amp;totales!I441="0"&amp;totales!J441="0","o",IF(totales!E441="1"&amp;totales!H441="0"&amp;totales!I441="1"&amp;totales!J441="0","p",IF(totales!E441="2"&amp;totales!H441="0"&amp;totales!I441="1"&amp;totales!J441="0","q",IF(totales!E441="3"&amp;totales!H441="0"&amp;totales!I441="1"&amp;totales!J441="0","r",IF(totales!E441="4"&amp;totales!H441="0"&amp;totales!I441="1"&amp;totales!J441="0","s",IF(totales!E441="6"&amp;totales!H441="0"&amp;totales!I441="1"&amp;totales!J441="0","t",IF(totales!E441="1"&amp;totales!H441="2"&amp;totales!I441="1"&amp;totales!J441="0","u",IF(totales!E441="2"&amp;totales!H441="2"&amp;totales!I441="1"&amp;totales!J441="0","v",IF(totales!E441="3"&amp;totales!H441="2"&amp;totales!I441="1"&amp;totales!J441="0","w",IF(totales!E441="4"&amp;totales!H441="2"&amp;totales!I441="1"&amp;totales!J441="0","x",
IF(totales!E441="6"&amp;totales!H441="2"&amp;totales!I441="1"&amp;totales!J441="0","y",IF(totales!E441="1"&amp;totales!H441="1"&amp;totales!I441="1"&amp;totales!J441="0","z",IF(totales!E441="2"&amp;totales!H441="1"&amp;totales!I441="1"&amp;totales!J441="0","0",IF(totales!E441="3"&amp;totales!H441="1"&amp;totales!I441="1"&amp;totales!J441="0","1",IF(totales!E441="4"&amp;totales!H441="1"&amp;totales!I441="1"&amp;totales!J441="0","2",IF(totales!E441="6"&amp;totales!H441="1"&amp;totales!I441="1"&amp;totales!J441="0","3",IF(totales!E441="1"&amp;totales!H441="0"&amp;totales!I441="1"&amp;totales!J441="1","4",IF(totales!E441="2"&amp;totales!H441="0"&amp;totales!I441="1"&amp;totales!J441="1","5",IF(totales!E441="3"&amp;totales!H441="0"&amp;totales!I441="1"&amp;totales!J441="1","6",IF(totales!E441="4"&amp;totales!H441="0"&amp;totales!I441="1"&amp;totales!J441="1","7",IF(totales!E441="6"&amp;totales!H441="0"&amp;totales!I441="1"&amp;totales!J441="1","8",IF(totales!E441="1"&amp;totales!H441="1"&amp;totales!I441="0"&amp;totales!J441="1","9"))))))))))))))))))))))))))))))))))))</f>
        <v>0</v>
      </c>
    </row>
    <row r="441" spans="22:22">
      <c r="V441" s="102" t="b">
        <f>IF(totales!E442="1"&amp;totales!H442="0"&amp;totales!I442="0"&amp;totales!J442="0","a",IF(totales!E442="2"&amp;totales!H442="0"&amp;totales!I442="0"&amp;totales!J442="0","b",IF(totales!E442="3"&amp;totales!H442="0"&amp;totales!I442="0"&amp;totales!J442="0","c",IF(totales!E442="4"&amp;totales!H442="0"&amp;totales!I442="0"&amp;totales!J442="0","d",IF(totales!E442="6"&amp;totales!H442="0"&amp;totales!I442="0"&amp;totales!J442="0","e",IF(totales!E442="1"&amp;totales!H442="1"&amp;totales!I442="0"&amp;totales!J442="0","f",IF(totales!E442="2"&amp;totales!H442="1"&amp;totales!I442="0"&amp;totales!J442="0","g",IF(totales!E442="3"&amp;totales!H442="1"&amp;totales!I442="0"&amp;totales!J442="0","h",IF(totales!E442="4"&amp;totales!H442="1"&amp;totales!I442="0"&amp;totales!J442="0","i",IF(totales!E442="6"&amp;totales!H442="1"&amp;totales!I442="0"&amp;totales!J442="0","j",IF(totales!E442="1"&amp;totales!H442="2"&amp;totales!I442="0"&amp;totales!J442="0","k",IF(totales!E442="2"&amp;totales!H442="2"&amp;totales!I442="0"&amp;totales!J442="0","l",IF(totales!E442="3"&amp;totales!H442="2"&amp;totales!I442="0"&amp;totales!J442="0","m",
IF(totales!E442="4"&amp;totales!H442="2"&amp;totales!I442="0"&amp;totales!J442="0","n",IF(totales!E442="6"&amp;totales!H442="2"&amp;totales!I442="0"&amp;totales!J442="0","o",IF(totales!E442="1"&amp;totales!H442="0"&amp;totales!I442="1"&amp;totales!J442="0","p",IF(totales!E442="2"&amp;totales!H442="0"&amp;totales!I442="1"&amp;totales!J442="0","q",IF(totales!E442="3"&amp;totales!H442="0"&amp;totales!I442="1"&amp;totales!J442="0","r",IF(totales!E442="4"&amp;totales!H442="0"&amp;totales!I442="1"&amp;totales!J442="0","s",IF(totales!E442="6"&amp;totales!H442="0"&amp;totales!I442="1"&amp;totales!J442="0","t",IF(totales!E442="1"&amp;totales!H442="2"&amp;totales!I442="1"&amp;totales!J442="0","u",IF(totales!E442="2"&amp;totales!H442="2"&amp;totales!I442="1"&amp;totales!J442="0","v",IF(totales!E442="3"&amp;totales!H442="2"&amp;totales!I442="1"&amp;totales!J442="0","w",IF(totales!E442="4"&amp;totales!H442="2"&amp;totales!I442="1"&amp;totales!J442="0","x",
IF(totales!E442="6"&amp;totales!H442="2"&amp;totales!I442="1"&amp;totales!J442="0","y",IF(totales!E442="1"&amp;totales!H442="1"&amp;totales!I442="1"&amp;totales!J442="0","z",IF(totales!E442="2"&amp;totales!H442="1"&amp;totales!I442="1"&amp;totales!J442="0","0",IF(totales!E442="3"&amp;totales!H442="1"&amp;totales!I442="1"&amp;totales!J442="0","1",IF(totales!E442="4"&amp;totales!H442="1"&amp;totales!I442="1"&amp;totales!J442="0","2",IF(totales!E442="6"&amp;totales!H442="1"&amp;totales!I442="1"&amp;totales!J442="0","3",IF(totales!E442="1"&amp;totales!H442="0"&amp;totales!I442="1"&amp;totales!J442="1","4",IF(totales!E442="2"&amp;totales!H442="0"&amp;totales!I442="1"&amp;totales!J442="1","5",IF(totales!E442="3"&amp;totales!H442="0"&amp;totales!I442="1"&amp;totales!J442="1","6",IF(totales!E442="4"&amp;totales!H442="0"&amp;totales!I442="1"&amp;totales!J442="1","7",IF(totales!E442="6"&amp;totales!H442="0"&amp;totales!I442="1"&amp;totales!J442="1","8",IF(totales!E442="1"&amp;totales!H442="1"&amp;totales!I442="0"&amp;totales!J442="1","9"))))))))))))))))))))))))))))))))))))</f>
        <v>0</v>
      </c>
    </row>
    <row r="442" spans="22:22">
      <c r="V442" s="102" t="b">
        <f>IF(totales!E443="1"&amp;totales!H443="0"&amp;totales!I443="0"&amp;totales!J443="0","a",IF(totales!E443="2"&amp;totales!H443="0"&amp;totales!I443="0"&amp;totales!J443="0","b",IF(totales!E443="3"&amp;totales!H443="0"&amp;totales!I443="0"&amp;totales!J443="0","c",IF(totales!E443="4"&amp;totales!H443="0"&amp;totales!I443="0"&amp;totales!J443="0","d",IF(totales!E443="6"&amp;totales!H443="0"&amp;totales!I443="0"&amp;totales!J443="0","e",IF(totales!E443="1"&amp;totales!H443="1"&amp;totales!I443="0"&amp;totales!J443="0","f",IF(totales!E443="2"&amp;totales!H443="1"&amp;totales!I443="0"&amp;totales!J443="0","g",IF(totales!E443="3"&amp;totales!H443="1"&amp;totales!I443="0"&amp;totales!J443="0","h",IF(totales!E443="4"&amp;totales!H443="1"&amp;totales!I443="0"&amp;totales!J443="0","i",IF(totales!E443="6"&amp;totales!H443="1"&amp;totales!I443="0"&amp;totales!J443="0","j",IF(totales!E443="1"&amp;totales!H443="2"&amp;totales!I443="0"&amp;totales!J443="0","k",IF(totales!E443="2"&amp;totales!H443="2"&amp;totales!I443="0"&amp;totales!J443="0","l",IF(totales!E443="3"&amp;totales!H443="2"&amp;totales!I443="0"&amp;totales!J443="0","m",
IF(totales!E443="4"&amp;totales!H443="2"&amp;totales!I443="0"&amp;totales!J443="0","n",IF(totales!E443="6"&amp;totales!H443="2"&amp;totales!I443="0"&amp;totales!J443="0","o",IF(totales!E443="1"&amp;totales!H443="0"&amp;totales!I443="1"&amp;totales!J443="0","p",IF(totales!E443="2"&amp;totales!H443="0"&amp;totales!I443="1"&amp;totales!J443="0","q",IF(totales!E443="3"&amp;totales!H443="0"&amp;totales!I443="1"&amp;totales!J443="0","r",IF(totales!E443="4"&amp;totales!H443="0"&amp;totales!I443="1"&amp;totales!J443="0","s",IF(totales!E443="6"&amp;totales!H443="0"&amp;totales!I443="1"&amp;totales!J443="0","t",IF(totales!E443="1"&amp;totales!H443="2"&amp;totales!I443="1"&amp;totales!J443="0","u",IF(totales!E443="2"&amp;totales!H443="2"&amp;totales!I443="1"&amp;totales!J443="0","v",IF(totales!E443="3"&amp;totales!H443="2"&amp;totales!I443="1"&amp;totales!J443="0","w",IF(totales!E443="4"&amp;totales!H443="2"&amp;totales!I443="1"&amp;totales!J443="0","x",
IF(totales!E443="6"&amp;totales!H443="2"&amp;totales!I443="1"&amp;totales!J443="0","y",IF(totales!E443="1"&amp;totales!H443="1"&amp;totales!I443="1"&amp;totales!J443="0","z",IF(totales!E443="2"&amp;totales!H443="1"&amp;totales!I443="1"&amp;totales!J443="0","0",IF(totales!E443="3"&amp;totales!H443="1"&amp;totales!I443="1"&amp;totales!J443="0","1",IF(totales!E443="4"&amp;totales!H443="1"&amp;totales!I443="1"&amp;totales!J443="0","2",IF(totales!E443="6"&amp;totales!H443="1"&amp;totales!I443="1"&amp;totales!J443="0","3",IF(totales!E443="1"&amp;totales!H443="0"&amp;totales!I443="1"&amp;totales!J443="1","4",IF(totales!E443="2"&amp;totales!H443="0"&amp;totales!I443="1"&amp;totales!J443="1","5",IF(totales!E443="3"&amp;totales!H443="0"&amp;totales!I443="1"&amp;totales!J443="1","6",IF(totales!E443="4"&amp;totales!H443="0"&amp;totales!I443="1"&amp;totales!J443="1","7",IF(totales!E443="6"&amp;totales!H443="0"&amp;totales!I443="1"&amp;totales!J443="1","8",IF(totales!E443="1"&amp;totales!H443="1"&amp;totales!I443="0"&amp;totales!J443="1","9"))))))))))))))))))))))))))))))))))))</f>
        <v>0</v>
      </c>
    </row>
    <row r="443" spans="22:22">
      <c r="V443" s="102" t="b">
        <f>IF(totales!E444="1"&amp;totales!H444="0"&amp;totales!I444="0"&amp;totales!J444="0","a",IF(totales!E444="2"&amp;totales!H444="0"&amp;totales!I444="0"&amp;totales!J444="0","b",IF(totales!E444="3"&amp;totales!H444="0"&amp;totales!I444="0"&amp;totales!J444="0","c",IF(totales!E444="4"&amp;totales!H444="0"&amp;totales!I444="0"&amp;totales!J444="0","d",IF(totales!E444="6"&amp;totales!H444="0"&amp;totales!I444="0"&amp;totales!J444="0","e",IF(totales!E444="1"&amp;totales!H444="1"&amp;totales!I444="0"&amp;totales!J444="0","f",IF(totales!E444="2"&amp;totales!H444="1"&amp;totales!I444="0"&amp;totales!J444="0","g",IF(totales!E444="3"&amp;totales!H444="1"&amp;totales!I444="0"&amp;totales!J444="0","h",IF(totales!E444="4"&amp;totales!H444="1"&amp;totales!I444="0"&amp;totales!J444="0","i",IF(totales!E444="6"&amp;totales!H444="1"&amp;totales!I444="0"&amp;totales!J444="0","j",IF(totales!E444="1"&amp;totales!H444="2"&amp;totales!I444="0"&amp;totales!J444="0","k",IF(totales!E444="2"&amp;totales!H444="2"&amp;totales!I444="0"&amp;totales!J444="0","l",IF(totales!E444="3"&amp;totales!H444="2"&amp;totales!I444="0"&amp;totales!J444="0","m",
IF(totales!E444="4"&amp;totales!H444="2"&amp;totales!I444="0"&amp;totales!J444="0","n",IF(totales!E444="6"&amp;totales!H444="2"&amp;totales!I444="0"&amp;totales!J444="0","o",IF(totales!E444="1"&amp;totales!H444="0"&amp;totales!I444="1"&amp;totales!J444="0","p",IF(totales!E444="2"&amp;totales!H444="0"&amp;totales!I444="1"&amp;totales!J444="0","q",IF(totales!E444="3"&amp;totales!H444="0"&amp;totales!I444="1"&amp;totales!J444="0","r",IF(totales!E444="4"&amp;totales!H444="0"&amp;totales!I444="1"&amp;totales!J444="0","s",IF(totales!E444="6"&amp;totales!H444="0"&amp;totales!I444="1"&amp;totales!J444="0","t",IF(totales!E444="1"&amp;totales!H444="2"&amp;totales!I444="1"&amp;totales!J444="0","u",IF(totales!E444="2"&amp;totales!H444="2"&amp;totales!I444="1"&amp;totales!J444="0","v",IF(totales!E444="3"&amp;totales!H444="2"&amp;totales!I444="1"&amp;totales!J444="0","w",IF(totales!E444="4"&amp;totales!H444="2"&amp;totales!I444="1"&amp;totales!J444="0","x",
IF(totales!E444="6"&amp;totales!H444="2"&amp;totales!I444="1"&amp;totales!J444="0","y",IF(totales!E444="1"&amp;totales!H444="1"&amp;totales!I444="1"&amp;totales!J444="0","z",IF(totales!E444="2"&amp;totales!H444="1"&amp;totales!I444="1"&amp;totales!J444="0","0",IF(totales!E444="3"&amp;totales!H444="1"&amp;totales!I444="1"&amp;totales!J444="0","1",IF(totales!E444="4"&amp;totales!H444="1"&amp;totales!I444="1"&amp;totales!J444="0","2",IF(totales!E444="6"&amp;totales!H444="1"&amp;totales!I444="1"&amp;totales!J444="0","3",IF(totales!E444="1"&amp;totales!H444="0"&amp;totales!I444="1"&amp;totales!J444="1","4",IF(totales!E444="2"&amp;totales!H444="0"&amp;totales!I444="1"&amp;totales!J444="1","5",IF(totales!E444="3"&amp;totales!H444="0"&amp;totales!I444="1"&amp;totales!J444="1","6",IF(totales!E444="4"&amp;totales!H444="0"&amp;totales!I444="1"&amp;totales!J444="1","7",IF(totales!E444="6"&amp;totales!H444="0"&amp;totales!I444="1"&amp;totales!J444="1","8",IF(totales!E444="1"&amp;totales!H444="1"&amp;totales!I444="0"&amp;totales!J444="1","9"))))))))))))))))))))))))))))))))))))</f>
        <v>0</v>
      </c>
    </row>
    <row r="444" spans="22:22">
      <c r="V444" s="102" t="b">
        <f>IF(totales!E445="1"&amp;totales!H445="0"&amp;totales!I445="0"&amp;totales!J445="0","a",IF(totales!E445="2"&amp;totales!H445="0"&amp;totales!I445="0"&amp;totales!J445="0","b",IF(totales!E445="3"&amp;totales!H445="0"&amp;totales!I445="0"&amp;totales!J445="0","c",IF(totales!E445="4"&amp;totales!H445="0"&amp;totales!I445="0"&amp;totales!J445="0","d",IF(totales!E445="6"&amp;totales!H445="0"&amp;totales!I445="0"&amp;totales!J445="0","e",IF(totales!E445="1"&amp;totales!H445="1"&amp;totales!I445="0"&amp;totales!J445="0","f",IF(totales!E445="2"&amp;totales!H445="1"&amp;totales!I445="0"&amp;totales!J445="0","g",IF(totales!E445="3"&amp;totales!H445="1"&amp;totales!I445="0"&amp;totales!J445="0","h",IF(totales!E445="4"&amp;totales!H445="1"&amp;totales!I445="0"&amp;totales!J445="0","i",IF(totales!E445="6"&amp;totales!H445="1"&amp;totales!I445="0"&amp;totales!J445="0","j",IF(totales!E445="1"&amp;totales!H445="2"&amp;totales!I445="0"&amp;totales!J445="0","k",IF(totales!E445="2"&amp;totales!H445="2"&amp;totales!I445="0"&amp;totales!J445="0","l",IF(totales!E445="3"&amp;totales!H445="2"&amp;totales!I445="0"&amp;totales!J445="0","m",
IF(totales!E445="4"&amp;totales!H445="2"&amp;totales!I445="0"&amp;totales!J445="0","n",IF(totales!E445="6"&amp;totales!H445="2"&amp;totales!I445="0"&amp;totales!J445="0","o",IF(totales!E445="1"&amp;totales!H445="0"&amp;totales!I445="1"&amp;totales!J445="0","p",IF(totales!E445="2"&amp;totales!H445="0"&amp;totales!I445="1"&amp;totales!J445="0","q",IF(totales!E445="3"&amp;totales!H445="0"&amp;totales!I445="1"&amp;totales!J445="0","r",IF(totales!E445="4"&amp;totales!H445="0"&amp;totales!I445="1"&amp;totales!J445="0","s",IF(totales!E445="6"&amp;totales!H445="0"&amp;totales!I445="1"&amp;totales!J445="0","t",IF(totales!E445="1"&amp;totales!H445="2"&amp;totales!I445="1"&amp;totales!J445="0","u",IF(totales!E445="2"&amp;totales!H445="2"&amp;totales!I445="1"&amp;totales!J445="0","v",IF(totales!E445="3"&amp;totales!H445="2"&amp;totales!I445="1"&amp;totales!J445="0","w",IF(totales!E445="4"&amp;totales!H445="2"&amp;totales!I445="1"&amp;totales!J445="0","x",
IF(totales!E445="6"&amp;totales!H445="2"&amp;totales!I445="1"&amp;totales!J445="0","y",IF(totales!E445="1"&amp;totales!H445="1"&amp;totales!I445="1"&amp;totales!J445="0","z",IF(totales!E445="2"&amp;totales!H445="1"&amp;totales!I445="1"&amp;totales!J445="0","0",IF(totales!E445="3"&amp;totales!H445="1"&amp;totales!I445="1"&amp;totales!J445="0","1",IF(totales!E445="4"&amp;totales!H445="1"&amp;totales!I445="1"&amp;totales!J445="0","2",IF(totales!E445="6"&amp;totales!H445="1"&amp;totales!I445="1"&amp;totales!J445="0","3",IF(totales!E445="1"&amp;totales!H445="0"&amp;totales!I445="1"&amp;totales!J445="1","4",IF(totales!E445="2"&amp;totales!H445="0"&amp;totales!I445="1"&amp;totales!J445="1","5",IF(totales!E445="3"&amp;totales!H445="0"&amp;totales!I445="1"&amp;totales!J445="1","6",IF(totales!E445="4"&amp;totales!H445="0"&amp;totales!I445="1"&amp;totales!J445="1","7",IF(totales!E445="6"&amp;totales!H445="0"&amp;totales!I445="1"&amp;totales!J445="1","8",IF(totales!E445="1"&amp;totales!H445="1"&amp;totales!I445="0"&amp;totales!J445="1","9"))))))))))))))))))))))))))))))))))))</f>
        <v>0</v>
      </c>
    </row>
    <row r="445" spans="22:22">
      <c r="V445" s="102" t="b">
        <f>IF(totales!E446="1"&amp;totales!H446="0"&amp;totales!I446="0"&amp;totales!J446="0","a",IF(totales!E446="2"&amp;totales!H446="0"&amp;totales!I446="0"&amp;totales!J446="0","b",IF(totales!E446="3"&amp;totales!H446="0"&amp;totales!I446="0"&amp;totales!J446="0","c",IF(totales!E446="4"&amp;totales!H446="0"&amp;totales!I446="0"&amp;totales!J446="0","d",IF(totales!E446="6"&amp;totales!H446="0"&amp;totales!I446="0"&amp;totales!J446="0","e",IF(totales!E446="1"&amp;totales!H446="1"&amp;totales!I446="0"&amp;totales!J446="0","f",IF(totales!E446="2"&amp;totales!H446="1"&amp;totales!I446="0"&amp;totales!J446="0","g",IF(totales!E446="3"&amp;totales!H446="1"&amp;totales!I446="0"&amp;totales!J446="0","h",IF(totales!E446="4"&amp;totales!H446="1"&amp;totales!I446="0"&amp;totales!J446="0","i",IF(totales!E446="6"&amp;totales!H446="1"&amp;totales!I446="0"&amp;totales!J446="0","j",IF(totales!E446="1"&amp;totales!H446="2"&amp;totales!I446="0"&amp;totales!J446="0","k",IF(totales!E446="2"&amp;totales!H446="2"&amp;totales!I446="0"&amp;totales!J446="0","l",IF(totales!E446="3"&amp;totales!H446="2"&amp;totales!I446="0"&amp;totales!J446="0","m",
IF(totales!E446="4"&amp;totales!H446="2"&amp;totales!I446="0"&amp;totales!J446="0","n",IF(totales!E446="6"&amp;totales!H446="2"&amp;totales!I446="0"&amp;totales!J446="0","o",IF(totales!E446="1"&amp;totales!H446="0"&amp;totales!I446="1"&amp;totales!J446="0","p",IF(totales!E446="2"&amp;totales!H446="0"&amp;totales!I446="1"&amp;totales!J446="0","q",IF(totales!E446="3"&amp;totales!H446="0"&amp;totales!I446="1"&amp;totales!J446="0","r",IF(totales!E446="4"&amp;totales!H446="0"&amp;totales!I446="1"&amp;totales!J446="0","s",IF(totales!E446="6"&amp;totales!H446="0"&amp;totales!I446="1"&amp;totales!J446="0","t",IF(totales!E446="1"&amp;totales!H446="2"&amp;totales!I446="1"&amp;totales!J446="0","u",IF(totales!E446="2"&amp;totales!H446="2"&amp;totales!I446="1"&amp;totales!J446="0","v",IF(totales!E446="3"&amp;totales!H446="2"&amp;totales!I446="1"&amp;totales!J446="0","w",IF(totales!E446="4"&amp;totales!H446="2"&amp;totales!I446="1"&amp;totales!J446="0","x",
IF(totales!E446="6"&amp;totales!H446="2"&amp;totales!I446="1"&amp;totales!J446="0","y",IF(totales!E446="1"&amp;totales!H446="1"&amp;totales!I446="1"&amp;totales!J446="0","z",IF(totales!E446="2"&amp;totales!H446="1"&amp;totales!I446="1"&amp;totales!J446="0","0",IF(totales!E446="3"&amp;totales!H446="1"&amp;totales!I446="1"&amp;totales!J446="0","1",IF(totales!E446="4"&amp;totales!H446="1"&amp;totales!I446="1"&amp;totales!J446="0","2",IF(totales!E446="6"&amp;totales!H446="1"&amp;totales!I446="1"&amp;totales!J446="0","3",IF(totales!E446="1"&amp;totales!H446="0"&amp;totales!I446="1"&amp;totales!J446="1","4",IF(totales!E446="2"&amp;totales!H446="0"&amp;totales!I446="1"&amp;totales!J446="1","5",IF(totales!E446="3"&amp;totales!H446="0"&amp;totales!I446="1"&amp;totales!J446="1","6",IF(totales!E446="4"&amp;totales!H446="0"&amp;totales!I446="1"&amp;totales!J446="1","7",IF(totales!E446="6"&amp;totales!H446="0"&amp;totales!I446="1"&amp;totales!J446="1","8",IF(totales!E446="1"&amp;totales!H446="1"&amp;totales!I446="0"&amp;totales!J446="1","9"))))))))))))))))))))))))))))))))))))</f>
        <v>0</v>
      </c>
    </row>
    <row r="446" spans="22:22">
      <c r="V446" s="102" t="b">
        <f>IF(totales!E447="1"&amp;totales!H447="0"&amp;totales!I447="0"&amp;totales!J447="0","a",IF(totales!E447="2"&amp;totales!H447="0"&amp;totales!I447="0"&amp;totales!J447="0","b",IF(totales!E447="3"&amp;totales!H447="0"&amp;totales!I447="0"&amp;totales!J447="0","c",IF(totales!E447="4"&amp;totales!H447="0"&amp;totales!I447="0"&amp;totales!J447="0","d",IF(totales!E447="6"&amp;totales!H447="0"&amp;totales!I447="0"&amp;totales!J447="0","e",IF(totales!E447="1"&amp;totales!H447="1"&amp;totales!I447="0"&amp;totales!J447="0","f",IF(totales!E447="2"&amp;totales!H447="1"&amp;totales!I447="0"&amp;totales!J447="0","g",IF(totales!E447="3"&amp;totales!H447="1"&amp;totales!I447="0"&amp;totales!J447="0","h",IF(totales!E447="4"&amp;totales!H447="1"&amp;totales!I447="0"&amp;totales!J447="0","i",IF(totales!E447="6"&amp;totales!H447="1"&amp;totales!I447="0"&amp;totales!J447="0","j",IF(totales!E447="1"&amp;totales!H447="2"&amp;totales!I447="0"&amp;totales!J447="0","k",IF(totales!E447="2"&amp;totales!H447="2"&amp;totales!I447="0"&amp;totales!J447="0","l",IF(totales!E447="3"&amp;totales!H447="2"&amp;totales!I447="0"&amp;totales!J447="0","m",
IF(totales!E447="4"&amp;totales!H447="2"&amp;totales!I447="0"&amp;totales!J447="0","n",IF(totales!E447="6"&amp;totales!H447="2"&amp;totales!I447="0"&amp;totales!J447="0","o",IF(totales!E447="1"&amp;totales!H447="0"&amp;totales!I447="1"&amp;totales!J447="0","p",IF(totales!E447="2"&amp;totales!H447="0"&amp;totales!I447="1"&amp;totales!J447="0","q",IF(totales!E447="3"&amp;totales!H447="0"&amp;totales!I447="1"&amp;totales!J447="0","r",IF(totales!E447="4"&amp;totales!H447="0"&amp;totales!I447="1"&amp;totales!J447="0","s",IF(totales!E447="6"&amp;totales!H447="0"&amp;totales!I447="1"&amp;totales!J447="0","t",IF(totales!E447="1"&amp;totales!H447="2"&amp;totales!I447="1"&amp;totales!J447="0","u",IF(totales!E447="2"&amp;totales!H447="2"&amp;totales!I447="1"&amp;totales!J447="0","v",IF(totales!E447="3"&amp;totales!H447="2"&amp;totales!I447="1"&amp;totales!J447="0","w",IF(totales!E447="4"&amp;totales!H447="2"&amp;totales!I447="1"&amp;totales!J447="0","x",
IF(totales!E447="6"&amp;totales!H447="2"&amp;totales!I447="1"&amp;totales!J447="0","y",IF(totales!E447="1"&amp;totales!H447="1"&amp;totales!I447="1"&amp;totales!J447="0","z",IF(totales!E447="2"&amp;totales!H447="1"&amp;totales!I447="1"&amp;totales!J447="0","0",IF(totales!E447="3"&amp;totales!H447="1"&amp;totales!I447="1"&amp;totales!J447="0","1",IF(totales!E447="4"&amp;totales!H447="1"&amp;totales!I447="1"&amp;totales!J447="0","2",IF(totales!E447="6"&amp;totales!H447="1"&amp;totales!I447="1"&amp;totales!J447="0","3",IF(totales!E447="1"&amp;totales!H447="0"&amp;totales!I447="1"&amp;totales!J447="1","4",IF(totales!E447="2"&amp;totales!H447="0"&amp;totales!I447="1"&amp;totales!J447="1","5",IF(totales!E447="3"&amp;totales!H447="0"&amp;totales!I447="1"&amp;totales!J447="1","6",IF(totales!E447="4"&amp;totales!H447="0"&amp;totales!I447="1"&amp;totales!J447="1","7",IF(totales!E447="6"&amp;totales!H447="0"&amp;totales!I447="1"&amp;totales!J447="1","8",IF(totales!E447="1"&amp;totales!H447="1"&amp;totales!I447="0"&amp;totales!J447="1","9"))))))))))))))))))))))))))))))))))))</f>
        <v>0</v>
      </c>
    </row>
    <row r="447" spans="22:22">
      <c r="V447" s="102" t="b">
        <f>IF(totales!E448="1"&amp;totales!H448="0"&amp;totales!I448="0"&amp;totales!J448="0","a",IF(totales!E448="2"&amp;totales!H448="0"&amp;totales!I448="0"&amp;totales!J448="0","b",IF(totales!E448="3"&amp;totales!H448="0"&amp;totales!I448="0"&amp;totales!J448="0","c",IF(totales!E448="4"&amp;totales!H448="0"&amp;totales!I448="0"&amp;totales!J448="0","d",IF(totales!E448="6"&amp;totales!H448="0"&amp;totales!I448="0"&amp;totales!J448="0","e",IF(totales!E448="1"&amp;totales!H448="1"&amp;totales!I448="0"&amp;totales!J448="0","f",IF(totales!E448="2"&amp;totales!H448="1"&amp;totales!I448="0"&amp;totales!J448="0","g",IF(totales!E448="3"&amp;totales!H448="1"&amp;totales!I448="0"&amp;totales!J448="0","h",IF(totales!E448="4"&amp;totales!H448="1"&amp;totales!I448="0"&amp;totales!J448="0","i",IF(totales!E448="6"&amp;totales!H448="1"&amp;totales!I448="0"&amp;totales!J448="0","j",IF(totales!E448="1"&amp;totales!H448="2"&amp;totales!I448="0"&amp;totales!J448="0","k",IF(totales!E448="2"&amp;totales!H448="2"&amp;totales!I448="0"&amp;totales!J448="0","l",IF(totales!E448="3"&amp;totales!H448="2"&amp;totales!I448="0"&amp;totales!J448="0","m",
IF(totales!E448="4"&amp;totales!H448="2"&amp;totales!I448="0"&amp;totales!J448="0","n",IF(totales!E448="6"&amp;totales!H448="2"&amp;totales!I448="0"&amp;totales!J448="0","o",IF(totales!E448="1"&amp;totales!H448="0"&amp;totales!I448="1"&amp;totales!J448="0","p",IF(totales!E448="2"&amp;totales!H448="0"&amp;totales!I448="1"&amp;totales!J448="0","q",IF(totales!E448="3"&amp;totales!H448="0"&amp;totales!I448="1"&amp;totales!J448="0","r",IF(totales!E448="4"&amp;totales!H448="0"&amp;totales!I448="1"&amp;totales!J448="0","s",IF(totales!E448="6"&amp;totales!H448="0"&amp;totales!I448="1"&amp;totales!J448="0","t",IF(totales!E448="1"&amp;totales!H448="2"&amp;totales!I448="1"&amp;totales!J448="0","u",IF(totales!E448="2"&amp;totales!H448="2"&amp;totales!I448="1"&amp;totales!J448="0","v",IF(totales!E448="3"&amp;totales!H448="2"&amp;totales!I448="1"&amp;totales!J448="0","w",IF(totales!E448="4"&amp;totales!H448="2"&amp;totales!I448="1"&amp;totales!J448="0","x",
IF(totales!E448="6"&amp;totales!H448="2"&amp;totales!I448="1"&amp;totales!J448="0","y",IF(totales!E448="1"&amp;totales!H448="1"&amp;totales!I448="1"&amp;totales!J448="0","z",IF(totales!E448="2"&amp;totales!H448="1"&amp;totales!I448="1"&amp;totales!J448="0","0",IF(totales!E448="3"&amp;totales!H448="1"&amp;totales!I448="1"&amp;totales!J448="0","1",IF(totales!E448="4"&amp;totales!H448="1"&amp;totales!I448="1"&amp;totales!J448="0","2",IF(totales!E448="6"&amp;totales!H448="1"&amp;totales!I448="1"&amp;totales!J448="0","3",IF(totales!E448="1"&amp;totales!H448="0"&amp;totales!I448="1"&amp;totales!J448="1","4",IF(totales!E448="2"&amp;totales!H448="0"&amp;totales!I448="1"&amp;totales!J448="1","5",IF(totales!E448="3"&amp;totales!H448="0"&amp;totales!I448="1"&amp;totales!J448="1","6",IF(totales!E448="4"&amp;totales!H448="0"&amp;totales!I448="1"&amp;totales!J448="1","7",IF(totales!E448="6"&amp;totales!H448="0"&amp;totales!I448="1"&amp;totales!J448="1","8",IF(totales!E448="1"&amp;totales!H448="1"&amp;totales!I448="0"&amp;totales!J448="1","9"))))))))))))))))))))))))))))))))))))</f>
        <v>0</v>
      </c>
    </row>
    <row r="448" spans="22:22">
      <c r="V448" s="102" t="b">
        <f>IF(totales!E449="1"&amp;totales!H449="0"&amp;totales!I449="0"&amp;totales!J449="0","a",IF(totales!E449="2"&amp;totales!H449="0"&amp;totales!I449="0"&amp;totales!J449="0","b",IF(totales!E449="3"&amp;totales!H449="0"&amp;totales!I449="0"&amp;totales!J449="0","c",IF(totales!E449="4"&amp;totales!H449="0"&amp;totales!I449="0"&amp;totales!J449="0","d",IF(totales!E449="6"&amp;totales!H449="0"&amp;totales!I449="0"&amp;totales!J449="0","e",IF(totales!E449="1"&amp;totales!H449="1"&amp;totales!I449="0"&amp;totales!J449="0","f",IF(totales!E449="2"&amp;totales!H449="1"&amp;totales!I449="0"&amp;totales!J449="0","g",IF(totales!E449="3"&amp;totales!H449="1"&amp;totales!I449="0"&amp;totales!J449="0","h",IF(totales!E449="4"&amp;totales!H449="1"&amp;totales!I449="0"&amp;totales!J449="0","i",IF(totales!E449="6"&amp;totales!H449="1"&amp;totales!I449="0"&amp;totales!J449="0","j",IF(totales!E449="1"&amp;totales!H449="2"&amp;totales!I449="0"&amp;totales!J449="0","k",IF(totales!E449="2"&amp;totales!H449="2"&amp;totales!I449="0"&amp;totales!J449="0","l",IF(totales!E449="3"&amp;totales!H449="2"&amp;totales!I449="0"&amp;totales!J449="0","m",
IF(totales!E449="4"&amp;totales!H449="2"&amp;totales!I449="0"&amp;totales!J449="0","n",IF(totales!E449="6"&amp;totales!H449="2"&amp;totales!I449="0"&amp;totales!J449="0","o",IF(totales!E449="1"&amp;totales!H449="0"&amp;totales!I449="1"&amp;totales!J449="0","p",IF(totales!E449="2"&amp;totales!H449="0"&amp;totales!I449="1"&amp;totales!J449="0","q",IF(totales!E449="3"&amp;totales!H449="0"&amp;totales!I449="1"&amp;totales!J449="0","r",IF(totales!E449="4"&amp;totales!H449="0"&amp;totales!I449="1"&amp;totales!J449="0","s",IF(totales!E449="6"&amp;totales!H449="0"&amp;totales!I449="1"&amp;totales!J449="0","t",IF(totales!E449="1"&amp;totales!H449="2"&amp;totales!I449="1"&amp;totales!J449="0","u",IF(totales!E449="2"&amp;totales!H449="2"&amp;totales!I449="1"&amp;totales!J449="0","v",IF(totales!E449="3"&amp;totales!H449="2"&amp;totales!I449="1"&amp;totales!J449="0","w",IF(totales!E449="4"&amp;totales!H449="2"&amp;totales!I449="1"&amp;totales!J449="0","x",
IF(totales!E449="6"&amp;totales!H449="2"&amp;totales!I449="1"&amp;totales!J449="0","y",IF(totales!E449="1"&amp;totales!H449="1"&amp;totales!I449="1"&amp;totales!J449="0","z",IF(totales!E449="2"&amp;totales!H449="1"&amp;totales!I449="1"&amp;totales!J449="0","0",IF(totales!E449="3"&amp;totales!H449="1"&amp;totales!I449="1"&amp;totales!J449="0","1",IF(totales!E449="4"&amp;totales!H449="1"&amp;totales!I449="1"&amp;totales!J449="0","2",IF(totales!E449="6"&amp;totales!H449="1"&amp;totales!I449="1"&amp;totales!J449="0","3",IF(totales!E449="1"&amp;totales!H449="0"&amp;totales!I449="1"&amp;totales!J449="1","4",IF(totales!E449="2"&amp;totales!H449="0"&amp;totales!I449="1"&amp;totales!J449="1","5",IF(totales!E449="3"&amp;totales!H449="0"&amp;totales!I449="1"&amp;totales!J449="1","6",IF(totales!E449="4"&amp;totales!H449="0"&amp;totales!I449="1"&amp;totales!J449="1","7",IF(totales!E449="6"&amp;totales!H449="0"&amp;totales!I449="1"&amp;totales!J449="1","8",IF(totales!E449="1"&amp;totales!H449="1"&amp;totales!I449="0"&amp;totales!J449="1","9"))))))))))))))))))))))))))))))))))))</f>
        <v>0</v>
      </c>
    </row>
    <row r="449" spans="22:22">
      <c r="V449" s="102" t="b">
        <f>IF(totales!E450="1"&amp;totales!H450="0"&amp;totales!I450="0"&amp;totales!J450="0","a",IF(totales!E450="2"&amp;totales!H450="0"&amp;totales!I450="0"&amp;totales!J450="0","b",IF(totales!E450="3"&amp;totales!H450="0"&amp;totales!I450="0"&amp;totales!J450="0","c",IF(totales!E450="4"&amp;totales!H450="0"&amp;totales!I450="0"&amp;totales!J450="0","d",IF(totales!E450="6"&amp;totales!H450="0"&amp;totales!I450="0"&amp;totales!J450="0","e",IF(totales!E450="1"&amp;totales!H450="1"&amp;totales!I450="0"&amp;totales!J450="0","f",IF(totales!E450="2"&amp;totales!H450="1"&amp;totales!I450="0"&amp;totales!J450="0","g",IF(totales!E450="3"&amp;totales!H450="1"&amp;totales!I450="0"&amp;totales!J450="0","h",IF(totales!E450="4"&amp;totales!H450="1"&amp;totales!I450="0"&amp;totales!J450="0","i",IF(totales!E450="6"&amp;totales!H450="1"&amp;totales!I450="0"&amp;totales!J450="0","j",IF(totales!E450="1"&amp;totales!H450="2"&amp;totales!I450="0"&amp;totales!J450="0","k",IF(totales!E450="2"&amp;totales!H450="2"&amp;totales!I450="0"&amp;totales!J450="0","l",IF(totales!E450="3"&amp;totales!H450="2"&amp;totales!I450="0"&amp;totales!J450="0","m",
IF(totales!E450="4"&amp;totales!H450="2"&amp;totales!I450="0"&amp;totales!J450="0","n",IF(totales!E450="6"&amp;totales!H450="2"&amp;totales!I450="0"&amp;totales!J450="0","o",IF(totales!E450="1"&amp;totales!H450="0"&amp;totales!I450="1"&amp;totales!J450="0","p",IF(totales!E450="2"&amp;totales!H450="0"&amp;totales!I450="1"&amp;totales!J450="0","q",IF(totales!E450="3"&amp;totales!H450="0"&amp;totales!I450="1"&amp;totales!J450="0","r",IF(totales!E450="4"&amp;totales!H450="0"&amp;totales!I450="1"&amp;totales!J450="0","s",IF(totales!E450="6"&amp;totales!H450="0"&amp;totales!I450="1"&amp;totales!J450="0","t",IF(totales!E450="1"&amp;totales!H450="2"&amp;totales!I450="1"&amp;totales!J450="0","u",IF(totales!E450="2"&amp;totales!H450="2"&amp;totales!I450="1"&amp;totales!J450="0","v",IF(totales!E450="3"&amp;totales!H450="2"&amp;totales!I450="1"&amp;totales!J450="0","w",IF(totales!E450="4"&amp;totales!H450="2"&amp;totales!I450="1"&amp;totales!J450="0","x",
IF(totales!E450="6"&amp;totales!H450="2"&amp;totales!I450="1"&amp;totales!J450="0","y",IF(totales!E450="1"&amp;totales!H450="1"&amp;totales!I450="1"&amp;totales!J450="0","z",IF(totales!E450="2"&amp;totales!H450="1"&amp;totales!I450="1"&amp;totales!J450="0","0",IF(totales!E450="3"&amp;totales!H450="1"&amp;totales!I450="1"&amp;totales!J450="0","1",IF(totales!E450="4"&amp;totales!H450="1"&amp;totales!I450="1"&amp;totales!J450="0","2",IF(totales!E450="6"&amp;totales!H450="1"&amp;totales!I450="1"&amp;totales!J450="0","3",IF(totales!E450="1"&amp;totales!H450="0"&amp;totales!I450="1"&amp;totales!J450="1","4",IF(totales!E450="2"&amp;totales!H450="0"&amp;totales!I450="1"&amp;totales!J450="1","5",IF(totales!E450="3"&amp;totales!H450="0"&amp;totales!I450="1"&amp;totales!J450="1","6",IF(totales!E450="4"&amp;totales!H450="0"&amp;totales!I450="1"&amp;totales!J450="1","7",IF(totales!E450="6"&amp;totales!H450="0"&amp;totales!I450="1"&amp;totales!J450="1","8",IF(totales!E450="1"&amp;totales!H450="1"&amp;totales!I450="0"&amp;totales!J450="1","9"))))))))))))))))))))))))))))))))))))</f>
        <v>0</v>
      </c>
    </row>
    <row r="450" spans="22:22">
      <c r="V450" s="102" t="b">
        <f>IF(totales!E451="1"&amp;totales!H451="0"&amp;totales!I451="0"&amp;totales!J451="0","a",IF(totales!E451="2"&amp;totales!H451="0"&amp;totales!I451="0"&amp;totales!J451="0","b",IF(totales!E451="3"&amp;totales!H451="0"&amp;totales!I451="0"&amp;totales!J451="0","c",IF(totales!E451="4"&amp;totales!H451="0"&amp;totales!I451="0"&amp;totales!J451="0","d",IF(totales!E451="6"&amp;totales!H451="0"&amp;totales!I451="0"&amp;totales!J451="0","e",IF(totales!E451="1"&amp;totales!H451="1"&amp;totales!I451="0"&amp;totales!J451="0","f",IF(totales!E451="2"&amp;totales!H451="1"&amp;totales!I451="0"&amp;totales!J451="0","g",IF(totales!E451="3"&amp;totales!H451="1"&amp;totales!I451="0"&amp;totales!J451="0","h",IF(totales!E451="4"&amp;totales!H451="1"&amp;totales!I451="0"&amp;totales!J451="0","i",IF(totales!E451="6"&amp;totales!H451="1"&amp;totales!I451="0"&amp;totales!J451="0","j",IF(totales!E451="1"&amp;totales!H451="2"&amp;totales!I451="0"&amp;totales!J451="0","k",IF(totales!E451="2"&amp;totales!H451="2"&amp;totales!I451="0"&amp;totales!J451="0","l",IF(totales!E451="3"&amp;totales!H451="2"&amp;totales!I451="0"&amp;totales!J451="0","m",
IF(totales!E451="4"&amp;totales!H451="2"&amp;totales!I451="0"&amp;totales!J451="0","n",IF(totales!E451="6"&amp;totales!H451="2"&amp;totales!I451="0"&amp;totales!J451="0","o",IF(totales!E451="1"&amp;totales!H451="0"&amp;totales!I451="1"&amp;totales!J451="0","p",IF(totales!E451="2"&amp;totales!H451="0"&amp;totales!I451="1"&amp;totales!J451="0","q",IF(totales!E451="3"&amp;totales!H451="0"&amp;totales!I451="1"&amp;totales!J451="0","r",IF(totales!E451="4"&amp;totales!H451="0"&amp;totales!I451="1"&amp;totales!J451="0","s",IF(totales!E451="6"&amp;totales!H451="0"&amp;totales!I451="1"&amp;totales!J451="0","t",IF(totales!E451="1"&amp;totales!H451="2"&amp;totales!I451="1"&amp;totales!J451="0","u",IF(totales!E451="2"&amp;totales!H451="2"&amp;totales!I451="1"&amp;totales!J451="0","v",IF(totales!E451="3"&amp;totales!H451="2"&amp;totales!I451="1"&amp;totales!J451="0","w",IF(totales!E451="4"&amp;totales!H451="2"&amp;totales!I451="1"&amp;totales!J451="0","x",
IF(totales!E451="6"&amp;totales!H451="2"&amp;totales!I451="1"&amp;totales!J451="0","y",IF(totales!E451="1"&amp;totales!H451="1"&amp;totales!I451="1"&amp;totales!J451="0","z",IF(totales!E451="2"&amp;totales!H451="1"&amp;totales!I451="1"&amp;totales!J451="0","0",IF(totales!E451="3"&amp;totales!H451="1"&amp;totales!I451="1"&amp;totales!J451="0","1",IF(totales!E451="4"&amp;totales!H451="1"&amp;totales!I451="1"&amp;totales!J451="0","2",IF(totales!E451="6"&amp;totales!H451="1"&amp;totales!I451="1"&amp;totales!J451="0","3",IF(totales!E451="1"&amp;totales!H451="0"&amp;totales!I451="1"&amp;totales!J451="1","4",IF(totales!E451="2"&amp;totales!H451="0"&amp;totales!I451="1"&amp;totales!J451="1","5",IF(totales!E451="3"&amp;totales!H451="0"&amp;totales!I451="1"&amp;totales!J451="1","6",IF(totales!E451="4"&amp;totales!H451="0"&amp;totales!I451="1"&amp;totales!J451="1","7",IF(totales!E451="6"&amp;totales!H451="0"&amp;totales!I451="1"&amp;totales!J451="1","8",IF(totales!E451="1"&amp;totales!H451="1"&amp;totales!I451="0"&amp;totales!J451="1","9"))))))))))))))))))))))))))))))))))))</f>
        <v>0</v>
      </c>
    </row>
    <row r="451" spans="22:22">
      <c r="V451" s="102" t="b">
        <f>IF(totales!E452="1"&amp;totales!H452="0"&amp;totales!I452="0"&amp;totales!J452="0","a",IF(totales!E452="2"&amp;totales!H452="0"&amp;totales!I452="0"&amp;totales!J452="0","b",IF(totales!E452="3"&amp;totales!H452="0"&amp;totales!I452="0"&amp;totales!J452="0","c",IF(totales!E452="4"&amp;totales!H452="0"&amp;totales!I452="0"&amp;totales!J452="0","d",IF(totales!E452="6"&amp;totales!H452="0"&amp;totales!I452="0"&amp;totales!J452="0","e",IF(totales!E452="1"&amp;totales!H452="1"&amp;totales!I452="0"&amp;totales!J452="0","f",IF(totales!E452="2"&amp;totales!H452="1"&amp;totales!I452="0"&amp;totales!J452="0","g",IF(totales!E452="3"&amp;totales!H452="1"&amp;totales!I452="0"&amp;totales!J452="0","h",IF(totales!E452="4"&amp;totales!H452="1"&amp;totales!I452="0"&amp;totales!J452="0","i",IF(totales!E452="6"&amp;totales!H452="1"&amp;totales!I452="0"&amp;totales!J452="0","j",IF(totales!E452="1"&amp;totales!H452="2"&amp;totales!I452="0"&amp;totales!J452="0","k",IF(totales!E452="2"&amp;totales!H452="2"&amp;totales!I452="0"&amp;totales!J452="0","l",IF(totales!E452="3"&amp;totales!H452="2"&amp;totales!I452="0"&amp;totales!J452="0","m",
IF(totales!E452="4"&amp;totales!H452="2"&amp;totales!I452="0"&amp;totales!J452="0","n",IF(totales!E452="6"&amp;totales!H452="2"&amp;totales!I452="0"&amp;totales!J452="0","o",IF(totales!E452="1"&amp;totales!H452="0"&amp;totales!I452="1"&amp;totales!J452="0","p",IF(totales!E452="2"&amp;totales!H452="0"&amp;totales!I452="1"&amp;totales!J452="0","q",IF(totales!E452="3"&amp;totales!H452="0"&amp;totales!I452="1"&amp;totales!J452="0","r",IF(totales!E452="4"&amp;totales!H452="0"&amp;totales!I452="1"&amp;totales!J452="0","s",IF(totales!E452="6"&amp;totales!H452="0"&amp;totales!I452="1"&amp;totales!J452="0","t",IF(totales!E452="1"&amp;totales!H452="2"&amp;totales!I452="1"&amp;totales!J452="0","u",IF(totales!E452="2"&amp;totales!H452="2"&amp;totales!I452="1"&amp;totales!J452="0","v",IF(totales!E452="3"&amp;totales!H452="2"&amp;totales!I452="1"&amp;totales!J452="0","w",IF(totales!E452="4"&amp;totales!H452="2"&amp;totales!I452="1"&amp;totales!J452="0","x",
IF(totales!E452="6"&amp;totales!H452="2"&amp;totales!I452="1"&amp;totales!J452="0","y",IF(totales!E452="1"&amp;totales!H452="1"&amp;totales!I452="1"&amp;totales!J452="0","z",IF(totales!E452="2"&amp;totales!H452="1"&amp;totales!I452="1"&amp;totales!J452="0","0",IF(totales!E452="3"&amp;totales!H452="1"&amp;totales!I452="1"&amp;totales!J452="0","1",IF(totales!E452="4"&amp;totales!H452="1"&amp;totales!I452="1"&amp;totales!J452="0","2",IF(totales!E452="6"&amp;totales!H452="1"&amp;totales!I452="1"&amp;totales!J452="0","3",IF(totales!E452="1"&amp;totales!H452="0"&amp;totales!I452="1"&amp;totales!J452="1","4",IF(totales!E452="2"&amp;totales!H452="0"&amp;totales!I452="1"&amp;totales!J452="1","5",IF(totales!E452="3"&amp;totales!H452="0"&amp;totales!I452="1"&amp;totales!J452="1","6",IF(totales!E452="4"&amp;totales!H452="0"&amp;totales!I452="1"&amp;totales!J452="1","7",IF(totales!E452="6"&amp;totales!H452="0"&amp;totales!I452="1"&amp;totales!J452="1","8",IF(totales!E452="1"&amp;totales!H452="1"&amp;totales!I452="0"&amp;totales!J452="1","9"))))))))))))))))))))))))))))))))))))</f>
        <v>0</v>
      </c>
    </row>
    <row r="452" spans="22:22">
      <c r="V452" s="102" t="b">
        <f>IF(totales!E453="1"&amp;totales!H453="0"&amp;totales!I453="0"&amp;totales!J453="0","a",IF(totales!E453="2"&amp;totales!H453="0"&amp;totales!I453="0"&amp;totales!J453="0","b",IF(totales!E453="3"&amp;totales!H453="0"&amp;totales!I453="0"&amp;totales!J453="0","c",IF(totales!E453="4"&amp;totales!H453="0"&amp;totales!I453="0"&amp;totales!J453="0","d",IF(totales!E453="6"&amp;totales!H453="0"&amp;totales!I453="0"&amp;totales!J453="0","e",IF(totales!E453="1"&amp;totales!H453="1"&amp;totales!I453="0"&amp;totales!J453="0","f",IF(totales!E453="2"&amp;totales!H453="1"&amp;totales!I453="0"&amp;totales!J453="0","g",IF(totales!E453="3"&amp;totales!H453="1"&amp;totales!I453="0"&amp;totales!J453="0","h",IF(totales!E453="4"&amp;totales!H453="1"&amp;totales!I453="0"&amp;totales!J453="0","i",IF(totales!E453="6"&amp;totales!H453="1"&amp;totales!I453="0"&amp;totales!J453="0","j",IF(totales!E453="1"&amp;totales!H453="2"&amp;totales!I453="0"&amp;totales!J453="0","k",IF(totales!E453="2"&amp;totales!H453="2"&amp;totales!I453="0"&amp;totales!J453="0","l",IF(totales!E453="3"&amp;totales!H453="2"&amp;totales!I453="0"&amp;totales!J453="0","m",
IF(totales!E453="4"&amp;totales!H453="2"&amp;totales!I453="0"&amp;totales!J453="0","n",IF(totales!E453="6"&amp;totales!H453="2"&amp;totales!I453="0"&amp;totales!J453="0","o",IF(totales!E453="1"&amp;totales!H453="0"&amp;totales!I453="1"&amp;totales!J453="0","p",IF(totales!E453="2"&amp;totales!H453="0"&amp;totales!I453="1"&amp;totales!J453="0","q",IF(totales!E453="3"&amp;totales!H453="0"&amp;totales!I453="1"&amp;totales!J453="0","r",IF(totales!E453="4"&amp;totales!H453="0"&amp;totales!I453="1"&amp;totales!J453="0","s",IF(totales!E453="6"&amp;totales!H453="0"&amp;totales!I453="1"&amp;totales!J453="0","t",IF(totales!E453="1"&amp;totales!H453="2"&amp;totales!I453="1"&amp;totales!J453="0","u",IF(totales!E453="2"&amp;totales!H453="2"&amp;totales!I453="1"&amp;totales!J453="0","v",IF(totales!E453="3"&amp;totales!H453="2"&amp;totales!I453="1"&amp;totales!J453="0","w",IF(totales!E453="4"&amp;totales!H453="2"&amp;totales!I453="1"&amp;totales!J453="0","x",
IF(totales!E453="6"&amp;totales!H453="2"&amp;totales!I453="1"&amp;totales!J453="0","y",IF(totales!E453="1"&amp;totales!H453="1"&amp;totales!I453="1"&amp;totales!J453="0","z",IF(totales!E453="2"&amp;totales!H453="1"&amp;totales!I453="1"&amp;totales!J453="0","0",IF(totales!E453="3"&amp;totales!H453="1"&amp;totales!I453="1"&amp;totales!J453="0","1",IF(totales!E453="4"&amp;totales!H453="1"&amp;totales!I453="1"&amp;totales!J453="0","2",IF(totales!E453="6"&amp;totales!H453="1"&amp;totales!I453="1"&amp;totales!J453="0","3",IF(totales!E453="1"&amp;totales!H453="0"&amp;totales!I453="1"&amp;totales!J453="1","4",IF(totales!E453="2"&amp;totales!H453="0"&amp;totales!I453="1"&amp;totales!J453="1","5",IF(totales!E453="3"&amp;totales!H453="0"&amp;totales!I453="1"&amp;totales!J453="1","6",IF(totales!E453="4"&amp;totales!H453="0"&amp;totales!I453="1"&amp;totales!J453="1","7",IF(totales!E453="6"&amp;totales!H453="0"&amp;totales!I453="1"&amp;totales!J453="1","8",IF(totales!E453="1"&amp;totales!H453="1"&amp;totales!I453="0"&amp;totales!J453="1","9"))))))))))))))))))))))))))))))))))))</f>
        <v>0</v>
      </c>
    </row>
    <row r="453" spans="22:22">
      <c r="V453" s="102" t="b">
        <f>IF(totales!E454="1"&amp;totales!H454="0"&amp;totales!I454="0"&amp;totales!J454="0","a",IF(totales!E454="2"&amp;totales!H454="0"&amp;totales!I454="0"&amp;totales!J454="0","b",IF(totales!E454="3"&amp;totales!H454="0"&amp;totales!I454="0"&amp;totales!J454="0","c",IF(totales!E454="4"&amp;totales!H454="0"&amp;totales!I454="0"&amp;totales!J454="0","d",IF(totales!E454="6"&amp;totales!H454="0"&amp;totales!I454="0"&amp;totales!J454="0","e",IF(totales!E454="1"&amp;totales!H454="1"&amp;totales!I454="0"&amp;totales!J454="0","f",IF(totales!E454="2"&amp;totales!H454="1"&amp;totales!I454="0"&amp;totales!J454="0","g",IF(totales!E454="3"&amp;totales!H454="1"&amp;totales!I454="0"&amp;totales!J454="0","h",IF(totales!E454="4"&amp;totales!H454="1"&amp;totales!I454="0"&amp;totales!J454="0","i",IF(totales!E454="6"&amp;totales!H454="1"&amp;totales!I454="0"&amp;totales!J454="0","j",IF(totales!E454="1"&amp;totales!H454="2"&amp;totales!I454="0"&amp;totales!J454="0","k",IF(totales!E454="2"&amp;totales!H454="2"&amp;totales!I454="0"&amp;totales!J454="0","l",IF(totales!E454="3"&amp;totales!H454="2"&amp;totales!I454="0"&amp;totales!J454="0","m",
IF(totales!E454="4"&amp;totales!H454="2"&amp;totales!I454="0"&amp;totales!J454="0","n",IF(totales!E454="6"&amp;totales!H454="2"&amp;totales!I454="0"&amp;totales!J454="0","o",IF(totales!E454="1"&amp;totales!H454="0"&amp;totales!I454="1"&amp;totales!J454="0","p",IF(totales!E454="2"&amp;totales!H454="0"&amp;totales!I454="1"&amp;totales!J454="0","q",IF(totales!E454="3"&amp;totales!H454="0"&amp;totales!I454="1"&amp;totales!J454="0","r",IF(totales!E454="4"&amp;totales!H454="0"&amp;totales!I454="1"&amp;totales!J454="0","s",IF(totales!E454="6"&amp;totales!H454="0"&amp;totales!I454="1"&amp;totales!J454="0","t",IF(totales!E454="1"&amp;totales!H454="2"&amp;totales!I454="1"&amp;totales!J454="0","u",IF(totales!E454="2"&amp;totales!H454="2"&amp;totales!I454="1"&amp;totales!J454="0","v",IF(totales!E454="3"&amp;totales!H454="2"&amp;totales!I454="1"&amp;totales!J454="0","w",IF(totales!E454="4"&amp;totales!H454="2"&amp;totales!I454="1"&amp;totales!J454="0","x",
IF(totales!E454="6"&amp;totales!H454="2"&amp;totales!I454="1"&amp;totales!J454="0","y",IF(totales!E454="1"&amp;totales!H454="1"&amp;totales!I454="1"&amp;totales!J454="0","z",IF(totales!E454="2"&amp;totales!H454="1"&amp;totales!I454="1"&amp;totales!J454="0","0",IF(totales!E454="3"&amp;totales!H454="1"&amp;totales!I454="1"&amp;totales!J454="0","1",IF(totales!E454="4"&amp;totales!H454="1"&amp;totales!I454="1"&amp;totales!J454="0","2",IF(totales!E454="6"&amp;totales!H454="1"&amp;totales!I454="1"&amp;totales!J454="0","3",IF(totales!E454="1"&amp;totales!H454="0"&amp;totales!I454="1"&amp;totales!J454="1","4",IF(totales!E454="2"&amp;totales!H454="0"&amp;totales!I454="1"&amp;totales!J454="1","5",IF(totales!E454="3"&amp;totales!H454="0"&amp;totales!I454="1"&amp;totales!J454="1","6",IF(totales!E454="4"&amp;totales!H454="0"&amp;totales!I454="1"&amp;totales!J454="1","7",IF(totales!E454="6"&amp;totales!H454="0"&amp;totales!I454="1"&amp;totales!J454="1","8",IF(totales!E454="1"&amp;totales!H454="1"&amp;totales!I454="0"&amp;totales!J454="1","9"))))))))))))))))))))))))))))))))))))</f>
        <v>0</v>
      </c>
    </row>
    <row r="454" spans="22:22">
      <c r="V454" s="102" t="b">
        <f>IF(totales!E455="1"&amp;totales!H455="0"&amp;totales!I455="0"&amp;totales!J455="0","a",IF(totales!E455="2"&amp;totales!H455="0"&amp;totales!I455="0"&amp;totales!J455="0","b",IF(totales!E455="3"&amp;totales!H455="0"&amp;totales!I455="0"&amp;totales!J455="0","c",IF(totales!E455="4"&amp;totales!H455="0"&amp;totales!I455="0"&amp;totales!J455="0","d",IF(totales!E455="6"&amp;totales!H455="0"&amp;totales!I455="0"&amp;totales!J455="0","e",IF(totales!E455="1"&amp;totales!H455="1"&amp;totales!I455="0"&amp;totales!J455="0","f",IF(totales!E455="2"&amp;totales!H455="1"&amp;totales!I455="0"&amp;totales!J455="0","g",IF(totales!E455="3"&amp;totales!H455="1"&amp;totales!I455="0"&amp;totales!J455="0","h",IF(totales!E455="4"&amp;totales!H455="1"&amp;totales!I455="0"&amp;totales!J455="0","i",IF(totales!E455="6"&amp;totales!H455="1"&amp;totales!I455="0"&amp;totales!J455="0","j",IF(totales!E455="1"&amp;totales!H455="2"&amp;totales!I455="0"&amp;totales!J455="0","k",IF(totales!E455="2"&amp;totales!H455="2"&amp;totales!I455="0"&amp;totales!J455="0","l",IF(totales!E455="3"&amp;totales!H455="2"&amp;totales!I455="0"&amp;totales!J455="0","m",
IF(totales!E455="4"&amp;totales!H455="2"&amp;totales!I455="0"&amp;totales!J455="0","n",IF(totales!E455="6"&amp;totales!H455="2"&amp;totales!I455="0"&amp;totales!J455="0","o",IF(totales!E455="1"&amp;totales!H455="0"&amp;totales!I455="1"&amp;totales!J455="0","p",IF(totales!E455="2"&amp;totales!H455="0"&amp;totales!I455="1"&amp;totales!J455="0","q",IF(totales!E455="3"&amp;totales!H455="0"&amp;totales!I455="1"&amp;totales!J455="0","r",IF(totales!E455="4"&amp;totales!H455="0"&amp;totales!I455="1"&amp;totales!J455="0","s",IF(totales!E455="6"&amp;totales!H455="0"&amp;totales!I455="1"&amp;totales!J455="0","t",IF(totales!E455="1"&amp;totales!H455="2"&amp;totales!I455="1"&amp;totales!J455="0","u",IF(totales!E455="2"&amp;totales!H455="2"&amp;totales!I455="1"&amp;totales!J455="0","v",IF(totales!E455="3"&amp;totales!H455="2"&amp;totales!I455="1"&amp;totales!J455="0","w",IF(totales!E455="4"&amp;totales!H455="2"&amp;totales!I455="1"&amp;totales!J455="0","x",
IF(totales!E455="6"&amp;totales!H455="2"&amp;totales!I455="1"&amp;totales!J455="0","y",IF(totales!E455="1"&amp;totales!H455="1"&amp;totales!I455="1"&amp;totales!J455="0","z",IF(totales!E455="2"&amp;totales!H455="1"&amp;totales!I455="1"&amp;totales!J455="0","0",IF(totales!E455="3"&amp;totales!H455="1"&amp;totales!I455="1"&amp;totales!J455="0","1",IF(totales!E455="4"&amp;totales!H455="1"&amp;totales!I455="1"&amp;totales!J455="0","2",IF(totales!E455="6"&amp;totales!H455="1"&amp;totales!I455="1"&amp;totales!J455="0","3",IF(totales!E455="1"&amp;totales!H455="0"&amp;totales!I455="1"&amp;totales!J455="1","4",IF(totales!E455="2"&amp;totales!H455="0"&amp;totales!I455="1"&amp;totales!J455="1","5",IF(totales!E455="3"&amp;totales!H455="0"&amp;totales!I455="1"&amp;totales!J455="1","6",IF(totales!E455="4"&amp;totales!H455="0"&amp;totales!I455="1"&amp;totales!J455="1","7",IF(totales!E455="6"&amp;totales!H455="0"&amp;totales!I455="1"&amp;totales!J455="1","8",IF(totales!E455="1"&amp;totales!H455="1"&amp;totales!I455="0"&amp;totales!J455="1","9"))))))))))))))))))))))))))))))))))))</f>
        <v>0</v>
      </c>
    </row>
    <row r="455" spans="22:22">
      <c r="V455" s="102" t="b">
        <f>IF(totales!E456="1"&amp;totales!H456="0"&amp;totales!I456="0"&amp;totales!J456="0","a",IF(totales!E456="2"&amp;totales!H456="0"&amp;totales!I456="0"&amp;totales!J456="0","b",IF(totales!E456="3"&amp;totales!H456="0"&amp;totales!I456="0"&amp;totales!J456="0","c",IF(totales!E456="4"&amp;totales!H456="0"&amp;totales!I456="0"&amp;totales!J456="0","d",IF(totales!E456="6"&amp;totales!H456="0"&amp;totales!I456="0"&amp;totales!J456="0","e",IF(totales!E456="1"&amp;totales!H456="1"&amp;totales!I456="0"&amp;totales!J456="0","f",IF(totales!E456="2"&amp;totales!H456="1"&amp;totales!I456="0"&amp;totales!J456="0","g",IF(totales!E456="3"&amp;totales!H456="1"&amp;totales!I456="0"&amp;totales!J456="0","h",IF(totales!E456="4"&amp;totales!H456="1"&amp;totales!I456="0"&amp;totales!J456="0","i",IF(totales!E456="6"&amp;totales!H456="1"&amp;totales!I456="0"&amp;totales!J456="0","j",IF(totales!E456="1"&amp;totales!H456="2"&amp;totales!I456="0"&amp;totales!J456="0","k",IF(totales!E456="2"&amp;totales!H456="2"&amp;totales!I456="0"&amp;totales!J456="0","l",IF(totales!E456="3"&amp;totales!H456="2"&amp;totales!I456="0"&amp;totales!J456="0","m",
IF(totales!E456="4"&amp;totales!H456="2"&amp;totales!I456="0"&amp;totales!J456="0","n",IF(totales!E456="6"&amp;totales!H456="2"&amp;totales!I456="0"&amp;totales!J456="0","o",IF(totales!E456="1"&amp;totales!H456="0"&amp;totales!I456="1"&amp;totales!J456="0","p",IF(totales!E456="2"&amp;totales!H456="0"&amp;totales!I456="1"&amp;totales!J456="0","q",IF(totales!E456="3"&amp;totales!H456="0"&amp;totales!I456="1"&amp;totales!J456="0","r",IF(totales!E456="4"&amp;totales!H456="0"&amp;totales!I456="1"&amp;totales!J456="0","s",IF(totales!E456="6"&amp;totales!H456="0"&amp;totales!I456="1"&amp;totales!J456="0","t",IF(totales!E456="1"&amp;totales!H456="2"&amp;totales!I456="1"&amp;totales!J456="0","u",IF(totales!E456="2"&amp;totales!H456="2"&amp;totales!I456="1"&amp;totales!J456="0","v",IF(totales!E456="3"&amp;totales!H456="2"&amp;totales!I456="1"&amp;totales!J456="0","w",IF(totales!E456="4"&amp;totales!H456="2"&amp;totales!I456="1"&amp;totales!J456="0","x",
IF(totales!E456="6"&amp;totales!H456="2"&amp;totales!I456="1"&amp;totales!J456="0","y",IF(totales!E456="1"&amp;totales!H456="1"&amp;totales!I456="1"&amp;totales!J456="0","z",IF(totales!E456="2"&amp;totales!H456="1"&amp;totales!I456="1"&amp;totales!J456="0","0",IF(totales!E456="3"&amp;totales!H456="1"&amp;totales!I456="1"&amp;totales!J456="0","1",IF(totales!E456="4"&amp;totales!H456="1"&amp;totales!I456="1"&amp;totales!J456="0","2",IF(totales!E456="6"&amp;totales!H456="1"&amp;totales!I456="1"&amp;totales!J456="0","3",IF(totales!E456="1"&amp;totales!H456="0"&amp;totales!I456="1"&amp;totales!J456="1","4",IF(totales!E456="2"&amp;totales!H456="0"&amp;totales!I456="1"&amp;totales!J456="1","5",IF(totales!E456="3"&amp;totales!H456="0"&amp;totales!I456="1"&amp;totales!J456="1","6",IF(totales!E456="4"&amp;totales!H456="0"&amp;totales!I456="1"&amp;totales!J456="1","7",IF(totales!E456="6"&amp;totales!H456="0"&amp;totales!I456="1"&amp;totales!J456="1","8",IF(totales!E456="1"&amp;totales!H456="1"&amp;totales!I456="0"&amp;totales!J456="1","9"))))))))))))))))))))))))))))))))))))</f>
        <v>0</v>
      </c>
    </row>
    <row r="456" spans="22:22">
      <c r="V456" s="102" t="b">
        <f>IF(totales!E457="1"&amp;totales!H457="0"&amp;totales!I457="0"&amp;totales!J457="0","a",IF(totales!E457="2"&amp;totales!H457="0"&amp;totales!I457="0"&amp;totales!J457="0","b",IF(totales!E457="3"&amp;totales!H457="0"&amp;totales!I457="0"&amp;totales!J457="0","c",IF(totales!E457="4"&amp;totales!H457="0"&amp;totales!I457="0"&amp;totales!J457="0","d",IF(totales!E457="6"&amp;totales!H457="0"&amp;totales!I457="0"&amp;totales!J457="0","e",IF(totales!E457="1"&amp;totales!H457="1"&amp;totales!I457="0"&amp;totales!J457="0","f",IF(totales!E457="2"&amp;totales!H457="1"&amp;totales!I457="0"&amp;totales!J457="0","g",IF(totales!E457="3"&amp;totales!H457="1"&amp;totales!I457="0"&amp;totales!J457="0","h",IF(totales!E457="4"&amp;totales!H457="1"&amp;totales!I457="0"&amp;totales!J457="0","i",IF(totales!E457="6"&amp;totales!H457="1"&amp;totales!I457="0"&amp;totales!J457="0","j",IF(totales!E457="1"&amp;totales!H457="2"&amp;totales!I457="0"&amp;totales!J457="0","k",IF(totales!E457="2"&amp;totales!H457="2"&amp;totales!I457="0"&amp;totales!J457="0","l",IF(totales!E457="3"&amp;totales!H457="2"&amp;totales!I457="0"&amp;totales!J457="0","m",
IF(totales!E457="4"&amp;totales!H457="2"&amp;totales!I457="0"&amp;totales!J457="0","n",IF(totales!E457="6"&amp;totales!H457="2"&amp;totales!I457="0"&amp;totales!J457="0","o",IF(totales!E457="1"&amp;totales!H457="0"&amp;totales!I457="1"&amp;totales!J457="0","p",IF(totales!E457="2"&amp;totales!H457="0"&amp;totales!I457="1"&amp;totales!J457="0","q",IF(totales!E457="3"&amp;totales!H457="0"&amp;totales!I457="1"&amp;totales!J457="0","r",IF(totales!E457="4"&amp;totales!H457="0"&amp;totales!I457="1"&amp;totales!J457="0","s",IF(totales!E457="6"&amp;totales!H457="0"&amp;totales!I457="1"&amp;totales!J457="0","t",IF(totales!E457="1"&amp;totales!H457="2"&amp;totales!I457="1"&amp;totales!J457="0","u",IF(totales!E457="2"&amp;totales!H457="2"&amp;totales!I457="1"&amp;totales!J457="0","v",IF(totales!E457="3"&amp;totales!H457="2"&amp;totales!I457="1"&amp;totales!J457="0","w",IF(totales!E457="4"&amp;totales!H457="2"&amp;totales!I457="1"&amp;totales!J457="0","x",
IF(totales!E457="6"&amp;totales!H457="2"&amp;totales!I457="1"&amp;totales!J457="0","y",IF(totales!E457="1"&amp;totales!H457="1"&amp;totales!I457="1"&amp;totales!J457="0","z",IF(totales!E457="2"&amp;totales!H457="1"&amp;totales!I457="1"&amp;totales!J457="0","0",IF(totales!E457="3"&amp;totales!H457="1"&amp;totales!I457="1"&amp;totales!J457="0","1",IF(totales!E457="4"&amp;totales!H457="1"&amp;totales!I457="1"&amp;totales!J457="0","2",IF(totales!E457="6"&amp;totales!H457="1"&amp;totales!I457="1"&amp;totales!J457="0","3",IF(totales!E457="1"&amp;totales!H457="0"&amp;totales!I457="1"&amp;totales!J457="1","4",IF(totales!E457="2"&amp;totales!H457="0"&amp;totales!I457="1"&amp;totales!J457="1","5",IF(totales!E457="3"&amp;totales!H457="0"&amp;totales!I457="1"&amp;totales!J457="1","6",IF(totales!E457="4"&amp;totales!H457="0"&amp;totales!I457="1"&amp;totales!J457="1","7",IF(totales!E457="6"&amp;totales!H457="0"&amp;totales!I457="1"&amp;totales!J457="1","8",IF(totales!E457="1"&amp;totales!H457="1"&amp;totales!I457="0"&amp;totales!J457="1","9"))))))))))))))))))))))))))))))))))))</f>
        <v>0</v>
      </c>
    </row>
    <row r="457" spans="22:22">
      <c r="V457" s="102" t="b">
        <f>IF(totales!E458="1"&amp;totales!H458="0"&amp;totales!I458="0"&amp;totales!J458="0","a",IF(totales!E458="2"&amp;totales!H458="0"&amp;totales!I458="0"&amp;totales!J458="0","b",IF(totales!E458="3"&amp;totales!H458="0"&amp;totales!I458="0"&amp;totales!J458="0","c",IF(totales!E458="4"&amp;totales!H458="0"&amp;totales!I458="0"&amp;totales!J458="0","d",IF(totales!E458="6"&amp;totales!H458="0"&amp;totales!I458="0"&amp;totales!J458="0","e",IF(totales!E458="1"&amp;totales!H458="1"&amp;totales!I458="0"&amp;totales!J458="0","f",IF(totales!E458="2"&amp;totales!H458="1"&amp;totales!I458="0"&amp;totales!J458="0","g",IF(totales!E458="3"&amp;totales!H458="1"&amp;totales!I458="0"&amp;totales!J458="0","h",IF(totales!E458="4"&amp;totales!H458="1"&amp;totales!I458="0"&amp;totales!J458="0","i",IF(totales!E458="6"&amp;totales!H458="1"&amp;totales!I458="0"&amp;totales!J458="0","j",IF(totales!E458="1"&amp;totales!H458="2"&amp;totales!I458="0"&amp;totales!J458="0","k",IF(totales!E458="2"&amp;totales!H458="2"&amp;totales!I458="0"&amp;totales!J458="0","l",IF(totales!E458="3"&amp;totales!H458="2"&amp;totales!I458="0"&amp;totales!J458="0","m",
IF(totales!E458="4"&amp;totales!H458="2"&amp;totales!I458="0"&amp;totales!J458="0","n",IF(totales!E458="6"&amp;totales!H458="2"&amp;totales!I458="0"&amp;totales!J458="0","o",IF(totales!E458="1"&amp;totales!H458="0"&amp;totales!I458="1"&amp;totales!J458="0","p",IF(totales!E458="2"&amp;totales!H458="0"&amp;totales!I458="1"&amp;totales!J458="0","q",IF(totales!E458="3"&amp;totales!H458="0"&amp;totales!I458="1"&amp;totales!J458="0","r",IF(totales!E458="4"&amp;totales!H458="0"&amp;totales!I458="1"&amp;totales!J458="0","s",IF(totales!E458="6"&amp;totales!H458="0"&amp;totales!I458="1"&amp;totales!J458="0","t",IF(totales!E458="1"&amp;totales!H458="2"&amp;totales!I458="1"&amp;totales!J458="0","u",IF(totales!E458="2"&amp;totales!H458="2"&amp;totales!I458="1"&amp;totales!J458="0","v",IF(totales!E458="3"&amp;totales!H458="2"&amp;totales!I458="1"&amp;totales!J458="0","w",IF(totales!E458="4"&amp;totales!H458="2"&amp;totales!I458="1"&amp;totales!J458="0","x",
IF(totales!E458="6"&amp;totales!H458="2"&amp;totales!I458="1"&amp;totales!J458="0","y",IF(totales!E458="1"&amp;totales!H458="1"&amp;totales!I458="1"&amp;totales!J458="0","z",IF(totales!E458="2"&amp;totales!H458="1"&amp;totales!I458="1"&amp;totales!J458="0","0",IF(totales!E458="3"&amp;totales!H458="1"&amp;totales!I458="1"&amp;totales!J458="0","1",IF(totales!E458="4"&amp;totales!H458="1"&amp;totales!I458="1"&amp;totales!J458="0","2",IF(totales!E458="6"&amp;totales!H458="1"&amp;totales!I458="1"&amp;totales!J458="0","3",IF(totales!E458="1"&amp;totales!H458="0"&amp;totales!I458="1"&amp;totales!J458="1","4",IF(totales!E458="2"&amp;totales!H458="0"&amp;totales!I458="1"&amp;totales!J458="1","5",IF(totales!E458="3"&amp;totales!H458="0"&amp;totales!I458="1"&amp;totales!J458="1","6",IF(totales!E458="4"&amp;totales!H458="0"&amp;totales!I458="1"&amp;totales!J458="1","7",IF(totales!E458="6"&amp;totales!H458="0"&amp;totales!I458="1"&amp;totales!J458="1","8",IF(totales!E458="1"&amp;totales!H458="1"&amp;totales!I458="0"&amp;totales!J458="1","9"))))))))))))))))))))))))))))))))))))</f>
        <v>0</v>
      </c>
    </row>
    <row r="458" spans="22:22">
      <c r="V458" s="102" t="b">
        <f>IF(totales!E459="1"&amp;totales!H459="0"&amp;totales!I459="0"&amp;totales!J459="0","a",IF(totales!E459="2"&amp;totales!H459="0"&amp;totales!I459="0"&amp;totales!J459="0","b",IF(totales!E459="3"&amp;totales!H459="0"&amp;totales!I459="0"&amp;totales!J459="0","c",IF(totales!E459="4"&amp;totales!H459="0"&amp;totales!I459="0"&amp;totales!J459="0","d",IF(totales!E459="6"&amp;totales!H459="0"&amp;totales!I459="0"&amp;totales!J459="0","e",IF(totales!E459="1"&amp;totales!H459="1"&amp;totales!I459="0"&amp;totales!J459="0","f",IF(totales!E459="2"&amp;totales!H459="1"&amp;totales!I459="0"&amp;totales!J459="0","g",IF(totales!E459="3"&amp;totales!H459="1"&amp;totales!I459="0"&amp;totales!J459="0","h",IF(totales!E459="4"&amp;totales!H459="1"&amp;totales!I459="0"&amp;totales!J459="0","i",IF(totales!E459="6"&amp;totales!H459="1"&amp;totales!I459="0"&amp;totales!J459="0","j",IF(totales!E459="1"&amp;totales!H459="2"&amp;totales!I459="0"&amp;totales!J459="0","k",IF(totales!E459="2"&amp;totales!H459="2"&amp;totales!I459="0"&amp;totales!J459="0","l",IF(totales!E459="3"&amp;totales!H459="2"&amp;totales!I459="0"&amp;totales!J459="0","m",
IF(totales!E459="4"&amp;totales!H459="2"&amp;totales!I459="0"&amp;totales!J459="0","n",IF(totales!E459="6"&amp;totales!H459="2"&amp;totales!I459="0"&amp;totales!J459="0","o",IF(totales!E459="1"&amp;totales!H459="0"&amp;totales!I459="1"&amp;totales!J459="0","p",IF(totales!E459="2"&amp;totales!H459="0"&amp;totales!I459="1"&amp;totales!J459="0","q",IF(totales!E459="3"&amp;totales!H459="0"&amp;totales!I459="1"&amp;totales!J459="0","r",IF(totales!E459="4"&amp;totales!H459="0"&amp;totales!I459="1"&amp;totales!J459="0","s",IF(totales!E459="6"&amp;totales!H459="0"&amp;totales!I459="1"&amp;totales!J459="0","t",IF(totales!E459="1"&amp;totales!H459="2"&amp;totales!I459="1"&amp;totales!J459="0","u",IF(totales!E459="2"&amp;totales!H459="2"&amp;totales!I459="1"&amp;totales!J459="0","v",IF(totales!E459="3"&amp;totales!H459="2"&amp;totales!I459="1"&amp;totales!J459="0","w",IF(totales!E459="4"&amp;totales!H459="2"&amp;totales!I459="1"&amp;totales!J459="0","x",
IF(totales!E459="6"&amp;totales!H459="2"&amp;totales!I459="1"&amp;totales!J459="0","y",IF(totales!E459="1"&amp;totales!H459="1"&amp;totales!I459="1"&amp;totales!J459="0","z",IF(totales!E459="2"&amp;totales!H459="1"&amp;totales!I459="1"&amp;totales!J459="0","0",IF(totales!E459="3"&amp;totales!H459="1"&amp;totales!I459="1"&amp;totales!J459="0","1",IF(totales!E459="4"&amp;totales!H459="1"&amp;totales!I459="1"&amp;totales!J459="0","2",IF(totales!E459="6"&amp;totales!H459="1"&amp;totales!I459="1"&amp;totales!J459="0","3",IF(totales!E459="1"&amp;totales!H459="0"&amp;totales!I459="1"&amp;totales!J459="1","4",IF(totales!E459="2"&amp;totales!H459="0"&amp;totales!I459="1"&amp;totales!J459="1","5",IF(totales!E459="3"&amp;totales!H459="0"&amp;totales!I459="1"&amp;totales!J459="1","6",IF(totales!E459="4"&amp;totales!H459="0"&amp;totales!I459="1"&amp;totales!J459="1","7",IF(totales!E459="6"&amp;totales!H459="0"&amp;totales!I459="1"&amp;totales!J459="1","8",IF(totales!E459="1"&amp;totales!H459="1"&amp;totales!I459="0"&amp;totales!J459="1","9"))))))))))))))))))))))))))))))))))))</f>
        <v>0</v>
      </c>
    </row>
    <row r="459" spans="22:22">
      <c r="V459" s="102" t="b">
        <f>IF(totales!E460="1"&amp;totales!H460="0"&amp;totales!I460="0"&amp;totales!J460="0","a",IF(totales!E460="2"&amp;totales!H460="0"&amp;totales!I460="0"&amp;totales!J460="0","b",IF(totales!E460="3"&amp;totales!H460="0"&amp;totales!I460="0"&amp;totales!J460="0","c",IF(totales!E460="4"&amp;totales!H460="0"&amp;totales!I460="0"&amp;totales!J460="0","d",IF(totales!E460="6"&amp;totales!H460="0"&amp;totales!I460="0"&amp;totales!J460="0","e",IF(totales!E460="1"&amp;totales!H460="1"&amp;totales!I460="0"&amp;totales!J460="0","f",IF(totales!E460="2"&amp;totales!H460="1"&amp;totales!I460="0"&amp;totales!J460="0","g",IF(totales!E460="3"&amp;totales!H460="1"&amp;totales!I460="0"&amp;totales!J460="0","h",IF(totales!E460="4"&amp;totales!H460="1"&amp;totales!I460="0"&amp;totales!J460="0","i",IF(totales!E460="6"&amp;totales!H460="1"&amp;totales!I460="0"&amp;totales!J460="0","j",IF(totales!E460="1"&amp;totales!H460="2"&amp;totales!I460="0"&amp;totales!J460="0","k",IF(totales!E460="2"&amp;totales!H460="2"&amp;totales!I460="0"&amp;totales!J460="0","l",IF(totales!E460="3"&amp;totales!H460="2"&amp;totales!I460="0"&amp;totales!J460="0","m",
IF(totales!E460="4"&amp;totales!H460="2"&amp;totales!I460="0"&amp;totales!J460="0","n",IF(totales!E460="6"&amp;totales!H460="2"&amp;totales!I460="0"&amp;totales!J460="0","o",IF(totales!E460="1"&amp;totales!H460="0"&amp;totales!I460="1"&amp;totales!J460="0","p",IF(totales!E460="2"&amp;totales!H460="0"&amp;totales!I460="1"&amp;totales!J460="0","q",IF(totales!E460="3"&amp;totales!H460="0"&amp;totales!I460="1"&amp;totales!J460="0","r",IF(totales!E460="4"&amp;totales!H460="0"&amp;totales!I460="1"&amp;totales!J460="0","s",IF(totales!E460="6"&amp;totales!H460="0"&amp;totales!I460="1"&amp;totales!J460="0","t",IF(totales!E460="1"&amp;totales!H460="2"&amp;totales!I460="1"&amp;totales!J460="0","u",IF(totales!E460="2"&amp;totales!H460="2"&amp;totales!I460="1"&amp;totales!J460="0","v",IF(totales!E460="3"&amp;totales!H460="2"&amp;totales!I460="1"&amp;totales!J460="0","w",IF(totales!E460="4"&amp;totales!H460="2"&amp;totales!I460="1"&amp;totales!J460="0","x",
IF(totales!E460="6"&amp;totales!H460="2"&amp;totales!I460="1"&amp;totales!J460="0","y",IF(totales!E460="1"&amp;totales!H460="1"&amp;totales!I460="1"&amp;totales!J460="0","z",IF(totales!E460="2"&amp;totales!H460="1"&amp;totales!I460="1"&amp;totales!J460="0","0",IF(totales!E460="3"&amp;totales!H460="1"&amp;totales!I460="1"&amp;totales!J460="0","1",IF(totales!E460="4"&amp;totales!H460="1"&amp;totales!I460="1"&amp;totales!J460="0","2",IF(totales!E460="6"&amp;totales!H460="1"&amp;totales!I460="1"&amp;totales!J460="0","3",IF(totales!E460="1"&amp;totales!H460="0"&amp;totales!I460="1"&amp;totales!J460="1","4",IF(totales!E460="2"&amp;totales!H460="0"&amp;totales!I460="1"&amp;totales!J460="1","5",IF(totales!E460="3"&amp;totales!H460="0"&amp;totales!I460="1"&amp;totales!J460="1","6",IF(totales!E460="4"&amp;totales!H460="0"&amp;totales!I460="1"&amp;totales!J460="1","7",IF(totales!E460="6"&amp;totales!H460="0"&amp;totales!I460="1"&amp;totales!J460="1","8",IF(totales!E460="1"&amp;totales!H460="1"&amp;totales!I460="0"&amp;totales!J460="1","9"))))))))))))))))))))))))))))))))))))</f>
        <v>0</v>
      </c>
    </row>
    <row r="460" spans="22:22">
      <c r="V460" s="102" t="b">
        <f>IF(totales!E461="1"&amp;totales!H461="0"&amp;totales!I461="0"&amp;totales!J461="0","a",IF(totales!E461="2"&amp;totales!H461="0"&amp;totales!I461="0"&amp;totales!J461="0","b",IF(totales!E461="3"&amp;totales!H461="0"&amp;totales!I461="0"&amp;totales!J461="0","c",IF(totales!E461="4"&amp;totales!H461="0"&amp;totales!I461="0"&amp;totales!J461="0","d",IF(totales!E461="6"&amp;totales!H461="0"&amp;totales!I461="0"&amp;totales!J461="0","e",IF(totales!E461="1"&amp;totales!H461="1"&amp;totales!I461="0"&amp;totales!J461="0","f",IF(totales!E461="2"&amp;totales!H461="1"&amp;totales!I461="0"&amp;totales!J461="0","g",IF(totales!E461="3"&amp;totales!H461="1"&amp;totales!I461="0"&amp;totales!J461="0","h",IF(totales!E461="4"&amp;totales!H461="1"&amp;totales!I461="0"&amp;totales!J461="0","i",IF(totales!E461="6"&amp;totales!H461="1"&amp;totales!I461="0"&amp;totales!J461="0","j",IF(totales!E461="1"&amp;totales!H461="2"&amp;totales!I461="0"&amp;totales!J461="0","k",IF(totales!E461="2"&amp;totales!H461="2"&amp;totales!I461="0"&amp;totales!J461="0","l",IF(totales!E461="3"&amp;totales!H461="2"&amp;totales!I461="0"&amp;totales!J461="0","m",
IF(totales!E461="4"&amp;totales!H461="2"&amp;totales!I461="0"&amp;totales!J461="0","n",IF(totales!E461="6"&amp;totales!H461="2"&amp;totales!I461="0"&amp;totales!J461="0","o",IF(totales!E461="1"&amp;totales!H461="0"&amp;totales!I461="1"&amp;totales!J461="0","p",IF(totales!E461="2"&amp;totales!H461="0"&amp;totales!I461="1"&amp;totales!J461="0","q",IF(totales!E461="3"&amp;totales!H461="0"&amp;totales!I461="1"&amp;totales!J461="0","r",IF(totales!E461="4"&amp;totales!H461="0"&amp;totales!I461="1"&amp;totales!J461="0","s",IF(totales!E461="6"&amp;totales!H461="0"&amp;totales!I461="1"&amp;totales!J461="0","t",IF(totales!E461="1"&amp;totales!H461="2"&amp;totales!I461="1"&amp;totales!J461="0","u",IF(totales!E461="2"&amp;totales!H461="2"&amp;totales!I461="1"&amp;totales!J461="0","v",IF(totales!E461="3"&amp;totales!H461="2"&amp;totales!I461="1"&amp;totales!J461="0","w",IF(totales!E461="4"&amp;totales!H461="2"&amp;totales!I461="1"&amp;totales!J461="0","x",
IF(totales!E461="6"&amp;totales!H461="2"&amp;totales!I461="1"&amp;totales!J461="0","y",IF(totales!E461="1"&amp;totales!H461="1"&amp;totales!I461="1"&amp;totales!J461="0","z",IF(totales!E461="2"&amp;totales!H461="1"&amp;totales!I461="1"&amp;totales!J461="0","0",IF(totales!E461="3"&amp;totales!H461="1"&amp;totales!I461="1"&amp;totales!J461="0","1",IF(totales!E461="4"&amp;totales!H461="1"&amp;totales!I461="1"&amp;totales!J461="0","2",IF(totales!E461="6"&amp;totales!H461="1"&amp;totales!I461="1"&amp;totales!J461="0","3",IF(totales!E461="1"&amp;totales!H461="0"&amp;totales!I461="1"&amp;totales!J461="1","4",IF(totales!E461="2"&amp;totales!H461="0"&amp;totales!I461="1"&amp;totales!J461="1","5",IF(totales!E461="3"&amp;totales!H461="0"&amp;totales!I461="1"&amp;totales!J461="1","6",IF(totales!E461="4"&amp;totales!H461="0"&amp;totales!I461="1"&amp;totales!J461="1","7",IF(totales!E461="6"&amp;totales!H461="0"&amp;totales!I461="1"&amp;totales!J461="1","8",IF(totales!E461="1"&amp;totales!H461="1"&amp;totales!I461="0"&amp;totales!J461="1","9"))))))))))))))))))))))))))))))))))))</f>
        <v>0</v>
      </c>
    </row>
    <row r="461" spans="22:22">
      <c r="V461" s="102" t="b">
        <f>IF(totales!E462="1"&amp;totales!H462="0"&amp;totales!I462="0"&amp;totales!J462="0","a",IF(totales!E462="2"&amp;totales!H462="0"&amp;totales!I462="0"&amp;totales!J462="0","b",IF(totales!E462="3"&amp;totales!H462="0"&amp;totales!I462="0"&amp;totales!J462="0","c",IF(totales!E462="4"&amp;totales!H462="0"&amp;totales!I462="0"&amp;totales!J462="0","d",IF(totales!E462="6"&amp;totales!H462="0"&amp;totales!I462="0"&amp;totales!J462="0","e",IF(totales!E462="1"&amp;totales!H462="1"&amp;totales!I462="0"&amp;totales!J462="0","f",IF(totales!E462="2"&amp;totales!H462="1"&amp;totales!I462="0"&amp;totales!J462="0","g",IF(totales!E462="3"&amp;totales!H462="1"&amp;totales!I462="0"&amp;totales!J462="0","h",IF(totales!E462="4"&amp;totales!H462="1"&amp;totales!I462="0"&amp;totales!J462="0","i",IF(totales!E462="6"&amp;totales!H462="1"&amp;totales!I462="0"&amp;totales!J462="0","j",IF(totales!E462="1"&amp;totales!H462="2"&amp;totales!I462="0"&amp;totales!J462="0","k",IF(totales!E462="2"&amp;totales!H462="2"&amp;totales!I462="0"&amp;totales!J462="0","l",IF(totales!E462="3"&amp;totales!H462="2"&amp;totales!I462="0"&amp;totales!J462="0","m",
IF(totales!E462="4"&amp;totales!H462="2"&amp;totales!I462="0"&amp;totales!J462="0","n",IF(totales!E462="6"&amp;totales!H462="2"&amp;totales!I462="0"&amp;totales!J462="0","o",IF(totales!E462="1"&amp;totales!H462="0"&amp;totales!I462="1"&amp;totales!J462="0","p",IF(totales!E462="2"&amp;totales!H462="0"&amp;totales!I462="1"&amp;totales!J462="0","q",IF(totales!E462="3"&amp;totales!H462="0"&amp;totales!I462="1"&amp;totales!J462="0","r",IF(totales!E462="4"&amp;totales!H462="0"&amp;totales!I462="1"&amp;totales!J462="0","s",IF(totales!E462="6"&amp;totales!H462="0"&amp;totales!I462="1"&amp;totales!J462="0","t",IF(totales!E462="1"&amp;totales!H462="2"&amp;totales!I462="1"&amp;totales!J462="0","u",IF(totales!E462="2"&amp;totales!H462="2"&amp;totales!I462="1"&amp;totales!J462="0","v",IF(totales!E462="3"&amp;totales!H462="2"&amp;totales!I462="1"&amp;totales!J462="0","w",IF(totales!E462="4"&amp;totales!H462="2"&amp;totales!I462="1"&amp;totales!J462="0","x",
IF(totales!E462="6"&amp;totales!H462="2"&amp;totales!I462="1"&amp;totales!J462="0","y",IF(totales!E462="1"&amp;totales!H462="1"&amp;totales!I462="1"&amp;totales!J462="0","z",IF(totales!E462="2"&amp;totales!H462="1"&amp;totales!I462="1"&amp;totales!J462="0","0",IF(totales!E462="3"&amp;totales!H462="1"&amp;totales!I462="1"&amp;totales!J462="0","1",IF(totales!E462="4"&amp;totales!H462="1"&amp;totales!I462="1"&amp;totales!J462="0","2",IF(totales!E462="6"&amp;totales!H462="1"&amp;totales!I462="1"&amp;totales!J462="0","3",IF(totales!E462="1"&amp;totales!H462="0"&amp;totales!I462="1"&amp;totales!J462="1","4",IF(totales!E462="2"&amp;totales!H462="0"&amp;totales!I462="1"&amp;totales!J462="1","5",IF(totales!E462="3"&amp;totales!H462="0"&amp;totales!I462="1"&amp;totales!J462="1","6",IF(totales!E462="4"&amp;totales!H462="0"&amp;totales!I462="1"&amp;totales!J462="1","7",IF(totales!E462="6"&amp;totales!H462="0"&amp;totales!I462="1"&amp;totales!J462="1","8",IF(totales!E462="1"&amp;totales!H462="1"&amp;totales!I462="0"&amp;totales!J462="1","9"))))))))))))))))))))))))))))))))))))</f>
        <v>0</v>
      </c>
    </row>
    <row r="462" spans="22:22">
      <c r="V462" s="102" t="b">
        <f>IF(totales!E463="1"&amp;totales!H463="0"&amp;totales!I463="0"&amp;totales!J463="0","a",IF(totales!E463="2"&amp;totales!H463="0"&amp;totales!I463="0"&amp;totales!J463="0","b",IF(totales!E463="3"&amp;totales!H463="0"&amp;totales!I463="0"&amp;totales!J463="0","c",IF(totales!E463="4"&amp;totales!H463="0"&amp;totales!I463="0"&amp;totales!J463="0","d",IF(totales!E463="6"&amp;totales!H463="0"&amp;totales!I463="0"&amp;totales!J463="0","e",IF(totales!E463="1"&amp;totales!H463="1"&amp;totales!I463="0"&amp;totales!J463="0","f",IF(totales!E463="2"&amp;totales!H463="1"&amp;totales!I463="0"&amp;totales!J463="0","g",IF(totales!E463="3"&amp;totales!H463="1"&amp;totales!I463="0"&amp;totales!J463="0","h",IF(totales!E463="4"&amp;totales!H463="1"&amp;totales!I463="0"&amp;totales!J463="0","i",IF(totales!E463="6"&amp;totales!H463="1"&amp;totales!I463="0"&amp;totales!J463="0","j",IF(totales!E463="1"&amp;totales!H463="2"&amp;totales!I463="0"&amp;totales!J463="0","k",IF(totales!E463="2"&amp;totales!H463="2"&amp;totales!I463="0"&amp;totales!J463="0","l",IF(totales!E463="3"&amp;totales!H463="2"&amp;totales!I463="0"&amp;totales!J463="0","m",
IF(totales!E463="4"&amp;totales!H463="2"&amp;totales!I463="0"&amp;totales!J463="0","n",IF(totales!E463="6"&amp;totales!H463="2"&amp;totales!I463="0"&amp;totales!J463="0","o",IF(totales!E463="1"&amp;totales!H463="0"&amp;totales!I463="1"&amp;totales!J463="0","p",IF(totales!E463="2"&amp;totales!H463="0"&amp;totales!I463="1"&amp;totales!J463="0","q",IF(totales!E463="3"&amp;totales!H463="0"&amp;totales!I463="1"&amp;totales!J463="0","r",IF(totales!E463="4"&amp;totales!H463="0"&amp;totales!I463="1"&amp;totales!J463="0","s",IF(totales!E463="6"&amp;totales!H463="0"&amp;totales!I463="1"&amp;totales!J463="0","t",IF(totales!E463="1"&amp;totales!H463="2"&amp;totales!I463="1"&amp;totales!J463="0","u",IF(totales!E463="2"&amp;totales!H463="2"&amp;totales!I463="1"&amp;totales!J463="0","v",IF(totales!E463="3"&amp;totales!H463="2"&amp;totales!I463="1"&amp;totales!J463="0","w",IF(totales!E463="4"&amp;totales!H463="2"&amp;totales!I463="1"&amp;totales!J463="0","x",
IF(totales!E463="6"&amp;totales!H463="2"&amp;totales!I463="1"&amp;totales!J463="0","y",IF(totales!E463="1"&amp;totales!H463="1"&amp;totales!I463="1"&amp;totales!J463="0","z",IF(totales!E463="2"&amp;totales!H463="1"&amp;totales!I463="1"&amp;totales!J463="0","0",IF(totales!E463="3"&amp;totales!H463="1"&amp;totales!I463="1"&amp;totales!J463="0","1",IF(totales!E463="4"&amp;totales!H463="1"&amp;totales!I463="1"&amp;totales!J463="0","2",IF(totales!E463="6"&amp;totales!H463="1"&amp;totales!I463="1"&amp;totales!J463="0","3",IF(totales!E463="1"&amp;totales!H463="0"&amp;totales!I463="1"&amp;totales!J463="1","4",IF(totales!E463="2"&amp;totales!H463="0"&amp;totales!I463="1"&amp;totales!J463="1","5",IF(totales!E463="3"&amp;totales!H463="0"&amp;totales!I463="1"&amp;totales!J463="1","6",IF(totales!E463="4"&amp;totales!H463="0"&amp;totales!I463="1"&amp;totales!J463="1","7",IF(totales!E463="6"&amp;totales!H463="0"&amp;totales!I463="1"&amp;totales!J463="1","8",IF(totales!E463="1"&amp;totales!H463="1"&amp;totales!I463="0"&amp;totales!J463="1","9"))))))))))))))))))))))))))))))))))))</f>
        <v>0</v>
      </c>
    </row>
    <row r="463" spans="22:22">
      <c r="V463" s="102" t="b">
        <f>IF(totales!E464="1"&amp;totales!H464="0"&amp;totales!I464="0"&amp;totales!J464="0","a",IF(totales!E464="2"&amp;totales!H464="0"&amp;totales!I464="0"&amp;totales!J464="0","b",IF(totales!E464="3"&amp;totales!H464="0"&amp;totales!I464="0"&amp;totales!J464="0","c",IF(totales!E464="4"&amp;totales!H464="0"&amp;totales!I464="0"&amp;totales!J464="0","d",IF(totales!E464="6"&amp;totales!H464="0"&amp;totales!I464="0"&amp;totales!J464="0","e",IF(totales!E464="1"&amp;totales!H464="1"&amp;totales!I464="0"&amp;totales!J464="0","f",IF(totales!E464="2"&amp;totales!H464="1"&amp;totales!I464="0"&amp;totales!J464="0","g",IF(totales!E464="3"&amp;totales!H464="1"&amp;totales!I464="0"&amp;totales!J464="0","h",IF(totales!E464="4"&amp;totales!H464="1"&amp;totales!I464="0"&amp;totales!J464="0","i",IF(totales!E464="6"&amp;totales!H464="1"&amp;totales!I464="0"&amp;totales!J464="0","j",IF(totales!E464="1"&amp;totales!H464="2"&amp;totales!I464="0"&amp;totales!J464="0","k",IF(totales!E464="2"&amp;totales!H464="2"&amp;totales!I464="0"&amp;totales!J464="0","l",IF(totales!E464="3"&amp;totales!H464="2"&amp;totales!I464="0"&amp;totales!J464="0","m",
IF(totales!E464="4"&amp;totales!H464="2"&amp;totales!I464="0"&amp;totales!J464="0","n",IF(totales!E464="6"&amp;totales!H464="2"&amp;totales!I464="0"&amp;totales!J464="0","o",IF(totales!E464="1"&amp;totales!H464="0"&amp;totales!I464="1"&amp;totales!J464="0","p",IF(totales!E464="2"&amp;totales!H464="0"&amp;totales!I464="1"&amp;totales!J464="0","q",IF(totales!E464="3"&amp;totales!H464="0"&amp;totales!I464="1"&amp;totales!J464="0","r",IF(totales!E464="4"&amp;totales!H464="0"&amp;totales!I464="1"&amp;totales!J464="0","s",IF(totales!E464="6"&amp;totales!H464="0"&amp;totales!I464="1"&amp;totales!J464="0","t",IF(totales!E464="1"&amp;totales!H464="2"&amp;totales!I464="1"&amp;totales!J464="0","u",IF(totales!E464="2"&amp;totales!H464="2"&amp;totales!I464="1"&amp;totales!J464="0","v",IF(totales!E464="3"&amp;totales!H464="2"&amp;totales!I464="1"&amp;totales!J464="0","w",IF(totales!E464="4"&amp;totales!H464="2"&amp;totales!I464="1"&amp;totales!J464="0","x",
IF(totales!E464="6"&amp;totales!H464="2"&amp;totales!I464="1"&amp;totales!J464="0","y",IF(totales!E464="1"&amp;totales!H464="1"&amp;totales!I464="1"&amp;totales!J464="0","z",IF(totales!E464="2"&amp;totales!H464="1"&amp;totales!I464="1"&amp;totales!J464="0","0",IF(totales!E464="3"&amp;totales!H464="1"&amp;totales!I464="1"&amp;totales!J464="0","1",IF(totales!E464="4"&amp;totales!H464="1"&amp;totales!I464="1"&amp;totales!J464="0","2",IF(totales!E464="6"&amp;totales!H464="1"&amp;totales!I464="1"&amp;totales!J464="0","3",IF(totales!E464="1"&amp;totales!H464="0"&amp;totales!I464="1"&amp;totales!J464="1","4",IF(totales!E464="2"&amp;totales!H464="0"&amp;totales!I464="1"&amp;totales!J464="1","5",IF(totales!E464="3"&amp;totales!H464="0"&amp;totales!I464="1"&amp;totales!J464="1","6",IF(totales!E464="4"&amp;totales!H464="0"&amp;totales!I464="1"&amp;totales!J464="1","7",IF(totales!E464="6"&amp;totales!H464="0"&amp;totales!I464="1"&amp;totales!J464="1","8",IF(totales!E464="1"&amp;totales!H464="1"&amp;totales!I464="0"&amp;totales!J464="1","9"))))))))))))))))))))))))))))))))))))</f>
        <v>0</v>
      </c>
    </row>
    <row r="464" spans="22:22">
      <c r="V464" s="102" t="b">
        <f>IF(totales!E465="1"&amp;totales!H465="0"&amp;totales!I465="0"&amp;totales!J465="0","a",IF(totales!E465="2"&amp;totales!H465="0"&amp;totales!I465="0"&amp;totales!J465="0","b",IF(totales!E465="3"&amp;totales!H465="0"&amp;totales!I465="0"&amp;totales!J465="0","c",IF(totales!E465="4"&amp;totales!H465="0"&amp;totales!I465="0"&amp;totales!J465="0","d",IF(totales!E465="6"&amp;totales!H465="0"&amp;totales!I465="0"&amp;totales!J465="0","e",IF(totales!E465="1"&amp;totales!H465="1"&amp;totales!I465="0"&amp;totales!J465="0","f",IF(totales!E465="2"&amp;totales!H465="1"&amp;totales!I465="0"&amp;totales!J465="0","g",IF(totales!E465="3"&amp;totales!H465="1"&amp;totales!I465="0"&amp;totales!J465="0","h",IF(totales!E465="4"&amp;totales!H465="1"&amp;totales!I465="0"&amp;totales!J465="0","i",IF(totales!E465="6"&amp;totales!H465="1"&amp;totales!I465="0"&amp;totales!J465="0","j",IF(totales!E465="1"&amp;totales!H465="2"&amp;totales!I465="0"&amp;totales!J465="0","k",IF(totales!E465="2"&amp;totales!H465="2"&amp;totales!I465="0"&amp;totales!J465="0","l",IF(totales!E465="3"&amp;totales!H465="2"&amp;totales!I465="0"&amp;totales!J465="0","m",
IF(totales!E465="4"&amp;totales!H465="2"&amp;totales!I465="0"&amp;totales!J465="0","n",IF(totales!E465="6"&amp;totales!H465="2"&amp;totales!I465="0"&amp;totales!J465="0","o",IF(totales!E465="1"&amp;totales!H465="0"&amp;totales!I465="1"&amp;totales!J465="0","p",IF(totales!E465="2"&amp;totales!H465="0"&amp;totales!I465="1"&amp;totales!J465="0","q",IF(totales!E465="3"&amp;totales!H465="0"&amp;totales!I465="1"&amp;totales!J465="0","r",IF(totales!E465="4"&amp;totales!H465="0"&amp;totales!I465="1"&amp;totales!J465="0","s",IF(totales!E465="6"&amp;totales!H465="0"&amp;totales!I465="1"&amp;totales!J465="0","t",IF(totales!E465="1"&amp;totales!H465="2"&amp;totales!I465="1"&amp;totales!J465="0","u",IF(totales!E465="2"&amp;totales!H465="2"&amp;totales!I465="1"&amp;totales!J465="0","v",IF(totales!E465="3"&amp;totales!H465="2"&amp;totales!I465="1"&amp;totales!J465="0","w",IF(totales!E465="4"&amp;totales!H465="2"&amp;totales!I465="1"&amp;totales!J465="0","x",
IF(totales!E465="6"&amp;totales!H465="2"&amp;totales!I465="1"&amp;totales!J465="0","y",IF(totales!E465="1"&amp;totales!H465="1"&amp;totales!I465="1"&amp;totales!J465="0","z",IF(totales!E465="2"&amp;totales!H465="1"&amp;totales!I465="1"&amp;totales!J465="0","0",IF(totales!E465="3"&amp;totales!H465="1"&amp;totales!I465="1"&amp;totales!J465="0","1",IF(totales!E465="4"&amp;totales!H465="1"&amp;totales!I465="1"&amp;totales!J465="0","2",IF(totales!E465="6"&amp;totales!H465="1"&amp;totales!I465="1"&amp;totales!J465="0","3",IF(totales!E465="1"&amp;totales!H465="0"&amp;totales!I465="1"&amp;totales!J465="1","4",IF(totales!E465="2"&amp;totales!H465="0"&amp;totales!I465="1"&amp;totales!J465="1","5",IF(totales!E465="3"&amp;totales!H465="0"&amp;totales!I465="1"&amp;totales!J465="1","6",IF(totales!E465="4"&amp;totales!H465="0"&amp;totales!I465="1"&amp;totales!J465="1","7",IF(totales!E465="6"&amp;totales!H465="0"&amp;totales!I465="1"&amp;totales!J465="1","8",IF(totales!E465="1"&amp;totales!H465="1"&amp;totales!I465="0"&amp;totales!J465="1","9"))))))))))))))))))))))))))))))))))))</f>
        <v>0</v>
      </c>
    </row>
    <row r="465" spans="22:22">
      <c r="V465" s="102" t="b">
        <f>IF(totales!E466="1"&amp;totales!H466="0"&amp;totales!I466="0"&amp;totales!J466="0","a",IF(totales!E466="2"&amp;totales!H466="0"&amp;totales!I466="0"&amp;totales!J466="0","b",IF(totales!E466="3"&amp;totales!H466="0"&amp;totales!I466="0"&amp;totales!J466="0","c",IF(totales!E466="4"&amp;totales!H466="0"&amp;totales!I466="0"&amp;totales!J466="0","d",IF(totales!E466="6"&amp;totales!H466="0"&amp;totales!I466="0"&amp;totales!J466="0","e",IF(totales!E466="1"&amp;totales!H466="1"&amp;totales!I466="0"&amp;totales!J466="0","f",IF(totales!E466="2"&amp;totales!H466="1"&amp;totales!I466="0"&amp;totales!J466="0","g",IF(totales!E466="3"&amp;totales!H466="1"&amp;totales!I466="0"&amp;totales!J466="0","h",IF(totales!E466="4"&amp;totales!H466="1"&amp;totales!I466="0"&amp;totales!J466="0","i",IF(totales!E466="6"&amp;totales!H466="1"&amp;totales!I466="0"&amp;totales!J466="0","j",IF(totales!E466="1"&amp;totales!H466="2"&amp;totales!I466="0"&amp;totales!J466="0","k",IF(totales!E466="2"&amp;totales!H466="2"&amp;totales!I466="0"&amp;totales!J466="0","l",IF(totales!E466="3"&amp;totales!H466="2"&amp;totales!I466="0"&amp;totales!J466="0","m",
IF(totales!E466="4"&amp;totales!H466="2"&amp;totales!I466="0"&amp;totales!J466="0","n",IF(totales!E466="6"&amp;totales!H466="2"&amp;totales!I466="0"&amp;totales!J466="0","o",IF(totales!E466="1"&amp;totales!H466="0"&amp;totales!I466="1"&amp;totales!J466="0","p",IF(totales!E466="2"&amp;totales!H466="0"&amp;totales!I466="1"&amp;totales!J466="0","q",IF(totales!E466="3"&amp;totales!H466="0"&amp;totales!I466="1"&amp;totales!J466="0","r",IF(totales!E466="4"&amp;totales!H466="0"&amp;totales!I466="1"&amp;totales!J466="0","s",IF(totales!E466="6"&amp;totales!H466="0"&amp;totales!I466="1"&amp;totales!J466="0","t",IF(totales!E466="1"&amp;totales!H466="2"&amp;totales!I466="1"&amp;totales!J466="0","u",IF(totales!E466="2"&amp;totales!H466="2"&amp;totales!I466="1"&amp;totales!J466="0","v",IF(totales!E466="3"&amp;totales!H466="2"&amp;totales!I466="1"&amp;totales!J466="0","w",IF(totales!E466="4"&amp;totales!H466="2"&amp;totales!I466="1"&amp;totales!J466="0","x",
IF(totales!E466="6"&amp;totales!H466="2"&amp;totales!I466="1"&amp;totales!J466="0","y",IF(totales!E466="1"&amp;totales!H466="1"&amp;totales!I466="1"&amp;totales!J466="0","z",IF(totales!E466="2"&amp;totales!H466="1"&amp;totales!I466="1"&amp;totales!J466="0","0",IF(totales!E466="3"&amp;totales!H466="1"&amp;totales!I466="1"&amp;totales!J466="0","1",IF(totales!E466="4"&amp;totales!H466="1"&amp;totales!I466="1"&amp;totales!J466="0","2",IF(totales!E466="6"&amp;totales!H466="1"&amp;totales!I466="1"&amp;totales!J466="0","3",IF(totales!E466="1"&amp;totales!H466="0"&amp;totales!I466="1"&amp;totales!J466="1","4",IF(totales!E466="2"&amp;totales!H466="0"&amp;totales!I466="1"&amp;totales!J466="1","5",IF(totales!E466="3"&amp;totales!H466="0"&amp;totales!I466="1"&amp;totales!J466="1","6",IF(totales!E466="4"&amp;totales!H466="0"&amp;totales!I466="1"&amp;totales!J466="1","7",IF(totales!E466="6"&amp;totales!H466="0"&amp;totales!I466="1"&amp;totales!J466="1","8",IF(totales!E466="1"&amp;totales!H466="1"&amp;totales!I466="0"&amp;totales!J466="1","9"))))))))))))))))))))))))))))))))))))</f>
        <v>0</v>
      </c>
    </row>
    <row r="466" spans="22:22">
      <c r="V466" s="102" t="b">
        <f>IF(totales!E467="1"&amp;totales!H467="0"&amp;totales!I467="0"&amp;totales!J467="0","a",IF(totales!E467="2"&amp;totales!H467="0"&amp;totales!I467="0"&amp;totales!J467="0","b",IF(totales!E467="3"&amp;totales!H467="0"&amp;totales!I467="0"&amp;totales!J467="0","c",IF(totales!E467="4"&amp;totales!H467="0"&amp;totales!I467="0"&amp;totales!J467="0","d",IF(totales!E467="6"&amp;totales!H467="0"&amp;totales!I467="0"&amp;totales!J467="0","e",IF(totales!E467="1"&amp;totales!H467="1"&amp;totales!I467="0"&amp;totales!J467="0","f",IF(totales!E467="2"&amp;totales!H467="1"&amp;totales!I467="0"&amp;totales!J467="0","g",IF(totales!E467="3"&amp;totales!H467="1"&amp;totales!I467="0"&amp;totales!J467="0","h",IF(totales!E467="4"&amp;totales!H467="1"&amp;totales!I467="0"&amp;totales!J467="0","i",IF(totales!E467="6"&amp;totales!H467="1"&amp;totales!I467="0"&amp;totales!J467="0","j",IF(totales!E467="1"&amp;totales!H467="2"&amp;totales!I467="0"&amp;totales!J467="0","k",IF(totales!E467="2"&amp;totales!H467="2"&amp;totales!I467="0"&amp;totales!J467="0","l",IF(totales!E467="3"&amp;totales!H467="2"&amp;totales!I467="0"&amp;totales!J467="0","m",
IF(totales!E467="4"&amp;totales!H467="2"&amp;totales!I467="0"&amp;totales!J467="0","n",IF(totales!E467="6"&amp;totales!H467="2"&amp;totales!I467="0"&amp;totales!J467="0","o",IF(totales!E467="1"&amp;totales!H467="0"&amp;totales!I467="1"&amp;totales!J467="0","p",IF(totales!E467="2"&amp;totales!H467="0"&amp;totales!I467="1"&amp;totales!J467="0","q",IF(totales!E467="3"&amp;totales!H467="0"&amp;totales!I467="1"&amp;totales!J467="0","r",IF(totales!E467="4"&amp;totales!H467="0"&amp;totales!I467="1"&amp;totales!J467="0","s",IF(totales!E467="6"&amp;totales!H467="0"&amp;totales!I467="1"&amp;totales!J467="0","t",IF(totales!E467="1"&amp;totales!H467="2"&amp;totales!I467="1"&amp;totales!J467="0","u",IF(totales!E467="2"&amp;totales!H467="2"&amp;totales!I467="1"&amp;totales!J467="0","v",IF(totales!E467="3"&amp;totales!H467="2"&amp;totales!I467="1"&amp;totales!J467="0","w",IF(totales!E467="4"&amp;totales!H467="2"&amp;totales!I467="1"&amp;totales!J467="0","x",
IF(totales!E467="6"&amp;totales!H467="2"&amp;totales!I467="1"&amp;totales!J467="0","y",IF(totales!E467="1"&amp;totales!H467="1"&amp;totales!I467="1"&amp;totales!J467="0","z",IF(totales!E467="2"&amp;totales!H467="1"&amp;totales!I467="1"&amp;totales!J467="0","0",IF(totales!E467="3"&amp;totales!H467="1"&amp;totales!I467="1"&amp;totales!J467="0","1",IF(totales!E467="4"&amp;totales!H467="1"&amp;totales!I467="1"&amp;totales!J467="0","2",IF(totales!E467="6"&amp;totales!H467="1"&amp;totales!I467="1"&amp;totales!J467="0","3",IF(totales!E467="1"&amp;totales!H467="0"&amp;totales!I467="1"&amp;totales!J467="1","4",IF(totales!E467="2"&amp;totales!H467="0"&amp;totales!I467="1"&amp;totales!J467="1","5",IF(totales!E467="3"&amp;totales!H467="0"&amp;totales!I467="1"&amp;totales!J467="1","6",IF(totales!E467="4"&amp;totales!H467="0"&amp;totales!I467="1"&amp;totales!J467="1","7",IF(totales!E467="6"&amp;totales!H467="0"&amp;totales!I467="1"&amp;totales!J467="1","8",IF(totales!E467="1"&amp;totales!H467="1"&amp;totales!I467="0"&amp;totales!J467="1","9"))))))))))))))))))))))))))))))))))))</f>
        <v>0</v>
      </c>
    </row>
    <row r="467" spans="22:22">
      <c r="V467" s="102" t="b">
        <f>IF(totales!E468="1"&amp;totales!H468="0"&amp;totales!I468="0"&amp;totales!J468="0","a",IF(totales!E468="2"&amp;totales!H468="0"&amp;totales!I468="0"&amp;totales!J468="0","b",IF(totales!E468="3"&amp;totales!H468="0"&amp;totales!I468="0"&amp;totales!J468="0","c",IF(totales!E468="4"&amp;totales!H468="0"&amp;totales!I468="0"&amp;totales!J468="0","d",IF(totales!E468="6"&amp;totales!H468="0"&amp;totales!I468="0"&amp;totales!J468="0","e",IF(totales!E468="1"&amp;totales!H468="1"&amp;totales!I468="0"&amp;totales!J468="0","f",IF(totales!E468="2"&amp;totales!H468="1"&amp;totales!I468="0"&amp;totales!J468="0","g",IF(totales!E468="3"&amp;totales!H468="1"&amp;totales!I468="0"&amp;totales!J468="0","h",IF(totales!E468="4"&amp;totales!H468="1"&amp;totales!I468="0"&amp;totales!J468="0","i",IF(totales!E468="6"&amp;totales!H468="1"&amp;totales!I468="0"&amp;totales!J468="0","j",IF(totales!E468="1"&amp;totales!H468="2"&amp;totales!I468="0"&amp;totales!J468="0","k",IF(totales!E468="2"&amp;totales!H468="2"&amp;totales!I468="0"&amp;totales!J468="0","l",IF(totales!E468="3"&amp;totales!H468="2"&amp;totales!I468="0"&amp;totales!J468="0","m",
IF(totales!E468="4"&amp;totales!H468="2"&amp;totales!I468="0"&amp;totales!J468="0","n",IF(totales!E468="6"&amp;totales!H468="2"&amp;totales!I468="0"&amp;totales!J468="0","o",IF(totales!E468="1"&amp;totales!H468="0"&amp;totales!I468="1"&amp;totales!J468="0","p",IF(totales!E468="2"&amp;totales!H468="0"&amp;totales!I468="1"&amp;totales!J468="0","q",IF(totales!E468="3"&amp;totales!H468="0"&amp;totales!I468="1"&amp;totales!J468="0","r",IF(totales!E468="4"&amp;totales!H468="0"&amp;totales!I468="1"&amp;totales!J468="0","s",IF(totales!E468="6"&amp;totales!H468="0"&amp;totales!I468="1"&amp;totales!J468="0","t",IF(totales!E468="1"&amp;totales!H468="2"&amp;totales!I468="1"&amp;totales!J468="0","u",IF(totales!E468="2"&amp;totales!H468="2"&amp;totales!I468="1"&amp;totales!J468="0","v",IF(totales!E468="3"&amp;totales!H468="2"&amp;totales!I468="1"&amp;totales!J468="0","w",IF(totales!E468="4"&amp;totales!H468="2"&amp;totales!I468="1"&amp;totales!J468="0","x",
IF(totales!E468="6"&amp;totales!H468="2"&amp;totales!I468="1"&amp;totales!J468="0","y",IF(totales!E468="1"&amp;totales!H468="1"&amp;totales!I468="1"&amp;totales!J468="0","z",IF(totales!E468="2"&amp;totales!H468="1"&amp;totales!I468="1"&amp;totales!J468="0","0",IF(totales!E468="3"&amp;totales!H468="1"&amp;totales!I468="1"&amp;totales!J468="0","1",IF(totales!E468="4"&amp;totales!H468="1"&amp;totales!I468="1"&amp;totales!J468="0","2",IF(totales!E468="6"&amp;totales!H468="1"&amp;totales!I468="1"&amp;totales!J468="0","3",IF(totales!E468="1"&amp;totales!H468="0"&amp;totales!I468="1"&amp;totales!J468="1","4",IF(totales!E468="2"&amp;totales!H468="0"&amp;totales!I468="1"&amp;totales!J468="1","5",IF(totales!E468="3"&amp;totales!H468="0"&amp;totales!I468="1"&amp;totales!J468="1","6",IF(totales!E468="4"&amp;totales!H468="0"&amp;totales!I468="1"&amp;totales!J468="1","7",IF(totales!E468="6"&amp;totales!H468="0"&amp;totales!I468="1"&amp;totales!J468="1","8",IF(totales!E468="1"&amp;totales!H468="1"&amp;totales!I468="0"&amp;totales!J468="1","9"))))))))))))))))))))))))))))))))))))</f>
        <v>0</v>
      </c>
    </row>
    <row r="468" spans="22:22">
      <c r="V468" s="102" t="b">
        <f>IF(totales!E469="1"&amp;totales!H469="0"&amp;totales!I469="0"&amp;totales!J469="0","a",IF(totales!E469="2"&amp;totales!H469="0"&amp;totales!I469="0"&amp;totales!J469="0","b",IF(totales!E469="3"&amp;totales!H469="0"&amp;totales!I469="0"&amp;totales!J469="0","c",IF(totales!E469="4"&amp;totales!H469="0"&amp;totales!I469="0"&amp;totales!J469="0","d",IF(totales!E469="6"&amp;totales!H469="0"&amp;totales!I469="0"&amp;totales!J469="0","e",IF(totales!E469="1"&amp;totales!H469="1"&amp;totales!I469="0"&amp;totales!J469="0","f",IF(totales!E469="2"&amp;totales!H469="1"&amp;totales!I469="0"&amp;totales!J469="0","g",IF(totales!E469="3"&amp;totales!H469="1"&amp;totales!I469="0"&amp;totales!J469="0","h",IF(totales!E469="4"&amp;totales!H469="1"&amp;totales!I469="0"&amp;totales!J469="0","i",IF(totales!E469="6"&amp;totales!H469="1"&amp;totales!I469="0"&amp;totales!J469="0","j",IF(totales!E469="1"&amp;totales!H469="2"&amp;totales!I469="0"&amp;totales!J469="0","k",IF(totales!E469="2"&amp;totales!H469="2"&amp;totales!I469="0"&amp;totales!J469="0","l",IF(totales!E469="3"&amp;totales!H469="2"&amp;totales!I469="0"&amp;totales!J469="0","m",
IF(totales!E469="4"&amp;totales!H469="2"&amp;totales!I469="0"&amp;totales!J469="0","n",IF(totales!E469="6"&amp;totales!H469="2"&amp;totales!I469="0"&amp;totales!J469="0","o",IF(totales!E469="1"&amp;totales!H469="0"&amp;totales!I469="1"&amp;totales!J469="0","p",IF(totales!E469="2"&amp;totales!H469="0"&amp;totales!I469="1"&amp;totales!J469="0","q",IF(totales!E469="3"&amp;totales!H469="0"&amp;totales!I469="1"&amp;totales!J469="0","r",IF(totales!E469="4"&amp;totales!H469="0"&amp;totales!I469="1"&amp;totales!J469="0","s",IF(totales!E469="6"&amp;totales!H469="0"&amp;totales!I469="1"&amp;totales!J469="0","t",IF(totales!E469="1"&amp;totales!H469="2"&amp;totales!I469="1"&amp;totales!J469="0","u",IF(totales!E469="2"&amp;totales!H469="2"&amp;totales!I469="1"&amp;totales!J469="0","v",IF(totales!E469="3"&amp;totales!H469="2"&amp;totales!I469="1"&amp;totales!J469="0","w",IF(totales!E469="4"&amp;totales!H469="2"&amp;totales!I469="1"&amp;totales!J469="0","x",
IF(totales!E469="6"&amp;totales!H469="2"&amp;totales!I469="1"&amp;totales!J469="0","y",IF(totales!E469="1"&amp;totales!H469="1"&amp;totales!I469="1"&amp;totales!J469="0","z",IF(totales!E469="2"&amp;totales!H469="1"&amp;totales!I469="1"&amp;totales!J469="0","0",IF(totales!E469="3"&amp;totales!H469="1"&amp;totales!I469="1"&amp;totales!J469="0","1",IF(totales!E469="4"&amp;totales!H469="1"&amp;totales!I469="1"&amp;totales!J469="0","2",IF(totales!E469="6"&amp;totales!H469="1"&amp;totales!I469="1"&amp;totales!J469="0","3",IF(totales!E469="1"&amp;totales!H469="0"&amp;totales!I469="1"&amp;totales!J469="1","4",IF(totales!E469="2"&amp;totales!H469="0"&amp;totales!I469="1"&amp;totales!J469="1","5",IF(totales!E469="3"&amp;totales!H469="0"&amp;totales!I469="1"&amp;totales!J469="1","6",IF(totales!E469="4"&amp;totales!H469="0"&amp;totales!I469="1"&amp;totales!J469="1","7",IF(totales!E469="6"&amp;totales!H469="0"&amp;totales!I469="1"&amp;totales!J469="1","8",IF(totales!E469="1"&amp;totales!H469="1"&amp;totales!I469="0"&amp;totales!J469="1","9"))))))))))))))))))))))))))))))))))))</f>
        <v>0</v>
      </c>
    </row>
    <row r="469" spans="22:22">
      <c r="V469" s="102" t="b">
        <f>IF(totales!E470="1"&amp;totales!H470="0"&amp;totales!I470="0"&amp;totales!J470="0","a",IF(totales!E470="2"&amp;totales!H470="0"&amp;totales!I470="0"&amp;totales!J470="0","b",IF(totales!E470="3"&amp;totales!H470="0"&amp;totales!I470="0"&amp;totales!J470="0","c",IF(totales!E470="4"&amp;totales!H470="0"&amp;totales!I470="0"&amp;totales!J470="0","d",IF(totales!E470="6"&amp;totales!H470="0"&amp;totales!I470="0"&amp;totales!J470="0","e",IF(totales!E470="1"&amp;totales!H470="1"&amp;totales!I470="0"&amp;totales!J470="0","f",IF(totales!E470="2"&amp;totales!H470="1"&amp;totales!I470="0"&amp;totales!J470="0","g",IF(totales!E470="3"&amp;totales!H470="1"&amp;totales!I470="0"&amp;totales!J470="0","h",IF(totales!E470="4"&amp;totales!H470="1"&amp;totales!I470="0"&amp;totales!J470="0","i",IF(totales!E470="6"&amp;totales!H470="1"&amp;totales!I470="0"&amp;totales!J470="0","j",IF(totales!E470="1"&amp;totales!H470="2"&amp;totales!I470="0"&amp;totales!J470="0","k",IF(totales!E470="2"&amp;totales!H470="2"&amp;totales!I470="0"&amp;totales!J470="0","l",IF(totales!E470="3"&amp;totales!H470="2"&amp;totales!I470="0"&amp;totales!J470="0","m",
IF(totales!E470="4"&amp;totales!H470="2"&amp;totales!I470="0"&amp;totales!J470="0","n",IF(totales!E470="6"&amp;totales!H470="2"&amp;totales!I470="0"&amp;totales!J470="0","o",IF(totales!E470="1"&amp;totales!H470="0"&amp;totales!I470="1"&amp;totales!J470="0","p",IF(totales!E470="2"&amp;totales!H470="0"&amp;totales!I470="1"&amp;totales!J470="0","q",IF(totales!E470="3"&amp;totales!H470="0"&amp;totales!I470="1"&amp;totales!J470="0","r",IF(totales!E470="4"&amp;totales!H470="0"&amp;totales!I470="1"&amp;totales!J470="0","s",IF(totales!E470="6"&amp;totales!H470="0"&amp;totales!I470="1"&amp;totales!J470="0","t",IF(totales!E470="1"&amp;totales!H470="2"&amp;totales!I470="1"&amp;totales!J470="0","u",IF(totales!E470="2"&amp;totales!H470="2"&amp;totales!I470="1"&amp;totales!J470="0","v",IF(totales!E470="3"&amp;totales!H470="2"&amp;totales!I470="1"&amp;totales!J470="0","w",IF(totales!E470="4"&amp;totales!H470="2"&amp;totales!I470="1"&amp;totales!J470="0","x",
IF(totales!E470="6"&amp;totales!H470="2"&amp;totales!I470="1"&amp;totales!J470="0","y",IF(totales!E470="1"&amp;totales!H470="1"&amp;totales!I470="1"&amp;totales!J470="0","z",IF(totales!E470="2"&amp;totales!H470="1"&amp;totales!I470="1"&amp;totales!J470="0","0",IF(totales!E470="3"&amp;totales!H470="1"&amp;totales!I470="1"&amp;totales!J470="0","1",IF(totales!E470="4"&amp;totales!H470="1"&amp;totales!I470="1"&amp;totales!J470="0","2",IF(totales!E470="6"&amp;totales!H470="1"&amp;totales!I470="1"&amp;totales!J470="0","3",IF(totales!E470="1"&amp;totales!H470="0"&amp;totales!I470="1"&amp;totales!J470="1","4",IF(totales!E470="2"&amp;totales!H470="0"&amp;totales!I470="1"&amp;totales!J470="1","5",IF(totales!E470="3"&amp;totales!H470="0"&amp;totales!I470="1"&amp;totales!J470="1","6",IF(totales!E470="4"&amp;totales!H470="0"&amp;totales!I470="1"&amp;totales!J470="1","7",IF(totales!E470="6"&amp;totales!H470="0"&amp;totales!I470="1"&amp;totales!J470="1","8",IF(totales!E470="1"&amp;totales!H470="1"&amp;totales!I470="0"&amp;totales!J470="1","9"))))))))))))))))))))))))))))))))))))</f>
        <v>0</v>
      </c>
    </row>
    <row r="470" spans="22:22">
      <c r="V470" s="102" t="b">
        <f>IF(totales!E471="1"&amp;totales!H471="0"&amp;totales!I471="0"&amp;totales!J471="0","a",IF(totales!E471="2"&amp;totales!H471="0"&amp;totales!I471="0"&amp;totales!J471="0","b",IF(totales!E471="3"&amp;totales!H471="0"&amp;totales!I471="0"&amp;totales!J471="0","c",IF(totales!E471="4"&amp;totales!H471="0"&amp;totales!I471="0"&amp;totales!J471="0","d",IF(totales!E471="6"&amp;totales!H471="0"&amp;totales!I471="0"&amp;totales!J471="0","e",IF(totales!E471="1"&amp;totales!H471="1"&amp;totales!I471="0"&amp;totales!J471="0","f",IF(totales!E471="2"&amp;totales!H471="1"&amp;totales!I471="0"&amp;totales!J471="0","g",IF(totales!E471="3"&amp;totales!H471="1"&amp;totales!I471="0"&amp;totales!J471="0","h",IF(totales!E471="4"&amp;totales!H471="1"&amp;totales!I471="0"&amp;totales!J471="0","i",IF(totales!E471="6"&amp;totales!H471="1"&amp;totales!I471="0"&amp;totales!J471="0","j",IF(totales!E471="1"&amp;totales!H471="2"&amp;totales!I471="0"&amp;totales!J471="0","k",IF(totales!E471="2"&amp;totales!H471="2"&amp;totales!I471="0"&amp;totales!J471="0","l",IF(totales!E471="3"&amp;totales!H471="2"&amp;totales!I471="0"&amp;totales!J471="0","m",
IF(totales!E471="4"&amp;totales!H471="2"&amp;totales!I471="0"&amp;totales!J471="0","n",IF(totales!E471="6"&amp;totales!H471="2"&amp;totales!I471="0"&amp;totales!J471="0","o",IF(totales!E471="1"&amp;totales!H471="0"&amp;totales!I471="1"&amp;totales!J471="0","p",IF(totales!E471="2"&amp;totales!H471="0"&amp;totales!I471="1"&amp;totales!J471="0","q",IF(totales!E471="3"&amp;totales!H471="0"&amp;totales!I471="1"&amp;totales!J471="0","r",IF(totales!E471="4"&amp;totales!H471="0"&amp;totales!I471="1"&amp;totales!J471="0","s",IF(totales!E471="6"&amp;totales!H471="0"&amp;totales!I471="1"&amp;totales!J471="0","t",IF(totales!E471="1"&amp;totales!H471="2"&amp;totales!I471="1"&amp;totales!J471="0","u",IF(totales!E471="2"&amp;totales!H471="2"&amp;totales!I471="1"&amp;totales!J471="0","v",IF(totales!E471="3"&amp;totales!H471="2"&amp;totales!I471="1"&amp;totales!J471="0","w",IF(totales!E471="4"&amp;totales!H471="2"&amp;totales!I471="1"&amp;totales!J471="0","x",
IF(totales!E471="6"&amp;totales!H471="2"&amp;totales!I471="1"&amp;totales!J471="0","y",IF(totales!E471="1"&amp;totales!H471="1"&amp;totales!I471="1"&amp;totales!J471="0","z",IF(totales!E471="2"&amp;totales!H471="1"&amp;totales!I471="1"&amp;totales!J471="0","0",IF(totales!E471="3"&amp;totales!H471="1"&amp;totales!I471="1"&amp;totales!J471="0","1",IF(totales!E471="4"&amp;totales!H471="1"&amp;totales!I471="1"&amp;totales!J471="0","2",IF(totales!E471="6"&amp;totales!H471="1"&amp;totales!I471="1"&amp;totales!J471="0","3",IF(totales!E471="1"&amp;totales!H471="0"&amp;totales!I471="1"&amp;totales!J471="1","4",IF(totales!E471="2"&amp;totales!H471="0"&amp;totales!I471="1"&amp;totales!J471="1","5",IF(totales!E471="3"&amp;totales!H471="0"&amp;totales!I471="1"&amp;totales!J471="1","6",IF(totales!E471="4"&amp;totales!H471="0"&amp;totales!I471="1"&amp;totales!J471="1","7",IF(totales!E471="6"&amp;totales!H471="0"&amp;totales!I471="1"&amp;totales!J471="1","8",IF(totales!E471="1"&amp;totales!H471="1"&amp;totales!I471="0"&amp;totales!J471="1","9"))))))))))))))))))))))))))))))))))))</f>
        <v>0</v>
      </c>
    </row>
    <row r="471" spans="22:22">
      <c r="V471" s="102" t="b">
        <f>IF(totales!E472="1"&amp;totales!H472="0"&amp;totales!I472="0"&amp;totales!J472="0","a",IF(totales!E472="2"&amp;totales!H472="0"&amp;totales!I472="0"&amp;totales!J472="0","b",IF(totales!E472="3"&amp;totales!H472="0"&amp;totales!I472="0"&amp;totales!J472="0","c",IF(totales!E472="4"&amp;totales!H472="0"&amp;totales!I472="0"&amp;totales!J472="0","d",IF(totales!E472="6"&amp;totales!H472="0"&amp;totales!I472="0"&amp;totales!J472="0","e",IF(totales!E472="1"&amp;totales!H472="1"&amp;totales!I472="0"&amp;totales!J472="0","f",IF(totales!E472="2"&amp;totales!H472="1"&amp;totales!I472="0"&amp;totales!J472="0","g",IF(totales!E472="3"&amp;totales!H472="1"&amp;totales!I472="0"&amp;totales!J472="0","h",IF(totales!E472="4"&amp;totales!H472="1"&amp;totales!I472="0"&amp;totales!J472="0","i",IF(totales!E472="6"&amp;totales!H472="1"&amp;totales!I472="0"&amp;totales!J472="0","j",IF(totales!E472="1"&amp;totales!H472="2"&amp;totales!I472="0"&amp;totales!J472="0","k",IF(totales!E472="2"&amp;totales!H472="2"&amp;totales!I472="0"&amp;totales!J472="0","l",IF(totales!E472="3"&amp;totales!H472="2"&amp;totales!I472="0"&amp;totales!J472="0","m",
IF(totales!E472="4"&amp;totales!H472="2"&amp;totales!I472="0"&amp;totales!J472="0","n",IF(totales!E472="6"&amp;totales!H472="2"&amp;totales!I472="0"&amp;totales!J472="0","o",IF(totales!E472="1"&amp;totales!H472="0"&amp;totales!I472="1"&amp;totales!J472="0","p",IF(totales!E472="2"&amp;totales!H472="0"&amp;totales!I472="1"&amp;totales!J472="0","q",IF(totales!E472="3"&amp;totales!H472="0"&amp;totales!I472="1"&amp;totales!J472="0","r",IF(totales!E472="4"&amp;totales!H472="0"&amp;totales!I472="1"&amp;totales!J472="0","s",IF(totales!E472="6"&amp;totales!H472="0"&amp;totales!I472="1"&amp;totales!J472="0","t",IF(totales!E472="1"&amp;totales!H472="2"&amp;totales!I472="1"&amp;totales!J472="0","u",IF(totales!E472="2"&amp;totales!H472="2"&amp;totales!I472="1"&amp;totales!J472="0","v",IF(totales!E472="3"&amp;totales!H472="2"&amp;totales!I472="1"&amp;totales!J472="0","w",IF(totales!E472="4"&amp;totales!H472="2"&amp;totales!I472="1"&amp;totales!J472="0","x",
IF(totales!E472="6"&amp;totales!H472="2"&amp;totales!I472="1"&amp;totales!J472="0","y",IF(totales!E472="1"&amp;totales!H472="1"&amp;totales!I472="1"&amp;totales!J472="0","z",IF(totales!E472="2"&amp;totales!H472="1"&amp;totales!I472="1"&amp;totales!J472="0","0",IF(totales!E472="3"&amp;totales!H472="1"&amp;totales!I472="1"&amp;totales!J472="0","1",IF(totales!E472="4"&amp;totales!H472="1"&amp;totales!I472="1"&amp;totales!J472="0","2",IF(totales!E472="6"&amp;totales!H472="1"&amp;totales!I472="1"&amp;totales!J472="0","3",IF(totales!E472="1"&amp;totales!H472="0"&amp;totales!I472="1"&amp;totales!J472="1","4",IF(totales!E472="2"&amp;totales!H472="0"&amp;totales!I472="1"&amp;totales!J472="1","5",IF(totales!E472="3"&amp;totales!H472="0"&amp;totales!I472="1"&amp;totales!J472="1","6",IF(totales!E472="4"&amp;totales!H472="0"&amp;totales!I472="1"&amp;totales!J472="1","7",IF(totales!E472="6"&amp;totales!H472="0"&amp;totales!I472="1"&amp;totales!J472="1","8",IF(totales!E472="1"&amp;totales!H472="1"&amp;totales!I472="0"&amp;totales!J472="1","9"))))))))))))))))))))))))))))))))))))</f>
        <v>0</v>
      </c>
    </row>
    <row r="472" spans="22:22">
      <c r="V472" s="102" t="b">
        <f>IF(totales!E473="1"&amp;totales!H473="0"&amp;totales!I473="0"&amp;totales!J473="0","a",IF(totales!E473="2"&amp;totales!H473="0"&amp;totales!I473="0"&amp;totales!J473="0","b",IF(totales!E473="3"&amp;totales!H473="0"&amp;totales!I473="0"&amp;totales!J473="0","c",IF(totales!E473="4"&amp;totales!H473="0"&amp;totales!I473="0"&amp;totales!J473="0","d",IF(totales!E473="6"&amp;totales!H473="0"&amp;totales!I473="0"&amp;totales!J473="0","e",IF(totales!E473="1"&amp;totales!H473="1"&amp;totales!I473="0"&amp;totales!J473="0","f",IF(totales!E473="2"&amp;totales!H473="1"&amp;totales!I473="0"&amp;totales!J473="0","g",IF(totales!E473="3"&amp;totales!H473="1"&amp;totales!I473="0"&amp;totales!J473="0","h",IF(totales!E473="4"&amp;totales!H473="1"&amp;totales!I473="0"&amp;totales!J473="0","i",IF(totales!E473="6"&amp;totales!H473="1"&amp;totales!I473="0"&amp;totales!J473="0","j",IF(totales!E473="1"&amp;totales!H473="2"&amp;totales!I473="0"&amp;totales!J473="0","k",IF(totales!E473="2"&amp;totales!H473="2"&amp;totales!I473="0"&amp;totales!J473="0","l",IF(totales!E473="3"&amp;totales!H473="2"&amp;totales!I473="0"&amp;totales!J473="0","m",
IF(totales!E473="4"&amp;totales!H473="2"&amp;totales!I473="0"&amp;totales!J473="0","n",IF(totales!E473="6"&amp;totales!H473="2"&amp;totales!I473="0"&amp;totales!J473="0","o",IF(totales!E473="1"&amp;totales!H473="0"&amp;totales!I473="1"&amp;totales!J473="0","p",IF(totales!E473="2"&amp;totales!H473="0"&amp;totales!I473="1"&amp;totales!J473="0","q",IF(totales!E473="3"&amp;totales!H473="0"&amp;totales!I473="1"&amp;totales!J473="0","r",IF(totales!E473="4"&amp;totales!H473="0"&amp;totales!I473="1"&amp;totales!J473="0","s",IF(totales!E473="6"&amp;totales!H473="0"&amp;totales!I473="1"&amp;totales!J473="0","t",IF(totales!E473="1"&amp;totales!H473="2"&amp;totales!I473="1"&amp;totales!J473="0","u",IF(totales!E473="2"&amp;totales!H473="2"&amp;totales!I473="1"&amp;totales!J473="0","v",IF(totales!E473="3"&amp;totales!H473="2"&amp;totales!I473="1"&amp;totales!J473="0","w",IF(totales!E473="4"&amp;totales!H473="2"&amp;totales!I473="1"&amp;totales!J473="0","x",
IF(totales!E473="6"&amp;totales!H473="2"&amp;totales!I473="1"&amp;totales!J473="0","y",IF(totales!E473="1"&amp;totales!H473="1"&amp;totales!I473="1"&amp;totales!J473="0","z",IF(totales!E473="2"&amp;totales!H473="1"&amp;totales!I473="1"&amp;totales!J473="0","0",IF(totales!E473="3"&amp;totales!H473="1"&amp;totales!I473="1"&amp;totales!J473="0","1",IF(totales!E473="4"&amp;totales!H473="1"&amp;totales!I473="1"&amp;totales!J473="0","2",IF(totales!E473="6"&amp;totales!H473="1"&amp;totales!I473="1"&amp;totales!J473="0","3",IF(totales!E473="1"&amp;totales!H473="0"&amp;totales!I473="1"&amp;totales!J473="1","4",IF(totales!E473="2"&amp;totales!H473="0"&amp;totales!I473="1"&amp;totales!J473="1","5",IF(totales!E473="3"&amp;totales!H473="0"&amp;totales!I473="1"&amp;totales!J473="1","6",IF(totales!E473="4"&amp;totales!H473="0"&amp;totales!I473="1"&amp;totales!J473="1","7",IF(totales!E473="6"&amp;totales!H473="0"&amp;totales!I473="1"&amp;totales!J473="1","8",IF(totales!E473="1"&amp;totales!H473="1"&amp;totales!I473="0"&amp;totales!J473="1","9"))))))))))))))))))))))))))))))))))))</f>
        <v>0</v>
      </c>
    </row>
    <row r="473" spans="22:22">
      <c r="V473" s="102" t="b">
        <f>IF(totales!E474="1"&amp;totales!H474="0"&amp;totales!I474="0"&amp;totales!J474="0","a",IF(totales!E474="2"&amp;totales!H474="0"&amp;totales!I474="0"&amp;totales!J474="0","b",IF(totales!E474="3"&amp;totales!H474="0"&amp;totales!I474="0"&amp;totales!J474="0","c",IF(totales!E474="4"&amp;totales!H474="0"&amp;totales!I474="0"&amp;totales!J474="0","d",IF(totales!E474="6"&amp;totales!H474="0"&amp;totales!I474="0"&amp;totales!J474="0","e",IF(totales!E474="1"&amp;totales!H474="1"&amp;totales!I474="0"&amp;totales!J474="0","f",IF(totales!E474="2"&amp;totales!H474="1"&amp;totales!I474="0"&amp;totales!J474="0","g",IF(totales!E474="3"&amp;totales!H474="1"&amp;totales!I474="0"&amp;totales!J474="0","h",IF(totales!E474="4"&amp;totales!H474="1"&amp;totales!I474="0"&amp;totales!J474="0","i",IF(totales!E474="6"&amp;totales!H474="1"&amp;totales!I474="0"&amp;totales!J474="0","j",IF(totales!E474="1"&amp;totales!H474="2"&amp;totales!I474="0"&amp;totales!J474="0","k",IF(totales!E474="2"&amp;totales!H474="2"&amp;totales!I474="0"&amp;totales!J474="0","l",IF(totales!E474="3"&amp;totales!H474="2"&amp;totales!I474="0"&amp;totales!J474="0","m",
IF(totales!E474="4"&amp;totales!H474="2"&amp;totales!I474="0"&amp;totales!J474="0","n",IF(totales!E474="6"&amp;totales!H474="2"&amp;totales!I474="0"&amp;totales!J474="0","o",IF(totales!E474="1"&amp;totales!H474="0"&amp;totales!I474="1"&amp;totales!J474="0","p",IF(totales!E474="2"&amp;totales!H474="0"&amp;totales!I474="1"&amp;totales!J474="0","q",IF(totales!E474="3"&amp;totales!H474="0"&amp;totales!I474="1"&amp;totales!J474="0","r",IF(totales!E474="4"&amp;totales!H474="0"&amp;totales!I474="1"&amp;totales!J474="0","s",IF(totales!E474="6"&amp;totales!H474="0"&amp;totales!I474="1"&amp;totales!J474="0","t",IF(totales!E474="1"&amp;totales!H474="2"&amp;totales!I474="1"&amp;totales!J474="0","u",IF(totales!E474="2"&amp;totales!H474="2"&amp;totales!I474="1"&amp;totales!J474="0","v",IF(totales!E474="3"&amp;totales!H474="2"&amp;totales!I474="1"&amp;totales!J474="0","w",IF(totales!E474="4"&amp;totales!H474="2"&amp;totales!I474="1"&amp;totales!J474="0","x",
IF(totales!E474="6"&amp;totales!H474="2"&amp;totales!I474="1"&amp;totales!J474="0","y",IF(totales!E474="1"&amp;totales!H474="1"&amp;totales!I474="1"&amp;totales!J474="0","z",IF(totales!E474="2"&amp;totales!H474="1"&amp;totales!I474="1"&amp;totales!J474="0","0",IF(totales!E474="3"&amp;totales!H474="1"&amp;totales!I474="1"&amp;totales!J474="0","1",IF(totales!E474="4"&amp;totales!H474="1"&amp;totales!I474="1"&amp;totales!J474="0","2",IF(totales!E474="6"&amp;totales!H474="1"&amp;totales!I474="1"&amp;totales!J474="0","3",IF(totales!E474="1"&amp;totales!H474="0"&amp;totales!I474="1"&amp;totales!J474="1","4",IF(totales!E474="2"&amp;totales!H474="0"&amp;totales!I474="1"&amp;totales!J474="1","5",IF(totales!E474="3"&amp;totales!H474="0"&amp;totales!I474="1"&amp;totales!J474="1","6",IF(totales!E474="4"&amp;totales!H474="0"&amp;totales!I474="1"&amp;totales!J474="1","7",IF(totales!E474="6"&amp;totales!H474="0"&amp;totales!I474="1"&amp;totales!J474="1","8",IF(totales!E474="1"&amp;totales!H474="1"&amp;totales!I474="0"&amp;totales!J474="1","9"))))))))))))))))))))))))))))))))))))</f>
        <v>0</v>
      </c>
    </row>
    <row r="474" spans="22:22">
      <c r="V474" s="102" t="b">
        <f>IF(totales!E475="1"&amp;totales!H475="0"&amp;totales!I475="0"&amp;totales!J475="0","a",IF(totales!E475="2"&amp;totales!H475="0"&amp;totales!I475="0"&amp;totales!J475="0","b",IF(totales!E475="3"&amp;totales!H475="0"&amp;totales!I475="0"&amp;totales!J475="0","c",IF(totales!E475="4"&amp;totales!H475="0"&amp;totales!I475="0"&amp;totales!J475="0","d",IF(totales!E475="6"&amp;totales!H475="0"&amp;totales!I475="0"&amp;totales!J475="0","e",IF(totales!E475="1"&amp;totales!H475="1"&amp;totales!I475="0"&amp;totales!J475="0","f",IF(totales!E475="2"&amp;totales!H475="1"&amp;totales!I475="0"&amp;totales!J475="0","g",IF(totales!E475="3"&amp;totales!H475="1"&amp;totales!I475="0"&amp;totales!J475="0","h",IF(totales!E475="4"&amp;totales!H475="1"&amp;totales!I475="0"&amp;totales!J475="0","i",IF(totales!E475="6"&amp;totales!H475="1"&amp;totales!I475="0"&amp;totales!J475="0","j",IF(totales!E475="1"&amp;totales!H475="2"&amp;totales!I475="0"&amp;totales!J475="0","k",IF(totales!E475="2"&amp;totales!H475="2"&amp;totales!I475="0"&amp;totales!J475="0","l",IF(totales!E475="3"&amp;totales!H475="2"&amp;totales!I475="0"&amp;totales!J475="0","m",
IF(totales!E475="4"&amp;totales!H475="2"&amp;totales!I475="0"&amp;totales!J475="0","n",IF(totales!E475="6"&amp;totales!H475="2"&amp;totales!I475="0"&amp;totales!J475="0","o",IF(totales!E475="1"&amp;totales!H475="0"&amp;totales!I475="1"&amp;totales!J475="0","p",IF(totales!E475="2"&amp;totales!H475="0"&amp;totales!I475="1"&amp;totales!J475="0","q",IF(totales!E475="3"&amp;totales!H475="0"&amp;totales!I475="1"&amp;totales!J475="0","r",IF(totales!E475="4"&amp;totales!H475="0"&amp;totales!I475="1"&amp;totales!J475="0","s",IF(totales!E475="6"&amp;totales!H475="0"&amp;totales!I475="1"&amp;totales!J475="0","t",IF(totales!E475="1"&amp;totales!H475="2"&amp;totales!I475="1"&amp;totales!J475="0","u",IF(totales!E475="2"&amp;totales!H475="2"&amp;totales!I475="1"&amp;totales!J475="0","v",IF(totales!E475="3"&amp;totales!H475="2"&amp;totales!I475="1"&amp;totales!J475="0","w",IF(totales!E475="4"&amp;totales!H475="2"&amp;totales!I475="1"&amp;totales!J475="0","x",
IF(totales!E475="6"&amp;totales!H475="2"&amp;totales!I475="1"&amp;totales!J475="0","y",IF(totales!E475="1"&amp;totales!H475="1"&amp;totales!I475="1"&amp;totales!J475="0","z",IF(totales!E475="2"&amp;totales!H475="1"&amp;totales!I475="1"&amp;totales!J475="0","0",IF(totales!E475="3"&amp;totales!H475="1"&amp;totales!I475="1"&amp;totales!J475="0","1",IF(totales!E475="4"&amp;totales!H475="1"&amp;totales!I475="1"&amp;totales!J475="0","2",IF(totales!E475="6"&amp;totales!H475="1"&amp;totales!I475="1"&amp;totales!J475="0","3",IF(totales!E475="1"&amp;totales!H475="0"&amp;totales!I475="1"&amp;totales!J475="1","4",IF(totales!E475="2"&amp;totales!H475="0"&amp;totales!I475="1"&amp;totales!J475="1","5",IF(totales!E475="3"&amp;totales!H475="0"&amp;totales!I475="1"&amp;totales!J475="1","6",IF(totales!E475="4"&amp;totales!H475="0"&amp;totales!I475="1"&amp;totales!J475="1","7",IF(totales!E475="6"&amp;totales!H475="0"&amp;totales!I475="1"&amp;totales!J475="1","8",IF(totales!E475="1"&amp;totales!H475="1"&amp;totales!I475="0"&amp;totales!J475="1","9"))))))))))))))))))))))))))))))))))))</f>
        <v>0</v>
      </c>
    </row>
    <row r="475" spans="22:22">
      <c r="V475" s="102" t="b">
        <f>IF(totales!E476="1"&amp;totales!H476="0"&amp;totales!I476="0"&amp;totales!J476="0","a",IF(totales!E476="2"&amp;totales!H476="0"&amp;totales!I476="0"&amp;totales!J476="0","b",IF(totales!E476="3"&amp;totales!H476="0"&amp;totales!I476="0"&amp;totales!J476="0","c",IF(totales!E476="4"&amp;totales!H476="0"&amp;totales!I476="0"&amp;totales!J476="0","d",IF(totales!E476="6"&amp;totales!H476="0"&amp;totales!I476="0"&amp;totales!J476="0","e",IF(totales!E476="1"&amp;totales!H476="1"&amp;totales!I476="0"&amp;totales!J476="0","f",IF(totales!E476="2"&amp;totales!H476="1"&amp;totales!I476="0"&amp;totales!J476="0","g",IF(totales!E476="3"&amp;totales!H476="1"&amp;totales!I476="0"&amp;totales!J476="0","h",IF(totales!E476="4"&amp;totales!H476="1"&amp;totales!I476="0"&amp;totales!J476="0","i",IF(totales!E476="6"&amp;totales!H476="1"&amp;totales!I476="0"&amp;totales!J476="0","j",IF(totales!E476="1"&amp;totales!H476="2"&amp;totales!I476="0"&amp;totales!J476="0","k",IF(totales!E476="2"&amp;totales!H476="2"&amp;totales!I476="0"&amp;totales!J476="0","l",IF(totales!E476="3"&amp;totales!H476="2"&amp;totales!I476="0"&amp;totales!J476="0","m",
IF(totales!E476="4"&amp;totales!H476="2"&amp;totales!I476="0"&amp;totales!J476="0","n",IF(totales!E476="6"&amp;totales!H476="2"&amp;totales!I476="0"&amp;totales!J476="0","o",IF(totales!E476="1"&amp;totales!H476="0"&amp;totales!I476="1"&amp;totales!J476="0","p",IF(totales!E476="2"&amp;totales!H476="0"&amp;totales!I476="1"&amp;totales!J476="0","q",IF(totales!E476="3"&amp;totales!H476="0"&amp;totales!I476="1"&amp;totales!J476="0","r",IF(totales!E476="4"&amp;totales!H476="0"&amp;totales!I476="1"&amp;totales!J476="0","s",IF(totales!E476="6"&amp;totales!H476="0"&amp;totales!I476="1"&amp;totales!J476="0","t",IF(totales!E476="1"&amp;totales!H476="2"&amp;totales!I476="1"&amp;totales!J476="0","u",IF(totales!E476="2"&amp;totales!H476="2"&amp;totales!I476="1"&amp;totales!J476="0","v",IF(totales!E476="3"&amp;totales!H476="2"&amp;totales!I476="1"&amp;totales!J476="0","w",IF(totales!E476="4"&amp;totales!H476="2"&amp;totales!I476="1"&amp;totales!J476="0","x",
IF(totales!E476="6"&amp;totales!H476="2"&amp;totales!I476="1"&amp;totales!J476="0","y",IF(totales!E476="1"&amp;totales!H476="1"&amp;totales!I476="1"&amp;totales!J476="0","z",IF(totales!E476="2"&amp;totales!H476="1"&amp;totales!I476="1"&amp;totales!J476="0","0",IF(totales!E476="3"&amp;totales!H476="1"&amp;totales!I476="1"&amp;totales!J476="0","1",IF(totales!E476="4"&amp;totales!H476="1"&amp;totales!I476="1"&amp;totales!J476="0","2",IF(totales!E476="6"&amp;totales!H476="1"&amp;totales!I476="1"&amp;totales!J476="0","3",IF(totales!E476="1"&amp;totales!H476="0"&amp;totales!I476="1"&amp;totales!J476="1","4",IF(totales!E476="2"&amp;totales!H476="0"&amp;totales!I476="1"&amp;totales!J476="1","5",IF(totales!E476="3"&amp;totales!H476="0"&amp;totales!I476="1"&amp;totales!J476="1","6",IF(totales!E476="4"&amp;totales!H476="0"&amp;totales!I476="1"&amp;totales!J476="1","7",IF(totales!E476="6"&amp;totales!H476="0"&amp;totales!I476="1"&amp;totales!J476="1","8",IF(totales!E476="1"&amp;totales!H476="1"&amp;totales!I476="0"&amp;totales!J476="1","9"))))))))))))))))))))))))))))))))))))</f>
        <v>0</v>
      </c>
    </row>
    <row r="476" spans="22:22">
      <c r="V476" s="102" t="b">
        <f>IF(totales!E477="1"&amp;totales!H477="0"&amp;totales!I477="0"&amp;totales!J477="0","a",IF(totales!E477="2"&amp;totales!H477="0"&amp;totales!I477="0"&amp;totales!J477="0","b",IF(totales!E477="3"&amp;totales!H477="0"&amp;totales!I477="0"&amp;totales!J477="0","c",IF(totales!E477="4"&amp;totales!H477="0"&amp;totales!I477="0"&amp;totales!J477="0","d",IF(totales!E477="6"&amp;totales!H477="0"&amp;totales!I477="0"&amp;totales!J477="0","e",IF(totales!E477="1"&amp;totales!H477="1"&amp;totales!I477="0"&amp;totales!J477="0","f",IF(totales!E477="2"&amp;totales!H477="1"&amp;totales!I477="0"&amp;totales!J477="0","g",IF(totales!E477="3"&amp;totales!H477="1"&amp;totales!I477="0"&amp;totales!J477="0","h",IF(totales!E477="4"&amp;totales!H477="1"&amp;totales!I477="0"&amp;totales!J477="0","i",IF(totales!E477="6"&amp;totales!H477="1"&amp;totales!I477="0"&amp;totales!J477="0","j",IF(totales!E477="1"&amp;totales!H477="2"&amp;totales!I477="0"&amp;totales!J477="0","k",IF(totales!E477="2"&amp;totales!H477="2"&amp;totales!I477="0"&amp;totales!J477="0","l",IF(totales!E477="3"&amp;totales!H477="2"&amp;totales!I477="0"&amp;totales!J477="0","m",
IF(totales!E477="4"&amp;totales!H477="2"&amp;totales!I477="0"&amp;totales!J477="0","n",IF(totales!E477="6"&amp;totales!H477="2"&amp;totales!I477="0"&amp;totales!J477="0","o",IF(totales!E477="1"&amp;totales!H477="0"&amp;totales!I477="1"&amp;totales!J477="0","p",IF(totales!E477="2"&amp;totales!H477="0"&amp;totales!I477="1"&amp;totales!J477="0","q",IF(totales!E477="3"&amp;totales!H477="0"&amp;totales!I477="1"&amp;totales!J477="0","r",IF(totales!E477="4"&amp;totales!H477="0"&amp;totales!I477="1"&amp;totales!J477="0","s",IF(totales!E477="6"&amp;totales!H477="0"&amp;totales!I477="1"&amp;totales!J477="0","t",IF(totales!E477="1"&amp;totales!H477="2"&amp;totales!I477="1"&amp;totales!J477="0","u",IF(totales!E477="2"&amp;totales!H477="2"&amp;totales!I477="1"&amp;totales!J477="0","v",IF(totales!E477="3"&amp;totales!H477="2"&amp;totales!I477="1"&amp;totales!J477="0","w",IF(totales!E477="4"&amp;totales!H477="2"&amp;totales!I477="1"&amp;totales!J477="0","x",
IF(totales!E477="6"&amp;totales!H477="2"&amp;totales!I477="1"&amp;totales!J477="0","y",IF(totales!E477="1"&amp;totales!H477="1"&amp;totales!I477="1"&amp;totales!J477="0","z",IF(totales!E477="2"&amp;totales!H477="1"&amp;totales!I477="1"&amp;totales!J477="0","0",IF(totales!E477="3"&amp;totales!H477="1"&amp;totales!I477="1"&amp;totales!J477="0","1",IF(totales!E477="4"&amp;totales!H477="1"&amp;totales!I477="1"&amp;totales!J477="0","2",IF(totales!E477="6"&amp;totales!H477="1"&amp;totales!I477="1"&amp;totales!J477="0","3",IF(totales!E477="1"&amp;totales!H477="0"&amp;totales!I477="1"&amp;totales!J477="1","4",IF(totales!E477="2"&amp;totales!H477="0"&amp;totales!I477="1"&amp;totales!J477="1","5",IF(totales!E477="3"&amp;totales!H477="0"&amp;totales!I477="1"&amp;totales!J477="1","6",IF(totales!E477="4"&amp;totales!H477="0"&amp;totales!I477="1"&amp;totales!J477="1","7",IF(totales!E477="6"&amp;totales!H477="0"&amp;totales!I477="1"&amp;totales!J477="1","8",IF(totales!E477="1"&amp;totales!H477="1"&amp;totales!I477="0"&amp;totales!J477="1","9"))))))))))))))))))))))))))))))))))))</f>
        <v>0</v>
      </c>
    </row>
    <row r="477" spans="22:22">
      <c r="V477" s="102" t="b">
        <f>IF(totales!E478="1"&amp;totales!H478="0"&amp;totales!I478="0"&amp;totales!J478="0","a",IF(totales!E478="2"&amp;totales!H478="0"&amp;totales!I478="0"&amp;totales!J478="0","b",IF(totales!E478="3"&amp;totales!H478="0"&amp;totales!I478="0"&amp;totales!J478="0","c",IF(totales!E478="4"&amp;totales!H478="0"&amp;totales!I478="0"&amp;totales!J478="0","d",IF(totales!E478="6"&amp;totales!H478="0"&amp;totales!I478="0"&amp;totales!J478="0","e",IF(totales!E478="1"&amp;totales!H478="1"&amp;totales!I478="0"&amp;totales!J478="0","f",IF(totales!E478="2"&amp;totales!H478="1"&amp;totales!I478="0"&amp;totales!J478="0","g",IF(totales!E478="3"&amp;totales!H478="1"&amp;totales!I478="0"&amp;totales!J478="0","h",IF(totales!E478="4"&amp;totales!H478="1"&amp;totales!I478="0"&amp;totales!J478="0","i",IF(totales!E478="6"&amp;totales!H478="1"&amp;totales!I478="0"&amp;totales!J478="0","j",IF(totales!E478="1"&amp;totales!H478="2"&amp;totales!I478="0"&amp;totales!J478="0","k",IF(totales!E478="2"&amp;totales!H478="2"&amp;totales!I478="0"&amp;totales!J478="0","l",IF(totales!E478="3"&amp;totales!H478="2"&amp;totales!I478="0"&amp;totales!J478="0","m",
IF(totales!E478="4"&amp;totales!H478="2"&amp;totales!I478="0"&amp;totales!J478="0","n",IF(totales!E478="6"&amp;totales!H478="2"&amp;totales!I478="0"&amp;totales!J478="0","o",IF(totales!E478="1"&amp;totales!H478="0"&amp;totales!I478="1"&amp;totales!J478="0","p",IF(totales!E478="2"&amp;totales!H478="0"&amp;totales!I478="1"&amp;totales!J478="0","q",IF(totales!E478="3"&amp;totales!H478="0"&amp;totales!I478="1"&amp;totales!J478="0","r",IF(totales!E478="4"&amp;totales!H478="0"&amp;totales!I478="1"&amp;totales!J478="0","s",IF(totales!E478="6"&amp;totales!H478="0"&amp;totales!I478="1"&amp;totales!J478="0","t",IF(totales!E478="1"&amp;totales!H478="2"&amp;totales!I478="1"&amp;totales!J478="0","u",IF(totales!E478="2"&amp;totales!H478="2"&amp;totales!I478="1"&amp;totales!J478="0","v",IF(totales!E478="3"&amp;totales!H478="2"&amp;totales!I478="1"&amp;totales!J478="0","w",IF(totales!E478="4"&amp;totales!H478="2"&amp;totales!I478="1"&amp;totales!J478="0","x",
IF(totales!E478="6"&amp;totales!H478="2"&amp;totales!I478="1"&amp;totales!J478="0","y",IF(totales!E478="1"&amp;totales!H478="1"&amp;totales!I478="1"&amp;totales!J478="0","z",IF(totales!E478="2"&amp;totales!H478="1"&amp;totales!I478="1"&amp;totales!J478="0","0",IF(totales!E478="3"&amp;totales!H478="1"&amp;totales!I478="1"&amp;totales!J478="0","1",IF(totales!E478="4"&amp;totales!H478="1"&amp;totales!I478="1"&amp;totales!J478="0","2",IF(totales!E478="6"&amp;totales!H478="1"&amp;totales!I478="1"&amp;totales!J478="0","3",IF(totales!E478="1"&amp;totales!H478="0"&amp;totales!I478="1"&amp;totales!J478="1","4",IF(totales!E478="2"&amp;totales!H478="0"&amp;totales!I478="1"&amp;totales!J478="1","5",IF(totales!E478="3"&amp;totales!H478="0"&amp;totales!I478="1"&amp;totales!J478="1","6",IF(totales!E478="4"&amp;totales!H478="0"&amp;totales!I478="1"&amp;totales!J478="1","7",IF(totales!E478="6"&amp;totales!H478="0"&amp;totales!I478="1"&amp;totales!J478="1","8",IF(totales!E478="1"&amp;totales!H478="1"&amp;totales!I478="0"&amp;totales!J478="1","9"))))))))))))))))))))))))))))))))))))</f>
        <v>0</v>
      </c>
    </row>
    <row r="478" spans="22:22">
      <c r="V478" s="102" t="b">
        <f>IF(totales!E479="1"&amp;totales!H479="0"&amp;totales!I479="0"&amp;totales!J479="0","a",IF(totales!E479="2"&amp;totales!H479="0"&amp;totales!I479="0"&amp;totales!J479="0","b",IF(totales!E479="3"&amp;totales!H479="0"&amp;totales!I479="0"&amp;totales!J479="0","c",IF(totales!E479="4"&amp;totales!H479="0"&amp;totales!I479="0"&amp;totales!J479="0","d",IF(totales!E479="6"&amp;totales!H479="0"&amp;totales!I479="0"&amp;totales!J479="0","e",IF(totales!E479="1"&amp;totales!H479="1"&amp;totales!I479="0"&amp;totales!J479="0","f",IF(totales!E479="2"&amp;totales!H479="1"&amp;totales!I479="0"&amp;totales!J479="0","g",IF(totales!E479="3"&amp;totales!H479="1"&amp;totales!I479="0"&amp;totales!J479="0","h",IF(totales!E479="4"&amp;totales!H479="1"&amp;totales!I479="0"&amp;totales!J479="0","i",IF(totales!E479="6"&amp;totales!H479="1"&amp;totales!I479="0"&amp;totales!J479="0","j",IF(totales!E479="1"&amp;totales!H479="2"&amp;totales!I479="0"&amp;totales!J479="0","k",IF(totales!E479="2"&amp;totales!H479="2"&amp;totales!I479="0"&amp;totales!J479="0","l",IF(totales!E479="3"&amp;totales!H479="2"&amp;totales!I479="0"&amp;totales!J479="0","m",
IF(totales!E479="4"&amp;totales!H479="2"&amp;totales!I479="0"&amp;totales!J479="0","n",IF(totales!E479="6"&amp;totales!H479="2"&amp;totales!I479="0"&amp;totales!J479="0","o",IF(totales!E479="1"&amp;totales!H479="0"&amp;totales!I479="1"&amp;totales!J479="0","p",IF(totales!E479="2"&amp;totales!H479="0"&amp;totales!I479="1"&amp;totales!J479="0","q",IF(totales!E479="3"&amp;totales!H479="0"&amp;totales!I479="1"&amp;totales!J479="0","r",IF(totales!E479="4"&amp;totales!H479="0"&amp;totales!I479="1"&amp;totales!J479="0","s",IF(totales!E479="6"&amp;totales!H479="0"&amp;totales!I479="1"&amp;totales!J479="0","t",IF(totales!E479="1"&amp;totales!H479="2"&amp;totales!I479="1"&amp;totales!J479="0","u",IF(totales!E479="2"&amp;totales!H479="2"&amp;totales!I479="1"&amp;totales!J479="0","v",IF(totales!E479="3"&amp;totales!H479="2"&amp;totales!I479="1"&amp;totales!J479="0","w",IF(totales!E479="4"&amp;totales!H479="2"&amp;totales!I479="1"&amp;totales!J479="0","x",
IF(totales!E479="6"&amp;totales!H479="2"&amp;totales!I479="1"&amp;totales!J479="0","y",IF(totales!E479="1"&amp;totales!H479="1"&amp;totales!I479="1"&amp;totales!J479="0","z",IF(totales!E479="2"&amp;totales!H479="1"&amp;totales!I479="1"&amp;totales!J479="0","0",IF(totales!E479="3"&amp;totales!H479="1"&amp;totales!I479="1"&amp;totales!J479="0","1",IF(totales!E479="4"&amp;totales!H479="1"&amp;totales!I479="1"&amp;totales!J479="0","2",IF(totales!E479="6"&amp;totales!H479="1"&amp;totales!I479="1"&amp;totales!J479="0","3",IF(totales!E479="1"&amp;totales!H479="0"&amp;totales!I479="1"&amp;totales!J479="1","4",IF(totales!E479="2"&amp;totales!H479="0"&amp;totales!I479="1"&amp;totales!J479="1","5",IF(totales!E479="3"&amp;totales!H479="0"&amp;totales!I479="1"&amp;totales!J479="1","6",IF(totales!E479="4"&amp;totales!H479="0"&amp;totales!I479="1"&amp;totales!J479="1","7",IF(totales!E479="6"&amp;totales!H479="0"&amp;totales!I479="1"&amp;totales!J479="1","8",IF(totales!E479="1"&amp;totales!H479="1"&amp;totales!I479="0"&amp;totales!J479="1","9"))))))))))))))))))))))))))))))))))))</f>
        <v>0</v>
      </c>
    </row>
    <row r="479" spans="22:22">
      <c r="V479" s="102" t="b">
        <f>IF(totales!E480="1"&amp;totales!H480="0"&amp;totales!I480="0"&amp;totales!J480="0","a",IF(totales!E480="2"&amp;totales!H480="0"&amp;totales!I480="0"&amp;totales!J480="0","b",IF(totales!E480="3"&amp;totales!H480="0"&amp;totales!I480="0"&amp;totales!J480="0","c",IF(totales!E480="4"&amp;totales!H480="0"&amp;totales!I480="0"&amp;totales!J480="0","d",IF(totales!E480="6"&amp;totales!H480="0"&amp;totales!I480="0"&amp;totales!J480="0","e",IF(totales!E480="1"&amp;totales!H480="1"&amp;totales!I480="0"&amp;totales!J480="0","f",IF(totales!E480="2"&amp;totales!H480="1"&amp;totales!I480="0"&amp;totales!J480="0","g",IF(totales!E480="3"&amp;totales!H480="1"&amp;totales!I480="0"&amp;totales!J480="0","h",IF(totales!E480="4"&amp;totales!H480="1"&amp;totales!I480="0"&amp;totales!J480="0","i",IF(totales!E480="6"&amp;totales!H480="1"&amp;totales!I480="0"&amp;totales!J480="0","j",IF(totales!E480="1"&amp;totales!H480="2"&amp;totales!I480="0"&amp;totales!J480="0","k",IF(totales!E480="2"&amp;totales!H480="2"&amp;totales!I480="0"&amp;totales!J480="0","l",IF(totales!E480="3"&amp;totales!H480="2"&amp;totales!I480="0"&amp;totales!J480="0","m",
IF(totales!E480="4"&amp;totales!H480="2"&amp;totales!I480="0"&amp;totales!J480="0","n",IF(totales!E480="6"&amp;totales!H480="2"&amp;totales!I480="0"&amp;totales!J480="0","o",IF(totales!E480="1"&amp;totales!H480="0"&amp;totales!I480="1"&amp;totales!J480="0","p",IF(totales!E480="2"&amp;totales!H480="0"&amp;totales!I480="1"&amp;totales!J480="0","q",IF(totales!E480="3"&amp;totales!H480="0"&amp;totales!I480="1"&amp;totales!J480="0","r",IF(totales!E480="4"&amp;totales!H480="0"&amp;totales!I480="1"&amp;totales!J480="0","s",IF(totales!E480="6"&amp;totales!H480="0"&amp;totales!I480="1"&amp;totales!J480="0","t",IF(totales!E480="1"&amp;totales!H480="2"&amp;totales!I480="1"&amp;totales!J480="0","u",IF(totales!E480="2"&amp;totales!H480="2"&amp;totales!I480="1"&amp;totales!J480="0","v",IF(totales!E480="3"&amp;totales!H480="2"&amp;totales!I480="1"&amp;totales!J480="0","w",IF(totales!E480="4"&amp;totales!H480="2"&amp;totales!I480="1"&amp;totales!J480="0","x",
IF(totales!E480="6"&amp;totales!H480="2"&amp;totales!I480="1"&amp;totales!J480="0","y",IF(totales!E480="1"&amp;totales!H480="1"&amp;totales!I480="1"&amp;totales!J480="0","z",IF(totales!E480="2"&amp;totales!H480="1"&amp;totales!I480="1"&amp;totales!J480="0","0",IF(totales!E480="3"&amp;totales!H480="1"&amp;totales!I480="1"&amp;totales!J480="0","1",IF(totales!E480="4"&amp;totales!H480="1"&amp;totales!I480="1"&amp;totales!J480="0","2",IF(totales!E480="6"&amp;totales!H480="1"&amp;totales!I480="1"&amp;totales!J480="0","3",IF(totales!E480="1"&amp;totales!H480="0"&amp;totales!I480="1"&amp;totales!J480="1","4",IF(totales!E480="2"&amp;totales!H480="0"&amp;totales!I480="1"&amp;totales!J480="1","5",IF(totales!E480="3"&amp;totales!H480="0"&amp;totales!I480="1"&amp;totales!J480="1","6",IF(totales!E480="4"&amp;totales!H480="0"&amp;totales!I480="1"&amp;totales!J480="1","7",IF(totales!E480="6"&amp;totales!H480="0"&amp;totales!I480="1"&amp;totales!J480="1","8",IF(totales!E480="1"&amp;totales!H480="1"&amp;totales!I480="0"&amp;totales!J480="1","9"))))))))))))))))))))))))))))))))))))</f>
        <v>0</v>
      </c>
    </row>
    <row r="480" spans="22:22">
      <c r="V480" s="102" t="b">
        <f>IF(totales!E481="1"&amp;totales!H481="0"&amp;totales!I481="0"&amp;totales!J481="0","a",IF(totales!E481="2"&amp;totales!H481="0"&amp;totales!I481="0"&amp;totales!J481="0","b",IF(totales!E481="3"&amp;totales!H481="0"&amp;totales!I481="0"&amp;totales!J481="0","c",IF(totales!E481="4"&amp;totales!H481="0"&amp;totales!I481="0"&amp;totales!J481="0","d",IF(totales!E481="6"&amp;totales!H481="0"&amp;totales!I481="0"&amp;totales!J481="0","e",IF(totales!E481="1"&amp;totales!H481="1"&amp;totales!I481="0"&amp;totales!J481="0","f",IF(totales!E481="2"&amp;totales!H481="1"&amp;totales!I481="0"&amp;totales!J481="0","g",IF(totales!E481="3"&amp;totales!H481="1"&amp;totales!I481="0"&amp;totales!J481="0","h",IF(totales!E481="4"&amp;totales!H481="1"&amp;totales!I481="0"&amp;totales!J481="0","i",IF(totales!E481="6"&amp;totales!H481="1"&amp;totales!I481="0"&amp;totales!J481="0","j",IF(totales!E481="1"&amp;totales!H481="2"&amp;totales!I481="0"&amp;totales!J481="0","k",IF(totales!E481="2"&amp;totales!H481="2"&amp;totales!I481="0"&amp;totales!J481="0","l",IF(totales!E481="3"&amp;totales!H481="2"&amp;totales!I481="0"&amp;totales!J481="0","m",
IF(totales!E481="4"&amp;totales!H481="2"&amp;totales!I481="0"&amp;totales!J481="0","n",IF(totales!E481="6"&amp;totales!H481="2"&amp;totales!I481="0"&amp;totales!J481="0","o",IF(totales!E481="1"&amp;totales!H481="0"&amp;totales!I481="1"&amp;totales!J481="0","p",IF(totales!E481="2"&amp;totales!H481="0"&amp;totales!I481="1"&amp;totales!J481="0","q",IF(totales!E481="3"&amp;totales!H481="0"&amp;totales!I481="1"&amp;totales!J481="0","r",IF(totales!E481="4"&amp;totales!H481="0"&amp;totales!I481="1"&amp;totales!J481="0","s",IF(totales!E481="6"&amp;totales!H481="0"&amp;totales!I481="1"&amp;totales!J481="0","t",IF(totales!E481="1"&amp;totales!H481="2"&amp;totales!I481="1"&amp;totales!J481="0","u",IF(totales!E481="2"&amp;totales!H481="2"&amp;totales!I481="1"&amp;totales!J481="0","v",IF(totales!E481="3"&amp;totales!H481="2"&amp;totales!I481="1"&amp;totales!J481="0","w",IF(totales!E481="4"&amp;totales!H481="2"&amp;totales!I481="1"&amp;totales!J481="0","x",
IF(totales!E481="6"&amp;totales!H481="2"&amp;totales!I481="1"&amp;totales!J481="0","y",IF(totales!E481="1"&amp;totales!H481="1"&amp;totales!I481="1"&amp;totales!J481="0","z",IF(totales!E481="2"&amp;totales!H481="1"&amp;totales!I481="1"&amp;totales!J481="0","0",IF(totales!E481="3"&amp;totales!H481="1"&amp;totales!I481="1"&amp;totales!J481="0","1",IF(totales!E481="4"&amp;totales!H481="1"&amp;totales!I481="1"&amp;totales!J481="0","2",IF(totales!E481="6"&amp;totales!H481="1"&amp;totales!I481="1"&amp;totales!J481="0","3",IF(totales!E481="1"&amp;totales!H481="0"&amp;totales!I481="1"&amp;totales!J481="1","4",IF(totales!E481="2"&amp;totales!H481="0"&amp;totales!I481="1"&amp;totales!J481="1","5",IF(totales!E481="3"&amp;totales!H481="0"&amp;totales!I481="1"&amp;totales!J481="1","6",IF(totales!E481="4"&amp;totales!H481="0"&amp;totales!I481="1"&amp;totales!J481="1","7",IF(totales!E481="6"&amp;totales!H481="0"&amp;totales!I481="1"&amp;totales!J481="1","8",IF(totales!E481="1"&amp;totales!H481="1"&amp;totales!I481="0"&amp;totales!J481="1","9"))))))))))))))))))))))))))))))))))))</f>
        <v>0</v>
      </c>
    </row>
    <row r="481" spans="22:22">
      <c r="V481" s="102" t="b">
        <f>IF(totales!E482="1"&amp;totales!H482="0"&amp;totales!I482="0"&amp;totales!J482="0","a",IF(totales!E482="2"&amp;totales!H482="0"&amp;totales!I482="0"&amp;totales!J482="0","b",IF(totales!E482="3"&amp;totales!H482="0"&amp;totales!I482="0"&amp;totales!J482="0","c",IF(totales!E482="4"&amp;totales!H482="0"&amp;totales!I482="0"&amp;totales!J482="0","d",IF(totales!E482="6"&amp;totales!H482="0"&amp;totales!I482="0"&amp;totales!J482="0","e",IF(totales!E482="1"&amp;totales!H482="1"&amp;totales!I482="0"&amp;totales!J482="0","f",IF(totales!E482="2"&amp;totales!H482="1"&amp;totales!I482="0"&amp;totales!J482="0","g",IF(totales!E482="3"&amp;totales!H482="1"&amp;totales!I482="0"&amp;totales!J482="0","h",IF(totales!E482="4"&amp;totales!H482="1"&amp;totales!I482="0"&amp;totales!J482="0","i",IF(totales!E482="6"&amp;totales!H482="1"&amp;totales!I482="0"&amp;totales!J482="0","j",IF(totales!E482="1"&amp;totales!H482="2"&amp;totales!I482="0"&amp;totales!J482="0","k",IF(totales!E482="2"&amp;totales!H482="2"&amp;totales!I482="0"&amp;totales!J482="0","l",IF(totales!E482="3"&amp;totales!H482="2"&amp;totales!I482="0"&amp;totales!J482="0","m",
IF(totales!E482="4"&amp;totales!H482="2"&amp;totales!I482="0"&amp;totales!J482="0","n",IF(totales!E482="6"&amp;totales!H482="2"&amp;totales!I482="0"&amp;totales!J482="0","o",IF(totales!E482="1"&amp;totales!H482="0"&amp;totales!I482="1"&amp;totales!J482="0","p",IF(totales!E482="2"&amp;totales!H482="0"&amp;totales!I482="1"&amp;totales!J482="0","q",IF(totales!E482="3"&amp;totales!H482="0"&amp;totales!I482="1"&amp;totales!J482="0","r",IF(totales!E482="4"&amp;totales!H482="0"&amp;totales!I482="1"&amp;totales!J482="0","s",IF(totales!E482="6"&amp;totales!H482="0"&amp;totales!I482="1"&amp;totales!J482="0","t",IF(totales!E482="1"&amp;totales!H482="2"&amp;totales!I482="1"&amp;totales!J482="0","u",IF(totales!E482="2"&amp;totales!H482="2"&amp;totales!I482="1"&amp;totales!J482="0","v",IF(totales!E482="3"&amp;totales!H482="2"&amp;totales!I482="1"&amp;totales!J482="0","w",IF(totales!E482="4"&amp;totales!H482="2"&amp;totales!I482="1"&amp;totales!J482="0","x",
IF(totales!E482="6"&amp;totales!H482="2"&amp;totales!I482="1"&amp;totales!J482="0","y",IF(totales!E482="1"&amp;totales!H482="1"&amp;totales!I482="1"&amp;totales!J482="0","z",IF(totales!E482="2"&amp;totales!H482="1"&amp;totales!I482="1"&amp;totales!J482="0","0",IF(totales!E482="3"&amp;totales!H482="1"&amp;totales!I482="1"&amp;totales!J482="0","1",IF(totales!E482="4"&amp;totales!H482="1"&amp;totales!I482="1"&amp;totales!J482="0","2",IF(totales!E482="6"&amp;totales!H482="1"&amp;totales!I482="1"&amp;totales!J482="0","3",IF(totales!E482="1"&amp;totales!H482="0"&amp;totales!I482="1"&amp;totales!J482="1","4",IF(totales!E482="2"&amp;totales!H482="0"&amp;totales!I482="1"&amp;totales!J482="1","5",IF(totales!E482="3"&amp;totales!H482="0"&amp;totales!I482="1"&amp;totales!J482="1","6",IF(totales!E482="4"&amp;totales!H482="0"&amp;totales!I482="1"&amp;totales!J482="1","7",IF(totales!E482="6"&amp;totales!H482="0"&amp;totales!I482="1"&amp;totales!J482="1","8",IF(totales!E482="1"&amp;totales!H482="1"&amp;totales!I482="0"&amp;totales!J482="1","9"))))))))))))))))))))))))))))))))))))</f>
        <v>0</v>
      </c>
    </row>
    <row r="482" spans="22:22">
      <c r="V482" s="102" t="b">
        <f>IF(totales!E483="1"&amp;totales!H483="0"&amp;totales!I483="0"&amp;totales!J483="0","a",IF(totales!E483="2"&amp;totales!H483="0"&amp;totales!I483="0"&amp;totales!J483="0","b",IF(totales!E483="3"&amp;totales!H483="0"&amp;totales!I483="0"&amp;totales!J483="0","c",IF(totales!E483="4"&amp;totales!H483="0"&amp;totales!I483="0"&amp;totales!J483="0","d",IF(totales!E483="6"&amp;totales!H483="0"&amp;totales!I483="0"&amp;totales!J483="0","e",IF(totales!E483="1"&amp;totales!H483="1"&amp;totales!I483="0"&amp;totales!J483="0","f",IF(totales!E483="2"&amp;totales!H483="1"&amp;totales!I483="0"&amp;totales!J483="0","g",IF(totales!E483="3"&amp;totales!H483="1"&amp;totales!I483="0"&amp;totales!J483="0","h",IF(totales!E483="4"&amp;totales!H483="1"&amp;totales!I483="0"&amp;totales!J483="0","i",IF(totales!E483="6"&amp;totales!H483="1"&amp;totales!I483="0"&amp;totales!J483="0","j",IF(totales!E483="1"&amp;totales!H483="2"&amp;totales!I483="0"&amp;totales!J483="0","k",IF(totales!E483="2"&amp;totales!H483="2"&amp;totales!I483="0"&amp;totales!J483="0","l",IF(totales!E483="3"&amp;totales!H483="2"&amp;totales!I483="0"&amp;totales!J483="0","m",
IF(totales!E483="4"&amp;totales!H483="2"&amp;totales!I483="0"&amp;totales!J483="0","n",IF(totales!E483="6"&amp;totales!H483="2"&amp;totales!I483="0"&amp;totales!J483="0","o",IF(totales!E483="1"&amp;totales!H483="0"&amp;totales!I483="1"&amp;totales!J483="0","p",IF(totales!E483="2"&amp;totales!H483="0"&amp;totales!I483="1"&amp;totales!J483="0","q",IF(totales!E483="3"&amp;totales!H483="0"&amp;totales!I483="1"&amp;totales!J483="0","r",IF(totales!E483="4"&amp;totales!H483="0"&amp;totales!I483="1"&amp;totales!J483="0","s",IF(totales!E483="6"&amp;totales!H483="0"&amp;totales!I483="1"&amp;totales!J483="0","t",IF(totales!E483="1"&amp;totales!H483="2"&amp;totales!I483="1"&amp;totales!J483="0","u",IF(totales!E483="2"&amp;totales!H483="2"&amp;totales!I483="1"&amp;totales!J483="0","v",IF(totales!E483="3"&amp;totales!H483="2"&amp;totales!I483="1"&amp;totales!J483="0","w",IF(totales!E483="4"&amp;totales!H483="2"&amp;totales!I483="1"&amp;totales!J483="0","x",
IF(totales!E483="6"&amp;totales!H483="2"&amp;totales!I483="1"&amp;totales!J483="0","y",IF(totales!E483="1"&amp;totales!H483="1"&amp;totales!I483="1"&amp;totales!J483="0","z",IF(totales!E483="2"&amp;totales!H483="1"&amp;totales!I483="1"&amp;totales!J483="0","0",IF(totales!E483="3"&amp;totales!H483="1"&amp;totales!I483="1"&amp;totales!J483="0","1",IF(totales!E483="4"&amp;totales!H483="1"&amp;totales!I483="1"&amp;totales!J483="0","2",IF(totales!E483="6"&amp;totales!H483="1"&amp;totales!I483="1"&amp;totales!J483="0","3",IF(totales!E483="1"&amp;totales!H483="0"&amp;totales!I483="1"&amp;totales!J483="1","4",IF(totales!E483="2"&amp;totales!H483="0"&amp;totales!I483="1"&amp;totales!J483="1","5",IF(totales!E483="3"&amp;totales!H483="0"&amp;totales!I483="1"&amp;totales!J483="1","6",IF(totales!E483="4"&amp;totales!H483="0"&amp;totales!I483="1"&amp;totales!J483="1","7",IF(totales!E483="6"&amp;totales!H483="0"&amp;totales!I483="1"&amp;totales!J483="1","8",IF(totales!E483="1"&amp;totales!H483="1"&amp;totales!I483="0"&amp;totales!J483="1","9"))))))))))))))))))))))))))))))))))))</f>
        <v>0</v>
      </c>
    </row>
    <row r="483" spans="22:22">
      <c r="V483" s="102" t="b">
        <f>IF(totales!E484="1"&amp;totales!H484="0"&amp;totales!I484="0"&amp;totales!J484="0","a",IF(totales!E484="2"&amp;totales!H484="0"&amp;totales!I484="0"&amp;totales!J484="0","b",IF(totales!E484="3"&amp;totales!H484="0"&amp;totales!I484="0"&amp;totales!J484="0","c",IF(totales!E484="4"&amp;totales!H484="0"&amp;totales!I484="0"&amp;totales!J484="0","d",IF(totales!E484="6"&amp;totales!H484="0"&amp;totales!I484="0"&amp;totales!J484="0","e",IF(totales!E484="1"&amp;totales!H484="1"&amp;totales!I484="0"&amp;totales!J484="0","f",IF(totales!E484="2"&amp;totales!H484="1"&amp;totales!I484="0"&amp;totales!J484="0","g",IF(totales!E484="3"&amp;totales!H484="1"&amp;totales!I484="0"&amp;totales!J484="0","h",IF(totales!E484="4"&amp;totales!H484="1"&amp;totales!I484="0"&amp;totales!J484="0","i",IF(totales!E484="6"&amp;totales!H484="1"&amp;totales!I484="0"&amp;totales!J484="0","j",IF(totales!E484="1"&amp;totales!H484="2"&amp;totales!I484="0"&amp;totales!J484="0","k",IF(totales!E484="2"&amp;totales!H484="2"&amp;totales!I484="0"&amp;totales!J484="0","l",IF(totales!E484="3"&amp;totales!H484="2"&amp;totales!I484="0"&amp;totales!J484="0","m",
IF(totales!E484="4"&amp;totales!H484="2"&amp;totales!I484="0"&amp;totales!J484="0","n",IF(totales!E484="6"&amp;totales!H484="2"&amp;totales!I484="0"&amp;totales!J484="0","o",IF(totales!E484="1"&amp;totales!H484="0"&amp;totales!I484="1"&amp;totales!J484="0","p",IF(totales!E484="2"&amp;totales!H484="0"&amp;totales!I484="1"&amp;totales!J484="0","q",IF(totales!E484="3"&amp;totales!H484="0"&amp;totales!I484="1"&amp;totales!J484="0","r",IF(totales!E484="4"&amp;totales!H484="0"&amp;totales!I484="1"&amp;totales!J484="0","s",IF(totales!E484="6"&amp;totales!H484="0"&amp;totales!I484="1"&amp;totales!J484="0","t",IF(totales!E484="1"&amp;totales!H484="2"&amp;totales!I484="1"&amp;totales!J484="0","u",IF(totales!E484="2"&amp;totales!H484="2"&amp;totales!I484="1"&amp;totales!J484="0","v",IF(totales!E484="3"&amp;totales!H484="2"&amp;totales!I484="1"&amp;totales!J484="0","w",IF(totales!E484="4"&amp;totales!H484="2"&amp;totales!I484="1"&amp;totales!J484="0","x",
IF(totales!E484="6"&amp;totales!H484="2"&amp;totales!I484="1"&amp;totales!J484="0","y",IF(totales!E484="1"&amp;totales!H484="1"&amp;totales!I484="1"&amp;totales!J484="0","z",IF(totales!E484="2"&amp;totales!H484="1"&amp;totales!I484="1"&amp;totales!J484="0","0",IF(totales!E484="3"&amp;totales!H484="1"&amp;totales!I484="1"&amp;totales!J484="0","1",IF(totales!E484="4"&amp;totales!H484="1"&amp;totales!I484="1"&amp;totales!J484="0","2",IF(totales!E484="6"&amp;totales!H484="1"&amp;totales!I484="1"&amp;totales!J484="0","3",IF(totales!E484="1"&amp;totales!H484="0"&amp;totales!I484="1"&amp;totales!J484="1","4",IF(totales!E484="2"&amp;totales!H484="0"&amp;totales!I484="1"&amp;totales!J484="1","5",IF(totales!E484="3"&amp;totales!H484="0"&amp;totales!I484="1"&amp;totales!J484="1","6",IF(totales!E484="4"&amp;totales!H484="0"&amp;totales!I484="1"&amp;totales!J484="1","7",IF(totales!E484="6"&amp;totales!H484="0"&amp;totales!I484="1"&amp;totales!J484="1","8",IF(totales!E484="1"&amp;totales!H484="1"&amp;totales!I484="0"&amp;totales!J484="1","9"))))))))))))))))))))))))))))))))))))</f>
        <v>0</v>
      </c>
    </row>
    <row r="484" spans="22:22">
      <c r="V484" s="102" t="b">
        <f>IF(totales!E485="1"&amp;totales!H485="0"&amp;totales!I485="0"&amp;totales!J485="0","a",IF(totales!E485="2"&amp;totales!H485="0"&amp;totales!I485="0"&amp;totales!J485="0","b",IF(totales!E485="3"&amp;totales!H485="0"&amp;totales!I485="0"&amp;totales!J485="0","c",IF(totales!E485="4"&amp;totales!H485="0"&amp;totales!I485="0"&amp;totales!J485="0","d",IF(totales!E485="6"&amp;totales!H485="0"&amp;totales!I485="0"&amp;totales!J485="0","e",IF(totales!E485="1"&amp;totales!H485="1"&amp;totales!I485="0"&amp;totales!J485="0","f",IF(totales!E485="2"&amp;totales!H485="1"&amp;totales!I485="0"&amp;totales!J485="0","g",IF(totales!E485="3"&amp;totales!H485="1"&amp;totales!I485="0"&amp;totales!J485="0","h",IF(totales!E485="4"&amp;totales!H485="1"&amp;totales!I485="0"&amp;totales!J485="0","i",IF(totales!E485="6"&amp;totales!H485="1"&amp;totales!I485="0"&amp;totales!J485="0","j",IF(totales!E485="1"&amp;totales!H485="2"&amp;totales!I485="0"&amp;totales!J485="0","k",IF(totales!E485="2"&amp;totales!H485="2"&amp;totales!I485="0"&amp;totales!J485="0","l",IF(totales!E485="3"&amp;totales!H485="2"&amp;totales!I485="0"&amp;totales!J485="0","m",
IF(totales!E485="4"&amp;totales!H485="2"&amp;totales!I485="0"&amp;totales!J485="0","n",IF(totales!E485="6"&amp;totales!H485="2"&amp;totales!I485="0"&amp;totales!J485="0","o",IF(totales!E485="1"&amp;totales!H485="0"&amp;totales!I485="1"&amp;totales!J485="0","p",IF(totales!E485="2"&amp;totales!H485="0"&amp;totales!I485="1"&amp;totales!J485="0","q",IF(totales!E485="3"&amp;totales!H485="0"&amp;totales!I485="1"&amp;totales!J485="0","r",IF(totales!E485="4"&amp;totales!H485="0"&amp;totales!I485="1"&amp;totales!J485="0","s",IF(totales!E485="6"&amp;totales!H485="0"&amp;totales!I485="1"&amp;totales!J485="0","t",IF(totales!E485="1"&amp;totales!H485="2"&amp;totales!I485="1"&amp;totales!J485="0","u",IF(totales!E485="2"&amp;totales!H485="2"&amp;totales!I485="1"&amp;totales!J485="0","v",IF(totales!E485="3"&amp;totales!H485="2"&amp;totales!I485="1"&amp;totales!J485="0","w",IF(totales!E485="4"&amp;totales!H485="2"&amp;totales!I485="1"&amp;totales!J485="0","x",
IF(totales!E485="6"&amp;totales!H485="2"&amp;totales!I485="1"&amp;totales!J485="0","y",IF(totales!E485="1"&amp;totales!H485="1"&amp;totales!I485="1"&amp;totales!J485="0","z",IF(totales!E485="2"&amp;totales!H485="1"&amp;totales!I485="1"&amp;totales!J485="0","0",IF(totales!E485="3"&amp;totales!H485="1"&amp;totales!I485="1"&amp;totales!J485="0","1",IF(totales!E485="4"&amp;totales!H485="1"&amp;totales!I485="1"&amp;totales!J485="0","2",IF(totales!E485="6"&amp;totales!H485="1"&amp;totales!I485="1"&amp;totales!J485="0","3",IF(totales!E485="1"&amp;totales!H485="0"&amp;totales!I485="1"&amp;totales!J485="1","4",IF(totales!E485="2"&amp;totales!H485="0"&amp;totales!I485="1"&amp;totales!J485="1","5",IF(totales!E485="3"&amp;totales!H485="0"&amp;totales!I485="1"&amp;totales!J485="1","6",IF(totales!E485="4"&amp;totales!H485="0"&amp;totales!I485="1"&amp;totales!J485="1","7",IF(totales!E485="6"&amp;totales!H485="0"&amp;totales!I485="1"&amp;totales!J485="1","8",IF(totales!E485="1"&amp;totales!H485="1"&amp;totales!I485="0"&amp;totales!J485="1","9"))))))))))))))))))))))))))))))))))))</f>
        <v>0</v>
      </c>
    </row>
    <row r="485" spans="22:22">
      <c r="V485" s="102" t="b">
        <f>IF(totales!E486="1"&amp;totales!H486="0"&amp;totales!I486="0"&amp;totales!J486="0","a",IF(totales!E486="2"&amp;totales!H486="0"&amp;totales!I486="0"&amp;totales!J486="0","b",IF(totales!E486="3"&amp;totales!H486="0"&amp;totales!I486="0"&amp;totales!J486="0","c",IF(totales!E486="4"&amp;totales!H486="0"&amp;totales!I486="0"&amp;totales!J486="0","d",IF(totales!E486="6"&amp;totales!H486="0"&amp;totales!I486="0"&amp;totales!J486="0","e",IF(totales!E486="1"&amp;totales!H486="1"&amp;totales!I486="0"&amp;totales!J486="0","f",IF(totales!E486="2"&amp;totales!H486="1"&amp;totales!I486="0"&amp;totales!J486="0","g",IF(totales!E486="3"&amp;totales!H486="1"&amp;totales!I486="0"&amp;totales!J486="0","h",IF(totales!E486="4"&amp;totales!H486="1"&amp;totales!I486="0"&amp;totales!J486="0","i",IF(totales!E486="6"&amp;totales!H486="1"&amp;totales!I486="0"&amp;totales!J486="0","j",IF(totales!E486="1"&amp;totales!H486="2"&amp;totales!I486="0"&amp;totales!J486="0","k",IF(totales!E486="2"&amp;totales!H486="2"&amp;totales!I486="0"&amp;totales!J486="0","l",IF(totales!E486="3"&amp;totales!H486="2"&amp;totales!I486="0"&amp;totales!J486="0","m",
IF(totales!E486="4"&amp;totales!H486="2"&amp;totales!I486="0"&amp;totales!J486="0","n",IF(totales!E486="6"&amp;totales!H486="2"&amp;totales!I486="0"&amp;totales!J486="0","o",IF(totales!E486="1"&amp;totales!H486="0"&amp;totales!I486="1"&amp;totales!J486="0","p",IF(totales!E486="2"&amp;totales!H486="0"&amp;totales!I486="1"&amp;totales!J486="0","q",IF(totales!E486="3"&amp;totales!H486="0"&amp;totales!I486="1"&amp;totales!J486="0","r",IF(totales!E486="4"&amp;totales!H486="0"&amp;totales!I486="1"&amp;totales!J486="0","s",IF(totales!E486="6"&amp;totales!H486="0"&amp;totales!I486="1"&amp;totales!J486="0","t",IF(totales!E486="1"&amp;totales!H486="2"&amp;totales!I486="1"&amp;totales!J486="0","u",IF(totales!E486="2"&amp;totales!H486="2"&amp;totales!I486="1"&amp;totales!J486="0","v",IF(totales!E486="3"&amp;totales!H486="2"&amp;totales!I486="1"&amp;totales!J486="0","w",IF(totales!E486="4"&amp;totales!H486="2"&amp;totales!I486="1"&amp;totales!J486="0","x",
IF(totales!E486="6"&amp;totales!H486="2"&amp;totales!I486="1"&amp;totales!J486="0","y",IF(totales!E486="1"&amp;totales!H486="1"&amp;totales!I486="1"&amp;totales!J486="0","z",IF(totales!E486="2"&amp;totales!H486="1"&amp;totales!I486="1"&amp;totales!J486="0","0",IF(totales!E486="3"&amp;totales!H486="1"&amp;totales!I486="1"&amp;totales!J486="0","1",IF(totales!E486="4"&amp;totales!H486="1"&amp;totales!I486="1"&amp;totales!J486="0","2",IF(totales!E486="6"&amp;totales!H486="1"&amp;totales!I486="1"&amp;totales!J486="0","3",IF(totales!E486="1"&amp;totales!H486="0"&amp;totales!I486="1"&amp;totales!J486="1","4",IF(totales!E486="2"&amp;totales!H486="0"&amp;totales!I486="1"&amp;totales!J486="1","5",IF(totales!E486="3"&amp;totales!H486="0"&amp;totales!I486="1"&amp;totales!J486="1","6",IF(totales!E486="4"&amp;totales!H486="0"&amp;totales!I486="1"&amp;totales!J486="1","7",IF(totales!E486="6"&amp;totales!H486="0"&amp;totales!I486="1"&amp;totales!J486="1","8",IF(totales!E486="1"&amp;totales!H486="1"&amp;totales!I486="0"&amp;totales!J486="1","9"))))))))))))))))))))))))))))))))))))</f>
        <v>0</v>
      </c>
    </row>
    <row r="486" spans="22:22">
      <c r="V486" s="102" t="b">
        <f>IF(totales!E487="1"&amp;totales!H487="0"&amp;totales!I487="0"&amp;totales!J487="0","a",IF(totales!E487="2"&amp;totales!H487="0"&amp;totales!I487="0"&amp;totales!J487="0","b",IF(totales!E487="3"&amp;totales!H487="0"&amp;totales!I487="0"&amp;totales!J487="0","c",IF(totales!E487="4"&amp;totales!H487="0"&amp;totales!I487="0"&amp;totales!J487="0","d",IF(totales!E487="6"&amp;totales!H487="0"&amp;totales!I487="0"&amp;totales!J487="0","e",IF(totales!E487="1"&amp;totales!H487="1"&amp;totales!I487="0"&amp;totales!J487="0","f",IF(totales!E487="2"&amp;totales!H487="1"&amp;totales!I487="0"&amp;totales!J487="0","g",IF(totales!E487="3"&amp;totales!H487="1"&amp;totales!I487="0"&amp;totales!J487="0","h",IF(totales!E487="4"&amp;totales!H487="1"&amp;totales!I487="0"&amp;totales!J487="0","i",IF(totales!E487="6"&amp;totales!H487="1"&amp;totales!I487="0"&amp;totales!J487="0","j",IF(totales!E487="1"&amp;totales!H487="2"&amp;totales!I487="0"&amp;totales!J487="0","k",IF(totales!E487="2"&amp;totales!H487="2"&amp;totales!I487="0"&amp;totales!J487="0","l",IF(totales!E487="3"&amp;totales!H487="2"&amp;totales!I487="0"&amp;totales!J487="0","m",
IF(totales!E487="4"&amp;totales!H487="2"&amp;totales!I487="0"&amp;totales!J487="0","n",IF(totales!E487="6"&amp;totales!H487="2"&amp;totales!I487="0"&amp;totales!J487="0","o",IF(totales!E487="1"&amp;totales!H487="0"&amp;totales!I487="1"&amp;totales!J487="0","p",IF(totales!E487="2"&amp;totales!H487="0"&amp;totales!I487="1"&amp;totales!J487="0","q",IF(totales!E487="3"&amp;totales!H487="0"&amp;totales!I487="1"&amp;totales!J487="0","r",IF(totales!E487="4"&amp;totales!H487="0"&amp;totales!I487="1"&amp;totales!J487="0","s",IF(totales!E487="6"&amp;totales!H487="0"&amp;totales!I487="1"&amp;totales!J487="0","t",IF(totales!E487="1"&amp;totales!H487="2"&amp;totales!I487="1"&amp;totales!J487="0","u",IF(totales!E487="2"&amp;totales!H487="2"&amp;totales!I487="1"&amp;totales!J487="0","v",IF(totales!E487="3"&amp;totales!H487="2"&amp;totales!I487="1"&amp;totales!J487="0","w",IF(totales!E487="4"&amp;totales!H487="2"&amp;totales!I487="1"&amp;totales!J487="0","x",
IF(totales!E487="6"&amp;totales!H487="2"&amp;totales!I487="1"&amp;totales!J487="0","y",IF(totales!E487="1"&amp;totales!H487="1"&amp;totales!I487="1"&amp;totales!J487="0","z",IF(totales!E487="2"&amp;totales!H487="1"&amp;totales!I487="1"&amp;totales!J487="0","0",IF(totales!E487="3"&amp;totales!H487="1"&amp;totales!I487="1"&amp;totales!J487="0","1",IF(totales!E487="4"&amp;totales!H487="1"&amp;totales!I487="1"&amp;totales!J487="0","2",IF(totales!E487="6"&amp;totales!H487="1"&amp;totales!I487="1"&amp;totales!J487="0","3",IF(totales!E487="1"&amp;totales!H487="0"&amp;totales!I487="1"&amp;totales!J487="1","4",IF(totales!E487="2"&amp;totales!H487="0"&amp;totales!I487="1"&amp;totales!J487="1","5",IF(totales!E487="3"&amp;totales!H487="0"&amp;totales!I487="1"&amp;totales!J487="1","6",IF(totales!E487="4"&amp;totales!H487="0"&amp;totales!I487="1"&amp;totales!J487="1","7",IF(totales!E487="6"&amp;totales!H487="0"&amp;totales!I487="1"&amp;totales!J487="1","8",IF(totales!E487="1"&amp;totales!H487="1"&amp;totales!I487="0"&amp;totales!J487="1","9"))))))))))))))))))))))))))))))))))))</f>
        <v>0</v>
      </c>
    </row>
    <row r="487" spans="22:22">
      <c r="V487" s="102" t="b">
        <f>IF(totales!E488="1"&amp;totales!H488="0"&amp;totales!I488="0"&amp;totales!J488="0","a",IF(totales!E488="2"&amp;totales!H488="0"&amp;totales!I488="0"&amp;totales!J488="0","b",IF(totales!E488="3"&amp;totales!H488="0"&amp;totales!I488="0"&amp;totales!J488="0","c",IF(totales!E488="4"&amp;totales!H488="0"&amp;totales!I488="0"&amp;totales!J488="0","d",IF(totales!E488="6"&amp;totales!H488="0"&amp;totales!I488="0"&amp;totales!J488="0","e",IF(totales!E488="1"&amp;totales!H488="1"&amp;totales!I488="0"&amp;totales!J488="0","f",IF(totales!E488="2"&amp;totales!H488="1"&amp;totales!I488="0"&amp;totales!J488="0","g",IF(totales!E488="3"&amp;totales!H488="1"&amp;totales!I488="0"&amp;totales!J488="0","h",IF(totales!E488="4"&amp;totales!H488="1"&amp;totales!I488="0"&amp;totales!J488="0","i",IF(totales!E488="6"&amp;totales!H488="1"&amp;totales!I488="0"&amp;totales!J488="0","j",IF(totales!E488="1"&amp;totales!H488="2"&amp;totales!I488="0"&amp;totales!J488="0","k",IF(totales!E488="2"&amp;totales!H488="2"&amp;totales!I488="0"&amp;totales!J488="0","l",IF(totales!E488="3"&amp;totales!H488="2"&amp;totales!I488="0"&amp;totales!J488="0","m",
IF(totales!E488="4"&amp;totales!H488="2"&amp;totales!I488="0"&amp;totales!J488="0","n",IF(totales!E488="6"&amp;totales!H488="2"&amp;totales!I488="0"&amp;totales!J488="0","o",IF(totales!E488="1"&amp;totales!H488="0"&amp;totales!I488="1"&amp;totales!J488="0","p",IF(totales!E488="2"&amp;totales!H488="0"&amp;totales!I488="1"&amp;totales!J488="0","q",IF(totales!E488="3"&amp;totales!H488="0"&amp;totales!I488="1"&amp;totales!J488="0","r",IF(totales!E488="4"&amp;totales!H488="0"&amp;totales!I488="1"&amp;totales!J488="0","s",IF(totales!E488="6"&amp;totales!H488="0"&amp;totales!I488="1"&amp;totales!J488="0","t",IF(totales!E488="1"&amp;totales!H488="2"&amp;totales!I488="1"&amp;totales!J488="0","u",IF(totales!E488="2"&amp;totales!H488="2"&amp;totales!I488="1"&amp;totales!J488="0","v",IF(totales!E488="3"&amp;totales!H488="2"&amp;totales!I488="1"&amp;totales!J488="0","w",IF(totales!E488="4"&amp;totales!H488="2"&amp;totales!I488="1"&amp;totales!J488="0","x",
IF(totales!E488="6"&amp;totales!H488="2"&amp;totales!I488="1"&amp;totales!J488="0","y",IF(totales!E488="1"&amp;totales!H488="1"&amp;totales!I488="1"&amp;totales!J488="0","z",IF(totales!E488="2"&amp;totales!H488="1"&amp;totales!I488="1"&amp;totales!J488="0","0",IF(totales!E488="3"&amp;totales!H488="1"&amp;totales!I488="1"&amp;totales!J488="0","1",IF(totales!E488="4"&amp;totales!H488="1"&amp;totales!I488="1"&amp;totales!J488="0","2",IF(totales!E488="6"&amp;totales!H488="1"&amp;totales!I488="1"&amp;totales!J488="0","3",IF(totales!E488="1"&amp;totales!H488="0"&amp;totales!I488="1"&amp;totales!J488="1","4",IF(totales!E488="2"&amp;totales!H488="0"&amp;totales!I488="1"&amp;totales!J488="1","5",IF(totales!E488="3"&amp;totales!H488="0"&amp;totales!I488="1"&amp;totales!J488="1","6",IF(totales!E488="4"&amp;totales!H488="0"&amp;totales!I488="1"&amp;totales!J488="1","7",IF(totales!E488="6"&amp;totales!H488="0"&amp;totales!I488="1"&amp;totales!J488="1","8",IF(totales!E488="1"&amp;totales!H488="1"&amp;totales!I488="0"&amp;totales!J488="1","9"))))))))))))))))))))))))))))))))))))</f>
        <v>0</v>
      </c>
    </row>
    <row r="488" spans="22:22">
      <c r="V488" s="102" t="b">
        <f>IF(totales!E489="1"&amp;totales!H489="0"&amp;totales!I489="0"&amp;totales!J489="0","a",IF(totales!E489="2"&amp;totales!H489="0"&amp;totales!I489="0"&amp;totales!J489="0","b",IF(totales!E489="3"&amp;totales!H489="0"&amp;totales!I489="0"&amp;totales!J489="0","c",IF(totales!E489="4"&amp;totales!H489="0"&amp;totales!I489="0"&amp;totales!J489="0","d",IF(totales!E489="6"&amp;totales!H489="0"&amp;totales!I489="0"&amp;totales!J489="0","e",IF(totales!E489="1"&amp;totales!H489="1"&amp;totales!I489="0"&amp;totales!J489="0","f",IF(totales!E489="2"&amp;totales!H489="1"&amp;totales!I489="0"&amp;totales!J489="0","g",IF(totales!E489="3"&amp;totales!H489="1"&amp;totales!I489="0"&amp;totales!J489="0","h",IF(totales!E489="4"&amp;totales!H489="1"&amp;totales!I489="0"&amp;totales!J489="0","i",IF(totales!E489="6"&amp;totales!H489="1"&amp;totales!I489="0"&amp;totales!J489="0","j",IF(totales!E489="1"&amp;totales!H489="2"&amp;totales!I489="0"&amp;totales!J489="0","k",IF(totales!E489="2"&amp;totales!H489="2"&amp;totales!I489="0"&amp;totales!J489="0","l",IF(totales!E489="3"&amp;totales!H489="2"&amp;totales!I489="0"&amp;totales!J489="0","m",
IF(totales!E489="4"&amp;totales!H489="2"&amp;totales!I489="0"&amp;totales!J489="0","n",IF(totales!E489="6"&amp;totales!H489="2"&amp;totales!I489="0"&amp;totales!J489="0","o",IF(totales!E489="1"&amp;totales!H489="0"&amp;totales!I489="1"&amp;totales!J489="0","p",IF(totales!E489="2"&amp;totales!H489="0"&amp;totales!I489="1"&amp;totales!J489="0","q",IF(totales!E489="3"&amp;totales!H489="0"&amp;totales!I489="1"&amp;totales!J489="0","r",IF(totales!E489="4"&amp;totales!H489="0"&amp;totales!I489="1"&amp;totales!J489="0","s",IF(totales!E489="6"&amp;totales!H489="0"&amp;totales!I489="1"&amp;totales!J489="0","t",IF(totales!E489="1"&amp;totales!H489="2"&amp;totales!I489="1"&amp;totales!J489="0","u",IF(totales!E489="2"&amp;totales!H489="2"&amp;totales!I489="1"&amp;totales!J489="0","v",IF(totales!E489="3"&amp;totales!H489="2"&amp;totales!I489="1"&amp;totales!J489="0","w",IF(totales!E489="4"&amp;totales!H489="2"&amp;totales!I489="1"&amp;totales!J489="0","x",
IF(totales!E489="6"&amp;totales!H489="2"&amp;totales!I489="1"&amp;totales!J489="0","y",IF(totales!E489="1"&amp;totales!H489="1"&amp;totales!I489="1"&amp;totales!J489="0","z",IF(totales!E489="2"&amp;totales!H489="1"&amp;totales!I489="1"&amp;totales!J489="0","0",IF(totales!E489="3"&amp;totales!H489="1"&amp;totales!I489="1"&amp;totales!J489="0","1",IF(totales!E489="4"&amp;totales!H489="1"&amp;totales!I489="1"&amp;totales!J489="0","2",IF(totales!E489="6"&amp;totales!H489="1"&amp;totales!I489="1"&amp;totales!J489="0","3",IF(totales!E489="1"&amp;totales!H489="0"&amp;totales!I489="1"&amp;totales!J489="1","4",IF(totales!E489="2"&amp;totales!H489="0"&amp;totales!I489="1"&amp;totales!J489="1","5",IF(totales!E489="3"&amp;totales!H489="0"&amp;totales!I489="1"&amp;totales!J489="1","6",IF(totales!E489="4"&amp;totales!H489="0"&amp;totales!I489="1"&amp;totales!J489="1","7",IF(totales!E489="6"&amp;totales!H489="0"&amp;totales!I489="1"&amp;totales!J489="1","8",IF(totales!E489="1"&amp;totales!H489="1"&amp;totales!I489="0"&amp;totales!J489="1","9"))))))))))))))))))))))))))))))))))))</f>
        <v>0</v>
      </c>
    </row>
    <row r="489" spans="22:22">
      <c r="V489" s="102" t="b">
        <f>IF(totales!E490="1"&amp;totales!H490="0"&amp;totales!I490="0"&amp;totales!J490="0","a",IF(totales!E490="2"&amp;totales!H490="0"&amp;totales!I490="0"&amp;totales!J490="0","b",IF(totales!E490="3"&amp;totales!H490="0"&amp;totales!I490="0"&amp;totales!J490="0","c",IF(totales!E490="4"&amp;totales!H490="0"&amp;totales!I490="0"&amp;totales!J490="0","d",IF(totales!E490="6"&amp;totales!H490="0"&amp;totales!I490="0"&amp;totales!J490="0","e",IF(totales!E490="1"&amp;totales!H490="1"&amp;totales!I490="0"&amp;totales!J490="0","f",IF(totales!E490="2"&amp;totales!H490="1"&amp;totales!I490="0"&amp;totales!J490="0","g",IF(totales!E490="3"&amp;totales!H490="1"&amp;totales!I490="0"&amp;totales!J490="0","h",IF(totales!E490="4"&amp;totales!H490="1"&amp;totales!I490="0"&amp;totales!J490="0","i",IF(totales!E490="6"&amp;totales!H490="1"&amp;totales!I490="0"&amp;totales!J490="0","j",IF(totales!E490="1"&amp;totales!H490="2"&amp;totales!I490="0"&amp;totales!J490="0","k",IF(totales!E490="2"&amp;totales!H490="2"&amp;totales!I490="0"&amp;totales!J490="0","l",IF(totales!E490="3"&amp;totales!H490="2"&amp;totales!I490="0"&amp;totales!J490="0","m",
IF(totales!E490="4"&amp;totales!H490="2"&amp;totales!I490="0"&amp;totales!J490="0","n",IF(totales!E490="6"&amp;totales!H490="2"&amp;totales!I490="0"&amp;totales!J490="0","o",IF(totales!E490="1"&amp;totales!H490="0"&amp;totales!I490="1"&amp;totales!J490="0","p",IF(totales!E490="2"&amp;totales!H490="0"&amp;totales!I490="1"&amp;totales!J490="0","q",IF(totales!E490="3"&amp;totales!H490="0"&amp;totales!I490="1"&amp;totales!J490="0","r",IF(totales!E490="4"&amp;totales!H490="0"&amp;totales!I490="1"&amp;totales!J490="0","s",IF(totales!E490="6"&amp;totales!H490="0"&amp;totales!I490="1"&amp;totales!J490="0","t",IF(totales!E490="1"&amp;totales!H490="2"&amp;totales!I490="1"&amp;totales!J490="0","u",IF(totales!E490="2"&amp;totales!H490="2"&amp;totales!I490="1"&amp;totales!J490="0","v",IF(totales!E490="3"&amp;totales!H490="2"&amp;totales!I490="1"&amp;totales!J490="0","w",IF(totales!E490="4"&amp;totales!H490="2"&amp;totales!I490="1"&amp;totales!J490="0","x",
IF(totales!E490="6"&amp;totales!H490="2"&amp;totales!I490="1"&amp;totales!J490="0","y",IF(totales!E490="1"&amp;totales!H490="1"&amp;totales!I490="1"&amp;totales!J490="0","z",IF(totales!E490="2"&amp;totales!H490="1"&amp;totales!I490="1"&amp;totales!J490="0","0",IF(totales!E490="3"&amp;totales!H490="1"&amp;totales!I490="1"&amp;totales!J490="0","1",IF(totales!E490="4"&amp;totales!H490="1"&amp;totales!I490="1"&amp;totales!J490="0","2",IF(totales!E490="6"&amp;totales!H490="1"&amp;totales!I490="1"&amp;totales!J490="0","3",IF(totales!E490="1"&amp;totales!H490="0"&amp;totales!I490="1"&amp;totales!J490="1","4",IF(totales!E490="2"&amp;totales!H490="0"&amp;totales!I490="1"&amp;totales!J490="1","5",IF(totales!E490="3"&amp;totales!H490="0"&amp;totales!I490="1"&amp;totales!J490="1","6",IF(totales!E490="4"&amp;totales!H490="0"&amp;totales!I490="1"&amp;totales!J490="1","7",IF(totales!E490="6"&amp;totales!H490="0"&amp;totales!I490="1"&amp;totales!J490="1","8",IF(totales!E490="1"&amp;totales!H490="1"&amp;totales!I490="0"&amp;totales!J490="1","9"))))))))))))))))))))))))))))))))))))</f>
        <v>0</v>
      </c>
    </row>
    <row r="490" spans="22:22">
      <c r="V490" s="102" t="b">
        <f>IF(totales!E491="1"&amp;totales!H491="0"&amp;totales!I491="0"&amp;totales!J491="0","a",IF(totales!E491="2"&amp;totales!H491="0"&amp;totales!I491="0"&amp;totales!J491="0","b",IF(totales!E491="3"&amp;totales!H491="0"&amp;totales!I491="0"&amp;totales!J491="0","c",IF(totales!E491="4"&amp;totales!H491="0"&amp;totales!I491="0"&amp;totales!J491="0","d",IF(totales!E491="6"&amp;totales!H491="0"&amp;totales!I491="0"&amp;totales!J491="0","e",IF(totales!E491="1"&amp;totales!H491="1"&amp;totales!I491="0"&amp;totales!J491="0","f",IF(totales!E491="2"&amp;totales!H491="1"&amp;totales!I491="0"&amp;totales!J491="0","g",IF(totales!E491="3"&amp;totales!H491="1"&amp;totales!I491="0"&amp;totales!J491="0","h",IF(totales!E491="4"&amp;totales!H491="1"&amp;totales!I491="0"&amp;totales!J491="0","i",IF(totales!E491="6"&amp;totales!H491="1"&amp;totales!I491="0"&amp;totales!J491="0","j",IF(totales!E491="1"&amp;totales!H491="2"&amp;totales!I491="0"&amp;totales!J491="0","k",IF(totales!E491="2"&amp;totales!H491="2"&amp;totales!I491="0"&amp;totales!J491="0","l",IF(totales!E491="3"&amp;totales!H491="2"&amp;totales!I491="0"&amp;totales!J491="0","m",
IF(totales!E491="4"&amp;totales!H491="2"&amp;totales!I491="0"&amp;totales!J491="0","n",IF(totales!E491="6"&amp;totales!H491="2"&amp;totales!I491="0"&amp;totales!J491="0","o",IF(totales!E491="1"&amp;totales!H491="0"&amp;totales!I491="1"&amp;totales!J491="0","p",IF(totales!E491="2"&amp;totales!H491="0"&amp;totales!I491="1"&amp;totales!J491="0","q",IF(totales!E491="3"&amp;totales!H491="0"&amp;totales!I491="1"&amp;totales!J491="0","r",IF(totales!E491="4"&amp;totales!H491="0"&amp;totales!I491="1"&amp;totales!J491="0","s",IF(totales!E491="6"&amp;totales!H491="0"&amp;totales!I491="1"&amp;totales!J491="0","t",IF(totales!E491="1"&amp;totales!H491="2"&amp;totales!I491="1"&amp;totales!J491="0","u",IF(totales!E491="2"&amp;totales!H491="2"&amp;totales!I491="1"&amp;totales!J491="0","v",IF(totales!E491="3"&amp;totales!H491="2"&amp;totales!I491="1"&amp;totales!J491="0","w",IF(totales!E491="4"&amp;totales!H491="2"&amp;totales!I491="1"&amp;totales!J491="0","x",
IF(totales!E491="6"&amp;totales!H491="2"&amp;totales!I491="1"&amp;totales!J491="0","y",IF(totales!E491="1"&amp;totales!H491="1"&amp;totales!I491="1"&amp;totales!J491="0","z",IF(totales!E491="2"&amp;totales!H491="1"&amp;totales!I491="1"&amp;totales!J491="0","0",IF(totales!E491="3"&amp;totales!H491="1"&amp;totales!I491="1"&amp;totales!J491="0","1",IF(totales!E491="4"&amp;totales!H491="1"&amp;totales!I491="1"&amp;totales!J491="0","2",IF(totales!E491="6"&amp;totales!H491="1"&amp;totales!I491="1"&amp;totales!J491="0","3",IF(totales!E491="1"&amp;totales!H491="0"&amp;totales!I491="1"&amp;totales!J491="1","4",IF(totales!E491="2"&amp;totales!H491="0"&amp;totales!I491="1"&amp;totales!J491="1","5",IF(totales!E491="3"&amp;totales!H491="0"&amp;totales!I491="1"&amp;totales!J491="1","6",IF(totales!E491="4"&amp;totales!H491="0"&amp;totales!I491="1"&amp;totales!J491="1","7",IF(totales!E491="6"&amp;totales!H491="0"&amp;totales!I491="1"&amp;totales!J491="1","8",IF(totales!E491="1"&amp;totales!H491="1"&amp;totales!I491="0"&amp;totales!J491="1","9"))))))))))))))))))))))))))))))))))))</f>
        <v>0</v>
      </c>
    </row>
    <row r="491" spans="22:22">
      <c r="V491" s="102" t="b">
        <f>IF(totales!E492="1"&amp;totales!H492="0"&amp;totales!I492="0"&amp;totales!J492="0","a",IF(totales!E492="2"&amp;totales!H492="0"&amp;totales!I492="0"&amp;totales!J492="0","b",IF(totales!E492="3"&amp;totales!H492="0"&amp;totales!I492="0"&amp;totales!J492="0","c",IF(totales!E492="4"&amp;totales!H492="0"&amp;totales!I492="0"&amp;totales!J492="0","d",IF(totales!E492="6"&amp;totales!H492="0"&amp;totales!I492="0"&amp;totales!J492="0","e",IF(totales!E492="1"&amp;totales!H492="1"&amp;totales!I492="0"&amp;totales!J492="0","f",IF(totales!E492="2"&amp;totales!H492="1"&amp;totales!I492="0"&amp;totales!J492="0","g",IF(totales!E492="3"&amp;totales!H492="1"&amp;totales!I492="0"&amp;totales!J492="0","h",IF(totales!E492="4"&amp;totales!H492="1"&amp;totales!I492="0"&amp;totales!J492="0","i",IF(totales!E492="6"&amp;totales!H492="1"&amp;totales!I492="0"&amp;totales!J492="0","j",IF(totales!E492="1"&amp;totales!H492="2"&amp;totales!I492="0"&amp;totales!J492="0","k",IF(totales!E492="2"&amp;totales!H492="2"&amp;totales!I492="0"&amp;totales!J492="0","l",IF(totales!E492="3"&amp;totales!H492="2"&amp;totales!I492="0"&amp;totales!J492="0","m",
IF(totales!E492="4"&amp;totales!H492="2"&amp;totales!I492="0"&amp;totales!J492="0","n",IF(totales!E492="6"&amp;totales!H492="2"&amp;totales!I492="0"&amp;totales!J492="0","o",IF(totales!E492="1"&amp;totales!H492="0"&amp;totales!I492="1"&amp;totales!J492="0","p",IF(totales!E492="2"&amp;totales!H492="0"&amp;totales!I492="1"&amp;totales!J492="0","q",IF(totales!E492="3"&amp;totales!H492="0"&amp;totales!I492="1"&amp;totales!J492="0","r",IF(totales!E492="4"&amp;totales!H492="0"&amp;totales!I492="1"&amp;totales!J492="0","s",IF(totales!E492="6"&amp;totales!H492="0"&amp;totales!I492="1"&amp;totales!J492="0","t",IF(totales!E492="1"&amp;totales!H492="2"&amp;totales!I492="1"&amp;totales!J492="0","u",IF(totales!E492="2"&amp;totales!H492="2"&amp;totales!I492="1"&amp;totales!J492="0","v",IF(totales!E492="3"&amp;totales!H492="2"&amp;totales!I492="1"&amp;totales!J492="0","w",IF(totales!E492="4"&amp;totales!H492="2"&amp;totales!I492="1"&amp;totales!J492="0","x",
IF(totales!E492="6"&amp;totales!H492="2"&amp;totales!I492="1"&amp;totales!J492="0","y",IF(totales!E492="1"&amp;totales!H492="1"&amp;totales!I492="1"&amp;totales!J492="0","z",IF(totales!E492="2"&amp;totales!H492="1"&amp;totales!I492="1"&amp;totales!J492="0","0",IF(totales!E492="3"&amp;totales!H492="1"&amp;totales!I492="1"&amp;totales!J492="0","1",IF(totales!E492="4"&amp;totales!H492="1"&amp;totales!I492="1"&amp;totales!J492="0","2",IF(totales!E492="6"&amp;totales!H492="1"&amp;totales!I492="1"&amp;totales!J492="0","3",IF(totales!E492="1"&amp;totales!H492="0"&amp;totales!I492="1"&amp;totales!J492="1","4",IF(totales!E492="2"&amp;totales!H492="0"&amp;totales!I492="1"&amp;totales!J492="1","5",IF(totales!E492="3"&amp;totales!H492="0"&amp;totales!I492="1"&amp;totales!J492="1","6",IF(totales!E492="4"&amp;totales!H492="0"&amp;totales!I492="1"&amp;totales!J492="1","7",IF(totales!E492="6"&amp;totales!H492="0"&amp;totales!I492="1"&amp;totales!J492="1","8",IF(totales!E492="1"&amp;totales!H492="1"&amp;totales!I492="0"&amp;totales!J492="1","9"))))))))))))))))))))))))))))))))))))</f>
        <v>0</v>
      </c>
    </row>
    <row r="492" spans="22:22">
      <c r="V492" s="102" t="b">
        <f>IF(totales!E493="1"&amp;totales!H493="0"&amp;totales!I493="0"&amp;totales!J493="0","a",IF(totales!E493="2"&amp;totales!H493="0"&amp;totales!I493="0"&amp;totales!J493="0","b",IF(totales!E493="3"&amp;totales!H493="0"&amp;totales!I493="0"&amp;totales!J493="0","c",IF(totales!E493="4"&amp;totales!H493="0"&amp;totales!I493="0"&amp;totales!J493="0","d",IF(totales!E493="6"&amp;totales!H493="0"&amp;totales!I493="0"&amp;totales!J493="0","e",IF(totales!E493="1"&amp;totales!H493="1"&amp;totales!I493="0"&amp;totales!J493="0","f",IF(totales!E493="2"&amp;totales!H493="1"&amp;totales!I493="0"&amp;totales!J493="0","g",IF(totales!E493="3"&amp;totales!H493="1"&amp;totales!I493="0"&amp;totales!J493="0","h",IF(totales!E493="4"&amp;totales!H493="1"&amp;totales!I493="0"&amp;totales!J493="0","i",IF(totales!E493="6"&amp;totales!H493="1"&amp;totales!I493="0"&amp;totales!J493="0","j",IF(totales!E493="1"&amp;totales!H493="2"&amp;totales!I493="0"&amp;totales!J493="0","k",IF(totales!E493="2"&amp;totales!H493="2"&amp;totales!I493="0"&amp;totales!J493="0","l",IF(totales!E493="3"&amp;totales!H493="2"&amp;totales!I493="0"&amp;totales!J493="0","m",
IF(totales!E493="4"&amp;totales!H493="2"&amp;totales!I493="0"&amp;totales!J493="0","n",IF(totales!E493="6"&amp;totales!H493="2"&amp;totales!I493="0"&amp;totales!J493="0","o",IF(totales!E493="1"&amp;totales!H493="0"&amp;totales!I493="1"&amp;totales!J493="0","p",IF(totales!E493="2"&amp;totales!H493="0"&amp;totales!I493="1"&amp;totales!J493="0","q",IF(totales!E493="3"&amp;totales!H493="0"&amp;totales!I493="1"&amp;totales!J493="0","r",IF(totales!E493="4"&amp;totales!H493="0"&amp;totales!I493="1"&amp;totales!J493="0","s",IF(totales!E493="6"&amp;totales!H493="0"&amp;totales!I493="1"&amp;totales!J493="0","t",IF(totales!E493="1"&amp;totales!H493="2"&amp;totales!I493="1"&amp;totales!J493="0","u",IF(totales!E493="2"&amp;totales!H493="2"&amp;totales!I493="1"&amp;totales!J493="0","v",IF(totales!E493="3"&amp;totales!H493="2"&amp;totales!I493="1"&amp;totales!J493="0","w",IF(totales!E493="4"&amp;totales!H493="2"&amp;totales!I493="1"&amp;totales!J493="0","x",
IF(totales!E493="6"&amp;totales!H493="2"&amp;totales!I493="1"&amp;totales!J493="0","y",IF(totales!E493="1"&amp;totales!H493="1"&amp;totales!I493="1"&amp;totales!J493="0","z",IF(totales!E493="2"&amp;totales!H493="1"&amp;totales!I493="1"&amp;totales!J493="0","0",IF(totales!E493="3"&amp;totales!H493="1"&amp;totales!I493="1"&amp;totales!J493="0","1",IF(totales!E493="4"&amp;totales!H493="1"&amp;totales!I493="1"&amp;totales!J493="0","2",IF(totales!E493="6"&amp;totales!H493="1"&amp;totales!I493="1"&amp;totales!J493="0","3",IF(totales!E493="1"&amp;totales!H493="0"&amp;totales!I493="1"&amp;totales!J493="1","4",IF(totales!E493="2"&amp;totales!H493="0"&amp;totales!I493="1"&amp;totales!J493="1","5",IF(totales!E493="3"&amp;totales!H493="0"&amp;totales!I493="1"&amp;totales!J493="1","6",IF(totales!E493="4"&amp;totales!H493="0"&amp;totales!I493="1"&amp;totales!J493="1","7",IF(totales!E493="6"&amp;totales!H493="0"&amp;totales!I493="1"&amp;totales!J493="1","8",IF(totales!E493="1"&amp;totales!H493="1"&amp;totales!I493="0"&amp;totales!J493="1","9"))))))))))))))))))))))))))))))))))))</f>
        <v>0</v>
      </c>
    </row>
    <row r="493" spans="22:22">
      <c r="V493" s="102" t="b">
        <f>IF(totales!E494="1"&amp;totales!H494="0"&amp;totales!I494="0"&amp;totales!J494="0","a",IF(totales!E494="2"&amp;totales!H494="0"&amp;totales!I494="0"&amp;totales!J494="0","b",IF(totales!E494="3"&amp;totales!H494="0"&amp;totales!I494="0"&amp;totales!J494="0","c",IF(totales!E494="4"&amp;totales!H494="0"&amp;totales!I494="0"&amp;totales!J494="0","d",IF(totales!E494="6"&amp;totales!H494="0"&amp;totales!I494="0"&amp;totales!J494="0","e",IF(totales!E494="1"&amp;totales!H494="1"&amp;totales!I494="0"&amp;totales!J494="0","f",IF(totales!E494="2"&amp;totales!H494="1"&amp;totales!I494="0"&amp;totales!J494="0","g",IF(totales!E494="3"&amp;totales!H494="1"&amp;totales!I494="0"&amp;totales!J494="0","h",IF(totales!E494="4"&amp;totales!H494="1"&amp;totales!I494="0"&amp;totales!J494="0","i",IF(totales!E494="6"&amp;totales!H494="1"&amp;totales!I494="0"&amp;totales!J494="0","j",IF(totales!E494="1"&amp;totales!H494="2"&amp;totales!I494="0"&amp;totales!J494="0","k",IF(totales!E494="2"&amp;totales!H494="2"&amp;totales!I494="0"&amp;totales!J494="0","l",IF(totales!E494="3"&amp;totales!H494="2"&amp;totales!I494="0"&amp;totales!J494="0","m",
IF(totales!E494="4"&amp;totales!H494="2"&amp;totales!I494="0"&amp;totales!J494="0","n",IF(totales!E494="6"&amp;totales!H494="2"&amp;totales!I494="0"&amp;totales!J494="0","o",IF(totales!E494="1"&amp;totales!H494="0"&amp;totales!I494="1"&amp;totales!J494="0","p",IF(totales!E494="2"&amp;totales!H494="0"&amp;totales!I494="1"&amp;totales!J494="0","q",IF(totales!E494="3"&amp;totales!H494="0"&amp;totales!I494="1"&amp;totales!J494="0","r",IF(totales!E494="4"&amp;totales!H494="0"&amp;totales!I494="1"&amp;totales!J494="0","s",IF(totales!E494="6"&amp;totales!H494="0"&amp;totales!I494="1"&amp;totales!J494="0","t",IF(totales!E494="1"&amp;totales!H494="2"&amp;totales!I494="1"&amp;totales!J494="0","u",IF(totales!E494="2"&amp;totales!H494="2"&amp;totales!I494="1"&amp;totales!J494="0","v",IF(totales!E494="3"&amp;totales!H494="2"&amp;totales!I494="1"&amp;totales!J494="0","w",IF(totales!E494="4"&amp;totales!H494="2"&amp;totales!I494="1"&amp;totales!J494="0","x",
IF(totales!E494="6"&amp;totales!H494="2"&amp;totales!I494="1"&amp;totales!J494="0","y",IF(totales!E494="1"&amp;totales!H494="1"&amp;totales!I494="1"&amp;totales!J494="0","z",IF(totales!E494="2"&amp;totales!H494="1"&amp;totales!I494="1"&amp;totales!J494="0","0",IF(totales!E494="3"&amp;totales!H494="1"&amp;totales!I494="1"&amp;totales!J494="0","1",IF(totales!E494="4"&amp;totales!H494="1"&amp;totales!I494="1"&amp;totales!J494="0","2",IF(totales!E494="6"&amp;totales!H494="1"&amp;totales!I494="1"&amp;totales!J494="0","3",IF(totales!E494="1"&amp;totales!H494="0"&amp;totales!I494="1"&amp;totales!J494="1","4",IF(totales!E494="2"&amp;totales!H494="0"&amp;totales!I494="1"&amp;totales!J494="1","5",IF(totales!E494="3"&amp;totales!H494="0"&amp;totales!I494="1"&amp;totales!J494="1","6",IF(totales!E494="4"&amp;totales!H494="0"&amp;totales!I494="1"&amp;totales!J494="1","7",IF(totales!E494="6"&amp;totales!H494="0"&amp;totales!I494="1"&amp;totales!J494="1","8",IF(totales!E494="1"&amp;totales!H494="1"&amp;totales!I494="0"&amp;totales!J494="1","9"))))))))))))))))))))))))))))))))))))</f>
        <v>0</v>
      </c>
    </row>
    <row r="494" spans="22:22">
      <c r="V494" s="102" t="b">
        <f>IF(totales!E495="1"&amp;totales!H495="0"&amp;totales!I495="0"&amp;totales!J495="0","a",IF(totales!E495="2"&amp;totales!H495="0"&amp;totales!I495="0"&amp;totales!J495="0","b",IF(totales!E495="3"&amp;totales!H495="0"&amp;totales!I495="0"&amp;totales!J495="0","c",IF(totales!E495="4"&amp;totales!H495="0"&amp;totales!I495="0"&amp;totales!J495="0","d",IF(totales!E495="6"&amp;totales!H495="0"&amp;totales!I495="0"&amp;totales!J495="0","e",IF(totales!E495="1"&amp;totales!H495="1"&amp;totales!I495="0"&amp;totales!J495="0","f",IF(totales!E495="2"&amp;totales!H495="1"&amp;totales!I495="0"&amp;totales!J495="0","g",IF(totales!E495="3"&amp;totales!H495="1"&amp;totales!I495="0"&amp;totales!J495="0","h",IF(totales!E495="4"&amp;totales!H495="1"&amp;totales!I495="0"&amp;totales!J495="0","i",IF(totales!E495="6"&amp;totales!H495="1"&amp;totales!I495="0"&amp;totales!J495="0","j",IF(totales!E495="1"&amp;totales!H495="2"&amp;totales!I495="0"&amp;totales!J495="0","k",IF(totales!E495="2"&amp;totales!H495="2"&amp;totales!I495="0"&amp;totales!J495="0","l",IF(totales!E495="3"&amp;totales!H495="2"&amp;totales!I495="0"&amp;totales!J495="0","m",
IF(totales!E495="4"&amp;totales!H495="2"&amp;totales!I495="0"&amp;totales!J495="0","n",IF(totales!E495="6"&amp;totales!H495="2"&amp;totales!I495="0"&amp;totales!J495="0","o",IF(totales!E495="1"&amp;totales!H495="0"&amp;totales!I495="1"&amp;totales!J495="0","p",IF(totales!E495="2"&amp;totales!H495="0"&amp;totales!I495="1"&amp;totales!J495="0","q",IF(totales!E495="3"&amp;totales!H495="0"&amp;totales!I495="1"&amp;totales!J495="0","r",IF(totales!E495="4"&amp;totales!H495="0"&amp;totales!I495="1"&amp;totales!J495="0","s",IF(totales!E495="6"&amp;totales!H495="0"&amp;totales!I495="1"&amp;totales!J495="0","t",IF(totales!E495="1"&amp;totales!H495="2"&amp;totales!I495="1"&amp;totales!J495="0","u",IF(totales!E495="2"&amp;totales!H495="2"&amp;totales!I495="1"&amp;totales!J495="0","v",IF(totales!E495="3"&amp;totales!H495="2"&amp;totales!I495="1"&amp;totales!J495="0","w",IF(totales!E495="4"&amp;totales!H495="2"&amp;totales!I495="1"&amp;totales!J495="0","x",
IF(totales!E495="6"&amp;totales!H495="2"&amp;totales!I495="1"&amp;totales!J495="0","y",IF(totales!E495="1"&amp;totales!H495="1"&amp;totales!I495="1"&amp;totales!J495="0","z",IF(totales!E495="2"&amp;totales!H495="1"&amp;totales!I495="1"&amp;totales!J495="0","0",IF(totales!E495="3"&amp;totales!H495="1"&amp;totales!I495="1"&amp;totales!J495="0","1",IF(totales!E495="4"&amp;totales!H495="1"&amp;totales!I495="1"&amp;totales!J495="0","2",IF(totales!E495="6"&amp;totales!H495="1"&amp;totales!I495="1"&amp;totales!J495="0","3",IF(totales!E495="1"&amp;totales!H495="0"&amp;totales!I495="1"&amp;totales!J495="1","4",IF(totales!E495="2"&amp;totales!H495="0"&amp;totales!I495="1"&amp;totales!J495="1","5",IF(totales!E495="3"&amp;totales!H495="0"&amp;totales!I495="1"&amp;totales!J495="1","6",IF(totales!E495="4"&amp;totales!H495="0"&amp;totales!I495="1"&amp;totales!J495="1","7",IF(totales!E495="6"&amp;totales!H495="0"&amp;totales!I495="1"&amp;totales!J495="1","8",IF(totales!E495="1"&amp;totales!H495="1"&amp;totales!I495="0"&amp;totales!J495="1","9"))))))))))))))))))))))))))))))))))))</f>
        <v>0</v>
      </c>
    </row>
    <row r="495" spans="22:22">
      <c r="V495" s="102" t="b">
        <f>IF(totales!E496="1"&amp;totales!H496="0"&amp;totales!I496="0"&amp;totales!J496="0","a",IF(totales!E496="2"&amp;totales!H496="0"&amp;totales!I496="0"&amp;totales!J496="0","b",IF(totales!E496="3"&amp;totales!H496="0"&amp;totales!I496="0"&amp;totales!J496="0","c",IF(totales!E496="4"&amp;totales!H496="0"&amp;totales!I496="0"&amp;totales!J496="0","d",IF(totales!E496="6"&amp;totales!H496="0"&amp;totales!I496="0"&amp;totales!J496="0","e",IF(totales!E496="1"&amp;totales!H496="1"&amp;totales!I496="0"&amp;totales!J496="0","f",IF(totales!E496="2"&amp;totales!H496="1"&amp;totales!I496="0"&amp;totales!J496="0","g",IF(totales!E496="3"&amp;totales!H496="1"&amp;totales!I496="0"&amp;totales!J496="0","h",IF(totales!E496="4"&amp;totales!H496="1"&amp;totales!I496="0"&amp;totales!J496="0","i",IF(totales!E496="6"&amp;totales!H496="1"&amp;totales!I496="0"&amp;totales!J496="0","j",IF(totales!E496="1"&amp;totales!H496="2"&amp;totales!I496="0"&amp;totales!J496="0","k",IF(totales!E496="2"&amp;totales!H496="2"&amp;totales!I496="0"&amp;totales!J496="0","l",IF(totales!E496="3"&amp;totales!H496="2"&amp;totales!I496="0"&amp;totales!J496="0","m",
IF(totales!E496="4"&amp;totales!H496="2"&amp;totales!I496="0"&amp;totales!J496="0","n",IF(totales!E496="6"&amp;totales!H496="2"&amp;totales!I496="0"&amp;totales!J496="0","o",IF(totales!E496="1"&amp;totales!H496="0"&amp;totales!I496="1"&amp;totales!J496="0","p",IF(totales!E496="2"&amp;totales!H496="0"&amp;totales!I496="1"&amp;totales!J496="0","q",IF(totales!E496="3"&amp;totales!H496="0"&amp;totales!I496="1"&amp;totales!J496="0","r",IF(totales!E496="4"&amp;totales!H496="0"&amp;totales!I496="1"&amp;totales!J496="0","s",IF(totales!E496="6"&amp;totales!H496="0"&amp;totales!I496="1"&amp;totales!J496="0","t",IF(totales!E496="1"&amp;totales!H496="2"&amp;totales!I496="1"&amp;totales!J496="0","u",IF(totales!E496="2"&amp;totales!H496="2"&amp;totales!I496="1"&amp;totales!J496="0","v",IF(totales!E496="3"&amp;totales!H496="2"&amp;totales!I496="1"&amp;totales!J496="0","w",IF(totales!E496="4"&amp;totales!H496="2"&amp;totales!I496="1"&amp;totales!J496="0","x",
IF(totales!E496="6"&amp;totales!H496="2"&amp;totales!I496="1"&amp;totales!J496="0","y",IF(totales!E496="1"&amp;totales!H496="1"&amp;totales!I496="1"&amp;totales!J496="0","z",IF(totales!E496="2"&amp;totales!H496="1"&amp;totales!I496="1"&amp;totales!J496="0","0",IF(totales!E496="3"&amp;totales!H496="1"&amp;totales!I496="1"&amp;totales!J496="0","1",IF(totales!E496="4"&amp;totales!H496="1"&amp;totales!I496="1"&amp;totales!J496="0","2",IF(totales!E496="6"&amp;totales!H496="1"&amp;totales!I496="1"&amp;totales!J496="0","3",IF(totales!E496="1"&amp;totales!H496="0"&amp;totales!I496="1"&amp;totales!J496="1","4",IF(totales!E496="2"&amp;totales!H496="0"&amp;totales!I496="1"&amp;totales!J496="1","5",IF(totales!E496="3"&amp;totales!H496="0"&amp;totales!I496="1"&amp;totales!J496="1","6",IF(totales!E496="4"&amp;totales!H496="0"&amp;totales!I496="1"&amp;totales!J496="1","7",IF(totales!E496="6"&amp;totales!H496="0"&amp;totales!I496="1"&amp;totales!J496="1","8",IF(totales!E496="1"&amp;totales!H496="1"&amp;totales!I496="0"&amp;totales!J496="1","9"))))))))))))))))))))))))))))))))))))</f>
        <v>0</v>
      </c>
    </row>
    <row r="496" spans="22:22">
      <c r="V496" s="102" t="b">
        <f>IF(totales!E497="1"&amp;totales!H497="0"&amp;totales!I497="0"&amp;totales!J497="0","a",IF(totales!E497="2"&amp;totales!H497="0"&amp;totales!I497="0"&amp;totales!J497="0","b",IF(totales!E497="3"&amp;totales!H497="0"&amp;totales!I497="0"&amp;totales!J497="0","c",IF(totales!E497="4"&amp;totales!H497="0"&amp;totales!I497="0"&amp;totales!J497="0","d",IF(totales!E497="6"&amp;totales!H497="0"&amp;totales!I497="0"&amp;totales!J497="0","e",IF(totales!E497="1"&amp;totales!H497="1"&amp;totales!I497="0"&amp;totales!J497="0","f",IF(totales!E497="2"&amp;totales!H497="1"&amp;totales!I497="0"&amp;totales!J497="0","g",IF(totales!E497="3"&amp;totales!H497="1"&amp;totales!I497="0"&amp;totales!J497="0","h",IF(totales!E497="4"&amp;totales!H497="1"&amp;totales!I497="0"&amp;totales!J497="0","i",IF(totales!E497="6"&amp;totales!H497="1"&amp;totales!I497="0"&amp;totales!J497="0","j",IF(totales!E497="1"&amp;totales!H497="2"&amp;totales!I497="0"&amp;totales!J497="0","k",IF(totales!E497="2"&amp;totales!H497="2"&amp;totales!I497="0"&amp;totales!J497="0","l",IF(totales!E497="3"&amp;totales!H497="2"&amp;totales!I497="0"&amp;totales!J497="0","m",
IF(totales!E497="4"&amp;totales!H497="2"&amp;totales!I497="0"&amp;totales!J497="0","n",IF(totales!E497="6"&amp;totales!H497="2"&amp;totales!I497="0"&amp;totales!J497="0","o",IF(totales!E497="1"&amp;totales!H497="0"&amp;totales!I497="1"&amp;totales!J497="0","p",IF(totales!E497="2"&amp;totales!H497="0"&amp;totales!I497="1"&amp;totales!J497="0","q",IF(totales!E497="3"&amp;totales!H497="0"&amp;totales!I497="1"&amp;totales!J497="0","r",IF(totales!E497="4"&amp;totales!H497="0"&amp;totales!I497="1"&amp;totales!J497="0","s",IF(totales!E497="6"&amp;totales!H497="0"&amp;totales!I497="1"&amp;totales!J497="0","t",IF(totales!E497="1"&amp;totales!H497="2"&amp;totales!I497="1"&amp;totales!J497="0","u",IF(totales!E497="2"&amp;totales!H497="2"&amp;totales!I497="1"&amp;totales!J497="0","v",IF(totales!E497="3"&amp;totales!H497="2"&amp;totales!I497="1"&amp;totales!J497="0","w",IF(totales!E497="4"&amp;totales!H497="2"&amp;totales!I497="1"&amp;totales!J497="0","x",
IF(totales!E497="6"&amp;totales!H497="2"&amp;totales!I497="1"&amp;totales!J497="0","y",IF(totales!E497="1"&amp;totales!H497="1"&amp;totales!I497="1"&amp;totales!J497="0","z",IF(totales!E497="2"&amp;totales!H497="1"&amp;totales!I497="1"&amp;totales!J497="0","0",IF(totales!E497="3"&amp;totales!H497="1"&amp;totales!I497="1"&amp;totales!J497="0","1",IF(totales!E497="4"&amp;totales!H497="1"&amp;totales!I497="1"&amp;totales!J497="0","2",IF(totales!E497="6"&amp;totales!H497="1"&amp;totales!I497="1"&amp;totales!J497="0","3",IF(totales!E497="1"&amp;totales!H497="0"&amp;totales!I497="1"&amp;totales!J497="1","4",IF(totales!E497="2"&amp;totales!H497="0"&amp;totales!I497="1"&amp;totales!J497="1","5",IF(totales!E497="3"&amp;totales!H497="0"&amp;totales!I497="1"&amp;totales!J497="1","6",IF(totales!E497="4"&amp;totales!H497="0"&amp;totales!I497="1"&amp;totales!J497="1","7",IF(totales!E497="6"&amp;totales!H497="0"&amp;totales!I497="1"&amp;totales!J497="1","8",IF(totales!E497="1"&amp;totales!H497="1"&amp;totales!I497="0"&amp;totales!J497="1","9"))))))))))))))))))))))))))))))))))))</f>
        <v>0</v>
      </c>
    </row>
    <row r="497" spans="22:22">
      <c r="V497" s="102" t="b">
        <f>IF(totales!E498="1"&amp;totales!H498="0"&amp;totales!I498="0"&amp;totales!J498="0","a",IF(totales!E498="2"&amp;totales!H498="0"&amp;totales!I498="0"&amp;totales!J498="0","b",IF(totales!E498="3"&amp;totales!H498="0"&amp;totales!I498="0"&amp;totales!J498="0","c",IF(totales!E498="4"&amp;totales!H498="0"&amp;totales!I498="0"&amp;totales!J498="0","d",IF(totales!E498="6"&amp;totales!H498="0"&amp;totales!I498="0"&amp;totales!J498="0","e",IF(totales!E498="1"&amp;totales!H498="1"&amp;totales!I498="0"&amp;totales!J498="0","f",IF(totales!E498="2"&amp;totales!H498="1"&amp;totales!I498="0"&amp;totales!J498="0","g",IF(totales!E498="3"&amp;totales!H498="1"&amp;totales!I498="0"&amp;totales!J498="0","h",IF(totales!E498="4"&amp;totales!H498="1"&amp;totales!I498="0"&amp;totales!J498="0","i",IF(totales!E498="6"&amp;totales!H498="1"&amp;totales!I498="0"&amp;totales!J498="0","j",IF(totales!E498="1"&amp;totales!H498="2"&amp;totales!I498="0"&amp;totales!J498="0","k",IF(totales!E498="2"&amp;totales!H498="2"&amp;totales!I498="0"&amp;totales!J498="0","l",IF(totales!E498="3"&amp;totales!H498="2"&amp;totales!I498="0"&amp;totales!J498="0","m",
IF(totales!E498="4"&amp;totales!H498="2"&amp;totales!I498="0"&amp;totales!J498="0","n",IF(totales!E498="6"&amp;totales!H498="2"&amp;totales!I498="0"&amp;totales!J498="0","o",IF(totales!E498="1"&amp;totales!H498="0"&amp;totales!I498="1"&amp;totales!J498="0","p",IF(totales!E498="2"&amp;totales!H498="0"&amp;totales!I498="1"&amp;totales!J498="0","q",IF(totales!E498="3"&amp;totales!H498="0"&amp;totales!I498="1"&amp;totales!J498="0","r",IF(totales!E498="4"&amp;totales!H498="0"&amp;totales!I498="1"&amp;totales!J498="0","s",IF(totales!E498="6"&amp;totales!H498="0"&amp;totales!I498="1"&amp;totales!J498="0","t",IF(totales!E498="1"&amp;totales!H498="2"&amp;totales!I498="1"&amp;totales!J498="0","u",IF(totales!E498="2"&amp;totales!H498="2"&amp;totales!I498="1"&amp;totales!J498="0","v",IF(totales!E498="3"&amp;totales!H498="2"&amp;totales!I498="1"&amp;totales!J498="0","w",IF(totales!E498="4"&amp;totales!H498="2"&amp;totales!I498="1"&amp;totales!J498="0","x",
IF(totales!E498="6"&amp;totales!H498="2"&amp;totales!I498="1"&amp;totales!J498="0","y",IF(totales!E498="1"&amp;totales!H498="1"&amp;totales!I498="1"&amp;totales!J498="0","z",IF(totales!E498="2"&amp;totales!H498="1"&amp;totales!I498="1"&amp;totales!J498="0","0",IF(totales!E498="3"&amp;totales!H498="1"&amp;totales!I498="1"&amp;totales!J498="0","1",IF(totales!E498="4"&amp;totales!H498="1"&amp;totales!I498="1"&amp;totales!J498="0","2",IF(totales!E498="6"&amp;totales!H498="1"&amp;totales!I498="1"&amp;totales!J498="0","3",IF(totales!E498="1"&amp;totales!H498="0"&amp;totales!I498="1"&amp;totales!J498="1","4",IF(totales!E498="2"&amp;totales!H498="0"&amp;totales!I498="1"&amp;totales!J498="1","5",IF(totales!E498="3"&amp;totales!H498="0"&amp;totales!I498="1"&amp;totales!J498="1","6",IF(totales!E498="4"&amp;totales!H498="0"&amp;totales!I498="1"&amp;totales!J498="1","7",IF(totales!E498="6"&amp;totales!H498="0"&amp;totales!I498="1"&amp;totales!J498="1","8",IF(totales!E498="1"&amp;totales!H498="1"&amp;totales!I498="0"&amp;totales!J498="1","9"))))))))))))))))))))))))))))))))))))</f>
        <v>0</v>
      </c>
    </row>
    <row r="498" spans="22:22">
      <c r="V498" s="102" t="b">
        <f>IF(totales!E499="1"&amp;totales!H499="0"&amp;totales!I499="0"&amp;totales!J499="0","a",IF(totales!E499="2"&amp;totales!H499="0"&amp;totales!I499="0"&amp;totales!J499="0","b",IF(totales!E499="3"&amp;totales!H499="0"&amp;totales!I499="0"&amp;totales!J499="0","c",IF(totales!E499="4"&amp;totales!H499="0"&amp;totales!I499="0"&amp;totales!J499="0","d",IF(totales!E499="6"&amp;totales!H499="0"&amp;totales!I499="0"&amp;totales!J499="0","e",IF(totales!E499="1"&amp;totales!H499="1"&amp;totales!I499="0"&amp;totales!J499="0","f",IF(totales!E499="2"&amp;totales!H499="1"&amp;totales!I499="0"&amp;totales!J499="0","g",IF(totales!E499="3"&amp;totales!H499="1"&amp;totales!I499="0"&amp;totales!J499="0","h",IF(totales!E499="4"&amp;totales!H499="1"&amp;totales!I499="0"&amp;totales!J499="0","i",IF(totales!E499="6"&amp;totales!H499="1"&amp;totales!I499="0"&amp;totales!J499="0","j",IF(totales!E499="1"&amp;totales!H499="2"&amp;totales!I499="0"&amp;totales!J499="0","k",IF(totales!E499="2"&amp;totales!H499="2"&amp;totales!I499="0"&amp;totales!J499="0","l",IF(totales!E499="3"&amp;totales!H499="2"&amp;totales!I499="0"&amp;totales!J499="0","m",
IF(totales!E499="4"&amp;totales!H499="2"&amp;totales!I499="0"&amp;totales!J499="0","n",IF(totales!E499="6"&amp;totales!H499="2"&amp;totales!I499="0"&amp;totales!J499="0","o",IF(totales!E499="1"&amp;totales!H499="0"&amp;totales!I499="1"&amp;totales!J499="0","p",IF(totales!E499="2"&amp;totales!H499="0"&amp;totales!I499="1"&amp;totales!J499="0","q",IF(totales!E499="3"&amp;totales!H499="0"&amp;totales!I499="1"&amp;totales!J499="0","r",IF(totales!E499="4"&amp;totales!H499="0"&amp;totales!I499="1"&amp;totales!J499="0","s",IF(totales!E499="6"&amp;totales!H499="0"&amp;totales!I499="1"&amp;totales!J499="0","t",IF(totales!E499="1"&amp;totales!H499="2"&amp;totales!I499="1"&amp;totales!J499="0","u",IF(totales!E499="2"&amp;totales!H499="2"&amp;totales!I499="1"&amp;totales!J499="0","v",IF(totales!E499="3"&amp;totales!H499="2"&amp;totales!I499="1"&amp;totales!J499="0","w",IF(totales!E499="4"&amp;totales!H499="2"&amp;totales!I499="1"&amp;totales!J499="0","x",
IF(totales!E499="6"&amp;totales!H499="2"&amp;totales!I499="1"&amp;totales!J499="0","y",IF(totales!E499="1"&amp;totales!H499="1"&amp;totales!I499="1"&amp;totales!J499="0","z",IF(totales!E499="2"&amp;totales!H499="1"&amp;totales!I499="1"&amp;totales!J499="0","0",IF(totales!E499="3"&amp;totales!H499="1"&amp;totales!I499="1"&amp;totales!J499="0","1",IF(totales!E499="4"&amp;totales!H499="1"&amp;totales!I499="1"&amp;totales!J499="0","2",IF(totales!E499="6"&amp;totales!H499="1"&amp;totales!I499="1"&amp;totales!J499="0","3",IF(totales!E499="1"&amp;totales!H499="0"&amp;totales!I499="1"&amp;totales!J499="1","4",IF(totales!E499="2"&amp;totales!H499="0"&amp;totales!I499="1"&amp;totales!J499="1","5",IF(totales!E499="3"&amp;totales!H499="0"&amp;totales!I499="1"&amp;totales!J499="1","6",IF(totales!E499="4"&amp;totales!H499="0"&amp;totales!I499="1"&amp;totales!J499="1","7",IF(totales!E499="6"&amp;totales!H499="0"&amp;totales!I499="1"&amp;totales!J499="1","8",IF(totales!E499="1"&amp;totales!H499="1"&amp;totales!I499="0"&amp;totales!J499="1","9"))))))))))))))))))))))))))))))))))))</f>
        <v>0</v>
      </c>
    </row>
    <row r="499" spans="22:22">
      <c r="V499" s="102" t="b">
        <f>IF(totales!E500="1"&amp;totales!H500="0"&amp;totales!I500="0"&amp;totales!J500="0","a",IF(totales!E500="2"&amp;totales!H500="0"&amp;totales!I500="0"&amp;totales!J500="0","b",IF(totales!E500="3"&amp;totales!H500="0"&amp;totales!I500="0"&amp;totales!J500="0","c",IF(totales!E500="4"&amp;totales!H500="0"&amp;totales!I500="0"&amp;totales!J500="0","d",IF(totales!E500="6"&amp;totales!H500="0"&amp;totales!I500="0"&amp;totales!J500="0","e",IF(totales!E500="1"&amp;totales!H500="1"&amp;totales!I500="0"&amp;totales!J500="0","f",IF(totales!E500="2"&amp;totales!H500="1"&amp;totales!I500="0"&amp;totales!J500="0","g",IF(totales!E500="3"&amp;totales!H500="1"&amp;totales!I500="0"&amp;totales!J500="0","h",IF(totales!E500="4"&amp;totales!H500="1"&amp;totales!I500="0"&amp;totales!J500="0","i",IF(totales!E500="6"&amp;totales!H500="1"&amp;totales!I500="0"&amp;totales!J500="0","j",IF(totales!E500="1"&amp;totales!H500="2"&amp;totales!I500="0"&amp;totales!J500="0","k",IF(totales!E500="2"&amp;totales!H500="2"&amp;totales!I500="0"&amp;totales!J500="0","l",IF(totales!E500="3"&amp;totales!H500="2"&amp;totales!I500="0"&amp;totales!J500="0","m",
IF(totales!E500="4"&amp;totales!H500="2"&amp;totales!I500="0"&amp;totales!J500="0","n",IF(totales!E500="6"&amp;totales!H500="2"&amp;totales!I500="0"&amp;totales!J500="0","o",IF(totales!E500="1"&amp;totales!H500="0"&amp;totales!I500="1"&amp;totales!J500="0","p",IF(totales!E500="2"&amp;totales!H500="0"&amp;totales!I500="1"&amp;totales!J500="0","q",IF(totales!E500="3"&amp;totales!H500="0"&amp;totales!I500="1"&amp;totales!J500="0","r",IF(totales!E500="4"&amp;totales!H500="0"&amp;totales!I500="1"&amp;totales!J500="0","s",IF(totales!E500="6"&amp;totales!H500="0"&amp;totales!I500="1"&amp;totales!J500="0","t",IF(totales!E500="1"&amp;totales!H500="2"&amp;totales!I500="1"&amp;totales!J500="0","u",IF(totales!E500="2"&amp;totales!H500="2"&amp;totales!I500="1"&amp;totales!J500="0","v",IF(totales!E500="3"&amp;totales!H500="2"&amp;totales!I500="1"&amp;totales!J500="0","w",IF(totales!E500="4"&amp;totales!H500="2"&amp;totales!I500="1"&amp;totales!J500="0","x",
IF(totales!E500="6"&amp;totales!H500="2"&amp;totales!I500="1"&amp;totales!J500="0","y",IF(totales!E500="1"&amp;totales!H500="1"&amp;totales!I500="1"&amp;totales!J500="0","z",IF(totales!E500="2"&amp;totales!H500="1"&amp;totales!I500="1"&amp;totales!J500="0","0",IF(totales!E500="3"&amp;totales!H500="1"&amp;totales!I500="1"&amp;totales!J500="0","1",IF(totales!E500="4"&amp;totales!H500="1"&amp;totales!I500="1"&amp;totales!J500="0","2",IF(totales!E500="6"&amp;totales!H500="1"&amp;totales!I500="1"&amp;totales!J500="0","3",IF(totales!E500="1"&amp;totales!H500="0"&amp;totales!I500="1"&amp;totales!J500="1","4",IF(totales!E500="2"&amp;totales!H500="0"&amp;totales!I500="1"&amp;totales!J500="1","5",IF(totales!E500="3"&amp;totales!H500="0"&amp;totales!I500="1"&amp;totales!J500="1","6",IF(totales!E500="4"&amp;totales!H500="0"&amp;totales!I500="1"&amp;totales!J500="1","7",IF(totales!E500="6"&amp;totales!H500="0"&amp;totales!I500="1"&amp;totales!J500="1","8",IF(totales!E500="1"&amp;totales!H500="1"&amp;totales!I500="0"&amp;totales!J500="1","9"))))))))))))))))))))))))))))))))))))</f>
        <v>0</v>
      </c>
    </row>
    <row r="500" spans="22:22">
      <c r="V500" s="102" t="b">
        <f>IF(totales!E501="1"&amp;totales!H501="0"&amp;totales!I501="0"&amp;totales!J501="0","a",IF(totales!E501="2"&amp;totales!H501="0"&amp;totales!I501="0"&amp;totales!J501="0","b",IF(totales!E501="3"&amp;totales!H501="0"&amp;totales!I501="0"&amp;totales!J501="0","c",IF(totales!E501="4"&amp;totales!H501="0"&amp;totales!I501="0"&amp;totales!J501="0","d",IF(totales!E501="6"&amp;totales!H501="0"&amp;totales!I501="0"&amp;totales!J501="0","e",IF(totales!E501="1"&amp;totales!H501="1"&amp;totales!I501="0"&amp;totales!J501="0","f",IF(totales!E501="2"&amp;totales!H501="1"&amp;totales!I501="0"&amp;totales!J501="0","g",IF(totales!E501="3"&amp;totales!H501="1"&amp;totales!I501="0"&amp;totales!J501="0","h",IF(totales!E501="4"&amp;totales!H501="1"&amp;totales!I501="0"&amp;totales!J501="0","i",IF(totales!E501="6"&amp;totales!H501="1"&amp;totales!I501="0"&amp;totales!J501="0","j",IF(totales!E501="1"&amp;totales!H501="2"&amp;totales!I501="0"&amp;totales!J501="0","k",IF(totales!E501="2"&amp;totales!H501="2"&amp;totales!I501="0"&amp;totales!J501="0","l",IF(totales!E501="3"&amp;totales!H501="2"&amp;totales!I501="0"&amp;totales!J501="0","m",
IF(totales!E501="4"&amp;totales!H501="2"&amp;totales!I501="0"&amp;totales!J501="0","n",IF(totales!E501="6"&amp;totales!H501="2"&amp;totales!I501="0"&amp;totales!J501="0","o",IF(totales!E501="1"&amp;totales!H501="0"&amp;totales!I501="1"&amp;totales!J501="0","p",IF(totales!E501="2"&amp;totales!H501="0"&amp;totales!I501="1"&amp;totales!J501="0","q",IF(totales!E501="3"&amp;totales!H501="0"&amp;totales!I501="1"&amp;totales!J501="0","r",IF(totales!E501="4"&amp;totales!H501="0"&amp;totales!I501="1"&amp;totales!J501="0","s",IF(totales!E501="6"&amp;totales!H501="0"&amp;totales!I501="1"&amp;totales!J501="0","t",IF(totales!E501="1"&amp;totales!H501="2"&amp;totales!I501="1"&amp;totales!J501="0","u",IF(totales!E501="2"&amp;totales!H501="2"&amp;totales!I501="1"&amp;totales!J501="0","v",IF(totales!E501="3"&amp;totales!H501="2"&amp;totales!I501="1"&amp;totales!J501="0","w",IF(totales!E501="4"&amp;totales!H501="2"&amp;totales!I501="1"&amp;totales!J501="0","x",
IF(totales!E501="6"&amp;totales!H501="2"&amp;totales!I501="1"&amp;totales!J501="0","y",IF(totales!E501="1"&amp;totales!H501="1"&amp;totales!I501="1"&amp;totales!J501="0","z",IF(totales!E501="2"&amp;totales!H501="1"&amp;totales!I501="1"&amp;totales!J501="0","0",IF(totales!E501="3"&amp;totales!H501="1"&amp;totales!I501="1"&amp;totales!J501="0","1",IF(totales!E501="4"&amp;totales!H501="1"&amp;totales!I501="1"&amp;totales!J501="0","2",IF(totales!E501="6"&amp;totales!H501="1"&amp;totales!I501="1"&amp;totales!J501="0","3",IF(totales!E501="1"&amp;totales!H501="0"&amp;totales!I501="1"&amp;totales!J501="1","4",IF(totales!E501="2"&amp;totales!H501="0"&amp;totales!I501="1"&amp;totales!J501="1","5",IF(totales!E501="3"&amp;totales!H501="0"&amp;totales!I501="1"&amp;totales!J501="1","6",IF(totales!E501="4"&amp;totales!H501="0"&amp;totales!I501="1"&amp;totales!J501="1","7",IF(totales!E501="6"&amp;totales!H501="0"&amp;totales!I501="1"&amp;totales!J501="1","8",IF(totales!E501="1"&amp;totales!H501="1"&amp;totales!I501="0"&amp;totales!J501="1","9"))))))))))))))))))))))))))))))))))))</f>
        <v>0</v>
      </c>
    </row>
    <row r="501" spans="22:22">
      <c r="V501" s="102" t="b">
        <f>IF(totales!E502="1"&amp;totales!H502="0"&amp;totales!I502="0"&amp;totales!J502="0","a",IF(totales!E502="2"&amp;totales!H502="0"&amp;totales!I502="0"&amp;totales!J502="0","b",IF(totales!E502="3"&amp;totales!H502="0"&amp;totales!I502="0"&amp;totales!J502="0","c",IF(totales!E502="4"&amp;totales!H502="0"&amp;totales!I502="0"&amp;totales!J502="0","d",IF(totales!E502="6"&amp;totales!H502="0"&amp;totales!I502="0"&amp;totales!J502="0","e",IF(totales!E502="1"&amp;totales!H502="1"&amp;totales!I502="0"&amp;totales!J502="0","f",IF(totales!E502="2"&amp;totales!H502="1"&amp;totales!I502="0"&amp;totales!J502="0","g",IF(totales!E502="3"&amp;totales!H502="1"&amp;totales!I502="0"&amp;totales!J502="0","h",IF(totales!E502="4"&amp;totales!H502="1"&amp;totales!I502="0"&amp;totales!J502="0","i",IF(totales!E502="6"&amp;totales!H502="1"&amp;totales!I502="0"&amp;totales!J502="0","j",IF(totales!E502="1"&amp;totales!H502="2"&amp;totales!I502="0"&amp;totales!J502="0","k",IF(totales!E502="2"&amp;totales!H502="2"&amp;totales!I502="0"&amp;totales!J502="0","l",IF(totales!E502="3"&amp;totales!H502="2"&amp;totales!I502="0"&amp;totales!J502="0","m",
IF(totales!E502="4"&amp;totales!H502="2"&amp;totales!I502="0"&amp;totales!J502="0","n",IF(totales!E502="6"&amp;totales!H502="2"&amp;totales!I502="0"&amp;totales!J502="0","o",IF(totales!E502="1"&amp;totales!H502="0"&amp;totales!I502="1"&amp;totales!J502="0","p",IF(totales!E502="2"&amp;totales!H502="0"&amp;totales!I502="1"&amp;totales!J502="0","q",IF(totales!E502="3"&amp;totales!H502="0"&amp;totales!I502="1"&amp;totales!J502="0","r",IF(totales!E502="4"&amp;totales!H502="0"&amp;totales!I502="1"&amp;totales!J502="0","s",IF(totales!E502="6"&amp;totales!H502="0"&amp;totales!I502="1"&amp;totales!J502="0","t",IF(totales!E502="1"&amp;totales!H502="2"&amp;totales!I502="1"&amp;totales!J502="0","u",IF(totales!E502="2"&amp;totales!H502="2"&amp;totales!I502="1"&amp;totales!J502="0","v",IF(totales!E502="3"&amp;totales!H502="2"&amp;totales!I502="1"&amp;totales!J502="0","w",IF(totales!E502="4"&amp;totales!H502="2"&amp;totales!I502="1"&amp;totales!J502="0","x",
IF(totales!E502="6"&amp;totales!H502="2"&amp;totales!I502="1"&amp;totales!J502="0","y",IF(totales!E502="1"&amp;totales!H502="1"&amp;totales!I502="1"&amp;totales!J502="0","z",IF(totales!E502="2"&amp;totales!H502="1"&amp;totales!I502="1"&amp;totales!J502="0","0",IF(totales!E502="3"&amp;totales!H502="1"&amp;totales!I502="1"&amp;totales!J502="0","1",IF(totales!E502="4"&amp;totales!H502="1"&amp;totales!I502="1"&amp;totales!J502="0","2",IF(totales!E502="6"&amp;totales!H502="1"&amp;totales!I502="1"&amp;totales!J502="0","3",IF(totales!E502="1"&amp;totales!H502="0"&amp;totales!I502="1"&amp;totales!J502="1","4",IF(totales!E502="2"&amp;totales!H502="0"&amp;totales!I502="1"&amp;totales!J502="1","5",IF(totales!E502="3"&amp;totales!H502="0"&amp;totales!I502="1"&amp;totales!J502="1","6",IF(totales!E502="4"&amp;totales!H502="0"&amp;totales!I502="1"&amp;totales!J502="1","7",IF(totales!E502="6"&amp;totales!H502="0"&amp;totales!I502="1"&amp;totales!J502="1","8",IF(totales!E502="1"&amp;totales!H502="1"&amp;totales!I502="0"&amp;totales!J502="1","9"))))))))))))))))))))))))))))))))))))</f>
        <v>0</v>
      </c>
    </row>
    <row r="502" spans="22:22">
      <c r="V502" s="102" t="b">
        <f>IF(totales!E503="1"&amp;totales!H503="0"&amp;totales!I503="0"&amp;totales!J503="0","a",IF(totales!E503="2"&amp;totales!H503="0"&amp;totales!I503="0"&amp;totales!J503="0","b",IF(totales!E503="3"&amp;totales!H503="0"&amp;totales!I503="0"&amp;totales!J503="0","c",IF(totales!E503="4"&amp;totales!H503="0"&amp;totales!I503="0"&amp;totales!J503="0","d",IF(totales!E503="6"&amp;totales!H503="0"&amp;totales!I503="0"&amp;totales!J503="0","e",IF(totales!E503="1"&amp;totales!H503="1"&amp;totales!I503="0"&amp;totales!J503="0","f",IF(totales!E503="2"&amp;totales!H503="1"&amp;totales!I503="0"&amp;totales!J503="0","g",IF(totales!E503="3"&amp;totales!H503="1"&amp;totales!I503="0"&amp;totales!J503="0","h",IF(totales!E503="4"&amp;totales!H503="1"&amp;totales!I503="0"&amp;totales!J503="0","i",IF(totales!E503="6"&amp;totales!H503="1"&amp;totales!I503="0"&amp;totales!J503="0","j",IF(totales!E503="1"&amp;totales!H503="2"&amp;totales!I503="0"&amp;totales!J503="0","k",IF(totales!E503="2"&amp;totales!H503="2"&amp;totales!I503="0"&amp;totales!J503="0","l",IF(totales!E503="3"&amp;totales!H503="2"&amp;totales!I503="0"&amp;totales!J503="0","m",
IF(totales!E503="4"&amp;totales!H503="2"&amp;totales!I503="0"&amp;totales!J503="0","n",IF(totales!E503="6"&amp;totales!H503="2"&amp;totales!I503="0"&amp;totales!J503="0","o",IF(totales!E503="1"&amp;totales!H503="0"&amp;totales!I503="1"&amp;totales!J503="0","p",IF(totales!E503="2"&amp;totales!H503="0"&amp;totales!I503="1"&amp;totales!J503="0","q",IF(totales!E503="3"&amp;totales!H503="0"&amp;totales!I503="1"&amp;totales!J503="0","r",IF(totales!E503="4"&amp;totales!H503="0"&amp;totales!I503="1"&amp;totales!J503="0","s",IF(totales!E503="6"&amp;totales!H503="0"&amp;totales!I503="1"&amp;totales!J503="0","t",IF(totales!E503="1"&amp;totales!H503="2"&amp;totales!I503="1"&amp;totales!J503="0","u",IF(totales!E503="2"&amp;totales!H503="2"&amp;totales!I503="1"&amp;totales!J503="0","v",IF(totales!E503="3"&amp;totales!H503="2"&amp;totales!I503="1"&amp;totales!J503="0","w",IF(totales!E503="4"&amp;totales!H503="2"&amp;totales!I503="1"&amp;totales!J503="0","x",
IF(totales!E503="6"&amp;totales!H503="2"&amp;totales!I503="1"&amp;totales!J503="0","y",IF(totales!E503="1"&amp;totales!H503="1"&amp;totales!I503="1"&amp;totales!J503="0","z",IF(totales!E503="2"&amp;totales!H503="1"&amp;totales!I503="1"&amp;totales!J503="0","0",IF(totales!E503="3"&amp;totales!H503="1"&amp;totales!I503="1"&amp;totales!J503="0","1",IF(totales!E503="4"&amp;totales!H503="1"&amp;totales!I503="1"&amp;totales!J503="0","2",IF(totales!E503="6"&amp;totales!H503="1"&amp;totales!I503="1"&amp;totales!J503="0","3",IF(totales!E503="1"&amp;totales!H503="0"&amp;totales!I503="1"&amp;totales!J503="1","4",IF(totales!E503="2"&amp;totales!H503="0"&amp;totales!I503="1"&amp;totales!J503="1","5",IF(totales!E503="3"&amp;totales!H503="0"&amp;totales!I503="1"&amp;totales!J503="1","6",IF(totales!E503="4"&amp;totales!H503="0"&amp;totales!I503="1"&amp;totales!J503="1","7",IF(totales!E503="6"&amp;totales!H503="0"&amp;totales!I503="1"&amp;totales!J503="1","8",IF(totales!E503="1"&amp;totales!H503="1"&amp;totales!I503="0"&amp;totales!J503="1","9"))))))))))))))))))))))))))))))))))))</f>
        <v>0</v>
      </c>
    </row>
    <row r="503" spans="22:22">
      <c r="V503" s="102" t="b">
        <f>IF(totales!E504="1"&amp;totales!H504="0"&amp;totales!I504="0"&amp;totales!J504="0","a",IF(totales!E504="2"&amp;totales!H504="0"&amp;totales!I504="0"&amp;totales!J504="0","b",IF(totales!E504="3"&amp;totales!H504="0"&amp;totales!I504="0"&amp;totales!J504="0","c",IF(totales!E504="4"&amp;totales!H504="0"&amp;totales!I504="0"&amp;totales!J504="0","d",IF(totales!E504="6"&amp;totales!H504="0"&amp;totales!I504="0"&amp;totales!J504="0","e",IF(totales!E504="1"&amp;totales!H504="1"&amp;totales!I504="0"&amp;totales!J504="0","f",IF(totales!E504="2"&amp;totales!H504="1"&amp;totales!I504="0"&amp;totales!J504="0","g",IF(totales!E504="3"&amp;totales!H504="1"&amp;totales!I504="0"&amp;totales!J504="0","h",IF(totales!E504="4"&amp;totales!H504="1"&amp;totales!I504="0"&amp;totales!J504="0","i",IF(totales!E504="6"&amp;totales!H504="1"&amp;totales!I504="0"&amp;totales!J504="0","j",IF(totales!E504="1"&amp;totales!H504="2"&amp;totales!I504="0"&amp;totales!J504="0","k",IF(totales!E504="2"&amp;totales!H504="2"&amp;totales!I504="0"&amp;totales!J504="0","l",IF(totales!E504="3"&amp;totales!H504="2"&amp;totales!I504="0"&amp;totales!J504="0","m",
IF(totales!E504="4"&amp;totales!H504="2"&amp;totales!I504="0"&amp;totales!J504="0","n",IF(totales!E504="6"&amp;totales!H504="2"&amp;totales!I504="0"&amp;totales!J504="0","o",IF(totales!E504="1"&amp;totales!H504="0"&amp;totales!I504="1"&amp;totales!J504="0","p",IF(totales!E504="2"&amp;totales!H504="0"&amp;totales!I504="1"&amp;totales!J504="0","q",IF(totales!E504="3"&amp;totales!H504="0"&amp;totales!I504="1"&amp;totales!J504="0","r",IF(totales!E504="4"&amp;totales!H504="0"&amp;totales!I504="1"&amp;totales!J504="0","s",IF(totales!E504="6"&amp;totales!H504="0"&amp;totales!I504="1"&amp;totales!J504="0","t",IF(totales!E504="1"&amp;totales!H504="2"&amp;totales!I504="1"&amp;totales!J504="0","u",IF(totales!E504="2"&amp;totales!H504="2"&amp;totales!I504="1"&amp;totales!J504="0","v",IF(totales!E504="3"&amp;totales!H504="2"&amp;totales!I504="1"&amp;totales!J504="0","w",IF(totales!E504="4"&amp;totales!H504="2"&amp;totales!I504="1"&amp;totales!J504="0","x",
IF(totales!E504="6"&amp;totales!H504="2"&amp;totales!I504="1"&amp;totales!J504="0","y",IF(totales!E504="1"&amp;totales!H504="1"&amp;totales!I504="1"&amp;totales!J504="0","z",IF(totales!E504="2"&amp;totales!H504="1"&amp;totales!I504="1"&amp;totales!J504="0","0",IF(totales!E504="3"&amp;totales!H504="1"&amp;totales!I504="1"&amp;totales!J504="0","1",IF(totales!E504="4"&amp;totales!H504="1"&amp;totales!I504="1"&amp;totales!J504="0","2",IF(totales!E504="6"&amp;totales!H504="1"&amp;totales!I504="1"&amp;totales!J504="0","3",IF(totales!E504="1"&amp;totales!H504="0"&amp;totales!I504="1"&amp;totales!J504="1","4",IF(totales!E504="2"&amp;totales!H504="0"&amp;totales!I504="1"&amp;totales!J504="1","5",IF(totales!E504="3"&amp;totales!H504="0"&amp;totales!I504="1"&amp;totales!J504="1","6",IF(totales!E504="4"&amp;totales!H504="0"&amp;totales!I504="1"&amp;totales!J504="1","7",IF(totales!E504="6"&amp;totales!H504="0"&amp;totales!I504="1"&amp;totales!J504="1","8",IF(totales!E504="1"&amp;totales!H504="1"&amp;totales!I504="0"&amp;totales!J504="1","9"))))))))))))))))))))))))))))))))))))</f>
        <v>0</v>
      </c>
    </row>
    <row r="504" spans="22:22">
      <c r="V504" s="102" t="b">
        <f>IF(totales!E505="1"&amp;totales!H505="0"&amp;totales!I505="0"&amp;totales!J505="0","a",IF(totales!E505="2"&amp;totales!H505="0"&amp;totales!I505="0"&amp;totales!J505="0","b",IF(totales!E505="3"&amp;totales!H505="0"&amp;totales!I505="0"&amp;totales!J505="0","c",IF(totales!E505="4"&amp;totales!H505="0"&amp;totales!I505="0"&amp;totales!J505="0","d",IF(totales!E505="6"&amp;totales!H505="0"&amp;totales!I505="0"&amp;totales!J505="0","e",IF(totales!E505="1"&amp;totales!H505="1"&amp;totales!I505="0"&amp;totales!J505="0","f",IF(totales!E505="2"&amp;totales!H505="1"&amp;totales!I505="0"&amp;totales!J505="0","g",IF(totales!E505="3"&amp;totales!H505="1"&amp;totales!I505="0"&amp;totales!J505="0","h",IF(totales!E505="4"&amp;totales!H505="1"&amp;totales!I505="0"&amp;totales!J505="0","i",IF(totales!E505="6"&amp;totales!H505="1"&amp;totales!I505="0"&amp;totales!J505="0","j",IF(totales!E505="1"&amp;totales!H505="2"&amp;totales!I505="0"&amp;totales!J505="0","k",IF(totales!E505="2"&amp;totales!H505="2"&amp;totales!I505="0"&amp;totales!J505="0","l",IF(totales!E505="3"&amp;totales!H505="2"&amp;totales!I505="0"&amp;totales!J505="0","m",
IF(totales!E505="4"&amp;totales!H505="2"&amp;totales!I505="0"&amp;totales!J505="0","n",IF(totales!E505="6"&amp;totales!H505="2"&amp;totales!I505="0"&amp;totales!J505="0","o",IF(totales!E505="1"&amp;totales!H505="0"&amp;totales!I505="1"&amp;totales!J505="0","p",IF(totales!E505="2"&amp;totales!H505="0"&amp;totales!I505="1"&amp;totales!J505="0","q",IF(totales!E505="3"&amp;totales!H505="0"&amp;totales!I505="1"&amp;totales!J505="0","r",IF(totales!E505="4"&amp;totales!H505="0"&amp;totales!I505="1"&amp;totales!J505="0","s",IF(totales!E505="6"&amp;totales!H505="0"&amp;totales!I505="1"&amp;totales!J505="0","t",IF(totales!E505="1"&amp;totales!H505="2"&amp;totales!I505="1"&amp;totales!J505="0","u",IF(totales!E505="2"&amp;totales!H505="2"&amp;totales!I505="1"&amp;totales!J505="0","v",IF(totales!E505="3"&amp;totales!H505="2"&amp;totales!I505="1"&amp;totales!J505="0","w",IF(totales!E505="4"&amp;totales!H505="2"&amp;totales!I505="1"&amp;totales!J505="0","x",
IF(totales!E505="6"&amp;totales!H505="2"&amp;totales!I505="1"&amp;totales!J505="0","y",IF(totales!E505="1"&amp;totales!H505="1"&amp;totales!I505="1"&amp;totales!J505="0","z",IF(totales!E505="2"&amp;totales!H505="1"&amp;totales!I505="1"&amp;totales!J505="0","0",IF(totales!E505="3"&amp;totales!H505="1"&amp;totales!I505="1"&amp;totales!J505="0","1",IF(totales!E505="4"&amp;totales!H505="1"&amp;totales!I505="1"&amp;totales!J505="0","2",IF(totales!E505="6"&amp;totales!H505="1"&amp;totales!I505="1"&amp;totales!J505="0","3",IF(totales!E505="1"&amp;totales!H505="0"&amp;totales!I505="1"&amp;totales!J505="1","4",IF(totales!E505="2"&amp;totales!H505="0"&amp;totales!I505="1"&amp;totales!J505="1","5",IF(totales!E505="3"&amp;totales!H505="0"&amp;totales!I505="1"&amp;totales!J505="1","6",IF(totales!E505="4"&amp;totales!H505="0"&amp;totales!I505="1"&amp;totales!J505="1","7",IF(totales!E505="6"&amp;totales!H505="0"&amp;totales!I505="1"&amp;totales!J505="1","8",IF(totales!E505="1"&amp;totales!H505="1"&amp;totales!I505="0"&amp;totales!J505="1","9"))))))))))))))))))))))))))))))))))))</f>
        <v>0</v>
      </c>
    </row>
    <row r="505" spans="22:22">
      <c r="V505" s="102" t="b">
        <f>IF(totales!E506="1"&amp;totales!H506="0"&amp;totales!I506="0"&amp;totales!J506="0","a",IF(totales!E506="2"&amp;totales!H506="0"&amp;totales!I506="0"&amp;totales!J506="0","b",IF(totales!E506="3"&amp;totales!H506="0"&amp;totales!I506="0"&amp;totales!J506="0","c",IF(totales!E506="4"&amp;totales!H506="0"&amp;totales!I506="0"&amp;totales!J506="0","d",IF(totales!E506="6"&amp;totales!H506="0"&amp;totales!I506="0"&amp;totales!J506="0","e",IF(totales!E506="1"&amp;totales!H506="1"&amp;totales!I506="0"&amp;totales!J506="0","f",IF(totales!E506="2"&amp;totales!H506="1"&amp;totales!I506="0"&amp;totales!J506="0","g",IF(totales!E506="3"&amp;totales!H506="1"&amp;totales!I506="0"&amp;totales!J506="0","h",IF(totales!E506="4"&amp;totales!H506="1"&amp;totales!I506="0"&amp;totales!J506="0","i",IF(totales!E506="6"&amp;totales!H506="1"&amp;totales!I506="0"&amp;totales!J506="0","j",IF(totales!E506="1"&amp;totales!H506="2"&amp;totales!I506="0"&amp;totales!J506="0","k",IF(totales!E506="2"&amp;totales!H506="2"&amp;totales!I506="0"&amp;totales!J506="0","l",IF(totales!E506="3"&amp;totales!H506="2"&amp;totales!I506="0"&amp;totales!J506="0","m",
IF(totales!E506="4"&amp;totales!H506="2"&amp;totales!I506="0"&amp;totales!J506="0","n",IF(totales!E506="6"&amp;totales!H506="2"&amp;totales!I506="0"&amp;totales!J506="0","o",IF(totales!E506="1"&amp;totales!H506="0"&amp;totales!I506="1"&amp;totales!J506="0","p",IF(totales!E506="2"&amp;totales!H506="0"&amp;totales!I506="1"&amp;totales!J506="0","q",IF(totales!E506="3"&amp;totales!H506="0"&amp;totales!I506="1"&amp;totales!J506="0","r",IF(totales!E506="4"&amp;totales!H506="0"&amp;totales!I506="1"&amp;totales!J506="0","s",IF(totales!E506="6"&amp;totales!H506="0"&amp;totales!I506="1"&amp;totales!J506="0","t",IF(totales!E506="1"&amp;totales!H506="2"&amp;totales!I506="1"&amp;totales!J506="0","u",IF(totales!E506="2"&amp;totales!H506="2"&amp;totales!I506="1"&amp;totales!J506="0","v",IF(totales!E506="3"&amp;totales!H506="2"&amp;totales!I506="1"&amp;totales!J506="0","w",IF(totales!E506="4"&amp;totales!H506="2"&amp;totales!I506="1"&amp;totales!J506="0","x",
IF(totales!E506="6"&amp;totales!H506="2"&amp;totales!I506="1"&amp;totales!J506="0","y",IF(totales!E506="1"&amp;totales!H506="1"&amp;totales!I506="1"&amp;totales!J506="0","z",IF(totales!E506="2"&amp;totales!H506="1"&amp;totales!I506="1"&amp;totales!J506="0","0",IF(totales!E506="3"&amp;totales!H506="1"&amp;totales!I506="1"&amp;totales!J506="0","1",IF(totales!E506="4"&amp;totales!H506="1"&amp;totales!I506="1"&amp;totales!J506="0","2",IF(totales!E506="6"&amp;totales!H506="1"&amp;totales!I506="1"&amp;totales!J506="0","3",IF(totales!E506="1"&amp;totales!H506="0"&amp;totales!I506="1"&amp;totales!J506="1","4",IF(totales!E506="2"&amp;totales!H506="0"&amp;totales!I506="1"&amp;totales!J506="1","5",IF(totales!E506="3"&amp;totales!H506="0"&amp;totales!I506="1"&amp;totales!J506="1","6",IF(totales!E506="4"&amp;totales!H506="0"&amp;totales!I506="1"&amp;totales!J506="1","7",IF(totales!E506="6"&amp;totales!H506="0"&amp;totales!I506="1"&amp;totales!J506="1","8",IF(totales!E506="1"&amp;totales!H506="1"&amp;totales!I506="0"&amp;totales!J506="1","9"))))))))))))))))))))))))))))))))))))</f>
        <v>0</v>
      </c>
    </row>
    <row r="506" spans="22:22">
      <c r="V506" s="102" t="b">
        <f>IF(totales!E507="1"&amp;totales!H507="0"&amp;totales!I507="0"&amp;totales!J507="0","a",IF(totales!E507="2"&amp;totales!H507="0"&amp;totales!I507="0"&amp;totales!J507="0","b",IF(totales!E507="3"&amp;totales!H507="0"&amp;totales!I507="0"&amp;totales!J507="0","c",IF(totales!E507="4"&amp;totales!H507="0"&amp;totales!I507="0"&amp;totales!J507="0","d",IF(totales!E507="6"&amp;totales!H507="0"&amp;totales!I507="0"&amp;totales!J507="0","e",IF(totales!E507="1"&amp;totales!H507="1"&amp;totales!I507="0"&amp;totales!J507="0","f",IF(totales!E507="2"&amp;totales!H507="1"&amp;totales!I507="0"&amp;totales!J507="0","g",IF(totales!E507="3"&amp;totales!H507="1"&amp;totales!I507="0"&amp;totales!J507="0","h",IF(totales!E507="4"&amp;totales!H507="1"&amp;totales!I507="0"&amp;totales!J507="0","i",IF(totales!E507="6"&amp;totales!H507="1"&amp;totales!I507="0"&amp;totales!J507="0","j",IF(totales!E507="1"&amp;totales!H507="2"&amp;totales!I507="0"&amp;totales!J507="0","k",IF(totales!E507="2"&amp;totales!H507="2"&amp;totales!I507="0"&amp;totales!J507="0","l",IF(totales!E507="3"&amp;totales!H507="2"&amp;totales!I507="0"&amp;totales!J507="0","m",
IF(totales!E507="4"&amp;totales!H507="2"&amp;totales!I507="0"&amp;totales!J507="0","n",IF(totales!E507="6"&amp;totales!H507="2"&amp;totales!I507="0"&amp;totales!J507="0","o",IF(totales!E507="1"&amp;totales!H507="0"&amp;totales!I507="1"&amp;totales!J507="0","p",IF(totales!E507="2"&amp;totales!H507="0"&amp;totales!I507="1"&amp;totales!J507="0","q",IF(totales!E507="3"&amp;totales!H507="0"&amp;totales!I507="1"&amp;totales!J507="0","r",IF(totales!E507="4"&amp;totales!H507="0"&amp;totales!I507="1"&amp;totales!J507="0","s",IF(totales!E507="6"&amp;totales!H507="0"&amp;totales!I507="1"&amp;totales!J507="0","t",IF(totales!E507="1"&amp;totales!H507="2"&amp;totales!I507="1"&amp;totales!J507="0","u",IF(totales!E507="2"&amp;totales!H507="2"&amp;totales!I507="1"&amp;totales!J507="0","v",IF(totales!E507="3"&amp;totales!H507="2"&amp;totales!I507="1"&amp;totales!J507="0","w",IF(totales!E507="4"&amp;totales!H507="2"&amp;totales!I507="1"&amp;totales!J507="0","x",
IF(totales!E507="6"&amp;totales!H507="2"&amp;totales!I507="1"&amp;totales!J507="0","y",IF(totales!E507="1"&amp;totales!H507="1"&amp;totales!I507="1"&amp;totales!J507="0","z",IF(totales!E507="2"&amp;totales!H507="1"&amp;totales!I507="1"&amp;totales!J507="0","0",IF(totales!E507="3"&amp;totales!H507="1"&amp;totales!I507="1"&amp;totales!J507="0","1",IF(totales!E507="4"&amp;totales!H507="1"&amp;totales!I507="1"&amp;totales!J507="0","2",IF(totales!E507="6"&amp;totales!H507="1"&amp;totales!I507="1"&amp;totales!J507="0","3",IF(totales!E507="1"&amp;totales!H507="0"&amp;totales!I507="1"&amp;totales!J507="1","4",IF(totales!E507="2"&amp;totales!H507="0"&amp;totales!I507="1"&amp;totales!J507="1","5",IF(totales!E507="3"&amp;totales!H507="0"&amp;totales!I507="1"&amp;totales!J507="1","6",IF(totales!E507="4"&amp;totales!H507="0"&amp;totales!I507="1"&amp;totales!J507="1","7",IF(totales!E507="6"&amp;totales!H507="0"&amp;totales!I507="1"&amp;totales!J507="1","8",IF(totales!E507="1"&amp;totales!H507="1"&amp;totales!I507="0"&amp;totales!J507="1","9"))))))))))))))))))))))))))))))))))))</f>
        <v>0</v>
      </c>
    </row>
    <row r="507" spans="22:22">
      <c r="V507" s="102" t="b">
        <f>IF(totales!E508="1"&amp;totales!H508="0"&amp;totales!I508="0"&amp;totales!J508="0","a",IF(totales!E508="2"&amp;totales!H508="0"&amp;totales!I508="0"&amp;totales!J508="0","b",IF(totales!E508="3"&amp;totales!H508="0"&amp;totales!I508="0"&amp;totales!J508="0","c",IF(totales!E508="4"&amp;totales!H508="0"&amp;totales!I508="0"&amp;totales!J508="0","d",IF(totales!E508="6"&amp;totales!H508="0"&amp;totales!I508="0"&amp;totales!J508="0","e",IF(totales!E508="1"&amp;totales!H508="1"&amp;totales!I508="0"&amp;totales!J508="0","f",IF(totales!E508="2"&amp;totales!H508="1"&amp;totales!I508="0"&amp;totales!J508="0","g",IF(totales!E508="3"&amp;totales!H508="1"&amp;totales!I508="0"&amp;totales!J508="0","h",IF(totales!E508="4"&amp;totales!H508="1"&amp;totales!I508="0"&amp;totales!J508="0","i",IF(totales!E508="6"&amp;totales!H508="1"&amp;totales!I508="0"&amp;totales!J508="0","j",IF(totales!E508="1"&amp;totales!H508="2"&amp;totales!I508="0"&amp;totales!J508="0","k",IF(totales!E508="2"&amp;totales!H508="2"&amp;totales!I508="0"&amp;totales!J508="0","l",IF(totales!E508="3"&amp;totales!H508="2"&amp;totales!I508="0"&amp;totales!J508="0","m",
IF(totales!E508="4"&amp;totales!H508="2"&amp;totales!I508="0"&amp;totales!J508="0","n",IF(totales!E508="6"&amp;totales!H508="2"&amp;totales!I508="0"&amp;totales!J508="0","o",IF(totales!E508="1"&amp;totales!H508="0"&amp;totales!I508="1"&amp;totales!J508="0","p",IF(totales!E508="2"&amp;totales!H508="0"&amp;totales!I508="1"&amp;totales!J508="0","q",IF(totales!E508="3"&amp;totales!H508="0"&amp;totales!I508="1"&amp;totales!J508="0","r",IF(totales!E508="4"&amp;totales!H508="0"&amp;totales!I508="1"&amp;totales!J508="0","s",IF(totales!E508="6"&amp;totales!H508="0"&amp;totales!I508="1"&amp;totales!J508="0","t",IF(totales!E508="1"&amp;totales!H508="2"&amp;totales!I508="1"&amp;totales!J508="0","u",IF(totales!E508="2"&amp;totales!H508="2"&amp;totales!I508="1"&amp;totales!J508="0","v",IF(totales!E508="3"&amp;totales!H508="2"&amp;totales!I508="1"&amp;totales!J508="0","w",IF(totales!E508="4"&amp;totales!H508="2"&amp;totales!I508="1"&amp;totales!J508="0","x",
IF(totales!E508="6"&amp;totales!H508="2"&amp;totales!I508="1"&amp;totales!J508="0","y",IF(totales!E508="1"&amp;totales!H508="1"&amp;totales!I508="1"&amp;totales!J508="0","z",IF(totales!E508="2"&amp;totales!H508="1"&amp;totales!I508="1"&amp;totales!J508="0","0",IF(totales!E508="3"&amp;totales!H508="1"&amp;totales!I508="1"&amp;totales!J508="0","1",IF(totales!E508="4"&amp;totales!H508="1"&amp;totales!I508="1"&amp;totales!J508="0","2",IF(totales!E508="6"&amp;totales!H508="1"&amp;totales!I508="1"&amp;totales!J508="0","3",IF(totales!E508="1"&amp;totales!H508="0"&amp;totales!I508="1"&amp;totales!J508="1","4",IF(totales!E508="2"&amp;totales!H508="0"&amp;totales!I508="1"&amp;totales!J508="1","5",IF(totales!E508="3"&amp;totales!H508="0"&amp;totales!I508="1"&amp;totales!J508="1","6",IF(totales!E508="4"&amp;totales!H508="0"&amp;totales!I508="1"&amp;totales!J508="1","7",IF(totales!E508="6"&amp;totales!H508="0"&amp;totales!I508="1"&amp;totales!J508="1","8",IF(totales!E508="1"&amp;totales!H508="1"&amp;totales!I508="0"&amp;totales!J508="1","9"))))))))))))))))))))))))))))))))))))</f>
        <v>0</v>
      </c>
    </row>
    <row r="508" spans="22:22">
      <c r="V508" s="102" t="b">
        <f>IF(totales!E509="1"&amp;totales!H509="0"&amp;totales!I509="0"&amp;totales!J509="0","a",IF(totales!E509="2"&amp;totales!H509="0"&amp;totales!I509="0"&amp;totales!J509="0","b",IF(totales!E509="3"&amp;totales!H509="0"&amp;totales!I509="0"&amp;totales!J509="0","c",IF(totales!E509="4"&amp;totales!H509="0"&amp;totales!I509="0"&amp;totales!J509="0","d",IF(totales!E509="6"&amp;totales!H509="0"&amp;totales!I509="0"&amp;totales!J509="0","e",IF(totales!E509="1"&amp;totales!H509="1"&amp;totales!I509="0"&amp;totales!J509="0","f",IF(totales!E509="2"&amp;totales!H509="1"&amp;totales!I509="0"&amp;totales!J509="0","g",IF(totales!E509="3"&amp;totales!H509="1"&amp;totales!I509="0"&amp;totales!J509="0","h",IF(totales!E509="4"&amp;totales!H509="1"&amp;totales!I509="0"&amp;totales!J509="0","i",IF(totales!E509="6"&amp;totales!H509="1"&amp;totales!I509="0"&amp;totales!J509="0","j",IF(totales!E509="1"&amp;totales!H509="2"&amp;totales!I509="0"&amp;totales!J509="0","k",IF(totales!E509="2"&amp;totales!H509="2"&amp;totales!I509="0"&amp;totales!J509="0","l",IF(totales!E509="3"&amp;totales!H509="2"&amp;totales!I509="0"&amp;totales!J509="0","m",
IF(totales!E509="4"&amp;totales!H509="2"&amp;totales!I509="0"&amp;totales!J509="0","n",IF(totales!E509="6"&amp;totales!H509="2"&amp;totales!I509="0"&amp;totales!J509="0","o",IF(totales!E509="1"&amp;totales!H509="0"&amp;totales!I509="1"&amp;totales!J509="0","p",IF(totales!E509="2"&amp;totales!H509="0"&amp;totales!I509="1"&amp;totales!J509="0","q",IF(totales!E509="3"&amp;totales!H509="0"&amp;totales!I509="1"&amp;totales!J509="0","r",IF(totales!E509="4"&amp;totales!H509="0"&amp;totales!I509="1"&amp;totales!J509="0","s",IF(totales!E509="6"&amp;totales!H509="0"&amp;totales!I509="1"&amp;totales!J509="0","t",IF(totales!E509="1"&amp;totales!H509="2"&amp;totales!I509="1"&amp;totales!J509="0","u",IF(totales!E509="2"&amp;totales!H509="2"&amp;totales!I509="1"&amp;totales!J509="0","v",IF(totales!E509="3"&amp;totales!H509="2"&amp;totales!I509="1"&amp;totales!J509="0","w",IF(totales!E509="4"&amp;totales!H509="2"&amp;totales!I509="1"&amp;totales!J509="0","x",
IF(totales!E509="6"&amp;totales!H509="2"&amp;totales!I509="1"&amp;totales!J509="0","y",IF(totales!E509="1"&amp;totales!H509="1"&amp;totales!I509="1"&amp;totales!J509="0","z",IF(totales!E509="2"&amp;totales!H509="1"&amp;totales!I509="1"&amp;totales!J509="0","0",IF(totales!E509="3"&amp;totales!H509="1"&amp;totales!I509="1"&amp;totales!J509="0","1",IF(totales!E509="4"&amp;totales!H509="1"&amp;totales!I509="1"&amp;totales!J509="0","2",IF(totales!E509="6"&amp;totales!H509="1"&amp;totales!I509="1"&amp;totales!J509="0","3",IF(totales!E509="1"&amp;totales!H509="0"&amp;totales!I509="1"&amp;totales!J509="1","4",IF(totales!E509="2"&amp;totales!H509="0"&amp;totales!I509="1"&amp;totales!J509="1","5",IF(totales!E509="3"&amp;totales!H509="0"&amp;totales!I509="1"&amp;totales!J509="1","6",IF(totales!E509="4"&amp;totales!H509="0"&amp;totales!I509="1"&amp;totales!J509="1","7",IF(totales!E509="6"&amp;totales!H509="0"&amp;totales!I509="1"&amp;totales!J509="1","8",IF(totales!E509="1"&amp;totales!H509="1"&amp;totales!I509="0"&amp;totales!J509="1","9"))))))))))))))))))))))))))))))))))))</f>
        <v>0</v>
      </c>
    </row>
    <row r="509" spans="22:22">
      <c r="V509" s="102" t="b">
        <f>IF(totales!E510="1"&amp;totales!H510="0"&amp;totales!I510="0"&amp;totales!J510="0","a",IF(totales!E510="2"&amp;totales!H510="0"&amp;totales!I510="0"&amp;totales!J510="0","b",IF(totales!E510="3"&amp;totales!H510="0"&amp;totales!I510="0"&amp;totales!J510="0","c",IF(totales!E510="4"&amp;totales!H510="0"&amp;totales!I510="0"&amp;totales!J510="0","d",IF(totales!E510="6"&amp;totales!H510="0"&amp;totales!I510="0"&amp;totales!J510="0","e",IF(totales!E510="1"&amp;totales!H510="1"&amp;totales!I510="0"&amp;totales!J510="0","f",IF(totales!E510="2"&amp;totales!H510="1"&amp;totales!I510="0"&amp;totales!J510="0","g",IF(totales!E510="3"&amp;totales!H510="1"&amp;totales!I510="0"&amp;totales!J510="0","h",IF(totales!E510="4"&amp;totales!H510="1"&amp;totales!I510="0"&amp;totales!J510="0","i",IF(totales!E510="6"&amp;totales!H510="1"&amp;totales!I510="0"&amp;totales!J510="0","j",IF(totales!E510="1"&amp;totales!H510="2"&amp;totales!I510="0"&amp;totales!J510="0","k",IF(totales!E510="2"&amp;totales!H510="2"&amp;totales!I510="0"&amp;totales!J510="0","l",IF(totales!E510="3"&amp;totales!H510="2"&amp;totales!I510="0"&amp;totales!J510="0","m",
IF(totales!E510="4"&amp;totales!H510="2"&amp;totales!I510="0"&amp;totales!J510="0","n",IF(totales!E510="6"&amp;totales!H510="2"&amp;totales!I510="0"&amp;totales!J510="0","o",IF(totales!E510="1"&amp;totales!H510="0"&amp;totales!I510="1"&amp;totales!J510="0","p",IF(totales!E510="2"&amp;totales!H510="0"&amp;totales!I510="1"&amp;totales!J510="0","q",IF(totales!E510="3"&amp;totales!H510="0"&amp;totales!I510="1"&amp;totales!J510="0","r",IF(totales!E510="4"&amp;totales!H510="0"&amp;totales!I510="1"&amp;totales!J510="0","s",IF(totales!E510="6"&amp;totales!H510="0"&amp;totales!I510="1"&amp;totales!J510="0","t",IF(totales!E510="1"&amp;totales!H510="2"&amp;totales!I510="1"&amp;totales!J510="0","u",IF(totales!E510="2"&amp;totales!H510="2"&amp;totales!I510="1"&amp;totales!J510="0","v",IF(totales!E510="3"&amp;totales!H510="2"&amp;totales!I510="1"&amp;totales!J510="0","w",IF(totales!E510="4"&amp;totales!H510="2"&amp;totales!I510="1"&amp;totales!J510="0","x",
IF(totales!E510="6"&amp;totales!H510="2"&amp;totales!I510="1"&amp;totales!J510="0","y",IF(totales!E510="1"&amp;totales!H510="1"&amp;totales!I510="1"&amp;totales!J510="0","z",IF(totales!E510="2"&amp;totales!H510="1"&amp;totales!I510="1"&amp;totales!J510="0","0",IF(totales!E510="3"&amp;totales!H510="1"&amp;totales!I510="1"&amp;totales!J510="0","1",IF(totales!E510="4"&amp;totales!H510="1"&amp;totales!I510="1"&amp;totales!J510="0","2",IF(totales!E510="6"&amp;totales!H510="1"&amp;totales!I510="1"&amp;totales!J510="0","3",IF(totales!E510="1"&amp;totales!H510="0"&amp;totales!I510="1"&amp;totales!J510="1","4",IF(totales!E510="2"&amp;totales!H510="0"&amp;totales!I510="1"&amp;totales!J510="1","5",IF(totales!E510="3"&amp;totales!H510="0"&amp;totales!I510="1"&amp;totales!J510="1","6",IF(totales!E510="4"&amp;totales!H510="0"&amp;totales!I510="1"&amp;totales!J510="1","7",IF(totales!E510="6"&amp;totales!H510="0"&amp;totales!I510="1"&amp;totales!J510="1","8",IF(totales!E510="1"&amp;totales!H510="1"&amp;totales!I510="0"&amp;totales!J510="1","9"))))))))))))))))))))))))))))))))))))</f>
        <v>0</v>
      </c>
    </row>
    <row r="510" spans="22:22">
      <c r="V510" s="102" t="b">
        <f>IF(totales!E511="1"&amp;totales!H511="0"&amp;totales!I511="0"&amp;totales!J511="0","a",IF(totales!E511="2"&amp;totales!H511="0"&amp;totales!I511="0"&amp;totales!J511="0","b",IF(totales!E511="3"&amp;totales!H511="0"&amp;totales!I511="0"&amp;totales!J511="0","c",IF(totales!E511="4"&amp;totales!H511="0"&amp;totales!I511="0"&amp;totales!J511="0","d",IF(totales!E511="6"&amp;totales!H511="0"&amp;totales!I511="0"&amp;totales!J511="0","e",IF(totales!E511="1"&amp;totales!H511="1"&amp;totales!I511="0"&amp;totales!J511="0","f",IF(totales!E511="2"&amp;totales!H511="1"&amp;totales!I511="0"&amp;totales!J511="0","g",IF(totales!E511="3"&amp;totales!H511="1"&amp;totales!I511="0"&amp;totales!J511="0","h",IF(totales!E511="4"&amp;totales!H511="1"&amp;totales!I511="0"&amp;totales!J511="0","i",IF(totales!E511="6"&amp;totales!H511="1"&amp;totales!I511="0"&amp;totales!J511="0","j",IF(totales!E511="1"&amp;totales!H511="2"&amp;totales!I511="0"&amp;totales!J511="0","k",IF(totales!E511="2"&amp;totales!H511="2"&amp;totales!I511="0"&amp;totales!J511="0","l",IF(totales!E511="3"&amp;totales!H511="2"&amp;totales!I511="0"&amp;totales!J511="0","m",
IF(totales!E511="4"&amp;totales!H511="2"&amp;totales!I511="0"&amp;totales!J511="0","n",IF(totales!E511="6"&amp;totales!H511="2"&amp;totales!I511="0"&amp;totales!J511="0","o",IF(totales!E511="1"&amp;totales!H511="0"&amp;totales!I511="1"&amp;totales!J511="0","p",IF(totales!E511="2"&amp;totales!H511="0"&amp;totales!I511="1"&amp;totales!J511="0","q",IF(totales!E511="3"&amp;totales!H511="0"&amp;totales!I511="1"&amp;totales!J511="0","r",IF(totales!E511="4"&amp;totales!H511="0"&amp;totales!I511="1"&amp;totales!J511="0","s",IF(totales!E511="6"&amp;totales!H511="0"&amp;totales!I511="1"&amp;totales!J511="0","t",IF(totales!E511="1"&amp;totales!H511="2"&amp;totales!I511="1"&amp;totales!J511="0","u",IF(totales!E511="2"&amp;totales!H511="2"&amp;totales!I511="1"&amp;totales!J511="0","v",IF(totales!E511="3"&amp;totales!H511="2"&amp;totales!I511="1"&amp;totales!J511="0","w",IF(totales!E511="4"&amp;totales!H511="2"&amp;totales!I511="1"&amp;totales!J511="0","x",
IF(totales!E511="6"&amp;totales!H511="2"&amp;totales!I511="1"&amp;totales!J511="0","y",IF(totales!E511="1"&amp;totales!H511="1"&amp;totales!I511="1"&amp;totales!J511="0","z",IF(totales!E511="2"&amp;totales!H511="1"&amp;totales!I511="1"&amp;totales!J511="0","0",IF(totales!E511="3"&amp;totales!H511="1"&amp;totales!I511="1"&amp;totales!J511="0","1",IF(totales!E511="4"&amp;totales!H511="1"&amp;totales!I511="1"&amp;totales!J511="0","2",IF(totales!E511="6"&amp;totales!H511="1"&amp;totales!I511="1"&amp;totales!J511="0","3",IF(totales!E511="1"&amp;totales!H511="0"&amp;totales!I511="1"&amp;totales!J511="1","4",IF(totales!E511="2"&amp;totales!H511="0"&amp;totales!I511="1"&amp;totales!J511="1","5",IF(totales!E511="3"&amp;totales!H511="0"&amp;totales!I511="1"&amp;totales!J511="1","6",IF(totales!E511="4"&amp;totales!H511="0"&amp;totales!I511="1"&amp;totales!J511="1","7",IF(totales!E511="6"&amp;totales!H511="0"&amp;totales!I511="1"&amp;totales!J511="1","8",IF(totales!E511="1"&amp;totales!H511="1"&amp;totales!I511="0"&amp;totales!J511="1","9"))))))))))))))))))))))))))))))))))))</f>
        <v>0</v>
      </c>
    </row>
    <row r="511" spans="22:22">
      <c r="V511" s="102">
        <f>IF(totales!E512="1"&amp;totales!H512="0"&amp;totales!I512="0"&amp;totales!J512="0","a",IF(totales!E512="2"&amp;totales!H512="0"&amp;totales!I512="0"&amp;totales!J512="0","b",IF(totales!E512="3"&amp;totales!H512="0"&amp;totales!I512="0"&amp;totales!J512="0","c",IF(totales!E512="4"&amp;totales!H512="0"&amp;totales!I512="0"&amp;totales!J512="0","d",IF(totales!E512="6"&amp;totales!H512="0"&amp;totales!I512="0"&amp;totales!J512="0","e",IF(totales!E512="1"&amp;totales!H512="1"&amp;totales!I512="0"&amp;totales!J512="0","f",IF(totales!E512="2"&amp;totales!H512="1"&amp;totales!I512="0"&amp;totales!J512="0","g",IF(totales!E512="3"&amp;totales!H512="1"&amp;totales!I512="0"&amp;totales!J512="0","h",IF(totales!E512="4"&amp;totales!H512="1"&amp;totales!I512="0"&amp;totales!J512="0","i",IF(totales!E512="6"&amp;totales!H512="1"&amp;totales!I512="0"&amp;totales!J512="0","j",IF(totales!E512="1"&amp;totales!H512="2"&amp;totales!I512="0"&amp;totales!J512="0","k",IF(totales!E512="2"&amp;totales!H512="2"&amp;totales!I512="0"&amp;totales!J512="0","l",IF(totales!E512="3"&amp;totales!H512="2"&amp;totales!I512="0"&amp;totales!J512="0","m",
IF(totales!E512="4"&amp;totales!H512="2"&amp;totales!I512="0"&amp;totales!J512="0","n",IF(totales!E512="6"&amp;totales!H512="2"&amp;totales!I512="0"&amp;totales!J512="0","o",IF(totales!E512="1"&amp;totales!H512="0"&amp;totales!I512="1"&amp;totales!J512="0","p",IF(totales!E512="2"&amp;totales!H512="0"&amp;totales!I512="1"&amp;totales!J512="0","q",IF(totales!E512="3"&amp;totales!H512="0"&amp;totales!I512="1"&amp;totales!J512="0","r",IF(totales!E512="4"&amp;totales!H512="0"&amp;totales!I512="1"&amp;totales!J512="0","s",IF(totales!E512="6"&amp;totales!H512="0"&amp;totales!I512="1"&amp;totales!J512="0","t",IF(totales!E512="1"&amp;totales!H512="2"&amp;totales!I512="1"&amp;totales!J512="0","u",IF(totales!E512="2"&amp;totales!H512="2"&amp;totales!I512="1"&amp;totales!J512="0","v",IF(totales!E512="3"&amp;totales!H512="2"&amp;totales!I512="1"&amp;totales!J512="0","w",IF(totales!E512="4"&amp;totales!H512="2"&amp;totales!I512="1"&amp;totales!J512="0","x",
IF(totales!E512="6"&amp;totales!H512="2"&amp;totales!I512="1"&amp;totales!J512="0","y",IF(totales!E512="1"&amp;totales!H512="1"&amp;totales!I512="1"&amp;totales!J512="0","z",IF(totales!E512="2"&amp;totales!H512="1"&amp;totales!I512="1"&amp;totales!J512="0",0,IF(totales!E512="3"&amp;totales!H512="1"&amp;totales!I512="1"&amp;totales!J512="0",1,IF(totales!E512="4"&amp;totales!H512="1"&amp;totales!I512="1"&amp;totales!J512="0",2,IF(totales!E512="6"&amp;totales!H512="1"&amp;totales!I512="1"&amp;totales!J512="0",3,
IF(totales!E512="1"&amp;totales!H512="0"&amp;totales!I512="1"&amp;totales!J512="1",4,IF(totales!E512="2"&amp;totales!H512="0"&amp;totales!I512="1"&amp;totales!J512="1",5,IF(totales!E512="3"&amp;totales!H512="0"&amp;totales!I512="1"&amp;totales!J512="1",6,IF(totales!E512="4"&amp;totales!H512="0"&amp;totales!I512="1"&amp;totales!J512="1",7,IF(totales!E512="6"&amp;totales!H512="0"&amp;totales!I512="1"&amp;totales!J512="1",8,IF(totales!E512="1"&amp;totales!H512="1"&amp;totales!I512="0"&amp;totales!J512="1",9,))))))))))))))))))))))))))))))))))))</f>
        <v>0</v>
      </c>
    </row>
    <row r="512" spans="22:22">
      <c r="V512" s="102">
        <f>IF(totales!E513="1"&amp;totales!H513="0"&amp;totales!I513="0"&amp;totales!J513="0","a",IF(totales!E513="2"&amp;totales!H513="0"&amp;totales!I513="0"&amp;totales!J513="0","b",IF(totales!E513="3"&amp;totales!H513="0"&amp;totales!I513="0"&amp;totales!J513="0","c",IF(totales!E513="4"&amp;totales!H513="0"&amp;totales!I513="0"&amp;totales!J513="0","d",IF(totales!E513="6"&amp;totales!H513="0"&amp;totales!I513="0"&amp;totales!J513="0","e",IF(totales!E513="1"&amp;totales!H513="1"&amp;totales!I513="0"&amp;totales!J513="0","f",IF(totales!E513="2"&amp;totales!H513="1"&amp;totales!I513="0"&amp;totales!J513="0","g",IF(totales!E513="3"&amp;totales!H513="1"&amp;totales!I513="0"&amp;totales!J513="0","h",IF(totales!E513="4"&amp;totales!H513="1"&amp;totales!I513="0"&amp;totales!J513="0","i",IF(totales!E513="6"&amp;totales!H513="1"&amp;totales!I513="0"&amp;totales!J513="0","j",IF(totales!E513="1"&amp;totales!H513="2"&amp;totales!I513="0"&amp;totales!J513="0","k",IF(totales!E513="2"&amp;totales!H513="2"&amp;totales!I513="0"&amp;totales!J513="0","l",IF(totales!E513="3"&amp;totales!H513="2"&amp;totales!I513="0"&amp;totales!J513="0","m",
IF(totales!E513="4"&amp;totales!H513="2"&amp;totales!I513="0"&amp;totales!J513="0","n",IF(totales!E513="6"&amp;totales!H513="2"&amp;totales!I513="0"&amp;totales!J513="0","o",IF(totales!E513="1"&amp;totales!H513="0"&amp;totales!I513="1"&amp;totales!J513="0","p",IF(totales!E513="2"&amp;totales!H513="0"&amp;totales!I513="1"&amp;totales!J513="0","q",IF(totales!E513="3"&amp;totales!H513="0"&amp;totales!I513="1"&amp;totales!J513="0","r",IF(totales!E513="4"&amp;totales!H513="0"&amp;totales!I513="1"&amp;totales!J513="0","s",IF(totales!E513="6"&amp;totales!H513="0"&amp;totales!I513="1"&amp;totales!J513="0","t",IF(totales!E513="1"&amp;totales!H513="2"&amp;totales!I513="1"&amp;totales!J513="0","u",IF(totales!E513="2"&amp;totales!H513="2"&amp;totales!I513="1"&amp;totales!J513="0","v",IF(totales!E513="3"&amp;totales!H513="2"&amp;totales!I513="1"&amp;totales!J513="0","w",IF(totales!E513="4"&amp;totales!H513="2"&amp;totales!I513="1"&amp;totales!J513="0","x",
IF(totales!E513="6"&amp;totales!H513="2"&amp;totales!I513="1"&amp;totales!J513="0","y",IF(totales!E513="1"&amp;totales!H513="1"&amp;totales!I513="1"&amp;totales!J513="0","z",IF(totales!E513="2"&amp;totales!H513="1"&amp;totales!I513="1"&amp;totales!J513="0",0,IF(totales!E513="3"&amp;totales!H513="1"&amp;totales!I513="1"&amp;totales!J513="0",1,IF(totales!E513="4"&amp;totales!H513="1"&amp;totales!I513="1"&amp;totales!J513="0",2,IF(totales!E513="6"&amp;totales!H513="1"&amp;totales!I513="1"&amp;totales!J513="0",3,
IF(totales!E513="1"&amp;totales!H513="0"&amp;totales!I513="1"&amp;totales!J513="1",4,IF(totales!E513="2"&amp;totales!H513="0"&amp;totales!I513="1"&amp;totales!J513="1",5,IF(totales!E513="3"&amp;totales!H513="0"&amp;totales!I513="1"&amp;totales!J513="1",6,IF(totales!E513="4"&amp;totales!H513="0"&amp;totales!I513="1"&amp;totales!J513="1",7,IF(totales!E513="6"&amp;totales!H513="0"&amp;totales!I513="1"&amp;totales!J513="1",8,IF(totales!E513="1"&amp;totales!H513="1"&amp;totales!I513="0"&amp;totales!J513="1",9,))))))))))))))))))))))))))))))))))))</f>
        <v>0</v>
      </c>
    </row>
    <row r="513" spans="22:22">
      <c r="V513" s="102">
        <f>IF(totales!E514="1"&amp;totales!H514="0"&amp;totales!I514="0"&amp;totales!J514="0","a",IF(totales!E514="2"&amp;totales!H514="0"&amp;totales!I514="0"&amp;totales!J514="0","b",IF(totales!E514="3"&amp;totales!H514="0"&amp;totales!I514="0"&amp;totales!J514="0","c",IF(totales!E514="4"&amp;totales!H514="0"&amp;totales!I514="0"&amp;totales!J514="0","d",IF(totales!E514="6"&amp;totales!H514="0"&amp;totales!I514="0"&amp;totales!J514="0","e",IF(totales!E514="1"&amp;totales!H514="1"&amp;totales!I514="0"&amp;totales!J514="0","f",IF(totales!E514="2"&amp;totales!H514="1"&amp;totales!I514="0"&amp;totales!J514="0","g",IF(totales!E514="3"&amp;totales!H514="1"&amp;totales!I514="0"&amp;totales!J514="0","h",IF(totales!E514="4"&amp;totales!H514="1"&amp;totales!I514="0"&amp;totales!J514="0","i",IF(totales!E514="6"&amp;totales!H514="1"&amp;totales!I514="0"&amp;totales!J514="0","j",IF(totales!E514="1"&amp;totales!H514="2"&amp;totales!I514="0"&amp;totales!J514="0","k",IF(totales!E514="2"&amp;totales!H514="2"&amp;totales!I514="0"&amp;totales!J514="0","l",IF(totales!E514="3"&amp;totales!H514="2"&amp;totales!I514="0"&amp;totales!J514="0","m",
IF(totales!E514="4"&amp;totales!H514="2"&amp;totales!I514="0"&amp;totales!J514="0","n",IF(totales!E514="6"&amp;totales!H514="2"&amp;totales!I514="0"&amp;totales!J514="0","o",IF(totales!E514="1"&amp;totales!H514="0"&amp;totales!I514="1"&amp;totales!J514="0","p",IF(totales!E514="2"&amp;totales!H514="0"&amp;totales!I514="1"&amp;totales!J514="0","q",IF(totales!E514="3"&amp;totales!H514="0"&amp;totales!I514="1"&amp;totales!J514="0","r",IF(totales!E514="4"&amp;totales!H514="0"&amp;totales!I514="1"&amp;totales!J514="0","s",IF(totales!E514="6"&amp;totales!H514="0"&amp;totales!I514="1"&amp;totales!J514="0","t",IF(totales!E514="1"&amp;totales!H514="2"&amp;totales!I514="1"&amp;totales!J514="0","u",IF(totales!E514="2"&amp;totales!H514="2"&amp;totales!I514="1"&amp;totales!J514="0","v",IF(totales!E514="3"&amp;totales!H514="2"&amp;totales!I514="1"&amp;totales!J514="0","w",IF(totales!E514="4"&amp;totales!H514="2"&amp;totales!I514="1"&amp;totales!J514="0","x",
IF(totales!E514="6"&amp;totales!H514="2"&amp;totales!I514="1"&amp;totales!J514="0","y",IF(totales!E514="1"&amp;totales!H514="1"&amp;totales!I514="1"&amp;totales!J514="0","z",IF(totales!E514="2"&amp;totales!H514="1"&amp;totales!I514="1"&amp;totales!J514="0",0,IF(totales!E514="3"&amp;totales!H514="1"&amp;totales!I514="1"&amp;totales!J514="0",1,IF(totales!E514="4"&amp;totales!H514="1"&amp;totales!I514="1"&amp;totales!J514="0",2,IF(totales!E514="6"&amp;totales!H514="1"&amp;totales!I514="1"&amp;totales!J514="0",3,
IF(totales!E514="1"&amp;totales!H514="0"&amp;totales!I514="1"&amp;totales!J514="1",4,IF(totales!E514="2"&amp;totales!H514="0"&amp;totales!I514="1"&amp;totales!J514="1",5,IF(totales!E514="3"&amp;totales!H514="0"&amp;totales!I514="1"&amp;totales!J514="1",6,IF(totales!E514="4"&amp;totales!H514="0"&amp;totales!I514="1"&amp;totales!J514="1",7,IF(totales!E514="6"&amp;totales!H514="0"&amp;totales!I514="1"&amp;totales!J514="1",8,IF(totales!E514="1"&amp;totales!H514="1"&amp;totales!I514="0"&amp;totales!J514="1",9,))))))))))))))))))))))))))))))))))))</f>
        <v>0</v>
      </c>
    </row>
    <row r="514" spans="22:22">
      <c r="V514" s="102">
        <f>IF(totales!E515="1"&amp;totales!H515="0"&amp;totales!I515="0"&amp;totales!J515="0","a",IF(totales!E515="2"&amp;totales!H515="0"&amp;totales!I515="0"&amp;totales!J515="0","b",IF(totales!E515="3"&amp;totales!H515="0"&amp;totales!I515="0"&amp;totales!J515="0","c",IF(totales!E515="4"&amp;totales!H515="0"&amp;totales!I515="0"&amp;totales!J515="0","d",IF(totales!E515="6"&amp;totales!H515="0"&amp;totales!I515="0"&amp;totales!J515="0","e",IF(totales!E515="1"&amp;totales!H515="1"&amp;totales!I515="0"&amp;totales!J515="0","f",IF(totales!E515="2"&amp;totales!H515="1"&amp;totales!I515="0"&amp;totales!J515="0","g",IF(totales!E515="3"&amp;totales!H515="1"&amp;totales!I515="0"&amp;totales!J515="0","h",IF(totales!E515="4"&amp;totales!H515="1"&amp;totales!I515="0"&amp;totales!J515="0","i",IF(totales!E515="6"&amp;totales!H515="1"&amp;totales!I515="0"&amp;totales!J515="0","j",IF(totales!E515="1"&amp;totales!H515="2"&amp;totales!I515="0"&amp;totales!J515="0","k",IF(totales!E515="2"&amp;totales!H515="2"&amp;totales!I515="0"&amp;totales!J515="0","l",IF(totales!E515="3"&amp;totales!H515="2"&amp;totales!I515="0"&amp;totales!J515="0","m",
IF(totales!E515="4"&amp;totales!H515="2"&amp;totales!I515="0"&amp;totales!J515="0","n",IF(totales!E515="6"&amp;totales!H515="2"&amp;totales!I515="0"&amp;totales!J515="0","o",IF(totales!E515="1"&amp;totales!H515="0"&amp;totales!I515="1"&amp;totales!J515="0","p",IF(totales!E515="2"&amp;totales!H515="0"&amp;totales!I515="1"&amp;totales!J515="0","q",IF(totales!E515="3"&amp;totales!H515="0"&amp;totales!I515="1"&amp;totales!J515="0","r",IF(totales!E515="4"&amp;totales!H515="0"&amp;totales!I515="1"&amp;totales!J515="0","s",IF(totales!E515="6"&amp;totales!H515="0"&amp;totales!I515="1"&amp;totales!J515="0","t",IF(totales!E515="1"&amp;totales!H515="2"&amp;totales!I515="1"&amp;totales!J515="0","u",IF(totales!E515="2"&amp;totales!H515="2"&amp;totales!I515="1"&amp;totales!J515="0","v",IF(totales!E515="3"&amp;totales!H515="2"&amp;totales!I515="1"&amp;totales!J515="0","w",IF(totales!E515="4"&amp;totales!H515="2"&amp;totales!I515="1"&amp;totales!J515="0","x",
IF(totales!E515="6"&amp;totales!H515="2"&amp;totales!I515="1"&amp;totales!J515="0","y",IF(totales!E515="1"&amp;totales!H515="1"&amp;totales!I515="1"&amp;totales!J515="0","z",IF(totales!E515="2"&amp;totales!H515="1"&amp;totales!I515="1"&amp;totales!J515="0",0,IF(totales!E515="3"&amp;totales!H515="1"&amp;totales!I515="1"&amp;totales!J515="0",1,IF(totales!E515="4"&amp;totales!H515="1"&amp;totales!I515="1"&amp;totales!J515="0",2,IF(totales!E515="6"&amp;totales!H515="1"&amp;totales!I515="1"&amp;totales!J515="0",3,
IF(totales!E515="1"&amp;totales!H515="0"&amp;totales!I515="1"&amp;totales!J515="1",4,IF(totales!E515="2"&amp;totales!H515="0"&amp;totales!I515="1"&amp;totales!J515="1",5,IF(totales!E515="3"&amp;totales!H515="0"&amp;totales!I515="1"&amp;totales!J515="1",6,IF(totales!E515="4"&amp;totales!H515="0"&amp;totales!I515="1"&amp;totales!J515="1",7,IF(totales!E515="6"&amp;totales!H515="0"&amp;totales!I515="1"&amp;totales!J515="1",8,IF(totales!E515="1"&amp;totales!H515="1"&amp;totales!I515="0"&amp;totales!J515="1",9,))))))))))))))))))))))))))))))))))))</f>
        <v>0</v>
      </c>
    </row>
    <row r="515" spans="22:22">
      <c r="V515" s="102">
        <f>IF(totales!E516="1"&amp;totales!H516="0"&amp;totales!I516="0"&amp;totales!J516="0","a",IF(totales!E516="2"&amp;totales!H516="0"&amp;totales!I516="0"&amp;totales!J516="0","b",IF(totales!E516="3"&amp;totales!H516="0"&amp;totales!I516="0"&amp;totales!J516="0","c",IF(totales!E516="4"&amp;totales!H516="0"&amp;totales!I516="0"&amp;totales!J516="0","d",IF(totales!E516="6"&amp;totales!H516="0"&amp;totales!I516="0"&amp;totales!J516="0","e",IF(totales!E516="1"&amp;totales!H516="1"&amp;totales!I516="0"&amp;totales!J516="0","f",IF(totales!E516="2"&amp;totales!H516="1"&amp;totales!I516="0"&amp;totales!J516="0","g",IF(totales!E516="3"&amp;totales!H516="1"&amp;totales!I516="0"&amp;totales!J516="0","h",IF(totales!E516="4"&amp;totales!H516="1"&amp;totales!I516="0"&amp;totales!J516="0","i",IF(totales!E516="6"&amp;totales!H516="1"&amp;totales!I516="0"&amp;totales!J516="0","j",IF(totales!E516="1"&amp;totales!H516="2"&amp;totales!I516="0"&amp;totales!J516="0","k",IF(totales!E516="2"&amp;totales!H516="2"&amp;totales!I516="0"&amp;totales!J516="0","l",IF(totales!E516="3"&amp;totales!H516="2"&amp;totales!I516="0"&amp;totales!J516="0","m",
IF(totales!E516="4"&amp;totales!H516="2"&amp;totales!I516="0"&amp;totales!J516="0","n",IF(totales!E516="6"&amp;totales!H516="2"&amp;totales!I516="0"&amp;totales!J516="0","o",IF(totales!E516="1"&amp;totales!H516="0"&amp;totales!I516="1"&amp;totales!J516="0","p",IF(totales!E516="2"&amp;totales!H516="0"&amp;totales!I516="1"&amp;totales!J516="0","q",IF(totales!E516="3"&amp;totales!H516="0"&amp;totales!I516="1"&amp;totales!J516="0","r",IF(totales!E516="4"&amp;totales!H516="0"&amp;totales!I516="1"&amp;totales!J516="0","s",IF(totales!E516="6"&amp;totales!H516="0"&amp;totales!I516="1"&amp;totales!J516="0","t",IF(totales!E516="1"&amp;totales!H516="2"&amp;totales!I516="1"&amp;totales!J516="0","u",IF(totales!E516="2"&amp;totales!H516="2"&amp;totales!I516="1"&amp;totales!J516="0","v",IF(totales!E516="3"&amp;totales!H516="2"&amp;totales!I516="1"&amp;totales!J516="0","w",IF(totales!E516="4"&amp;totales!H516="2"&amp;totales!I516="1"&amp;totales!J516="0","x",
IF(totales!E516="6"&amp;totales!H516="2"&amp;totales!I516="1"&amp;totales!J516="0","y",IF(totales!E516="1"&amp;totales!H516="1"&amp;totales!I516="1"&amp;totales!J516="0","z",IF(totales!E516="2"&amp;totales!H516="1"&amp;totales!I516="1"&amp;totales!J516="0",0,IF(totales!E516="3"&amp;totales!H516="1"&amp;totales!I516="1"&amp;totales!J516="0",1,IF(totales!E516="4"&amp;totales!H516="1"&amp;totales!I516="1"&amp;totales!J516="0",2,IF(totales!E516="6"&amp;totales!H516="1"&amp;totales!I516="1"&amp;totales!J516="0",3,
IF(totales!E516="1"&amp;totales!H516="0"&amp;totales!I516="1"&amp;totales!J516="1",4,IF(totales!E516="2"&amp;totales!H516="0"&amp;totales!I516="1"&amp;totales!J516="1",5,IF(totales!E516="3"&amp;totales!H516="0"&amp;totales!I516="1"&amp;totales!J516="1",6,IF(totales!E516="4"&amp;totales!H516="0"&amp;totales!I516="1"&amp;totales!J516="1",7,IF(totales!E516="6"&amp;totales!H516="0"&amp;totales!I516="1"&amp;totales!J516="1",8,IF(totales!E516="1"&amp;totales!H516="1"&amp;totales!I516="0"&amp;totales!J516="1",9,))))))))))))))))))))))))))))))))))))</f>
        <v>0</v>
      </c>
    </row>
    <row r="516" spans="22:22">
      <c r="V516" s="102">
        <f>IF(totales!E517="1"&amp;totales!H517="0"&amp;totales!I517="0"&amp;totales!J517="0","a",IF(totales!E517="2"&amp;totales!H517="0"&amp;totales!I517="0"&amp;totales!J517="0","b",IF(totales!E517="3"&amp;totales!H517="0"&amp;totales!I517="0"&amp;totales!J517="0","c",IF(totales!E517="4"&amp;totales!H517="0"&amp;totales!I517="0"&amp;totales!J517="0","d",IF(totales!E517="6"&amp;totales!H517="0"&amp;totales!I517="0"&amp;totales!J517="0","e",IF(totales!E517="1"&amp;totales!H517="1"&amp;totales!I517="0"&amp;totales!J517="0","f",IF(totales!E517="2"&amp;totales!H517="1"&amp;totales!I517="0"&amp;totales!J517="0","g",IF(totales!E517="3"&amp;totales!H517="1"&amp;totales!I517="0"&amp;totales!J517="0","h",IF(totales!E517="4"&amp;totales!H517="1"&amp;totales!I517="0"&amp;totales!J517="0","i",IF(totales!E517="6"&amp;totales!H517="1"&amp;totales!I517="0"&amp;totales!J517="0","j",IF(totales!E517="1"&amp;totales!H517="2"&amp;totales!I517="0"&amp;totales!J517="0","k",IF(totales!E517="2"&amp;totales!H517="2"&amp;totales!I517="0"&amp;totales!J517="0","l",IF(totales!E517="3"&amp;totales!H517="2"&amp;totales!I517="0"&amp;totales!J517="0","m",
IF(totales!E517="4"&amp;totales!H517="2"&amp;totales!I517="0"&amp;totales!J517="0","n",IF(totales!E517="6"&amp;totales!H517="2"&amp;totales!I517="0"&amp;totales!J517="0","o",IF(totales!E517="1"&amp;totales!H517="0"&amp;totales!I517="1"&amp;totales!J517="0","p",IF(totales!E517="2"&amp;totales!H517="0"&amp;totales!I517="1"&amp;totales!J517="0","q",IF(totales!E517="3"&amp;totales!H517="0"&amp;totales!I517="1"&amp;totales!J517="0","r",IF(totales!E517="4"&amp;totales!H517="0"&amp;totales!I517="1"&amp;totales!J517="0","s",IF(totales!E517="6"&amp;totales!H517="0"&amp;totales!I517="1"&amp;totales!J517="0","t",IF(totales!E517="1"&amp;totales!H517="2"&amp;totales!I517="1"&amp;totales!J517="0","u",IF(totales!E517="2"&amp;totales!H517="2"&amp;totales!I517="1"&amp;totales!J517="0","v",IF(totales!E517="3"&amp;totales!H517="2"&amp;totales!I517="1"&amp;totales!J517="0","w",IF(totales!E517="4"&amp;totales!H517="2"&amp;totales!I517="1"&amp;totales!J517="0","x",
IF(totales!E517="6"&amp;totales!H517="2"&amp;totales!I517="1"&amp;totales!J517="0","y",IF(totales!E517="1"&amp;totales!H517="1"&amp;totales!I517="1"&amp;totales!J517="0","z",IF(totales!E517="2"&amp;totales!H517="1"&amp;totales!I517="1"&amp;totales!J517="0",0,IF(totales!E517="3"&amp;totales!H517="1"&amp;totales!I517="1"&amp;totales!J517="0",1,IF(totales!E517="4"&amp;totales!H517="1"&amp;totales!I517="1"&amp;totales!J517="0",2,IF(totales!E517="6"&amp;totales!H517="1"&amp;totales!I517="1"&amp;totales!J517="0",3,
IF(totales!E517="1"&amp;totales!H517="0"&amp;totales!I517="1"&amp;totales!J517="1",4,IF(totales!E517="2"&amp;totales!H517="0"&amp;totales!I517="1"&amp;totales!J517="1",5,IF(totales!E517="3"&amp;totales!H517="0"&amp;totales!I517="1"&amp;totales!J517="1",6,IF(totales!E517="4"&amp;totales!H517="0"&amp;totales!I517="1"&amp;totales!J517="1",7,IF(totales!E517="6"&amp;totales!H517="0"&amp;totales!I517="1"&amp;totales!J517="1",8,IF(totales!E517="1"&amp;totales!H517="1"&amp;totales!I517="0"&amp;totales!J517="1",9,))))))))))))))))))))))))))))))))))))</f>
        <v>0</v>
      </c>
    </row>
    <row r="517" spans="22:22">
      <c r="V517" s="102">
        <f>IF(totales!E518="1"&amp;totales!H518="0"&amp;totales!I518="0"&amp;totales!J518="0","a",IF(totales!E518="2"&amp;totales!H518="0"&amp;totales!I518="0"&amp;totales!J518="0","b",IF(totales!E518="3"&amp;totales!H518="0"&amp;totales!I518="0"&amp;totales!J518="0","c",IF(totales!E518="4"&amp;totales!H518="0"&amp;totales!I518="0"&amp;totales!J518="0","d",IF(totales!E518="6"&amp;totales!H518="0"&amp;totales!I518="0"&amp;totales!J518="0","e",IF(totales!E518="1"&amp;totales!H518="1"&amp;totales!I518="0"&amp;totales!J518="0","f",IF(totales!E518="2"&amp;totales!H518="1"&amp;totales!I518="0"&amp;totales!J518="0","g",IF(totales!E518="3"&amp;totales!H518="1"&amp;totales!I518="0"&amp;totales!J518="0","h",IF(totales!E518="4"&amp;totales!H518="1"&amp;totales!I518="0"&amp;totales!J518="0","i",IF(totales!E518="6"&amp;totales!H518="1"&amp;totales!I518="0"&amp;totales!J518="0","j",IF(totales!E518="1"&amp;totales!H518="2"&amp;totales!I518="0"&amp;totales!J518="0","k",IF(totales!E518="2"&amp;totales!H518="2"&amp;totales!I518="0"&amp;totales!J518="0","l",IF(totales!E518="3"&amp;totales!H518="2"&amp;totales!I518="0"&amp;totales!J518="0","m",
IF(totales!E518="4"&amp;totales!H518="2"&amp;totales!I518="0"&amp;totales!J518="0","n",IF(totales!E518="6"&amp;totales!H518="2"&amp;totales!I518="0"&amp;totales!J518="0","o",IF(totales!E518="1"&amp;totales!H518="0"&amp;totales!I518="1"&amp;totales!J518="0","p",IF(totales!E518="2"&amp;totales!H518="0"&amp;totales!I518="1"&amp;totales!J518="0","q",IF(totales!E518="3"&amp;totales!H518="0"&amp;totales!I518="1"&amp;totales!J518="0","r",IF(totales!E518="4"&amp;totales!H518="0"&amp;totales!I518="1"&amp;totales!J518="0","s",IF(totales!E518="6"&amp;totales!H518="0"&amp;totales!I518="1"&amp;totales!J518="0","t",IF(totales!E518="1"&amp;totales!H518="2"&amp;totales!I518="1"&amp;totales!J518="0","u",IF(totales!E518="2"&amp;totales!H518="2"&amp;totales!I518="1"&amp;totales!J518="0","v",IF(totales!E518="3"&amp;totales!H518="2"&amp;totales!I518="1"&amp;totales!J518="0","w",IF(totales!E518="4"&amp;totales!H518="2"&amp;totales!I518="1"&amp;totales!J518="0","x",
IF(totales!E518="6"&amp;totales!H518="2"&amp;totales!I518="1"&amp;totales!J518="0","y",IF(totales!E518="1"&amp;totales!H518="1"&amp;totales!I518="1"&amp;totales!J518="0","z",IF(totales!E518="2"&amp;totales!H518="1"&amp;totales!I518="1"&amp;totales!J518="0",0,IF(totales!E518="3"&amp;totales!H518="1"&amp;totales!I518="1"&amp;totales!J518="0",1,IF(totales!E518="4"&amp;totales!H518="1"&amp;totales!I518="1"&amp;totales!J518="0",2,IF(totales!E518="6"&amp;totales!H518="1"&amp;totales!I518="1"&amp;totales!J518="0",3,
IF(totales!E518="1"&amp;totales!H518="0"&amp;totales!I518="1"&amp;totales!J518="1",4,IF(totales!E518="2"&amp;totales!H518="0"&amp;totales!I518="1"&amp;totales!J518="1",5,IF(totales!E518="3"&amp;totales!H518="0"&amp;totales!I518="1"&amp;totales!J518="1",6,IF(totales!E518="4"&amp;totales!H518="0"&amp;totales!I518="1"&amp;totales!J518="1",7,IF(totales!E518="6"&amp;totales!H518="0"&amp;totales!I518="1"&amp;totales!J518="1",8,IF(totales!E518="1"&amp;totales!H518="1"&amp;totales!I518="0"&amp;totales!J518="1",9,))))))))))))))))))))))))))))))))))))</f>
        <v>0</v>
      </c>
    </row>
    <row r="518" spans="22:22">
      <c r="V518" s="102">
        <f>IF(totales!E519="1"&amp;totales!H519="0"&amp;totales!I519="0"&amp;totales!J519="0","a",IF(totales!E519="2"&amp;totales!H519="0"&amp;totales!I519="0"&amp;totales!J519="0","b",IF(totales!E519="3"&amp;totales!H519="0"&amp;totales!I519="0"&amp;totales!J519="0","c",IF(totales!E519="4"&amp;totales!H519="0"&amp;totales!I519="0"&amp;totales!J519="0","d",IF(totales!E519="6"&amp;totales!H519="0"&amp;totales!I519="0"&amp;totales!J519="0","e",IF(totales!E519="1"&amp;totales!H519="1"&amp;totales!I519="0"&amp;totales!J519="0","f",IF(totales!E519="2"&amp;totales!H519="1"&amp;totales!I519="0"&amp;totales!J519="0","g",IF(totales!E519="3"&amp;totales!H519="1"&amp;totales!I519="0"&amp;totales!J519="0","h",IF(totales!E519="4"&amp;totales!H519="1"&amp;totales!I519="0"&amp;totales!J519="0","i",IF(totales!E519="6"&amp;totales!H519="1"&amp;totales!I519="0"&amp;totales!J519="0","j",IF(totales!E519="1"&amp;totales!H519="2"&amp;totales!I519="0"&amp;totales!J519="0","k",IF(totales!E519="2"&amp;totales!H519="2"&amp;totales!I519="0"&amp;totales!J519="0","l",IF(totales!E519="3"&amp;totales!H519="2"&amp;totales!I519="0"&amp;totales!J519="0","m",
IF(totales!E519="4"&amp;totales!H519="2"&amp;totales!I519="0"&amp;totales!J519="0","n",IF(totales!E519="6"&amp;totales!H519="2"&amp;totales!I519="0"&amp;totales!J519="0","o",IF(totales!E519="1"&amp;totales!H519="0"&amp;totales!I519="1"&amp;totales!J519="0","p",IF(totales!E519="2"&amp;totales!H519="0"&amp;totales!I519="1"&amp;totales!J519="0","q",IF(totales!E519="3"&amp;totales!H519="0"&amp;totales!I519="1"&amp;totales!J519="0","r",IF(totales!E519="4"&amp;totales!H519="0"&amp;totales!I519="1"&amp;totales!J519="0","s",IF(totales!E519="6"&amp;totales!H519="0"&amp;totales!I519="1"&amp;totales!J519="0","t",IF(totales!E519="1"&amp;totales!H519="2"&amp;totales!I519="1"&amp;totales!J519="0","u",IF(totales!E519="2"&amp;totales!H519="2"&amp;totales!I519="1"&amp;totales!J519="0","v",IF(totales!E519="3"&amp;totales!H519="2"&amp;totales!I519="1"&amp;totales!J519="0","w",IF(totales!E519="4"&amp;totales!H519="2"&amp;totales!I519="1"&amp;totales!J519="0","x",
IF(totales!E519="6"&amp;totales!H519="2"&amp;totales!I519="1"&amp;totales!J519="0","y",IF(totales!E519="1"&amp;totales!H519="1"&amp;totales!I519="1"&amp;totales!J519="0","z",IF(totales!E519="2"&amp;totales!H519="1"&amp;totales!I519="1"&amp;totales!J519="0",0,IF(totales!E519="3"&amp;totales!H519="1"&amp;totales!I519="1"&amp;totales!J519="0",1,IF(totales!E519="4"&amp;totales!H519="1"&amp;totales!I519="1"&amp;totales!J519="0",2,IF(totales!E519="6"&amp;totales!H519="1"&amp;totales!I519="1"&amp;totales!J519="0",3,
IF(totales!E519="1"&amp;totales!H519="0"&amp;totales!I519="1"&amp;totales!J519="1",4,IF(totales!E519="2"&amp;totales!H519="0"&amp;totales!I519="1"&amp;totales!J519="1",5,IF(totales!E519="3"&amp;totales!H519="0"&amp;totales!I519="1"&amp;totales!J519="1",6,IF(totales!E519="4"&amp;totales!H519="0"&amp;totales!I519="1"&amp;totales!J519="1",7,IF(totales!E519="6"&amp;totales!H519="0"&amp;totales!I519="1"&amp;totales!J519="1",8,IF(totales!E519="1"&amp;totales!H519="1"&amp;totales!I519="0"&amp;totales!J519="1",9,))))))))))))))))))))))))))))))))))))</f>
        <v>0</v>
      </c>
    </row>
    <row r="519" spans="22:22">
      <c r="V519" s="102">
        <f>IF(totales!E520="1"&amp;totales!H520="0"&amp;totales!I520="0"&amp;totales!J520="0","a",IF(totales!E520="2"&amp;totales!H520="0"&amp;totales!I520="0"&amp;totales!J520="0","b",IF(totales!E520="3"&amp;totales!H520="0"&amp;totales!I520="0"&amp;totales!J520="0","c",IF(totales!E520="4"&amp;totales!H520="0"&amp;totales!I520="0"&amp;totales!J520="0","d",IF(totales!E520="6"&amp;totales!H520="0"&amp;totales!I520="0"&amp;totales!J520="0","e",IF(totales!E520="1"&amp;totales!H520="1"&amp;totales!I520="0"&amp;totales!J520="0","f",IF(totales!E520="2"&amp;totales!H520="1"&amp;totales!I520="0"&amp;totales!J520="0","g",IF(totales!E520="3"&amp;totales!H520="1"&amp;totales!I520="0"&amp;totales!J520="0","h",IF(totales!E520="4"&amp;totales!H520="1"&amp;totales!I520="0"&amp;totales!J520="0","i",IF(totales!E520="6"&amp;totales!H520="1"&amp;totales!I520="0"&amp;totales!J520="0","j",IF(totales!E520="1"&amp;totales!H520="2"&amp;totales!I520="0"&amp;totales!J520="0","k",IF(totales!E520="2"&amp;totales!H520="2"&amp;totales!I520="0"&amp;totales!J520="0","l",IF(totales!E520="3"&amp;totales!H520="2"&amp;totales!I520="0"&amp;totales!J520="0","m",
IF(totales!E520="4"&amp;totales!H520="2"&amp;totales!I520="0"&amp;totales!J520="0","n",IF(totales!E520="6"&amp;totales!H520="2"&amp;totales!I520="0"&amp;totales!J520="0","o",IF(totales!E520="1"&amp;totales!H520="0"&amp;totales!I520="1"&amp;totales!J520="0","p",IF(totales!E520="2"&amp;totales!H520="0"&amp;totales!I520="1"&amp;totales!J520="0","q",IF(totales!E520="3"&amp;totales!H520="0"&amp;totales!I520="1"&amp;totales!J520="0","r",IF(totales!E520="4"&amp;totales!H520="0"&amp;totales!I520="1"&amp;totales!J520="0","s",IF(totales!E520="6"&amp;totales!H520="0"&amp;totales!I520="1"&amp;totales!J520="0","t",IF(totales!E520="1"&amp;totales!H520="2"&amp;totales!I520="1"&amp;totales!J520="0","u",IF(totales!E520="2"&amp;totales!H520="2"&amp;totales!I520="1"&amp;totales!J520="0","v",IF(totales!E520="3"&amp;totales!H520="2"&amp;totales!I520="1"&amp;totales!J520="0","w",IF(totales!E520="4"&amp;totales!H520="2"&amp;totales!I520="1"&amp;totales!J520="0","x",
IF(totales!E520="6"&amp;totales!H520="2"&amp;totales!I520="1"&amp;totales!J520="0","y",IF(totales!E520="1"&amp;totales!H520="1"&amp;totales!I520="1"&amp;totales!J520="0","z",IF(totales!E520="2"&amp;totales!H520="1"&amp;totales!I520="1"&amp;totales!J520="0",0,IF(totales!E520="3"&amp;totales!H520="1"&amp;totales!I520="1"&amp;totales!J520="0",1,IF(totales!E520="4"&amp;totales!H520="1"&amp;totales!I520="1"&amp;totales!J520="0",2,IF(totales!E520="6"&amp;totales!H520="1"&amp;totales!I520="1"&amp;totales!J520="0",3,
IF(totales!E520="1"&amp;totales!H520="0"&amp;totales!I520="1"&amp;totales!J520="1",4,IF(totales!E520="2"&amp;totales!H520="0"&amp;totales!I520="1"&amp;totales!J520="1",5,IF(totales!E520="3"&amp;totales!H520="0"&amp;totales!I520="1"&amp;totales!J520="1",6,IF(totales!E520="4"&amp;totales!H520="0"&amp;totales!I520="1"&amp;totales!J520="1",7,IF(totales!E520="6"&amp;totales!H520="0"&amp;totales!I520="1"&amp;totales!J520="1",8,IF(totales!E520="1"&amp;totales!H520="1"&amp;totales!I520="0"&amp;totales!J520="1",9,))))))))))))))))))))))))))))))))))))</f>
        <v>0</v>
      </c>
    </row>
    <row r="520" spans="22:22">
      <c r="V520" s="102">
        <f>IF(totales!E521="1"&amp;totales!H521="0"&amp;totales!I521="0"&amp;totales!J521="0","a",IF(totales!E521="2"&amp;totales!H521="0"&amp;totales!I521="0"&amp;totales!J521="0","b",IF(totales!E521="3"&amp;totales!H521="0"&amp;totales!I521="0"&amp;totales!J521="0","c",IF(totales!E521="4"&amp;totales!H521="0"&amp;totales!I521="0"&amp;totales!J521="0","d",IF(totales!E521="6"&amp;totales!H521="0"&amp;totales!I521="0"&amp;totales!J521="0","e",IF(totales!E521="1"&amp;totales!H521="1"&amp;totales!I521="0"&amp;totales!J521="0","f",IF(totales!E521="2"&amp;totales!H521="1"&amp;totales!I521="0"&amp;totales!J521="0","g",IF(totales!E521="3"&amp;totales!H521="1"&amp;totales!I521="0"&amp;totales!J521="0","h",IF(totales!E521="4"&amp;totales!H521="1"&amp;totales!I521="0"&amp;totales!J521="0","i",IF(totales!E521="6"&amp;totales!H521="1"&amp;totales!I521="0"&amp;totales!J521="0","j",IF(totales!E521="1"&amp;totales!H521="2"&amp;totales!I521="0"&amp;totales!J521="0","k",IF(totales!E521="2"&amp;totales!H521="2"&amp;totales!I521="0"&amp;totales!J521="0","l",IF(totales!E521="3"&amp;totales!H521="2"&amp;totales!I521="0"&amp;totales!J521="0","m",
IF(totales!E521="4"&amp;totales!H521="2"&amp;totales!I521="0"&amp;totales!J521="0","n",IF(totales!E521="6"&amp;totales!H521="2"&amp;totales!I521="0"&amp;totales!J521="0","o",IF(totales!E521="1"&amp;totales!H521="0"&amp;totales!I521="1"&amp;totales!J521="0","p",IF(totales!E521="2"&amp;totales!H521="0"&amp;totales!I521="1"&amp;totales!J521="0","q",IF(totales!E521="3"&amp;totales!H521="0"&amp;totales!I521="1"&amp;totales!J521="0","r",IF(totales!E521="4"&amp;totales!H521="0"&amp;totales!I521="1"&amp;totales!J521="0","s",IF(totales!E521="6"&amp;totales!H521="0"&amp;totales!I521="1"&amp;totales!J521="0","t",IF(totales!E521="1"&amp;totales!H521="2"&amp;totales!I521="1"&amp;totales!J521="0","u",IF(totales!E521="2"&amp;totales!H521="2"&amp;totales!I521="1"&amp;totales!J521="0","v",IF(totales!E521="3"&amp;totales!H521="2"&amp;totales!I521="1"&amp;totales!J521="0","w",IF(totales!E521="4"&amp;totales!H521="2"&amp;totales!I521="1"&amp;totales!J521="0","x",
IF(totales!E521="6"&amp;totales!H521="2"&amp;totales!I521="1"&amp;totales!J521="0","y",IF(totales!E521="1"&amp;totales!H521="1"&amp;totales!I521="1"&amp;totales!J521="0","z",IF(totales!E521="2"&amp;totales!H521="1"&amp;totales!I521="1"&amp;totales!J521="0",0,IF(totales!E521="3"&amp;totales!H521="1"&amp;totales!I521="1"&amp;totales!J521="0",1,IF(totales!E521="4"&amp;totales!H521="1"&amp;totales!I521="1"&amp;totales!J521="0",2,IF(totales!E521="6"&amp;totales!H521="1"&amp;totales!I521="1"&amp;totales!J521="0",3,
IF(totales!E521="1"&amp;totales!H521="0"&amp;totales!I521="1"&amp;totales!J521="1",4,IF(totales!E521="2"&amp;totales!H521="0"&amp;totales!I521="1"&amp;totales!J521="1",5,IF(totales!E521="3"&amp;totales!H521="0"&amp;totales!I521="1"&amp;totales!J521="1",6,IF(totales!E521="4"&amp;totales!H521="0"&amp;totales!I521="1"&amp;totales!J521="1",7,IF(totales!E521="6"&amp;totales!H521="0"&amp;totales!I521="1"&amp;totales!J521="1",8,IF(totales!E521="1"&amp;totales!H521="1"&amp;totales!I521="0"&amp;totales!J521="1",9,))))))))))))))))))))))))))))))))))))</f>
        <v>0</v>
      </c>
    </row>
    <row r="521" spans="22:22">
      <c r="V521" s="102">
        <f>IF(totales!E522="1"&amp;totales!H522="0"&amp;totales!I522="0"&amp;totales!J522="0","a",IF(totales!E522="2"&amp;totales!H522="0"&amp;totales!I522="0"&amp;totales!J522="0","b",IF(totales!E522="3"&amp;totales!H522="0"&amp;totales!I522="0"&amp;totales!J522="0","c",IF(totales!E522="4"&amp;totales!H522="0"&amp;totales!I522="0"&amp;totales!J522="0","d",IF(totales!E522="6"&amp;totales!H522="0"&amp;totales!I522="0"&amp;totales!J522="0","e",IF(totales!E522="1"&amp;totales!H522="1"&amp;totales!I522="0"&amp;totales!J522="0","f",IF(totales!E522="2"&amp;totales!H522="1"&amp;totales!I522="0"&amp;totales!J522="0","g",IF(totales!E522="3"&amp;totales!H522="1"&amp;totales!I522="0"&amp;totales!J522="0","h",IF(totales!E522="4"&amp;totales!H522="1"&amp;totales!I522="0"&amp;totales!J522="0","i",IF(totales!E522="6"&amp;totales!H522="1"&amp;totales!I522="0"&amp;totales!J522="0","j",IF(totales!E522="1"&amp;totales!H522="2"&amp;totales!I522="0"&amp;totales!J522="0","k",IF(totales!E522="2"&amp;totales!H522="2"&amp;totales!I522="0"&amp;totales!J522="0","l",IF(totales!E522="3"&amp;totales!H522="2"&amp;totales!I522="0"&amp;totales!J522="0","m",
IF(totales!E522="4"&amp;totales!H522="2"&amp;totales!I522="0"&amp;totales!J522="0","n",IF(totales!E522="6"&amp;totales!H522="2"&amp;totales!I522="0"&amp;totales!J522="0","o",IF(totales!E522="1"&amp;totales!H522="0"&amp;totales!I522="1"&amp;totales!J522="0","p",IF(totales!E522="2"&amp;totales!H522="0"&amp;totales!I522="1"&amp;totales!J522="0","q",IF(totales!E522="3"&amp;totales!H522="0"&amp;totales!I522="1"&amp;totales!J522="0","r",IF(totales!E522="4"&amp;totales!H522="0"&amp;totales!I522="1"&amp;totales!J522="0","s",IF(totales!E522="6"&amp;totales!H522="0"&amp;totales!I522="1"&amp;totales!J522="0","t",IF(totales!E522="1"&amp;totales!H522="2"&amp;totales!I522="1"&amp;totales!J522="0","u",IF(totales!E522="2"&amp;totales!H522="2"&amp;totales!I522="1"&amp;totales!J522="0","v",IF(totales!E522="3"&amp;totales!H522="2"&amp;totales!I522="1"&amp;totales!J522="0","w",IF(totales!E522="4"&amp;totales!H522="2"&amp;totales!I522="1"&amp;totales!J522="0","x",
IF(totales!E522="6"&amp;totales!H522="2"&amp;totales!I522="1"&amp;totales!J522="0","y",IF(totales!E522="1"&amp;totales!H522="1"&amp;totales!I522="1"&amp;totales!J522="0","z",IF(totales!E522="2"&amp;totales!H522="1"&amp;totales!I522="1"&amp;totales!J522="0",0,IF(totales!E522="3"&amp;totales!H522="1"&amp;totales!I522="1"&amp;totales!J522="0",1,IF(totales!E522="4"&amp;totales!H522="1"&amp;totales!I522="1"&amp;totales!J522="0",2,IF(totales!E522="6"&amp;totales!H522="1"&amp;totales!I522="1"&amp;totales!J522="0",3,
IF(totales!E522="1"&amp;totales!H522="0"&amp;totales!I522="1"&amp;totales!J522="1",4,IF(totales!E522="2"&amp;totales!H522="0"&amp;totales!I522="1"&amp;totales!J522="1",5,IF(totales!E522="3"&amp;totales!H522="0"&amp;totales!I522="1"&amp;totales!J522="1",6,IF(totales!E522="4"&amp;totales!H522="0"&amp;totales!I522="1"&amp;totales!J522="1",7,IF(totales!E522="6"&amp;totales!H522="0"&amp;totales!I522="1"&amp;totales!J522="1",8,IF(totales!E522="1"&amp;totales!H522="1"&amp;totales!I522="0"&amp;totales!J522="1",9,))))))))))))))))))))))))))))))))))))</f>
        <v>0</v>
      </c>
    </row>
    <row r="522" spans="22:22">
      <c r="V522" s="102">
        <f>IF(totales!E523="1"&amp;totales!H523="0"&amp;totales!I523="0"&amp;totales!J523="0","a",IF(totales!E523="2"&amp;totales!H523="0"&amp;totales!I523="0"&amp;totales!J523="0","b",IF(totales!E523="3"&amp;totales!H523="0"&amp;totales!I523="0"&amp;totales!J523="0","c",IF(totales!E523="4"&amp;totales!H523="0"&amp;totales!I523="0"&amp;totales!J523="0","d",IF(totales!E523="6"&amp;totales!H523="0"&amp;totales!I523="0"&amp;totales!J523="0","e",IF(totales!E523="1"&amp;totales!H523="1"&amp;totales!I523="0"&amp;totales!J523="0","f",IF(totales!E523="2"&amp;totales!H523="1"&amp;totales!I523="0"&amp;totales!J523="0","g",IF(totales!E523="3"&amp;totales!H523="1"&amp;totales!I523="0"&amp;totales!J523="0","h",IF(totales!E523="4"&amp;totales!H523="1"&amp;totales!I523="0"&amp;totales!J523="0","i",IF(totales!E523="6"&amp;totales!H523="1"&amp;totales!I523="0"&amp;totales!J523="0","j",IF(totales!E523="1"&amp;totales!H523="2"&amp;totales!I523="0"&amp;totales!J523="0","k",IF(totales!E523="2"&amp;totales!H523="2"&amp;totales!I523="0"&amp;totales!J523="0","l",IF(totales!E523="3"&amp;totales!H523="2"&amp;totales!I523="0"&amp;totales!J523="0","m",
IF(totales!E523="4"&amp;totales!H523="2"&amp;totales!I523="0"&amp;totales!J523="0","n",IF(totales!E523="6"&amp;totales!H523="2"&amp;totales!I523="0"&amp;totales!J523="0","o",IF(totales!E523="1"&amp;totales!H523="0"&amp;totales!I523="1"&amp;totales!J523="0","p",IF(totales!E523="2"&amp;totales!H523="0"&amp;totales!I523="1"&amp;totales!J523="0","q",IF(totales!E523="3"&amp;totales!H523="0"&amp;totales!I523="1"&amp;totales!J523="0","r",IF(totales!E523="4"&amp;totales!H523="0"&amp;totales!I523="1"&amp;totales!J523="0","s",IF(totales!E523="6"&amp;totales!H523="0"&amp;totales!I523="1"&amp;totales!J523="0","t",IF(totales!E523="1"&amp;totales!H523="2"&amp;totales!I523="1"&amp;totales!J523="0","u",IF(totales!E523="2"&amp;totales!H523="2"&amp;totales!I523="1"&amp;totales!J523="0","v",IF(totales!E523="3"&amp;totales!H523="2"&amp;totales!I523="1"&amp;totales!J523="0","w",IF(totales!E523="4"&amp;totales!H523="2"&amp;totales!I523="1"&amp;totales!J523="0","x",
IF(totales!E523="6"&amp;totales!H523="2"&amp;totales!I523="1"&amp;totales!J523="0","y",IF(totales!E523="1"&amp;totales!H523="1"&amp;totales!I523="1"&amp;totales!J523="0","z",IF(totales!E523="2"&amp;totales!H523="1"&amp;totales!I523="1"&amp;totales!J523="0",0,IF(totales!E523="3"&amp;totales!H523="1"&amp;totales!I523="1"&amp;totales!J523="0",1,IF(totales!E523="4"&amp;totales!H523="1"&amp;totales!I523="1"&amp;totales!J523="0",2,IF(totales!E523="6"&amp;totales!H523="1"&amp;totales!I523="1"&amp;totales!J523="0",3,
IF(totales!E523="1"&amp;totales!H523="0"&amp;totales!I523="1"&amp;totales!J523="1",4,IF(totales!E523="2"&amp;totales!H523="0"&amp;totales!I523="1"&amp;totales!J523="1",5,IF(totales!E523="3"&amp;totales!H523="0"&amp;totales!I523="1"&amp;totales!J523="1",6,IF(totales!E523="4"&amp;totales!H523="0"&amp;totales!I523="1"&amp;totales!J523="1",7,IF(totales!E523="6"&amp;totales!H523="0"&amp;totales!I523="1"&amp;totales!J523="1",8,IF(totales!E523="1"&amp;totales!H523="1"&amp;totales!I523="0"&amp;totales!J523="1",9,))))))))))))))))))))))))))))))))))))</f>
        <v>0</v>
      </c>
    </row>
    <row r="523" spans="22:22">
      <c r="V523" s="102">
        <f>IF(totales!E524="1"&amp;totales!H524="0"&amp;totales!I524="0"&amp;totales!J524="0","a",IF(totales!E524="2"&amp;totales!H524="0"&amp;totales!I524="0"&amp;totales!J524="0","b",IF(totales!E524="3"&amp;totales!H524="0"&amp;totales!I524="0"&amp;totales!J524="0","c",IF(totales!E524="4"&amp;totales!H524="0"&amp;totales!I524="0"&amp;totales!J524="0","d",IF(totales!E524="6"&amp;totales!H524="0"&amp;totales!I524="0"&amp;totales!J524="0","e",IF(totales!E524="1"&amp;totales!H524="1"&amp;totales!I524="0"&amp;totales!J524="0","f",IF(totales!E524="2"&amp;totales!H524="1"&amp;totales!I524="0"&amp;totales!J524="0","g",IF(totales!E524="3"&amp;totales!H524="1"&amp;totales!I524="0"&amp;totales!J524="0","h",IF(totales!E524="4"&amp;totales!H524="1"&amp;totales!I524="0"&amp;totales!J524="0","i",IF(totales!E524="6"&amp;totales!H524="1"&amp;totales!I524="0"&amp;totales!J524="0","j",IF(totales!E524="1"&amp;totales!H524="2"&amp;totales!I524="0"&amp;totales!J524="0","k",IF(totales!E524="2"&amp;totales!H524="2"&amp;totales!I524="0"&amp;totales!J524="0","l",IF(totales!E524="3"&amp;totales!H524="2"&amp;totales!I524="0"&amp;totales!J524="0","m",
IF(totales!E524="4"&amp;totales!H524="2"&amp;totales!I524="0"&amp;totales!J524="0","n",IF(totales!E524="6"&amp;totales!H524="2"&amp;totales!I524="0"&amp;totales!J524="0","o",IF(totales!E524="1"&amp;totales!H524="0"&amp;totales!I524="1"&amp;totales!J524="0","p",IF(totales!E524="2"&amp;totales!H524="0"&amp;totales!I524="1"&amp;totales!J524="0","q",IF(totales!E524="3"&amp;totales!H524="0"&amp;totales!I524="1"&amp;totales!J524="0","r",IF(totales!E524="4"&amp;totales!H524="0"&amp;totales!I524="1"&amp;totales!J524="0","s",IF(totales!E524="6"&amp;totales!H524="0"&amp;totales!I524="1"&amp;totales!J524="0","t",IF(totales!E524="1"&amp;totales!H524="2"&amp;totales!I524="1"&amp;totales!J524="0","u",IF(totales!E524="2"&amp;totales!H524="2"&amp;totales!I524="1"&amp;totales!J524="0","v",IF(totales!E524="3"&amp;totales!H524="2"&amp;totales!I524="1"&amp;totales!J524="0","w",IF(totales!E524="4"&amp;totales!H524="2"&amp;totales!I524="1"&amp;totales!J524="0","x",
IF(totales!E524="6"&amp;totales!H524="2"&amp;totales!I524="1"&amp;totales!J524="0","y",IF(totales!E524="1"&amp;totales!H524="1"&amp;totales!I524="1"&amp;totales!J524="0","z",IF(totales!E524="2"&amp;totales!H524="1"&amp;totales!I524="1"&amp;totales!J524="0",0,IF(totales!E524="3"&amp;totales!H524="1"&amp;totales!I524="1"&amp;totales!J524="0",1,IF(totales!E524="4"&amp;totales!H524="1"&amp;totales!I524="1"&amp;totales!J524="0",2,IF(totales!E524="6"&amp;totales!H524="1"&amp;totales!I524="1"&amp;totales!J524="0",3,
IF(totales!E524="1"&amp;totales!H524="0"&amp;totales!I524="1"&amp;totales!J524="1",4,IF(totales!E524="2"&amp;totales!H524="0"&amp;totales!I524="1"&amp;totales!J524="1",5,IF(totales!E524="3"&amp;totales!H524="0"&amp;totales!I524="1"&amp;totales!J524="1",6,IF(totales!E524="4"&amp;totales!H524="0"&amp;totales!I524="1"&amp;totales!J524="1",7,IF(totales!E524="6"&amp;totales!H524="0"&amp;totales!I524="1"&amp;totales!J524="1",8,IF(totales!E524="1"&amp;totales!H524="1"&amp;totales!I524="0"&amp;totales!J524="1",9,))))))))))))))))))))))))))))))))))))</f>
        <v>0</v>
      </c>
    </row>
  </sheetData>
  <pageMargins left="0.7" right="0.7" top="0.75" bottom="0.75" header="0.3" footer="0.3"/>
  <pageSetup paperSize="9" orientation="portrait"/>
  <cellWatches>
    <cellWatch r="V1"/>
    <cellWatch r="V2"/>
  </cellWatches>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4"/>
  <sheetViews>
    <sheetView tabSelected="1" topLeftCell="C1" zoomScale="80" zoomScaleNormal="80" zoomScalePageLayoutView="80" workbookViewId="0">
      <pane ySplit="1" topLeftCell="A2" activePane="bottomLeft" state="frozen"/>
      <selection pane="bottomLeft" activeCell="F1" sqref="F1:F1048576"/>
    </sheetView>
  </sheetViews>
  <sheetFormatPr baseColWidth="10" defaultRowHeight="14" x14ac:dyDescent="0"/>
  <cols>
    <col min="1" max="1" width="11.5" style="8" customWidth="1"/>
    <col min="2" max="2" width="176.1640625" style="8" customWidth="1"/>
    <col min="3" max="3" width="15.6640625" style="8" customWidth="1"/>
    <col min="4" max="4" width="5.6640625" style="8" customWidth="1"/>
    <col min="5" max="5" width="5.83203125" style="8" customWidth="1"/>
    <col min="6" max="6" width="14" style="8" customWidth="1"/>
    <col min="7" max="7" width="8.6640625" style="8" customWidth="1"/>
    <col min="8" max="10" width="11.5" style="8" customWidth="1"/>
    <col min="11" max="11" width="8.5" style="8" customWidth="1"/>
    <col min="12" max="12" width="7.6640625" style="8" customWidth="1"/>
    <col min="13" max="16384" width="10.83203125" style="8"/>
  </cols>
  <sheetData>
    <row r="1" spans="1:12">
      <c r="A1" s="10" t="s">
        <v>0</v>
      </c>
      <c r="B1" s="10" t="s">
        <v>1</v>
      </c>
      <c r="C1" s="10" t="s">
        <v>5</v>
      </c>
      <c r="D1" s="10" t="s">
        <v>2</v>
      </c>
      <c r="E1" s="10" t="s">
        <v>3</v>
      </c>
      <c r="F1" s="10" t="s">
        <v>4</v>
      </c>
      <c r="G1" s="10" t="s">
        <v>16</v>
      </c>
      <c r="H1" s="10" t="s">
        <v>575</v>
      </c>
      <c r="I1" s="10" t="s">
        <v>591</v>
      </c>
      <c r="J1" s="10" t="s">
        <v>576</v>
      </c>
      <c r="K1" s="10" t="s">
        <v>88</v>
      </c>
      <c r="L1" s="10" t="s">
        <v>89</v>
      </c>
    </row>
    <row r="2" spans="1:12" customFormat="1">
      <c r="A2" t="str">
        <f>SJ0521H96!A2</f>
        <v>SJ0521H96</v>
      </c>
      <c r="B2" t="str">
        <f>SJ0521H96!B2</f>
        <v xml:space="preserve">SJ0521H96/145-146 Aparentemente, la señora no frenó y le dio un, lo atropelló, vamos a decirlo así con el carro y allí estaba él en la calle tirado, ensangrentado, una cosa muy, muy, muy mala, una experiencia mala le pasó a él. </v>
      </c>
      <c r="C2" t="str">
        <f>SJ0521H96!C2</f>
        <v>analítico</v>
      </c>
      <c r="D2" t="str">
        <f>SJ0521H96!D2</f>
        <v>exhortación</v>
      </c>
      <c r="E2">
        <f>SJ0521H96!E2</f>
        <v>3</v>
      </c>
      <c r="F2">
        <f>SJ0521H96!F2</f>
        <v>0</v>
      </c>
      <c r="G2">
        <f>SJ0521H96!G2</f>
        <v>0</v>
      </c>
      <c r="H2">
        <f>SJ0521H96!H2</f>
        <v>0</v>
      </c>
      <c r="I2">
        <f>SJ0521H96!I2</f>
        <v>0</v>
      </c>
      <c r="J2">
        <f>SJ0521H96!J2</f>
        <v>0</v>
      </c>
      <c r="K2">
        <v>1</v>
      </c>
      <c r="L2" t="s">
        <v>696</v>
      </c>
    </row>
    <row r="3" spans="1:12" customFormat="1">
      <c r="A3" s="103" t="str">
        <f>SJ0521H96!A3</f>
        <v>SJ0521H96</v>
      </c>
      <c r="B3" s="103" t="str">
        <f>SJ0521H96!B3</f>
        <v>SJ0521H96/173-176 No, no participé porque aún soy un menor, pero para las próximas participaré. Este, bueno, déjame ver que te digo porque de verdad que, sinceramente, hablando por la voz del pueblo, hablando como un, como uno, como uno más como cualquier persona, como una persona que se quiere comunicar con el, con la sociedad.</v>
      </c>
      <c r="C3" s="103" t="str">
        <f>SJ0521H96!C3</f>
        <v>morfológico</v>
      </c>
      <c r="D3" s="103" t="str">
        <f>SJ0521H96!D3</f>
        <v>temporal</v>
      </c>
      <c r="E3" s="103">
        <f>SJ0521H96!E3</f>
        <v>1</v>
      </c>
      <c r="F3" s="103">
        <f>SJ0521H96!F3</f>
        <v>0</v>
      </c>
      <c r="G3" s="103">
        <f>SJ0521H96!G3</f>
        <v>1</v>
      </c>
      <c r="H3" s="103">
        <f>SJ0521H96!H3</f>
        <v>1</v>
      </c>
      <c r="I3" s="103">
        <f>SJ0521H96!I3</f>
        <v>0</v>
      </c>
      <c r="J3" s="103">
        <f>SJ0521H96!J3</f>
        <v>0</v>
      </c>
      <c r="K3" s="103">
        <v>1</v>
      </c>
      <c r="L3" s="103" t="s">
        <v>696</v>
      </c>
    </row>
    <row r="4" spans="1:12" customFormat="1">
      <c r="A4" s="103" t="str">
        <f>SJ0521H96!A4</f>
        <v>SJ0521H96</v>
      </c>
      <c r="B4" s="103" t="str">
        <f>SJ0521H96!B4</f>
        <v>SJ0521H96/36-38  Esos fines de semana son una cosa terrible uno tiene que trabajar en exceso, y a la misma vez tiene que trabajar bien porque si no, sinceramente, no vas a llegar a ningún lado.</v>
      </c>
      <c r="C4" s="103" t="str">
        <f>SJ0521H96!C4</f>
        <v>analítico</v>
      </c>
      <c r="D4" s="103" t="str">
        <f>SJ0521H96!D4</f>
        <v>temporal</v>
      </c>
      <c r="E4" s="103">
        <f>SJ0521H96!E4</f>
        <v>2</v>
      </c>
      <c r="F4" s="103">
        <f>SJ0521H96!F4</f>
        <v>0</v>
      </c>
      <c r="G4" s="103">
        <f>SJ0521H96!G4</f>
        <v>1</v>
      </c>
      <c r="H4" s="103">
        <f>SJ0521H96!H4</f>
        <v>0</v>
      </c>
      <c r="I4" s="103">
        <f>SJ0521H96!I4</f>
        <v>1</v>
      </c>
      <c r="J4" s="103">
        <f>SJ0521H96!J4</f>
        <v>1</v>
      </c>
      <c r="K4" s="103">
        <v>1</v>
      </c>
      <c r="L4" s="103" t="s">
        <v>696</v>
      </c>
    </row>
    <row r="5" spans="1:12" customFormat="1">
      <c r="A5" s="103" t="str">
        <f>SJ0521H96!A5</f>
        <v>SJ0521H96</v>
      </c>
      <c r="B5" s="103" t="str">
        <f>SJ0521H96!B5</f>
        <v>SJ0521H96/89-90 Pues, no sé, este, van lentas, van lentas todavía pero dicen que cuando cojan auge van a ser estragos.</v>
      </c>
      <c r="C5" s="103" t="str">
        <f>SJ0521H96!C5</f>
        <v>analítico</v>
      </c>
      <c r="D5" s="103" t="str">
        <f>SJ0521H96!D5</f>
        <v>temporal</v>
      </c>
      <c r="E5" s="103">
        <f>SJ0521H96!E5</f>
        <v>6</v>
      </c>
      <c r="F5" s="103">
        <f>SJ0521H96!F5</f>
        <v>1</v>
      </c>
      <c r="G5" s="103">
        <f>SJ0521H96!G5</f>
        <v>0</v>
      </c>
      <c r="H5" s="103">
        <f>SJ0521H96!H5</f>
        <v>1</v>
      </c>
      <c r="I5" s="103">
        <f>SJ0521H96!I5</f>
        <v>0</v>
      </c>
      <c r="J5" s="103">
        <f>SJ0521H96!J5</f>
        <v>0</v>
      </c>
      <c r="K5" s="103">
        <v>1</v>
      </c>
      <c r="L5" s="103" t="s">
        <v>696</v>
      </c>
    </row>
    <row r="6" spans="1:12" customFormat="1">
      <c r="A6" s="103" t="str">
        <f>SJ0521H96!A6</f>
        <v>SJ0521H96</v>
      </c>
      <c r="B6" s="103" t="str">
        <f>SJ0521H96!B6</f>
        <v>SJ0521H96/38-40 Como te digo, este, si no te propones luchar, qué sé yo, trabajar bien, como se debe con todas las normas, pues en verdad, no vas a llegar a ningún lado porque sinceramente lo que toman en cuenta es eso... y pues sí, este...</v>
      </c>
      <c r="C6" s="103" t="str">
        <f>SJ0521H96!C6</f>
        <v>analítico</v>
      </c>
      <c r="D6" s="103" t="str">
        <f>SJ0521H96!D6</f>
        <v>temporal</v>
      </c>
      <c r="E6" s="103">
        <f>SJ0521H96!E6</f>
        <v>2</v>
      </c>
      <c r="F6" s="103">
        <f>SJ0521H96!F6</f>
        <v>0</v>
      </c>
      <c r="G6" s="103">
        <f>SJ0521H96!G6</f>
        <v>1</v>
      </c>
      <c r="H6" s="103">
        <f>SJ0521H96!H6</f>
        <v>0</v>
      </c>
      <c r="I6" s="103">
        <f>SJ0521H96!I6</f>
        <v>1</v>
      </c>
      <c r="J6" s="103">
        <f>SJ0521H96!J6</f>
        <v>1</v>
      </c>
      <c r="K6" s="103">
        <v>1</v>
      </c>
      <c r="L6" s="103" t="s">
        <v>696</v>
      </c>
    </row>
    <row r="7" spans="1:12" customFormat="1">
      <c r="A7" s="103" t="str">
        <f>SJ0521H96!A7</f>
        <v>SJ0521H96</v>
      </c>
      <c r="B7" s="103" t="str">
        <f>SJ0521H96!B7</f>
        <v>SJ0521H96/70-71 Pero ser alguien, ser, ser alguien en el futuro porque básicamente si uno no lucha por uno mismo nadie va a luchar por uno</v>
      </c>
      <c r="C7" s="103" t="str">
        <f>SJ0521H96!C7</f>
        <v>analítico</v>
      </c>
      <c r="D7" s="103" t="str">
        <f>SJ0521H96!D7</f>
        <v>temporal</v>
      </c>
      <c r="E7" s="103">
        <f>SJ0521H96!E7</f>
        <v>3</v>
      </c>
      <c r="F7" s="103">
        <f>SJ0521H96!F7</f>
        <v>0</v>
      </c>
      <c r="G7" s="103">
        <f>SJ0521H96!G7</f>
        <v>1</v>
      </c>
      <c r="H7" s="103">
        <f>SJ0521H96!H7</f>
        <v>0</v>
      </c>
      <c r="I7" s="103">
        <f>SJ0521H96!I7</f>
        <v>0</v>
      </c>
      <c r="J7" s="103">
        <f>SJ0521H96!J7</f>
        <v>1</v>
      </c>
      <c r="K7" s="103">
        <v>1</v>
      </c>
      <c r="L7" s="103" t="s">
        <v>696</v>
      </c>
    </row>
    <row r="8" spans="1:12" customFormat="1">
      <c r="A8" s="103" t="str">
        <f>SJ0521H96!A8</f>
        <v>SJ0521H96</v>
      </c>
      <c r="B8" s="103" t="str">
        <f>SJ0521H96!B8</f>
        <v xml:space="preserve">SJ0521H96/122-124 Para mí que sí que simplemente la fanaticada allá ya para mí no va a ser igual entre, respecto a, hacia, hacia ese jugador por lo menos. </v>
      </c>
      <c r="C8" s="103" t="str">
        <f>SJ0521H96!C8</f>
        <v>analítico</v>
      </c>
      <c r="D8" s="103" t="str">
        <f>SJ0521H96!D8</f>
        <v>temporal</v>
      </c>
      <c r="E8" s="103">
        <f>SJ0521H96!E8</f>
        <v>3</v>
      </c>
      <c r="F8" s="103">
        <f>SJ0521H96!F8</f>
        <v>0</v>
      </c>
      <c r="G8" s="103">
        <f>SJ0521H96!G8</f>
        <v>1</v>
      </c>
      <c r="H8" s="103">
        <f>SJ0521H96!H8</f>
        <v>0</v>
      </c>
      <c r="I8" s="103">
        <f>SJ0521H96!I8</f>
        <v>0</v>
      </c>
      <c r="J8" s="103">
        <f>SJ0521H96!J8</f>
        <v>0</v>
      </c>
      <c r="K8" s="103">
        <v>1</v>
      </c>
      <c r="L8" s="103" t="s">
        <v>696</v>
      </c>
    </row>
    <row r="9" spans="1:12" customFormat="1">
      <c r="A9" s="103" t="str">
        <f>SJ0521H96!A9</f>
        <v>SJ0521H96</v>
      </c>
      <c r="B9" s="103" t="str">
        <f>SJ0521H96!B9</f>
        <v>SJ0521H96/100-101A Si así puedo hacerlo, pues, así lo haré.</v>
      </c>
      <c r="C9" s="103" t="str">
        <f>SJ0521H96!C9</f>
        <v>presente</v>
      </c>
      <c r="D9" s="103" t="str">
        <f>SJ0521H96!D9</f>
        <v>temporal</v>
      </c>
      <c r="E9" s="103">
        <f>SJ0521H96!E9</f>
        <v>1</v>
      </c>
      <c r="F9" s="103">
        <f>SJ0521H96!F9</f>
        <v>0</v>
      </c>
      <c r="G9" s="103">
        <f>SJ0521H96!G9</f>
        <v>0</v>
      </c>
      <c r="H9" s="103">
        <f>SJ0521H96!H9</f>
        <v>0</v>
      </c>
      <c r="I9" s="103">
        <f>SJ0521H96!I9</f>
        <v>0</v>
      </c>
      <c r="J9" s="103">
        <f>SJ0521H96!J9</f>
        <v>1</v>
      </c>
      <c r="K9" s="103">
        <v>1</v>
      </c>
      <c r="L9" s="103" t="s">
        <v>696</v>
      </c>
    </row>
    <row r="10" spans="1:12" customFormat="1">
      <c r="A10" s="103" t="str">
        <f>SJ0521H96!A10</f>
        <v>SJ0521H96</v>
      </c>
      <c r="B10" s="103" t="str">
        <f>SJ0521H96!B10</f>
        <v>SJ0521H96/100-101B Si así puedo hacerlo, pues, así lo haré.</v>
      </c>
      <c r="C10" s="103" t="str">
        <f>SJ0521H96!C10</f>
        <v>morfológico</v>
      </c>
      <c r="D10" s="103" t="str">
        <f>SJ0521H96!D10</f>
        <v>temporal</v>
      </c>
      <c r="E10" s="103">
        <f>SJ0521H96!E10</f>
        <v>1</v>
      </c>
      <c r="F10" s="103">
        <f>SJ0521H96!F10</f>
        <v>0</v>
      </c>
      <c r="G10" s="103">
        <f>SJ0521H96!G10</f>
        <v>0</v>
      </c>
      <c r="H10" s="103">
        <f>SJ0521H96!H10</f>
        <v>0</v>
      </c>
      <c r="I10" s="103">
        <f>SJ0521H96!I10</f>
        <v>0</v>
      </c>
      <c r="J10" s="103">
        <f>SJ0521H96!J10</f>
        <v>1</v>
      </c>
      <c r="K10" s="103">
        <v>1</v>
      </c>
      <c r="L10" s="103" t="s">
        <v>696</v>
      </c>
    </row>
    <row r="11" spans="1:12" customFormat="1">
      <c r="A11" t="str">
        <f>SJ00621H96!A2</f>
        <v>SJ00621H96</v>
      </c>
      <c r="B11" t="str">
        <f>SJ00621H96!B2</f>
        <v xml:space="preserve">SJ00621H96/12 Vamos a ver cómo dice aquí.  </v>
      </c>
      <c r="C11" t="str">
        <f>SJ00621H96!C2</f>
        <v>analítico</v>
      </c>
      <c r="D11" t="str">
        <f>SJ00621H96!D2</f>
        <v>exhortación</v>
      </c>
      <c r="E11">
        <f>SJ00621H96!E2</f>
        <v>4</v>
      </c>
      <c r="F11">
        <f>SJ00621H96!F2</f>
        <v>0</v>
      </c>
      <c r="G11">
        <f>SJ00621H96!G2</f>
        <v>0</v>
      </c>
      <c r="H11">
        <f>SJ00621H96!H2</f>
        <v>0</v>
      </c>
      <c r="I11">
        <f>SJ00621H96!I2</f>
        <v>0</v>
      </c>
      <c r="J11">
        <f>SJ00621H96!J2</f>
        <v>0</v>
      </c>
      <c r="K11">
        <v>1</v>
      </c>
      <c r="L11" t="s">
        <v>696</v>
      </c>
    </row>
    <row r="12" spans="1:12" customFormat="1">
      <c r="A12" s="103" t="str">
        <f>SJ00621H96!A3</f>
        <v>SJ00621H96</v>
      </c>
      <c r="B12" s="103" t="str">
        <f>SJ00621H96!B3</f>
        <v xml:space="preserve">SJ00621H96/27-30 No, no, no pero, o sea, tú lo que quieres decir, este, cuál serían los pasos, pues primero, como siempre, lo primero es el local,  ponlo frente a un “Blockbuster”, yo creo que esa es la mejor idea que hay, al contrario, en vez de cogerle miedo, pónteles al frente, que vas a tener siempre tu clientela porque tienes unos precios más baratos.  </v>
      </c>
      <c r="C12" s="103" t="str">
        <f>SJ00621H96!C3</f>
        <v>analítico</v>
      </c>
      <c r="D12" s="103" t="str">
        <f>SJ00621H96!D3</f>
        <v>temporal</v>
      </c>
      <c r="E12" s="103">
        <f>SJ00621H96!E3</f>
        <v>2</v>
      </c>
      <c r="F12" s="103">
        <f>SJ00621H96!F3</f>
        <v>1</v>
      </c>
      <c r="G12" s="103">
        <f>SJ00621H96!G3</f>
        <v>0</v>
      </c>
      <c r="H12" s="103">
        <f>SJ00621H96!H3</f>
        <v>1</v>
      </c>
      <c r="I12" s="103">
        <f>SJ00621H96!I3</f>
        <v>1</v>
      </c>
      <c r="J12" s="103">
        <f>SJ00621H96!J3</f>
        <v>0</v>
      </c>
      <c r="K12" s="103">
        <v>1</v>
      </c>
      <c r="L12" s="103" t="s">
        <v>696</v>
      </c>
    </row>
    <row r="13" spans="1:12" customFormat="1">
      <c r="A13" t="str">
        <f>SJ00621H96!A4</f>
        <v>SJ00621H96</v>
      </c>
      <c r="B13" t="str">
        <f>SJ00621H96!B4</f>
        <v>SJ00621H96/39-41 Saldrán como algunas diez, y de esas tú escoges, tres, cuatro, dependiendo del volumen de venta tuyo, pues, tú escoges y compras películas.</v>
      </c>
      <c r="C13" t="str">
        <f>SJ00621H96!C4</f>
        <v>morfológico</v>
      </c>
      <c r="D13" t="str">
        <f>SJ00621H96!D4</f>
        <v>hipótesis</v>
      </c>
      <c r="E13">
        <f>SJ00621H96!E4</f>
        <v>6</v>
      </c>
      <c r="F13">
        <f>SJ00621H96!F4</f>
        <v>0</v>
      </c>
      <c r="G13">
        <f>SJ00621H96!G4</f>
        <v>0</v>
      </c>
      <c r="H13">
        <f>SJ00621H96!H4</f>
        <v>0</v>
      </c>
      <c r="I13">
        <f>SJ00621H96!I4</f>
        <v>0</v>
      </c>
      <c r="J13">
        <f>SJ00621H96!J4</f>
        <v>0</v>
      </c>
      <c r="K13">
        <v>1</v>
      </c>
      <c r="L13" t="s">
        <v>696</v>
      </c>
    </row>
    <row r="14" spans="1:12" customFormat="1">
      <c r="A14" s="103" t="str">
        <f>SJ00621H96!A5</f>
        <v>SJ00621H96</v>
      </c>
      <c r="B14" s="103" t="str">
        <f>SJ00621H96!B5</f>
        <v>SJ00621H96/111-115A Eso es, de todas formas, eso es nuevo en Puerto Rico, fue la primera que hicieron, y me enteré por correo, porque la compañía a la que tú le compras películas fue la que me informó por medio de una carta, este, fue la primera vez que la hicieron, creo que se va a seguir haciendo, este, porque vieron que, que hubo una respuesta, fue mucha gente, y creo que para el año que viene se va a volver a hacer</v>
      </c>
      <c r="C14" s="103" t="str">
        <f>SJ00621H96!C5</f>
        <v>analítico</v>
      </c>
      <c r="D14" s="103" t="str">
        <f>SJ00621H96!D5</f>
        <v>temporal</v>
      </c>
      <c r="E14" s="103">
        <f>SJ00621H96!E5</f>
        <v>3</v>
      </c>
      <c r="F14" s="103">
        <f>SJ00621H96!F5</f>
        <v>0</v>
      </c>
      <c r="G14" s="103">
        <f>SJ00621H96!G5</f>
        <v>0</v>
      </c>
      <c r="H14" s="103">
        <f>SJ00621H96!H5</f>
        <v>0</v>
      </c>
      <c r="I14" s="103">
        <f>SJ00621H96!I5</f>
        <v>1</v>
      </c>
      <c r="J14" s="103">
        <f>SJ00621H96!J5</f>
        <v>0</v>
      </c>
      <c r="K14" s="103">
        <v>1</v>
      </c>
      <c r="L14" s="103" t="s">
        <v>696</v>
      </c>
    </row>
    <row r="15" spans="1:12" customFormat="1">
      <c r="A15" s="103" t="str">
        <f>SJ00621H96!A6</f>
        <v>SJ00621H96</v>
      </c>
      <c r="B15" s="103" t="str">
        <f>SJ00621H96!B6</f>
        <v>SJ00621H96/111-115B Eso es, de todas formas, eso es nuevo en Puerto Rico, fue la primera que hicieron, y me enteré por correo, porque la compañía a la que tú le compras películas fue la que me informó por medio de una carta, este, fue la primera vez que la hicieron, creo que se va a seguir haciendo, este, porque vieron que, que hubo una respuesta, fue mucha gente, y creo que para el año que viene se va a volver a hacer.</v>
      </c>
      <c r="C15" s="103" t="str">
        <f>SJ00621H96!C6</f>
        <v>analítico</v>
      </c>
      <c r="D15" s="103" t="str">
        <f>SJ00621H96!D6</f>
        <v>temporal</v>
      </c>
      <c r="E15" s="103">
        <f>SJ00621H96!E6</f>
        <v>3</v>
      </c>
      <c r="F15" s="103">
        <f>SJ00621H96!F6</f>
        <v>0</v>
      </c>
      <c r="G15" s="103">
        <f>SJ00621H96!G6</f>
        <v>0</v>
      </c>
      <c r="H15" s="103">
        <f>SJ00621H96!H6</f>
        <v>1</v>
      </c>
      <c r="I15" s="103">
        <f>SJ00621H96!I6</f>
        <v>1</v>
      </c>
      <c r="J15" s="103">
        <f>SJ00621H96!J6</f>
        <v>0</v>
      </c>
      <c r="K15" s="103">
        <v>1</v>
      </c>
      <c r="L15" s="103" t="s">
        <v>696</v>
      </c>
    </row>
    <row r="16" spans="1:12" customFormat="1">
      <c r="A16" s="103" t="str">
        <f>SJ00621H96!A7</f>
        <v>SJ00621H96</v>
      </c>
      <c r="B16" s="103" t="str">
        <f>SJ00621H96!B7</f>
        <v>SJ00621H96/115-116 Y allí estaremos también el año que viene.</v>
      </c>
      <c r="C16" s="103" t="str">
        <f>SJ00621H96!C7</f>
        <v>morfológico</v>
      </c>
      <c r="D16" s="103" t="str">
        <f>SJ00621H96!D7</f>
        <v>temporal</v>
      </c>
      <c r="E16" s="103">
        <f>SJ00621H96!E7</f>
        <v>4</v>
      </c>
      <c r="F16" s="103">
        <f>SJ00621H96!F7</f>
        <v>1</v>
      </c>
      <c r="G16" s="103">
        <f>SJ00621H96!G7</f>
        <v>0</v>
      </c>
      <c r="H16" s="103">
        <f>SJ00621H96!H7</f>
        <v>1</v>
      </c>
      <c r="I16" s="103">
        <f>SJ00621H96!I7</f>
        <v>0</v>
      </c>
      <c r="J16" s="103">
        <f>SJ00621H96!J7</f>
        <v>0</v>
      </c>
      <c r="K16" s="103">
        <v>1</v>
      </c>
      <c r="L16" s="103" t="s">
        <v>696</v>
      </c>
    </row>
    <row r="17" spans="1:12" customFormat="1">
      <c r="A17" s="103" t="str">
        <f>SJ00621H96!A8</f>
        <v>SJ00621H96</v>
      </c>
      <c r="B17" s="103" t="str">
        <f>SJ00621H96!B8</f>
        <v>SJ00621H96/120-127A Yo no sé si es que yo sea, este, que esté aspirando demasiado, pero yo espero que cuando yo tenga quince años yo no esté como muchos videos que tiene quince años y están como estancados, yo voy con otras metas de expandirme, de adelantarme a lo nuevo que salga, meterle “laser vision” o sea estar adelante.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17" s="103" t="str">
        <f>SJ00621H96!C8</f>
        <v>analítico</v>
      </c>
      <c r="D17" s="103" t="str">
        <f>SJ00621H96!D8</f>
        <v>temporal</v>
      </c>
      <c r="E17" s="103">
        <f>SJ00621H96!E8</f>
        <v>6</v>
      </c>
      <c r="F17" s="103">
        <f>SJ00621H96!F8</f>
        <v>1</v>
      </c>
      <c r="G17" s="103">
        <f>SJ00621H96!G8</f>
        <v>0</v>
      </c>
      <c r="H17" s="103">
        <f>SJ00621H96!H8</f>
        <v>1</v>
      </c>
      <c r="I17" s="103">
        <f>SJ00621H96!I8</f>
        <v>0</v>
      </c>
      <c r="J17" s="103">
        <f>SJ00621H96!J8</f>
        <v>0</v>
      </c>
      <c r="K17" s="103">
        <v>1</v>
      </c>
      <c r="L17" s="103" t="s">
        <v>696</v>
      </c>
    </row>
    <row r="18" spans="1:12" customFormat="1">
      <c r="A18" s="103" t="str">
        <f>SJ00621H96!A9</f>
        <v>SJ00621H96</v>
      </c>
      <c r="B18" s="103" t="str">
        <f>SJ00621H96!B9</f>
        <v>SJ00621H96/120-127D Yo no sé si es que yo sea, este, que esté aspirando demasiado, pero yo espero que cuando yo tenga quince años yo no esté como muchos videos que tiene quince años y están como estancados, yo voy con otras metas de expandirme, de adelantarme a lo nuevo que salga, meterle “laser vision” o sea estar adelante.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18" s="103" t="str">
        <f>SJ00621H96!C9</f>
        <v>analítico</v>
      </c>
      <c r="D18" s="103" t="str">
        <f>SJ00621H96!D9</f>
        <v>temporal</v>
      </c>
      <c r="E18" s="103">
        <f>SJ00621H96!E9</f>
        <v>4</v>
      </c>
      <c r="F18" s="103">
        <f>SJ00621H96!F9</f>
        <v>1</v>
      </c>
      <c r="G18" s="103">
        <f>SJ00621H96!G9</f>
        <v>0</v>
      </c>
      <c r="H18" s="103">
        <f>SJ00621H96!H9</f>
        <v>2</v>
      </c>
      <c r="I18" s="103">
        <f>SJ00621H96!I9</f>
        <v>0</v>
      </c>
      <c r="J18" s="103">
        <f>SJ00621H96!J9</f>
        <v>0</v>
      </c>
      <c r="K18" s="103">
        <v>1</v>
      </c>
      <c r="L18" s="103" t="s">
        <v>696</v>
      </c>
    </row>
    <row r="19" spans="1:12" customFormat="1">
      <c r="A19" s="103" t="str">
        <f>SJ00621H96!A10</f>
        <v>SJ00621H96</v>
      </c>
      <c r="B19" s="103" t="str">
        <f>SJ00621H96!B10</f>
        <v>SJ00621H96/123-127E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19" s="103" t="str">
        <f>SJ00621H96!C10</f>
        <v>presente</v>
      </c>
      <c r="D19" s="103" t="str">
        <f>SJ00621H96!D10</f>
        <v>temporal</v>
      </c>
      <c r="E19" s="103">
        <f>SJ00621H96!E10</f>
        <v>2</v>
      </c>
      <c r="F19" s="103">
        <f>SJ00621H96!F10</f>
        <v>1</v>
      </c>
      <c r="G19" s="103">
        <f>SJ00621H96!G10</f>
        <v>0</v>
      </c>
      <c r="H19" s="103">
        <f>SJ00621H96!H10</f>
        <v>2</v>
      </c>
      <c r="I19" s="103">
        <f>SJ00621H96!I10</f>
        <v>0</v>
      </c>
      <c r="J19" s="103">
        <f>SJ00621H96!J10</f>
        <v>0</v>
      </c>
      <c r="K19" s="103">
        <v>1</v>
      </c>
      <c r="L19" s="103" t="s">
        <v>696</v>
      </c>
    </row>
    <row r="20" spans="1:12" customFormat="1">
      <c r="A20" s="103" t="str">
        <f>SJ00621H96!A11</f>
        <v>SJ00621H96</v>
      </c>
      <c r="B20" s="103" t="str">
        <f>SJ00621H96!B11</f>
        <v>SJ00621H96/123-127F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20" s="103" t="str">
        <f>SJ00621H96!C11</f>
        <v>presente</v>
      </c>
      <c r="D20" s="103" t="str">
        <f>SJ00621H96!D11</f>
        <v>temporal</v>
      </c>
      <c r="E20" s="103">
        <f>SJ00621H96!E11</f>
        <v>3</v>
      </c>
      <c r="F20" s="103">
        <f>SJ00621H96!F11</f>
        <v>0</v>
      </c>
      <c r="G20" s="103">
        <f>SJ00621H96!G11</f>
        <v>0</v>
      </c>
      <c r="H20" s="103">
        <f>SJ00621H96!H11</f>
        <v>0</v>
      </c>
      <c r="I20" s="103">
        <f>SJ00621H96!I11</f>
        <v>0</v>
      </c>
      <c r="J20" s="103">
        <f>SJ00621H96!J11</f>
        <v>0</v>
      </c>
      <c r="K20" s="103">
        <v>1</v>
      </c>
      <c r="L20" s="103" t="s">
        <v>696</v>
      </c>
    </row>
    <row r="21" spans="1:12" customFormat="1">
      <c r="A21" s="103" t="str">
        <f>SJ00621H96!A12</f>
        <v>SJ00621H96</v>
      </c>
      <c r="B21" s="103" t="str">
        <f>SJ00621H96!B12</f>
        <v>SJ00621H96/123-127G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21" s="103" t="str">
        <f>SJ00621H96!C12</f>
        <v>presente</v>
      </c>
      <c r="D21" s="103" t="str">
        <f>SJ00621H96!D12</f>
        <v>temporal</v>
      </c>
      <c r="E21" s="103">
        <f>SJ00621H96!E12</f>
        <v>3</v>
      </c>
      <c r="F21" s="103">
        <f>SJ00621H96!F12</f>
        <v>0</v>
      </c>
      <c r="G21" s="103">
        <f>SJ00621H96!G12</f>
        <v>0</v>
      </c>
      <c r="H21" s="103">
        <f>SJ00621H96!H12</f>
        <v>0</v>
      </c>
      <c r="I21" s="103">
        <f>SJ00621H96!I12</f>
        <v>0</v>
      </c>
      <c r="J21" s="103">
        <f>SJ00621H96!J12</f>
        <v>0</v>
      </c>
      <c r="K21" s="103">
        <v>1</v>
      </c>
      <c r="L21" s="103" t="s">
        <v>696</v>
      </c>
    </row>
    <row r="22" spans="1:12" customFormat="1">
      <c r="A22" s="103" t="str">
        <f>SJ00621H96!A13</f>
        <v>SJ00621H96</v>
      </c>
      <c r="B22" s="103" t="str">
        <f>SJ00621H96!B13</f>
        <v>SJ00621H96/123-127H Que aunque sea un video pequeño y ya, ya la gente este, te van a, a  ver así de esa manera, que tú estás adelante en cuestión de sonido y te preocupas por el sonido, sabes de eso, este, salió “laser”, pues vamos a meterle “laser” al video, aunque no se te alquile mucho pero tienes una sección ahí que la gente va y se dice “wow, con ‘laser’ y todo” o sea, esta gente, y cuando salgan las películas en “laser” pequeño, le metemos también eso</v>
      </c>
      <c r="C22" s="103" t="str">
        <f>SJ00621H96!C13</f>
        <v>presente</v>
      </c>
      <c r="D22" s="103" t="str">
        <f>SJ00621H96!D13</f>
        <v>temporal</v>
      </c>
      <c r="E22" s="103">
        <f>SJ00621H96!E13</f>
        <v>4</v>
      </c>
      <c r="F22" s="103">
        <f>SJ00621H96!F13</f>
        <v>1</v>
      </c>
      <c r="G22" s="103">
        <f>SJ00621H96!G13</f>
        <v>0</v>
      </c>
      <c r="H22" s="103">
        <f>SJ00621H96!H13</f>
        <v>1</v>
      </c>
      <c r="I22" s="103">
        <f>SJ00621H96!I13</f>
        <v>0</v>
      </c>
      <c r="J22" s="103">
        <f>SJ00621H96!J13</f>
        <v>0</v>
      </c>
      <c r="K22" s="103">
        <v>1</v>
      </c>
      <c r="L22" s="103" t="s">
        <v>696</v>
      </c>
    </row>
    <row r="23" spans="1:12" customFormat="1">
      <c r="A23" s="103" t="str">
        <f>SJ00621H96!A14</f>
        <v>SJ00621H96</v>
      </c>
      <c r="B23" s="103" t="str">
        <f>SJ00621H96!B14</f>
        <v>SJ00621H96/134A Pero yo se que sí, que esto va a echar para alante y va a estar mejor, y más conforme en el futuro.</v>
      </c>
      <c r="C23" s="103" t="str">
        <f>SJ00621H96!C14</f>
        <v>analítico</v>
      </c>
      <c r="D23" s="103" t="str">
        <f>SJ00621H96!D14</f>
        <v>temporal</v>
      </c>
      <c r="E23" s="103">
        <f>SJ00621H96!E14</f>
        <v>3</v>
      </c>
      <c r="F23" s="103">
        <f>SJ00621H96!F14</f>
        <v>1</v>
      </c>
      <c r="G23" s="103">
        <f>SJ00621H96!G14</f>
        <v>0</v>
      </c>
      <c r="H23" s="103">
        <f>SJ00621H96!H14</f>
        <v>1</v>
      </c>
      <c r="I23" s="103">
        <f>SJ00621H96!I14</f>
        <v>1</v>
      </c>
      <c r="J23" s="103">
        <f>SJ00621H96!J14</f>
        <v>0</v>
      </c>
      <c r="K23" s="103">
        <v>1</v>
      </c>
      <c r="L23" s="103" t="s">
        <v>696</v>
      </c>
    </row>
    <row r="24" spans="1:12">
      <c r="A24" s="103" t="str">
        <f>SJ00621H96!A15</f>
        <v>SJ00621H96</v>
      </c>
      <c r="B24" s="103" t="str">
        <f>SJ00621H96!B15</f>
        <v>SJ00621H96/134B Pero yo se que sí, que esto va a echar para alante y va a estar mejor, y más conforme en el futuro.</v>
      </c>
      <c r="C24" s="103" t="str">
        <f>SJ00621H96!C15</f>
        <v>analítico</v>
      </c>
      <c r="D24" s="103" t="str">
        <f>SJ00621H96!D15</f>
        <v>temporal</v>
      </c>
      <c r="E24" s="103">
        <f>SJ00621H96!E15</f>
        <v>3</v>
      </c>
      <c r="F24" s="103">
        <f>SJ00621H96!F15</f>
        <v>1</v>
      </c>
      <c r="G24" s="103">
        <f>SJ00621H96!G15</f>
        <v>0</v>
      </c>
      <c r="H24" s="103">
        <f>SJ00621H96!H15</f>
        <v>1</v>
      </c>
      <c r="I24" s="103">
        <f>SJ00621H96!I15</f>
        <v>0</v>
      </c>
      <c r="J24" s="103">
        <f>SJ00621H96!J15</f>
        <v>0</v>
      </c>
      <c r="K24" s="103">
        <v>1</v>
      </c>
      <c r="L24" s="103" t="s">
        <v>696</v>
      </c>
    </row>
    <row r="25" spans="1:12">
      <c r="A25" s="103" t="str">
        <f>SJ00621H96!A16</f>
        <v>SJ00621H96</v>
      </c>
      <c r="B25" s="103" t="str">
        <f>SJ00621H96!B16</f>
        <v>SJ00621H96/148A Al año, tú vuelves allá y con un reporte de tus ventas en todo ese año entonces ellos te dicen cuánto es que tú vas a pagar de patenta, dependiendo de las cuentas que tú tengas, del primer año.</v>
      </c>
      <c r="C25" s="103" t="str">
        <f>SJ00621H96!C16</f>
        <v>analítico</v>
      </c>
      <c r="D25" s="103" t="str">
        <f>SJ00621H96!D16</f>
        <v>temporal</v>
      </c>
      <c r="E25" s="103">
        <f>SJ00621H96!E16</f>
        <v>2</v>
      </c>
      <c r="F25" s="103">
        <f>SJ00621H96!F16</f>
        <v>0</v>
      </c>
      <c r="G25" s="103">
        <f>SJ00621H96!G16</f>
        <v>0</v>
      </c>
      <c r="H25" s="103">
        <f>SJ00621H96!H16</f>
        <v>1</v>
      </c>
      <c r="I25" s="103">
        <f>SJ00621H96!I16</f>
        <v>0</v>
      </c>
      <c r="J25" s="103">
        <f>SJ00621H96!J16</f>
        <v>0</v>
      </c>
      <c r="K25" s="103">
        <v>1</v>
      </c>
      <c r="L25" s="103" t="s">
        <v>696</v>
      </c>
    </row>
    <row r="26" spans="1:12">
      <c r="A26" s="103" t="str">
        <f>SJ00621H96!A17</f>
        <v>SJ00621H96</v>
      </c>
      <c r="B26" s="103" t="str">
        <f>SJ00621H96!B17</f>
        <v>SJ00621H96/153-156A Estamos pensando en eso, eso es bien, bien importante, que a veces uno dice: “ay, pero pagar un contable”, pero cuando vayan aumentando las ventas sí, ya inclusive se supone, ah, y, ay, se supone que el viernes viene una persona aquí a darme una orientación de contabilidad y de cómo yo puedo mane, este, poner mi negocio con un contable.</v>
      </c>
      <c r="C26" s="103" t="str">
        <f>SJ00621H96!C17</f>
        <v>presente</v>
      </c>
      <c r="D26" s="103" t="str">
        <f>SJ00621H96!D17</f>
        <v>temporal</v>
      </c>
      <c r="E26" s="103">
        <f>SJ00621H96!E17</f>
        <v>3</v>
      </c>
      <c r="F26" s="103">
        <f>SJ00621H96!F17</f>
        <v>1</v>
      </c>
      <c r="G26" s="103">
        <f>SJ00621H96!G17</f>
        <v>0</v>
      </c>
      <c r="H26" s="103">
        <f>SJ00621H96!H17</f>
        <v>2</v>
      </c>
      <c r="I26" s="103">
        <f>SJ00621H96!I17</f>
        <v>0</v>
      </c>
      <c r="J26" s="103">
        <f>SJ00621H96!J17</f>
        <v>0</v>
      </c>
      <c r="K26" s="103">
        <v>1</v>
      </c>
      <c r="L26" s="103" t="s">
        <v>696</v>
      </c>
    </row>
    <row r="27" spans="1:12" customFormat="1">
      <c r="A27" s="103" t="str">
        <f>SJ00621H96!A18</f>
        <v>SJ00621H96</v>
      </c>
      <c r="B27" s="103" t="str">
        <f>SJ00621H96!B18</f>
        <v>SJ00621H96/153-156B Estamos pensando en eso, eso es bien, bien importante, que a veces uno dice: “ay, pero pagar un contable”, pero cuando vayan aumentando las ventas sí, ya inclusive se supone, ah, y, ay, se supone que el viernes viene una persona aquí a darme una orientación de contabilidad y de cómo yo puedo mane, este, poner mi negocio con un contable.</v>
      </c>
      <c r="C27" s="103" t="str">
        <f>SJ00621H96!C18</f>
        <v>presente</v>
      </c>
      <c r="D27" s="103" t="str">
        <f>SJ00621H96!D18</f>
        <v>temporal</v>
      </c>
      <c r="E27" s="103">
        <f>SJ00621H96!E18</f>
        <v>1</v>
      </c>
      <c r="F27" s="103">
        <f>SJ00621H96!F18</f>
        <v>0</v>
      </c>
      <c r="G27" s="103">
        <f>SJ00621H96!G18</f>
        <v>0</v>
      </c>
      <c r="H27" s="103">
        <f>SJ00621H96!H18</f>
        <v>0</v>
      </c>
      <c r="I27" s="103">
        <f>SJ00621H96!I18</f>
        <v>0</v>
      </c>
      <c r="J27" s="103">
        <f>SJ00621H96!J18</f>
        <v>0</v>
      </c>
      <c r="K27" s="103">
        <v>1</v>
      </c>
      <c r="L27" s="103" t="s">
        <v>696</v>
      </c>
    </row>
    <row r="28" spans="1:12" customFormat="1">
      <c r="A28" s="103" t="str">
        <f>SJ00621H96!A19</f>
        <v>SJ00621H96</v>
      </c>
      <c r="B28" s="103" t="str">
        <f>SJ00621H96!B19</f>
        <v>SJ00621H96/169-171 Y yo creo que al aumentar inventario y, este, pues le ponemos la computadora también yo creo que eso ya ayudaría un poco las ventas y las aumentaría.</v>
      </c>
      <c r="C28" s="103" t="str">
        <f>SJ00621H96!C19</f>
        <v>presente</v>
      </c>
      <c r="D28" s="103" t="str">
        <f>SJ00621H96!D19</f>
        <v>temporal</v>
      </c>
      <c r="E28" s="103">
        <f>SJ00621H96!E19</f>
        <v>4</v>
      </c>
      <c r="F28" s="103">
        <f>SJ00621H96!F19</f>
        <v>1</v>
      </c>
      <c r="G28" s="103">
        <f>SJ00621H96!G19</f>
        <v>0</v>
      </c>
      <c r="H28" s="103">
        <f>SJ00621H96!H19</f>
        <v>1</v>
      </c>
      <c r="I28" s="103">
        <f>SJ00621H96!I19</f>
        <v>0</v>
      </c>
      <c r="J28" s="103">
        <f>SJ00621H96!J19</f>
        <v>0</v>
      </c>
      <c r="K28" s="103">
        <v>1</v>
      </c>
      <c r="L28" s="103" t="s">
        <v>696</v>
      </c>
    </row>
    <row r="29" spans="1:12" customFormat="1">
      <c r="A29" s="103" t="str">
        <f>SJ00621H96!A20</f>
        <v>SJ00621H96</v>
      </c>
      <c r="B29" s="103" t="str">
        <f>SJ00621H96!B20</f>
        <v>SJ00621H96/196-198 No, o sea no ceo que de, en el futuro, lo que hemos pensado es cuando “Blockbuster” este se conozca más y más gente vengan aquí, entonces vamos a extender un poquito más como hasta las diez de la noche.</v>
      </c>
      <c r="C29" s="103" t="str">
        <f>SJ00621H96!C20</f>
        <v>analítico</v>
      </c>
      <c r="D29" s="103" t="str">
        <f>SJ00621H96!D20</f>
        <v>temporal</v>
      </c>
      <c r="E29" s="103">
        <f>SJ00621H96!E20</f>
        <v>4</v>
      </c>
      <c r="F29" s="103">
        <f>SJ00621H96!F20</f>
        <v>1</v>
      </c>
      <c r="G29" s="103">
        <f>SJ00621H96!G20</f>
        <v>0</v>
      </c>
      <c r="H29" s="103">
        <f>SJ00621H96!H20</f>
        <v>1</v>
      </c>
      <c r="I29" s="103">
        <f>SJ00621H96!I20</f>
        <v>0</v>
      </c>
      <c r="J29" s="103">
        <f>SJ00621H96!J20</f>
        <v>0</v>
      </c>
      <c r="K29" s="103">
        <v>1</v>
      </c>
      <c r="L29" s="103" t="s">
        <v>696</v>
      </c>
    </row>
    <row r="30" spans="1:12" customFormat="1">
      <c r="A30" s="103" t="str">
        <f>SJ00621H96!A21</f>
        <v>SJ00621H96</v>
      </c>
      <c r="B30" s="103" t="str">
        <f>SJ00621H96!B21</f>
        <v>SJ00621H96/203-204 Y mientras vaya ven..., mientras yo venda los días feriados voy a seguir abriendo los días feriados.</v>
      </c>
      <c r="C30" s="103" t="str">
        <f>SJ00621H96!C21</f>
        <v>analítico</v>
      </c>
      <c r="D30" s="103" t="str">
        <f>SJ00621H96!D21</f>
        <v>temporal</v>
      </c>
      <c r="E30" s="103">
        <f>SJ00621H96!E21</f>
        <v>1</v>
      </c>
      <c r="F30" s="103">
        <f>SJ00621H96!F21</f>
        <v>1</v>
      </c>
      <c r="G30" s="103">
        <f>SJ00621H96!G21</f>
        <v>0</v>
      </c>
      <c r="H30" s="103">
        <f>SJ00621H96!H21</f>
        <v>1</v>
      </c>
      <c r="I30" s="103">
        <f>SJ00621H96!I21</f>
        <v>0</v>
      </c>
      <c r="J30" s="103">
        <f>SJ00621H96!J21</f>
        <v>0</v>
      </c>
      <c r="K30" s="103">
        <v>1</v>
      </c>
      <c r="L30" s="103" t="s">
        <v>696</v>
      </c>
    </row>
    <row r="31" spans="1:12">
      <c r="A31" s="103" t="str">
        <f>SJ00621H96!A22</f>
        <v>SJ00621H96</v>
      </c>
      <c r="B31" s="103" t="str">
        <f>SJ00621H96!B22</f>
        <v>SJ00621H96/214A (¿Tú piensas decorar ahora en navidad, piensas ponerle algo al negocio que no veo...?) Mira, pues ahí yo tengo un árbol, ahí, viene un arbolito, ese arbolito me lo regaló una clienta.</v>
      </c>
      <c r="C31" s="103" t="str">
        <f>SJ00621H96!C22</f>
        <v>presente</v>
      </c>
      <c r="D31" s="103" t="str">
        <f>SJ00621H96!D22</f>
        <v>temporal</v>
      </c>
      <c r="E31" s="103">
        <f>SJ00621H96!E22</f>
        <v>3</v>
      </c>
      <c r="F31" s="103">
        <f>SJ00621H96!F22</f>
        <v>0</v>
      </c>
      <c r="G31" s="103">
        <f>SJ00621H96!G22</f>
        <v>0</v>
      </c>
      <c r="H31" s="103">
        <f>SJ00621H96!H22</f>
        <v>0</v>
      </c>
      <c r="I31" s="103">
        <f>SJ00621H96!I22</f>
        <v>0</v>
      </c>
      <c r="J31" s="103">
        <f>SJ00621H96!J22</f>
        <v>0</v>
      </c>
      <c r="K31" s="103">
        <v>1</v>
      </c>
      <c r="L31" s="103" t="s">
        <v>696</v>
      </c>
    </row>
    <row r="32" spans="1:12">
      <c r="A32" s="103" t="str">
        <f>SJ00621H96!A23</f>
        <v>SJ00621H96</v>
      </c>
      <c r="B32" s="103" t="str">
        <f>SJ00621H96!B23</f>
        <v>SJ00621H96/214B Mira, pues ahí yo tengo un árbol, ahí, viene un arbolito, ese arbolito me lo regaló una clienta.</v>
      </c>
      <c r="C32" s="103" t="str">
        <f>SJ00621H96!C23</f>
        <v>presente</v>
      </c>
      <c r="D32" s="103" t="str">
        <f>SJ00621H96!D23</f>
        <v>temporal</v>
      </c>
      <c r="E32" s="103">
        <f>SJ00621H96!E23</f>
        <v>3</v>
      </c>
      <c r="F32" s="103">
        <f>SJ00621H96!F23</f>
        <v>0</v>
      </c>
      <c r="G32" s="103">
        <f>SJ00621H96!G23</f>
        <v>0</v>
      </c>
      <c r="H32" s="103">
        <f>SJ00621H96!H23</f>
        <v>0</v>
      </c>
      <c r="I32" s="103">
        <f>SJ00621H96!I23</f>
        <v>0</v>
      </c>
      <c r="J32" s="103">
        <f>SJ00621H96!J23</f>
        <v>0</v>
      </c>
      <c r="K32" s="103">
        <v>1</v>
      </c>
      <c r="L32" s="103" t="s">
        <v>696</v>
      </c>
    </row>
    <row r="33" spans="1:12" customFormat="1">
      <c r="A33" s="103" t="str">
        <f>SJ00621H96!A24</f>
        <v>SJ00621H96</v>
      </c>
      <c r="B33" s="103" t="str">
        <f>SJ00621H96!B24</f>
        <v>SJ00621H96/242-243A Fíjate, pues “anyway”, sí se podría porque tú le cambias la ropa y quién va a saber, se le cambia el pelo, adiós cará’.</v>
      </c>
      <c r="C33" s="103" t="str">
        <f>SJ00621H96!C24</f>
        <v>presente</v>
      </c>
      <c r="D33" s="103" t="str">
        <f>SJ00621H96!D24</f>
        <v>temporal</v>
      </c>
      <c r="E33" s="103">
        <f>SJ00621H96!E24</f>
        <v>2</v>
      </c>
      <c r="F33" s="103">
        <f>SJ00621H96!F24</f>
        <v>0</v>
      </c>
      <c r="G33" s="103">
        <f>SJ00621H96!G24</f>
        <v>0</v>
      </c>
      <c r="H33" s="103">
        <f>SJ00621H96!H24</f>
        <v>0</v>
      </c>
      <c r="I33" s="103">
        <f>SJ00621H96!I24</f>
        <v>0</v>
      </c>
      <c r="J33" s="103">
        <f>SJ00621H96!J24</f>
        <v>0</v>
      </c>
      <c r="K33" s="103">
        <v>1</v>
      </c>
      <c r="L33" s="103" t="s">
        <v>696</v>
      </c>
    </row>
    <row r="34" spans="1:12" customFormat="1">
      <c r="A34" s="103" t="str">
        <f>SJ00621H96!A25</f>
        <v>SJ00621H96</v>
      </c>
      <c r="B34" s="103" t="str">
        <f>SJ00621H96!B25</f>
        <v>SJ00621H96/242-243B Fíjate, pues “anyway”, sí se podría porque tú le cambias la ropa y quién va a saber, se le cambia el pelo, adiós cará’.</v>
      </c>
      <c r="C34" s="103" t="str">
        <f>SJ00621H96!C25</f>
        <v>analítico</v>
      </c>
      <c r="D34" s="103" t="str">
        <f>SJ00621H96!D25</f>
        <v>temporal</v>
      </c>
      <c r="E34" s="103">
        <f>SJ00621H96!E25</f>
        <v>3</v>
      </c>
      <c r="F34" s="103">
        <f>SJ00621H96!F25</f>
        <v>0</v>
      </c>
      <c r="G34" s="103">
        <f>SJ00621H96!G25</f>
        <v>0</v>
      </c>
      <c r="H34" s="103">
        <f>SJ00621H96!H25</f>
        <v>0</v>
      </c>
      <c r="I34" s="103">
        <f>SJ00621H96!I25</f>
        <v>0</v>
      </c>
      <c r="J34" s="103">
        <f>SJ00621H96!J25</f>
        <v>0</v>
      </c>
      <c r="K34" s="103">
        <v>1</v>
      </c>
      <c r="L34" s="103" t="s">
        <v>696</v>
      </c>
    </row>
    <row r="35" spans="1:12" customFormat="1">
      <c r="A35" s="103" t="str">
        <f>SJ00621H96!A26</f>
        <v>SJ00621H96</v>
      </c>
      <c r="B35" s="103" t="str">
        <f>SJ00621H96!B26</f>
        <v>SJ00621H96/242-243C Fíjate, pues “anyway”, sí se podría porque tú le cambias la ropa y quién va a saber, se le cambia el pelo, adiós cará’.</v>
      </c>
      <c r="C35" s="103" t="str">
        <f>SJ00621H96!C26</f>
        <v>presente</v>
      </c>
      <c r="D35" s="103" t="str">
        <f>SJ00621H96!D26</f>
        <v>temporal</v>
      </c>
      <c r="E35" s="103">
        <f>SJ00621H96!E26</f>
        <v>3</v>
      </c>
      <c r="F35" s="103">
        <f>SJ00621H96!F26</f>
        <v>0</v>
      </c>
      <c r="G35" s="103">
        <f>SJ00621H96!G26</f>
        <v>0</v>
      </c>
      <c r="H35" s="103">
        <f>SJ00621H96!H26</f>
        <v>0</v>
      </c>
      <c r="I35" s="103">
        <f>SJ00621H96!I26</f>
        <v>0</v>
      </c>
      <c r="J35" s="103">
        <f>SJ00621H96!J26</f>
        <v>0</v>
      </c>
      <c r="K35" s="103">
        <v>1</v>
      </c>
      <c r="L35" s="103" t="s">
        <v>696</v>
      </c>
    </row>
    <row r="36" spans="1:12">
      <c r="A36" s="103" t="str">
        <f>SJ00621H96!A27</f>
        <v>SJ00621H96</v>
      </c>
      <c r="B36" s="103" t="str">
        <f>SJ00621H96!B27</f>
        <v>SJ00621H96/283 Este,  ¿y qué vas a poner, muchos dulces así, por todos lados?</v>
      </c>
      <c r="C36" s="103" t="str">
        <f>SJ00621H96!C27</f>
        <v>analítico</v>
      </c>
      <c r="D36" s="103" t="str">
        <f>SJ00621H96!D27</f>
        <v>temporal</v>
      </c>
      <c r="E36" s="103">
        <f>SJ00621H96!E27</f>
        <v>2</v>
      </c>
      <c r="F36" s="103">
        <f>SJ00621H96!F27</f>
        <v>0</v>
      </c>
      <c r="G36" s="103">
        <f>SJ00621H96!G27</f>
        <v>0</v>
      </c>
      <c r="H36" s="103">
        <f>SJ00621H96!H27</f>
        <v>0</v>
      </c>
      <c r="I36" s="103">
        <f>SJ00621H96!I27</f>
        <v>0</v>
      </c>
      <c r="J36" s="103">
        <f>SJ00621H96!J27</f>
        <v>0</v>
      </c>
      <c r="K36" s="103">
        <v>1</v>
      </c>
      <c r="L36" s="103" t="s">
        <v>696</v>
      </c>
    </row>
    <row r="37" spans="1:12">
      <c r="A37" s="103" t="str">
        <f>SJ00621H96!A28</f>
        <v>SJ00621H96</v>
      </c>
      <c r="B37" s="103" t="str">
        <f>SJ00621H96!B28</f>
        <v xml:space="preserve">SJ00621H96/510-511A Y ahí entonces es que yo puedo comprar tres películas, dos películas de cada una.  </v>
      </c>
      <c r="C37" s="103" t="str">
        <f>SJ00621H96!C28</f>
        <v>presente</v>
      </c>
      <c r="D37" s="103" t="str">
        <f>SJ00621H96!D28</f>
        <v>temporal</v>
      </c>
      <c r="E37" s="103">
        <f>SJ00621H96!E28</f>
        <v>3</v>
      </c>
      <c r="F37" s="103">
        <f>SJ00621H96!F28</f>
        <v>1</v>
      </c>
      <c r="G37" s="103">
        <f>SJ00621H96!G28</f>
        <v>0</v>
      </c>
      <c r="H37" s="103">
        <f>SJ00621H96!H28</f>
        <v>1</v>
      </c>
      <c r="I37" s="103">
        <f>SJ00621H96!I28</f>
        <v>0</v>
      </c>
      <c r="J37" s="103">
        <f>SJ00621H96!J28</f>
        <v>0</v>
      </c>
      <c r="K37" s="103">
        <v>1</v>
      </c>
      <c r="L37" s="103" t="s">
        <v>696</v>
      </c>
    </row>
    <row r="38" spans="1:12">
      <c r="A38" s="103" t="str">
        <f>SJ00621H96!A29</f>
        <v>SJ00621H96</v>
      </c>
      <c r="B38" s="103" t="str">
        <f>SJ00621H96!B29</f>
        <v xml:space="preserve">SJ00621H96/510-511B Y ahí entonces es que yo puedo comprar tres películas, dos películas de cada una.  </v>
      </c>
      <c r="C38" s="103" t="str">
        <f>SJ00621H96!C29</f>
        <v>presente</v>
      </c>
      <c r="D38" s="103" t="str">
        <f>SJ00621H96!D29</f>
        <v>temporal</v>
      </c>
      <c r="E38" s="103">
        <f>SJ00621H96!E29</f>
        <v>1</v>
      </c>
      <c r="F38" s="103">
        <f>SJ00621H96!F29</f>
        <v>1</v>
      </c>
      <c r="G38" s="103">
        <f>SJ00621H96!G29</f>
        <v>0</v>
      </c>
      <c r="H38" s="103">
        <f>SJ00621H96!H29</f>
        <v>1</v>
      </c>
      <c r="I38" s="103">
        <f>SJ00621H96!I29</f>
        <v>0</v>
      </c>
      <c r="J38" s="103">
        <f>SJ00621H96!J29</f>
        <v>0</v>
      </c>
      <c r="K38" s="103">
        <v>1</v>
      </c>
      <c r="L38" s="103" t="s">
        <v>696</v>
      </c>
    </row>
    <row r="39" spans="1:12" customFormat="1">
      <c r="A39" s="103" t="str">
        <f>SJ00621H96!A30</f>
        <v>SJ00621H96</v>
      </c>
      <c r="B39" s="103" t="str">
        <f>SJ00621H96!B30</f>
        <v>SJ00621H96/541-543A O sea, que yo creo que a este video yo le puedo meter dos mil películas más, porque yo vi ese tipo de práctica y la, las aguanta.  No hace falta todavía, este, expandirse.</v>
      </c>
      <c r="C39" s="103" t="str">
        <f>SJ00621H96!C30</f>
        <v>presente</v>
      </c>
      <c r="D39" s="103" t="str">
        <f>SJ00621H96!D30</f>
        <v>temporal</v>
      </c>
      <c r="E39" s="103">
        <f>SJ00621H96!E30</f>
        <v>1</v>
      </c>
      <c r="F39" s="103">
        <f>SJ00621H96!F30</f>
        <v>0</v>
      </c>
      <c r="G39" s="103">
        <f>SJ00621H96!G30</f>
        <v>0</v>
      </c>
      <c r="H39" s="103">
        <f>SJ00621H96!H30</f>
        <v>0</v>
      </c>
      <c r="I39" s="103">
        <f>SJ00621H96!I30</f>
        <v>1</v>
      </c>
      <c r="J39" s="103">
        <f>SJ00621H96!J30</f>
        <v>0</v>
      </c>
      <c r="K39" s="103">
        <v>1</v>
      </c>
      <c r="L39" s="103" t="s">
        <v>696</v>
      </c>
    </row>
    <row r="40" spans="1:12">
      <c r="A40" s="103" t="str">
        <f>SJ00621H96!A31</f>
        <v>SJ00621H96</v>
      </c>
      <c r="B40" s="103" t="str">
        <f>SJ00621H96!B31</f>
        <v>SJ00621H96/541-543B O sea, que yo creo que a este video yo le puedo meter dos mil películas más, porque yo vi ese tipo de práctica y la, las aguanta.  No hace falta todavía, este, expandirse</v>
      </c>
      <c r="C40" s="103" t="str">
        <f>SJ00621H96!C31</f>
        <v>presente</v>
      </c>
      <c r="D40" s="103" t="str">
        <f>SJ00621H96!D31</f>
        <v>temporal</v>
      </c>
      <c r="E40" s="103">
        <f>SJ00621H96!E31</f>
        <v>3</v>
      </c>
      <c r="F40" s="103">
        <f>SJ00621H96!F31</f>
        <v>0</v>
      </c>
      <c r="G40" s="103">
        <f>SJ00621H96!G31</f>
        <v>0</v>
      </c>
      <c r="H40" s="103">
        <f>SJ00621H96!H31</f>
        <v>0</v>
      </c>
      <c r="I40" s="103">
        <f>SJ00621H96!I31</f>
        <v>1</v>
      </c>
      <c r="J40" s="103">
        <f>SJ00621H96!J31</f>
        <v>0</v>
      </c>
      <c r="K40" s="103">
        <v>1</v>
      </c>
      <c r="L40" s="103" t="s">
        <v>696</v>
      </c>
    </row>
    <row r="41" spans="1:12" customFormat="1">
      <c r="A41" s="103" t="str">
        <f>SJ00621H96!A32</f>
        <v>SJ00621H96</v>
      </c>
      <c r="B41" s="103" t="str">
        <f>SJ00621H96!B32</f>
        <v>SJ00621H96/556-561A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deja los estrenos, no te los alquila, dice: “para qué yo voy a pagar dos cincuenta por una película, por una película nueva, si con dos cincuenta me llevo dos películas de las otras.</v>
      </c>
      <c r="C41" s="103" t="str">
        <f>SJ00621H96!C32</f>
        <v>presente</v>
      </c>
      <c r="D41" s="103" t="str">
        <f>SJ00621H96!D32</f>
        <v>temporal</v>
      </c>
      <c r="E41" s="103">
        <f>SJ00621H96!E32</f>
        <v>3</v>
      </c>
      <c r="F41" s="103">
        <f>SJ00621H96!F32</f>
        <v>0</v>
      </c>
      <c r="G41" s="103">
        <f>SJ00621H96!G32</f>
        <v>0</v>
      </c>
      <c r="H41" s="103">
        <f>SJ00621H96!H32</f>
        <v>0</v>
      </c>
      <c r="I41" s="103">
        <f>SJ00621H96!I32</f>
        <v>0</v>
      </c>
      <c r="J41" s="103">
        <f>SJ00621H96!J32</f>
        <v>1</v>
      </c>
      <c r="K41" s="103">
        <v>1</v>
      </c>
      <c r="L41" s="103" t="s">
        <v>696</v>
      </c>
    </row>
    <row r="42" spans="1:12" customFormat="1">
      <c r="A42" s="103" t="str">
        <f>SJ00621H96!A33</f>
        <v>SJ00621H96</v>
      </c>
      <c r="B42" s="103" t="str">
        <f>SJ00621H96!B33</f>
        <v>SJ00621H96/556-561B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deja los estrenos, no te los alquila, dice: “para qué yo voy a pagar dos cincuenta por una película, por una película nueva, si con dos cincuenta me llevo dos películas de las otras.</v>
      </c>
      <c r="C42" s="103" t="str">
        <f>SJ00621H96!C33</f>
        <v>presente</v>
      </c>
      <c r="D42" s="103" t="str">
        <f>SJ00621H96!D33</f>
        <v>temporal</v>
      </c>
      <c r="E42" s="103">
        <f>SJ00621H96!E33</f>
        <v>3</v>
      </c>
      <c r="F42" s="103">
        <f>SJ00621H96!F33</f>
        <v>0</v>
      </c>
      <c r="G42" s="103">
        <f>SJ00621H96!G33</f>
        <v>1</v>
      </c>
      <c r="H42" s="103">
        <f>SJ00621H96!H33</f>
        <v>0</v>
      </c>
      <c r="I42" s="103">
        <f>SJ00621H96!I33</f>
        <v>0</v>
      </c>
      <c r="J42" s="103">
        <f>SJ00621H96!J33</f>
        <v>1</v>
      </c>
      <c r="K42" s="103">
        <v>1</v>
      </c>
      <c r="L42" s="103" t="s">
        <v>696</v>
      </c>
    </row>
    <row r="43" spans="1:12" customFormat="1">
      <c r="A43" s="103" t="str">
        <f>SJ00621H96!A34</f>
        <v>SJ00621H96</v>
      </c>
      <c r="B43" s="103" t="str">
        <f>SJ00621H96!B34</f>
        <v>SJ00621H96/556-561C Porque yo, tú sabes, yo no sabía nada del negocio, y yo estaba preguntando, buscando información aquí y allá, a ver qué es lo más que me convenía, entonces él me dijo que él las pone al mismo precio porque entonces la gente si tú pones, este, las que no son de estreno más baratas, las pones a peso y entonces la gente te deja los estrenos, no te los alquila, dice: “para qué yo voy a pagar dos cincuenta por una película, por una película nueva, si con dos cincuenta me llevo dos películas de las otras.</v>
      </c>
      <c r="C43" s="103" t="str">
        <f>SJ00621H96!C34</f>
        <v>analítico</v>
      </c>
      <c r="D43" s="103" t="str">
        <f>SJ00621H96!D34</f>
        <v>temporal</v>
      </c>
      <c r="E43" s="103">
        <f>SJ00621H96!E34</f>
        <v>1</v>
      </c>
      <c r="F43" s="103">
        <f>SJ00621H96!F34</f>
        <v>0</v>
      </c>
      <c r="G43" s="103">
        <f>SJ00621H96!G34</f>
        <v>0</v>
      </c>
      <c r="H43" s="103">
        <f>SJ00621H96!H34</f>
        <v>0</v>
      </c>
      <c r="I43" s="103">
        <f>SJ00621H96!I34</f>
        <v>0</v>
      </c>
      <c r="J43" s="103">
        <f>SJ00621H96!J34</f>
        <v>1</v>
      </c>
      <c r="K43" s="103">
        <v>1</v>
      </c>
      <c r="L43" s="103" t="s">
        <v>696</v>
      </c>
    </row>
    <row r="44" spans="1:12" customFormat="1">
      <c r="A44" s="103" t="str">
        <f>SJ00621H96!A35</f>
        <v>SJ00621H96</v>
      </c>
      <c r="B44" s="103" t="str">
        <f>SJ00621H96!B35</f>
        <v>SJ00621H96/564-565 ¿Qué pasa si tú las pones al mismo precio?  Que aquéllas entonces no se te alquilan nunca.</v>
      </c>
      <c r="C44" s="103" t="str">
        <f>SJ00621H96!C35</f>
        <v>presente</v>
      </c>
      <c r="D44" s="103" t="str">
        <f>SJ00621H96!D35</f>
        <v>temporal</v>
      </c>
      <c r="E44" s="103">
        <f>SJ00621H96!E35</f>
        <v>6</v>
      </c>
      <c r="F44" s="103">
        <f>SJ00621H96!F35</f>
        <v>0</v>
      </c>
      <c r="G44" s="103">
        <f>SJ00621H96!G35</f>
        <v>1</v>
      </c>
      <c r="H44" s="103">
        <f>SJ00621H96!H35</f>
        <v>0</v>
      </c>
      <c r="I44" s="103">
        <f>SJ00621H96!I35</f>
        <v>1</v>
      </c>
      <c r="J44" s="103">
        <f>SJ00621H96!J35</f>
        <v>1</v>
      </c>
      <c r="K44" s="103">
        <v>1</v>
      </c>
      <c r="L44" s="103" t="s">
        <v>696</v>
      </c>
    </row>
    <row r="45" spans="1:12" customFormat="1">
      <c r="A45" s="103" t="str">
        <f>SJ0931H96!A2</f>
        <v>SJ0931H96</v>
      </c>
      <c r="B45" s="103" t="str">
        <f>SJ0931H96!B2</f>
        <v>SJ0931H96/74 O sea, que en un mes hablamos.</v>
      </c>
      <c r="C45" s="103" t="str">
        <f>SJ0931H96!C2</f>
        <v>presente</v>
      </c>
      <c r="D45" s="103" t="str">
        <f>SJ0931H96!D2</f>
        <v>temporal</v>
      </c>
      <c r="E45" s="103">
        <f>SJ0931H96!E2</f>
        <v>4</v>
      </c>
      <c r="F45" s="103">
        <f>SJ0931H96!F2</f>
        <v>1</v>
      </c>
      <c r="G45" s="103">
        <f>SJ0931H96!G2</f>
        <v>0</v>
      </c>
      <c r="H45" s="103">
        <f>SJ0931H96!H2</f>
        <v>2</v>
      </c>
      <c r="I45" s="103">
        <f>SJ0931H96!I2</f>
        <v>1</v>
      </c>
      <c r="J45" s="103">
        <f>SJ0931H96!J2</f>
        <v>0</v>
      </c>
      <c r="K45" s="103">
        <v>1</v>
      </c>
      <c r="L45" s="103" t="s">
        <v>696</v>
      </c>
    </row>
    <row r="46" spans="1:12" customFormat="1">
      <c r="A46" s="103" t="str">
        <f>SJ0931H96!A3</f>
        <v>SJ0931H96</v>
      </c>
      <c r="B46" s="103" t="str">
        <f>SJ0931H96!B3</f>
        <v>SJ0931H96/74-75 Si en un mes no consigo nada entonces te diré que está difícil.</v>
      </c>
      <c r="C46" s="103" t="str">
        <f>SJ0931H96!C3</f>
        <v>morfológico</v>
      </c>
      <c r="D46" s="103" t="str">
        <f>SJ0931H96!D3</f>
        <v>temporal</v>
      </c>
      <c r="E46" s="103">
        <f>SJ0931H96!E3</f>
        <v>1</v>
      </c>
      <c r="F46" s="103">
        <f>SJ0931H96!F3</f>
        <v>1</v>
      </c>
      <c r="G46" s="103">
        <f>SJ0931H96!G3</f>
        <v>0</v>
      </c>
      <c r="H46" s="103">
        <f>SJ0931H96!H3</f>
        <v>2</v>
      </c>
      <c r="I46" s="103">
        <f>SJ0931H96!I3</f>
        <v>0</v>
      </c>
      <c r="J46" s="103">
        <f>SJ0931H96!J3</f>
        <v>1</v>
      </c>
      <c r="K46" s="103">
        <v>1</v>
      </c>
      <c r="L46" s="103" t="s">
        <v>696</v>
      </c>
    </row>
    <row r="47" spans="1:12" customFormat="1">
      <c r="A47" s="103" t="str">
        <f>SJ0931H96!A4</f>
        <v>SJ0931H96</v>
      </c>
      <c r="B47" s="103" t="str">
        <f>SJ0931H96!B4</f>
        <v>SJ0931H96/74-75 Si en un mes no consigo nada entonces te diré que está difícil.</v>
      </c>
      <c r="C47" t="s">
        <v>7</v>
      </c>
      <c r="D47" s="103" t="str">
        <f>SJ0931H96!D4</f>
        <v>temporal</v>
      </c>
      <c r="E47" s="103">
        <f>SJ0931H96!E4</f>
        <v>1</v>
      </c>
      <c r="F47" s="103">
        <f>SJ0931H96!F4</f>
        <v>1</v>
      </c>
      <c r="G47" s="103">
        <f>SJ0931H96!G4</f>
        <v>0</v>
      </c>
      <c r="H47" s="103">
        <f>SJ0931H96!H4</f>
        <v>2</v>
      </c>
      <c r="I47" s="103">
        <f>SJ0931H96!I4</f>
        <v>0</v>
      </c>
      <c r="J47" s="103">
        <f>SJ0931H96!J4</f>
        <v>1</v>
      </c>
      <c r="K47" s="103">
        <v>1</v>
      </c>
      <c r="L47" s="103" t="s">
        <v>696</v>
      </c>
    </row>
    <row r="48" spans="1:12" customFormat="1">
      <c r="A48" t="str">
        <f>SJ0931H96!A5</f>
        <v>SJ0931H96</v>
      </c>
      <c r="B48" t="str">
        <f>SJ0931H96!B5</f>
        <v>SJ0931H96/101-103 yo no, yo no sabía que él no lo había hecho, o sea, en todo momento cuando lo había interrogado pues, pensaba que era inocente, entonces surge eso en la vista y te podrás imaginar (risa).</v>
      </c>
      <c r="C48" t="str">
        <f>SJ0931H96!C5</f>
        <v>morfológico</v>
      </c>
      <c r="D48" t="str">
        <f>SJ0931H96!D5</f>
        <v>hipótesis</v>
      </c>
      <c r="E48">
        <f>SJ0931H96!E5</f>
        <v>2</v>
      </c>
      <c r="F48">
        <f>SJ0931H96!F5</f>
        <v>0</v>
      </c>
      <c r="G48">
        <f>SJ0931H96!G5</f>
        <v>0</v>
      </c>
      <c r="H48">
        <f>SJ0931H96!H5</f>
        <v>0</v>
      </c>
      <c r="I48">
        <f>SJ0931H96!I5</f>
        <v>0</v>
      </c>
      <c r="J48">
        <f>SJ0931H96!J5</f>
        <v>0</v>
      </c>
      <c r="K48">
        <v>1</v>
      </c>
      <c r="L48" t="s">
        <v>696</v>
      </c>
    </row>
    <row r="49" spans="1:12" customFormat="1">
      <c r="A49" t="str">
        <f>SJ0931H96!A6</f>
        <v>SJ0931H96</v>
      </c>
      <c r="B49" t="str">
        <f>SJ0931H96!B6</f>
        <v>SJ0931H96/218-225 En esos días pues, eh, en esas eh, mi Universidad daba muy pocos eh, días libres solamente teníamos el Labor Day en septiembre, eh, entonces pues obviamente en la universidad, no había clases por un día, pero todo estaba abierto o sea que, pues ahí uno, uno no hacía nada o sea se quedaba y… “jangueaba” por ahí verdad eh… entonces pero te diré lo, pues lo que le dicen Spring Break que es la semana que no necesariamente coincide con semana santa pues me iba con amistades a sus casas y fue bien bueno porque eh, eh visité diferentes ciudades, eh, fui a, un año fui a Chicago otro año a Washington D.C., a Nueva York a Boston, o sea, que aprovechaba y visitaba distintas ciudades.</v>
      </c>
      <c r="C49" t="str">
        <f>SJ0931H96!C6</f>
        <v>morfológico</v>
      </c>
      <c r="D49" t="str">
        <f>SJ0931H96!D6</f>
        <v>concesión</v>
      </c>
      <c r="E49">
        <f>SJ0931H96!E6</f>
        <v>1</v>
      </c>
      <c r="F49">
        <f>SJ0931H96!F6</f>
        <v>0</v>
      </c>
      <c r="G49">
        <f>SJ0931H96!G6</f>
        <v>0</v>
      </c>
      <c r="H49">
        <f>SJ0931H96!H6</f>
        <v>0</v>
      </c>
      <c r="I49">
        <f>SJ0931H96!I6</f>
        <v>0</v>
      </c>
      <c r="J49">
        <f>SJ0931H96!J6</f>
        <v>0</v>
      </c>
      <c r="K49">
        <v>1</v>
      </c>
      <c r="L49" t="s">
        <v>696</v>
      </c>
    </row>
    <row r="50" spans="1:12" customFormat="1">
      <c r="A50" s="103" t="str">
        <f>SJ0931H96!A7</f>
        <v>SJ0931H96</v>
      </c>
      <c r="B50" s="103" t="str">
        <f>SJ0931H96!B7</f>
        <v>SJ0931H96/294-295 Es una cuestión de economía, costos y esa persona, ¿qué va a aportar a la sociedad? Nada.</v>
      </c>
      <c r="C50" s="103" t="str">
        <f>SJ0931H96!C7</f>
        <v>analítico</v>
      </c>
      <c r="D50" s="103" t="str">
        <f>SJ0931H96!D7</f>
        <v>temporal</v>
      </c>
      <c r="E50" s="103">
        <f>SJ0931H96!E7</f>
        <v>3</v>
      </c>
      <c r="F50" s="103">
        <f>SJ0931H96!F7</f>
        <v>0</v>
      </c>
      <c r="G50" s="103">
        <f>SJ0931H96!G7</f>
        <v>0</v>
      </c>
      <c r="H50" s="103">
        <f>SJ0931H96!H7</f>
        <v>1</v>
      </c>
      <c r="I50" s="103">
        <f>SJ0931H96!I7</f>
        <v>0</v>
      </c>
      <c r="J50" s="103">
        <f>SJ0931H96!J7</f>
        <v>1</v>
      </c>
      <c r="K50" s="103">
        <v>1</v>
      </c>
      <c r="L50" s="103" t="s">
        <v>696</v>
      </c>
    </row>
    <row r="51" spans="1:12" customFormat="1">
      <c r="A51" s="103" t="str">
        <f>SJ0931H96!A8</f>
        <v>SJ0931H96</v>
      </c>
      <c r="B51" s="103" t="str">
        <f>SJ0931H96!B8</f>
        <v>SJ0931H96/311-312 O sea, no por robarte una cartera te van a mandar a una silla eléctrica, tú sabes.</v>
      </c>
      <c r="C51" s="103" t="str">
        <f>SJ0931H96!C8</f>
        <v>analítico</v>
      </c>
      <c r="D51" s="103" t="str">
        <f>SJ0931H96!D8</f>
        <v>temporal</v>
      </c>
      <c r="E51" s="103">
        <f>SJ0931H96!E8</f>
        <v>6</v>
      </c>
      <c r="F51" s="103">
        <f>SJ0931H96!F8</f>
        <v>0</v>
      </c>
      <c r="G51" s="103">
        <f>SJ0931H96!G8</f>
        <v>0</v>
      </c>
      <c r="H51" s="103">
        <f>SJ0931H96!H8</f>
        <v>0</v>
      </c>
      <c r="I51" s="103">
        <f>SJ0931H96!I8</f>
        <v>0</v>
      </c>
      <c r="J51" s="103">
        <f>SJ0931H96!J8</f>
        <v>0</v>
      </c>
      <c r="K51" s="103">
        <v>1</v>
      </c>
      <c r="L51" s="103" t="s">
        <v>696</v>
      </c>
    </row>
    <row r="52" spans="1:12" customFormat="1">
      <c r="A52" s="103" t="str">
        <f>SJ001621M96!A2</f>
        <v>SJ001621M96</v>
      </c>
      <c r="B52" s="103" t="str">
        <f>SJ001621M96!B2</f>
        <v>SJ001621M96/27 Pues te voy a hacer dos.</v>
      </c>
      <c r="C52" s="103" t="str">
        <f>SJ001621M96!C2</f>
        <v>analítico</v>
      </c>
      <c r="D52" s="103" t="str">
        <f>SJ001621M96!D2</f>
        <v>temporal</v>
      </c>
      <c r="E52" s="103">
        <f>SJ001621M96!E2</f>
        <v>1</v>
      </c>
      <c r="F52" s="103">
        <f>SJ001621M96!F2</f>
        <v>0</v>
      </c>
      <c r="G52" s="103">
        <f>SJ001621M96!G2</f>
        <v>0</v>
      </c>
      <c r="H52" s="103">
        <f>SJ001621M96!H2</f>
        <v>0</v>
      </c>
      <c r="I52" s="103">
        <f>SJ001621M96!I2</f>
        <v>0</v>
      </c>
      <c r="J52" s="103">
        <f>SJ001621M96!J2</f>
        <v>0</v>
      </c>
      <c r="K52" s="103">
        <v>1</v>
      </c>
      <c r="L52" s="103" t="s">
        <v>697</v>
      </c>
    </row>
    <row r="53" spans="1:12" customFormat="1">
      <c r="A53" s="103" t="str">
        <f>SJ001621M96!A3</f>
        <v>SJ001621M96</v>
      </c>
      <c r="B53" s="103" t="str">
        <f>SJ001621M96!B3</f>
        <v>SJ001621M96/38-41 Y el triste fue cuando corriendo bicicleta, aprendiendo a correr bicicleta, me caí contra unos, unos drones de... mi mamá no estaba y la cogí prestada, atrevidamente, la cogí prestada y quería saber  cómo correr bicicleta y la señora me dice: “Acaba de recoger esos drones porque se lo voy a decir a tu mamá”.</v>
      </c>
      <c r="C53" s="103" t="str">
        <f>SJ001621M96!C3</f>
        <v>analítico</v>
      </c>
      <c r="D53" s="103" t="str">
        <f>SJ001621M96!D3</f>
        <v>temporal</v>
      </c>
      <c r="E53" s="103">
        <f>SJ001621M96!E3</f>
        <v>1</v>
      </c>
      <c r="F53" s="103">
        <f>SJ001621M96!F3</f>
        <v>0</v>
      </c>
      <c r="G53" s="103">
        <f>SJ001621M96!G3</f>
        <v>0</v>
      </c>
      <c r="H53" s="103">
        <f>SJ001621M96!H3</f>
        <v>0</v>
      </c>
      <c r="I53" s="103">
        <f>SJ001621M96!I3</f>
        <v>0</v>
      </c>
      <c r="J53" s="103">
        <f>SJ001621M96!J3</f>
        <v>0</v>
      </c>
      <c r="K53" s="103">
        <v>1</v>
      </c>
      <c r="L53" s="103" t="s">
        <v>697</v>
      </c>
    </row>
    <row r="54" spans="1:12" customFormat="1">
      <c r="A54" s="103" t="str">
        <f>SJ001621M96!A4</f>
        <v>SJ001621M96</v>
      </c>
      <c r="B54" s="103" t="str">
        <f>SJ001621M96!B4</f>
        <v>SJ001621M96/65-66  Siempre yo me acuerdo que en la escuela le decían a mi mamá: “Esa nena vas a tener que llevarla a un sicólogo porque esa niña siempre está buscando adultos.</v>
      </c>
      <c r="C54" s="103" t="str">
        <f>SJ001621M96!C4</f>
        <v>analítico</v>
      </c>
      <c r="D54" s="103" t="str">
        <f>SJ001621M96!D4</f>
        <v>temporal</v>
      </c>
      <c r="E54" s="103">
        <f>SJ001621M96!E4</f>
        <v>2</v>
      </c>
      <c r="F54" s="103">
        <f>SJ001621M96!F4</f>
        <v>0</v>
      </c>
      <c r="G54" s="103">
        <f>SJ001621M96!G4</f>
        <v>0</v>
      </c>
      <c r="H54" s="103">
        <f>SJ001621M96!H4</f>
        <v>0</v>
      </c>
      <c r="I54" s="103">
        <f>SJ001621M96!I4</f>
        <v>1</v>
      </c>
      <c r="J54" s="103">
        <f>SJ001621M96!J4</f>
        <v>0</v>
      </c>
      <c r="K54" s="103">
        <v>1</v>
      </c>
      <c r="L54" s="103" t="s">
        <v>697</v>
      </c>
    </row>
    <row r="55" spans="1:12" customFormat="1">
      <c r="A55" s="103" t="str">
        <f>SJ001621M96!A5</f>
        <v>SJ001621M96</v>
      </c>
      <c r="B55" s="103" t="str">
        <f>SJ001621M96!B5</f>
        <v>SJ001621M96/77-81 Y es actualmente y siempre busco la persona mayor, siempre he dicho que las personas mayores  saben un poco más y, y al no saber, o sea, al saber más nos pueden prevenir de ciertas cosas que por lo menos, si cuando vamos a pasarlas ya yo tengo el consuelo de que ya otra persona la pasó y que sobrevivió a la tragedia, tú sabes, puede ser con su esposo, con su novio.</v>
      </c>
      <c r="C55" s="103" t="str">
        <f>SJ001621M96!C5</f>
        <v>analítico</v>
      </c>
      <c r="D55" s="103" t="str">
        <f>SJ001621M96!D5</f>
        <v>temporal</v>
      </c>
      <c r="E55" s="103">
        <f>SJ001621M96!E5</f>
        <v>4</v>
      </c>
      <c r="F55" s="103">
        <f>SJ001621M96!F5</f>
        <v>0</v>
      </c>
      <c r="G55" s="103">
        <f>SJ001621M96!G5</f>
        <v>0</v>
      </c>
      <c r="H55" s="103">
        <f>SJ001621M96!H5</f>
        <v>0</v>
      </c>
      <c r="I55" s="103">
        <f>SJ001621M96!I5</f>
        <v>1</v>
      </c>
      <c r="J55" s="103">
        <f>SJ001621M96!J5</f>
        <v>1</v>
      </c>
      <c r="K55" s="103">
        <v>1</v>
      </c>
      <c r="L55" s="103" t="s">
        <v>697</v>
      </c>
    </row>
    <row r="56" spans="1:12" customFormat="1">
      <c r="A56" s="103" t="str">
        <f>SJ001621M96!A6</f>
        <v>SJ001621M96</v>
      </c>
      <c r="B56" s="103" t="str">
        <f>SJ001621M96!B6</f>
        <v>SJ001621M96/111-114 O sea, la persona ingenua no se puede poner en el caso, no puedes prevenir, la persona que, como tú puedes prevenir siempre algo es teniendo la mente igual que la persona que te va a hacer algo o ponerte en la situación que tú dices: “Sí a lo mejor yo fuera él cómo yo podría robar”.</v>
      </c>
      <c r="C56" s="103" t="str">
        <f>SJ001621M96!C6</f>
        <v>analítico</v>
      </c>
      <c r="D56" s="103" t="str">
        <f>SJ001621M96!D6</f>
        <v>temporal</v>
      </c>
      <c r="E56" s="103">
        <f>SJ001621M96!E6</f>
        <v>3</v>
      </c>
      <c r="F56" s="103">
        <f>SJ001621M96!F6</f>
        <v>0</v>
      </c>
      <c r="G56" s="103">
        <f>SJ001621M96!G6</f>
        <v>0</v>
      </c>
      <c r="H56" s="103">
        <f>SJ001621M96!H6</f>
        <v>0</v>
      </c>
      <c r="I56" s="103">
        <f>SJ001621M96!I6</f>
        <v>0</v>
      </c>
      <c r="J56" s="103">
        <f>SJ001621M96!J6</f>
        <v>0</v>
      </c>
      <c r="K56" s="103">
        <v>1</v>
      </c>
      <c r="L56" s="103" t="s">
        <v>697</v>
      </c>
    </row>
    <row r="57" spans="1:12" customFormat="1">
      <c r="A57" s="103" t="str">
        <f>SJ001621M96!A7</f>
        <v>SJ001621M96</v>
      </c>
      <c r="B57" s="103" t="str">
        <f>SJ001621M96!B7</f>
        <v>SJ001621M96/116-117A Como la persona que va a violar: te habla, te mira, te, si te tiene que ayudar te ayuda, para después hacer el daño.</v>
      </c>
      <c r="C57" s="103" t="str">
        <f>SJ001621M96!C7</f>
        <v>analítico</v>
      </c>
      <c r="D57" s="103" t="str">
        <f>SJ001621M96!D7</f>
        <v>temporal</v>
      </c>
      <c r="E57" s="103">
        <f>SJ001621M96!E7</f>
        <v>3</v>
      </c>
      <c r="F57" s="103">
        <f>SJ001621M96!F7</f>
        <v>0</v>
      </c>
      <c r="G57" s="103">
        <f>SJ001621M96!G7</f>
        <v>0</v>
      </c>
      <c r="H57" s="103">
        <f>SJ001621M96!H7</f>
        <v>0</v>
      </c>
      <c r="I57" s="103">
        <f>SJ001621M96!I7</f>
        <v>0</v>
      </c>
      <c r="J57" s="103">
        <f>SJ001621M96!J7</f>
        <v>0</v>
      </c>
      <c r="K57" s="103">
        <v>1</v>
      </c>
      <c r="L57" s="103" t="s">
        <v>697</v>
      </c>
    </row>
    <row r="58" spans="1:12" customFormat="1">
      <c r="A58" s="103" t="str">
        <f>SJ001621M96!A8</f>
        <v>SJ001621M96</v>
      </c>
      <c r="B58" s="103" t="str">
        <f>SJ001621M96!B8</f>
        <v>SJ001621M96/116-117B Como la persona que va a violar: te habla, te mira, te, si te tiene que ayudar te ayuda, para después hacer el daño.</v>
      </c>
      <c r="C58" s="103" t="str">
        <f>SJ001621M96!C8</f>
        <v>presente</v>
      </c>
      <c r="D58" s="103" t="str">
        <f>SJ001621M96!D8</f>
        <v>temporal</v>
      </c>
      <c r="E58" s="103">
        <f>SJ001621M96!E8</f>
        <v>3</v>
      </c>
      <c r="F58" s="103">
        <f>SJ001621M96!F8</f>
        <v>0</v>
      </c>
      <c r="G58" s="103">
        <f>SJ001621M96!G8</f>
        <v>0</v>
      </c>
      <c r="H58" s="103">
        <f>SJ001621M96!H8</f>
        <v>0</v>
      </c>
      <c r="I58" s="103">
        <f>SJ001621M96!I8</f>
        <v>0</v>
      </c>
      <c r="J58" s="103">
        <f>SJ001621M96!J8</f>
        <v>0</v>
      </c>
      <c r="K58" s="103">
        <v>1</v>
      </c>
      <c r="L58" s="103" t="s">
        <v>697</v>
      </c>
    </row>
    <row r="59" spans="1:12">
      <c r="A59" s="103" t="str">
        <f>SJ001621M96!A9</f>
        <v>SJ001621M96</v>
      </c>
      <c r="B59" s="103" t="str">
        <f>SJ001621M96!B9</f>
        <v>SJ001621M96/117-118 Siempre se dice que cuando tú vas a ser víctima, en muchos casos, se te conoce perfectamente.</v>
      </c>
      <c r="C59" s="103" t="str">
        <f>SJ001621M96!C9</f>
        <v>analítico</v>
      </c>
      <c r="D59" s="103" t="str">
        <f>SJ001621M96!D9</f>
        <v>temporal</v>
      </c>
      <c r="E59" s="103">
        <f>SJ001621M96!E9</f>
        <v>2</v>
      </c>
      <c r="F59" s="103">
        <f>SJ001621M96!F9</f>
        <v>0</v>
      </c>
      <c r="G59" s="103">
        <f>SJ001621M96!G9</f>
        <v>0</v>
      </c>
      <c r="H59" s="103">
        <f>SJ001621M96!H9</f>
        <v>0</v>
      </c>
      <c r="I59" s="103">
        <f>SJ001621M96!I9</f>
        <v>1</v>
      </c>
      <c r="J59" s="103">
        <f>SJ001621M96!J9</f>
        <v>0</v>
      </c>
      <c r="K59" s="103">
        <v>1</v>
      </c>
      <c r="L59" s="103" t="s">
        <v>697</v>
      </c>
    </row>
    <row r="60" spans="1:12" customFormat="1">
      <c r="A60" s="103" t="str">
        <f>SJ001621M96!A10</f>
        <v>SJ001621M96</v>
      </c>
      <c r="B60" s="103" t="str">
        <f>SJ001621M96!B10</f>
        <v xml:space="preserve">SJ001621M96/118-119A Si tú no tienes esposo policía, si, si la persona puede sacar ese provecho de ti completamente, sin riesgos, lo hace, ni lo piensa ni dos veces. </v>
      </c>
      <c r="C60" s="103" t="str">
        <f>SJ001621M96!C10</f>
        <v>presente</v>
      </c>
      <c r="D60" s="103" t="str">
        <f>SJ001621M96!D10</f>
        <v>temporal</v>
      </c>
      <c r="E60" s="103">
        <f>SJ001621M96!E10</f>
        <v>3</v>
      </c>
      <c r="F60" s="103">
        <f>SJ001621M96!F10</f>
        <v>0</v>
      </c>
      <c r="G60" s="103">
        <f>SJ001621M96!G10</f>
        <v>0</v>
      </c>
      <c r="H60" s="103">
        <f>SJ001621M96!H10</f>
        <v>0</v>
      </c>
      <c r="I60" s="103">
        <f>SJ001621M96!I10</f>
        <v>0</v>
      </c>
      <c r="J60" s="103">
        <f>SJ001621M96!J10</f>
        <v>1</v>
      </c>
      <c r="K60" s="103">
        <v>1</v>
      </c>
      <c r="L60" s="103" t="s">
        <v>697</v>
      </c>
    </row>
    <row r="61" spans="1:12" customFormat="1">
      <c r="A61" s="103" t="str">
        <f>SJ001621M96!A11</f>
        <v>SJ001621M96</v>
      </c>
      <c r="B61" s="103" t="str">
        <f>SJ001621M96!B11</f>
        <v xml:space="preserve">SJ001621M96/118-119B Si tú no tienes esposo policía, si, si la persona puede sacar ese provecho de ti completamente, sin riesgos, lo hace, ni lo piensa ni dos veces. </v>
      </c>
      <c r="C61" s="103" t="str">
        <f>SJ001621M96!C11</f>
        <v>presente</v>
      </c>
      <c r="D61" s="103" t="str">
        <f>SJ001621M96!D11</f>
        <v>temporal</v>
      </c>
      <c r="E61" s="103">
        <f>SJ001621M96!E11</f>
        <v>3</v>
      </c>
      <c r="F61" s="103">
        <f>SJ001621M96!F11</f>
        <v>0</v>
      </c>
      <c r="G61" s="103">
        <f>SJ001621M96!G11</f>
        <v>1</v>
      </c>
      <c r="H61" s="103">
        <f>SJ001621M96!H11</f>
        <v>0</v>
      </c>
      <c r="I61" s="103">
        <f>SJ001621M96!I11</f>
        <v>0</v>
      </c>
      <c r="J61" s="103">
        <f>SJ001621M96!J11</f>
        <v>1</v>
      </c>
      <c r="K61" s="103">
        <v>1</v>
      </c>
      <c r="L61" s="103" t="s">
        <v>697</v>
      </c>
    </row>
    <row r="62" spans="1:12">
      <c r="A62" s="103" t="str">
        <f>SJ001621M96!A12</f>
        <v>SJ001621M96</v>
      </c>
      <c r="B62" s="103" t="str">
        <f>SJ001621M96!B12</f>
        <v>SJ001621M96/130-132 Y, vivía engañada, vivía engañada y esa es una de las cosas que, pues, con el tiempo es que tú te vas a dar cuenta, vivía engañada porque mis padres me decían: “no te conviene, Mary”.</v>
      </c>
      <c r="C62" s="103" t="str">
        <f>SJ001621M96!C12</f>
        <v>analítico</v>
      </c>
      <c r="D62" s="103" t="str">
        <f>SJ001621M96!D12</f>
        <v>temporal</v>
      </c>
      <c r="E62" s="103">
        <f>SJ001621M96!E12</f>
        <v>2</v>
      </c>
      <c r="F62" s="103">
        <f>SJ001621M96!F12</f>
        <v>1</v>
      </c>
      <c r="G62" s="103">
        <f>SJ001621M96!G12</f>
        <v>0</v>
      </c>
      <c r="H62" s="103">
        <f>SJ001621M96!H12</f>
        <v>1</v>
      </c>
      <c r="I62" s="103">
        <f>SJ001621M96!I12</f>
        <v>0</v>
      </c>
      <c r="J62" s="103">
        <f>SJ001621M96!J12</f>
        <v>0</v>
      </c>
      <c r="K62" s="103">
        <v>1</v>
      </c>
      <c r="L62" s="103" t="s">
        <v>697</v>
      </c>
    </row>
    <row r="63" spans="1:12" customFormat="1">
      <c r="A63" s="103" t="str">
        <f>SJ001621M96!A13</f>
        <v>SJ001621M96</v>
      </c>
      <c r="B63" s="103" t="str">
        <f>SJ001621M96!B13</f>
        <v>SJ001621M96/141 Por eso yo digo que, siempre, el que va a hacer algo, tiene que conocer la víctima.</v>
      </c>
      <c r="C63" s="103" t="str">
        <f>SJ001621M96!C13</f>
        <v>analítico</v>
      </c>
      <c r="D63" s="103" t="str">
        <f>SJ001621M96!D13</f>
        <v>temporal</v>
      </c>
      <c r="E63" s="103">
        <f>SJ001621M96!E13</f>
        <v>3</v>
      </c>
      <c r="F63" s="103">
        <f>SJ001621M96!F13</f>
        <v>1</v>
      </c>
      <c r="G63" s="103">
        <f>SJ001621M96!G13</f>
        <v>0</v>
      </c>
      <c r="H63" s="103">
        <f>SJ001621M96!H13</f>
        <v>0</v>
      </c>
      <c r="I63" s="103">
        <f>SJ001621M96!I13</f>
        <v>1</v>
      </c>
      <c r="J63" s="103">
        <f>SJ001621M96!J13</f>
        <v>0</v>
      </c>
      <c r="K63" s="103">
        <v>1</v>
      </c>
      <c r="L63" s="103" t="s">
        <v>697</v>
      </c>
    </row>
    <row r="64" spans="1:12" customFormat="1">
      <c r="A64" s="103" t="str">
        <f>SJ001621M96!A14</f>
        <v>SJ001621M96</v>
      </c>
      <c r="B64" s="103" t="str">
        <f>SJ001621M96!B14</f>
        <v>SJ001621M96/151-152 Porque siente que el dolor va a seguir hasta que no te provean algo efectivo que te pueda quitar el dolor.</v>
      </c>
      <c r="C64" s="103" t="str">
        <f>SJ001621M96!C14</f>
        <v>analítico</v>
      </c>
      <c r="D64" s="103" t="str">
        <f>SJ001621M96!D14</f>
        <v>temporal</v>
      </c>
      <c r="E64" s="103">
        <f>SJ001621M96!E14</f>
        <v>3</v>
      </c>
      <c r="F64" s="103">
        <f>SJ001621M96!F14</f>
        <v>1</v>
      </c>
      <c r="G64" s="103">
        <f>SJ001621M96!G14</f>
        <v>0</v>
      </c>
      <c r="H64" s="103">
        <f>SJ001621M96!H14</f>
        <v>0</v>
      </c>
      <c r="I64" s="103">
        <f>SJ001621M96!I14</f>
        <v>1</v>
      </c>
      <c r="J64" s="103">
        <f>SJ001621M96!J14</f>
        <v>0</v>
      </c>
      <c r="K64" s="103">
        <v>1</v>
      </c>
      <c r="L64" s="103" t="s">
        <v>697</v>
      </c>
    </row>
    <row r="65" spans="1:12" customFormat="1">
      <c r="A65" s="103" t="str">
        <f>SJ001621M96!A15</f>
        <v>SJ001621M96</v>
      </c>
      <c r="B65" s="103" t="str">
        <f>SJ001621M96!B15</f>
        <v>SJ001621M96/152 Yo creo que esa persona se acordará de ti para toda la vida.</v>
      </c>
      <c r="C65" s="103" t="str">
        <f>SJ001621M96!C15</f>
        <v>morfológico</v>
      </c>
      <c r="D65" s="103" t="str">
        <f>SJ001621M96!D15</f>
        <v>temporal</v>
      </c>
      <c r="E65" s="103">
        <f>SJ001621M96!E15</f>
        <v>3</v>
      </c>
      <c r="F65" s="103">
        <f>SJ001621M96!F15</f>
        <v>1</v>
      </c>
      <c r="G65" s="103">
        <f>SJ001621M96!G15</f>
        <v>0</v>
      </c>
      <c r="H65" s="103">
        <f>SJ001621M96!H15</f>
        <v>1</v>
      </c>
      <c r="I65" s="103">
        <f>SJ001621M96!I15</f>
        <v>1</v>
      </c>
      <c r="J65" s="103">
        <f>SJ001621M96!J15</f>
        <v>0</v>
      </c>
      <c r="K65" s="103">
        <v>1</v>
      </c>
      <c r="L65" s="103" t="s">
        <v>697</v>
      </c>
    </row>
    <row r="66" spans="1:12" customFormat="1">
      <c r="A66" s="103" t="str">
        <f>SJ001621M96!A16</f>
        <v>SJ001621M96</v>
      </c>
      <c r="B66" s="103" t="str">
        <f>SJ001621M96!B16</f>
        <v>SJ001621M96/162 Sí. Eh, voy a empezar ahora a estudiar farmacia.</v>
      </c>
      <c r="C66" s="103" t="str">
        <f>SJ001621M96!C16</f>
        <v>analítico</v>
      </c>
      <c r="D66" s="103" t="str">
        <f>SJ001621M96!D16</f>
        <v>temporal</v>
      </c>
      <c r="E66" s="103">
        <f>SJ001621M96!E16</f>
        <v>1</v>
      </c>
      <c r="F66" s="103">
        <f>SJ001621M96!F16</f>
        <v>1</v>
      </c>
      <c r="G66" s="103">
        <f>SJ001621M96!G16</f>
        <v>0</v>
      </c>
      <c r="H66" s="103">
        <f>SJ001621M96!H16</f>
        <v>2</v>
      </c>
      <c r="I66" s="103">
        <f>SJ001621M96!I16</f>
        <v>0</v>
      </c>
      <c r="J66" s="103">
        <f>SJ001621M96!J16</f>
        <v>0</v>
      </c>
      <c r="K66" s="103">
        <v>1</v>
      </c>
      <c r="L66" s="103" t="s">
        <v>697</v>
      </c>
    </row>
    <row r="67" spans="1:12" customFormat="1">
      <c r="A67" s="103" t="str">
        <f>SJ001621M96!A17</f>
        <v>SJ001621M96</v>
      </c>
      <c r="B67" s="103" t="str">
        <f>SJ001621M96!B17</f>
        <v>SJ001621M96/175-176A Hay muchas intrigas que uno se acuesta y dice: “Cómo será, qué, có… a quién se va a parecer, cua…”</v>
      </c>
      <c r="C67" s="103" t="str">
        <f>SJ001621M96!C17</f>
        <v>morfológico</v>
      </c>
      <c r="D67" s="103" t="str">
        <f>SJ001621M96!D17</f>
        <v>temporal</v>
      </c>
      <c r="E67" s="103">
        <f>SJ001621M96!E17</f>
        <v>3</v>
      </c>
      <c r="F67" s="103">
        <f>SJ001621M96!F17</f>
        <v>0</v>
      </c>
      <c r="G67" s="103">
        <f>SJ001621M96!G17</f>
        <v>0</v>
      </c>
      <c r="H67" s="103">
        <f>SJ001621M96!H17</f>
        <v>0</v>
      </c>
      <c r="I67" s="103">
        <f>SJ001621M96!I17</f>
        <v>0</v>
      </c>
      <c r="J67" s="103">
        <f>SJ001621M96!J17</f>
        <v>0</v>
      </c>
      <c r="K67" s="103">
        <v>1</v>
      </c>
      <c r="L67" s="103" t="s">
        <v>697</v>
      </c>
    </row>
    <row r="68" spans="1:12" customFormat="1">
      <c r="A68" s="103" t="str">
        <f>SJ001621M96!A18</f>
        <v>SJ001621M96</v>
      </c>
      <c r="B68" s="103" t="str">
        <f>SJ001621M96!B18</f>
        <v>SJ001621M96/175-176B Hay muchas intrigas que uno se acuesta y dice: “Cómo será, qué, có… a quién se va a parecer, cua…”</v>
      </c>
      <c r="C68" s="103" t="str">
        <f>SJ001621M96!C18</f>
        <v>analítico</v>
      </c>
      <c r="D68" s="103" t="str">
        <f>SJ001621M96!D18</f>
        <v>temporal</v>
      </c>
      <c r="E68" s="103">
        <f>SJ001621M96!E18</f>
        <v>3</v>
      </c>
      <c r="F68" s="103">
        <f>SJ001621M96!F18</f>
        <v>0</v>
      </c>
      <c r="G68" s="103">
        <f>SJ001621M96!G18</f>
        <v>0</v>
      </c>
      <c r="H68" s="103">
        <f>SJ001621M96!H18</f>
        <v>0</v>
      </c>
      <c r="I68" s="103">
        <f>SJ001621M96!I18</f>
        <v>0</v>
      </c>
      <c r="J68" s="103">
        <f>SJ001621M96!J18</f>
        <v>0</v>
      </c>
      <c r="K68" s="103">
        <v>1</v>
      </c>
      <c r="L68" s="103" t="s">
        <v>697</v>
      </c>
    </row>
    <row r="69" spans="1:12" customFormat="1">
      <c r="A69" s="103" t="str">
        <f>SJ001621M96!A19</f>
        <v>SJ001621M96</v>
      </c>
      <c r="B69" s="103" t="str">
        <f>SJ001621M96!B19</f>
        <v>SJ001621M96/177-179 En ese lapso de tiempo de nueve meses. El por qué, porque empezaste primero, no sientes nada, ya cuando tú empiezas a sentir que hay otra persona que vive dentro de ti tú dices: “será com…”</v>
      </c>
      <c r="C69" s="103" t="str">
        <f>SJ001621M96!C19</f>
        <v>morfológico</v>
      </c>
      <c r="D69" s="103" t="str">
        <f>SJ001621M96!D19</f>
        <v>temporal</v>
      </c>
      <c r="E69" s="103">
        <f>SJ001621M96!E19</f>
        <v>3</v>
      </c>
      <c r="F69" s="103">
        <f>SJ001621M96!F19</f>
        <v>0</v>
      </c>
      <c r="G69" s="103">
        <f>SJ001621M96!G19</f>
        <v>0</v>
      </c>
      <c r="H69" s="103">
        <f>SJ001621M96!H19</f>
        <v>0</v>
      </c>
      <c r="I69" s="103">
        <f>SJ001621M96!I19</f>
        <v>0</v>
      </c>
      <c r="J69" s="103">
        <f>SJ001621M96!J19</f>
        <v>0</v>
      </c>
      <c r="K69" s="103">
        <v>1</v>
      </c>
      <c r="L69" s="103" t="s">
        <v>697</v>
      </c>
    </row>
    <row r="70" spans="1:12" customFormat="1">
      <c r="A70" s="103" t="str">
        <f>SJ001621M96!A20</f>
        <v>SJ001621M96</v>
      </c>
      <c r="B70" s="103" t="str">
        <f>SJ001621M96!B20</f>
        <v>SJ001621M96/179-180 Entonces tú haces una conversación con distintas personas o contigo misma tú dices: “contra cuando sea anciana, ¿me cuidará?”</v>
      </c>
      <c r="C70" s="103" t="str">
        <f>SJ001621M96!C20</f>
        <v>morfológico</v>
      </c>
      <c r="D70" s="103" t="str">
        <f>SJ001621M96!D20</f>
        <v>temporal</v>
      </c>
      <c r="E70" s="103">
        <f>SJ001621M96!E20</f>
        <v>3</v>
      </c>
      <c r="F70" s="103">
        <f>SJ001621M96!F20</f>
        <v>1</v>
      </c>
      <c r="G70" s="103">
        <f>SJ001621M96!G20</f>
        <v>0</v>
      </c>
      <c r="H70" s="103">
        <f>SJ001621M96!H20</f>
        <v>1</v>
      </c>
      <c r="I70" s="103">
        <f>SJ001621M96!I20</f>
        <v>0</v>
      </c>
      <c r="J70" s="103">
        <f>SJ001621M96!J20</f>
        <v>0</v>
      </c>
      <c r="K70" s="103">
        <v>1</v>
      </c>
      <c r="L70" s="103" t="s">
        <v>697</v>
      </c>
    </row>
    <row r="71" spans="1:12" customFormat="1">
      <c r="A71" s="103" t="str">
        <f>SJ001621M96!A21</f>
        <v>SJ001621M96</v>
      </c>
      <c r="B71" s="103" t="str">
        <f>SJ001621M96!B21</f>
        <v>SJ001621M96/180-185A Este, y, y, y tú te transportas  a tantas etapas en tu vida de que cuando yo tenga una tristeza cómo yo se la podré consultar, si me entendería o, o me apreciaría, tú sabes, y, y son cosas que solamente las puedes sentir tan adentro y cuando tú estás llorando tú hablas con esa persona aunque te puedan decir lo que te digan que ni ha nacido ni lo conoces, tú dices: “Tú viste lo que me pasó, no te preocupes, vamos a salir de esto”.</v>
      </c>
      <c r="C71" s="103" t="str">
        <f>SJ001621M96!C21</f>
        <v>morfológico</v>
      </c>
      <c r="D71" s="103" t="str">
        <f>SJ001621M96!D21</f>
        <v>temporal</v>
      </c>
      <c r="E71" s="103">
        <f>SJ001621M96!E21</f>
        <v>1</v>
      </c>
      <c r="F71" s="103">
        <f>SJ001621M96!F21</f>
        <v>1</v>
      </c>
      <c r="G71" s="103">
        <f>SJ001621M96!G21</f>
        <v>0</v>
      </c>
      <c r="H71" s="103">
        <f>SJ001621M96!H21</f>
        <v>1</v>
      </c>
      <c r="I71" s="103">
        <f>SJ001621M96!I21</f>
        <v>0</v>
      </c>
      <c r="J71" s="103">
        <f>SJ001621M96!J21</f>
        <v>0</v>
      </c>
      <c r="K71" s="103">
        <v>1</v>
      </c>
      <c r="L71" s="103" t="s">
        <v>697</v>
      </c>
    </row>
    <row r="72" spans="1:12" customFormat="1">
      <c r="A72" s="103" t="str">
        <f>SJ001621M96!A22</f>
        <v>SJ001621M96</v>
      </c>
      <c r="B72" s="103" t="str">
        <f>SJ001621M96!B22</f>
        <v>SJ001621M96/180-185 Este, y, y, y tú te transportas  a tantas etapas en tu vida de que cuando yo tenga una tristeza cómo yo se la podré consultar, si me entendería o, o me apreciaría, tú sabes, y, y son cosas que solamente las puedes sentir tan adentro y cuando tú estás llorando tú hablas con esa persona aunque te puedan decir lo que te digan que ni ha nacido ni lo conoces, tú dices: “Tú viste lo que me pasó, no te preocupes, vamos a salir de esto”.</v>
      </c>
      <c r="C72" s="103" t="str">
        <f>SJ001621M96!C22</f>
        <v>analítico</v>
      </c>
      <c r="D72" s="103" t="str">
        <f>SJ001621M96!D22</f>
        <v>temporal</v>
      </c>
      <c r="E72" s="103">
        <f>SJ001621M96!E22</f>
        <v>4</v>
      </c>
      <c r="F72" s="103">
        <f>SJ001621M96!F22</f>
        <v>0</v>
      </c>
      <c r="G72" s="103">
        <f>SJ001621M96!G22</f>
        <v>0</v>
      </c>
      <c r="H72" s="103">
        <f>SJ001621M96!H22</f>
        <v>0</v>
      </c>
      <c r="I72" s="103">
        <f>SJ001621M96!I22</f>
        <v>1</v>
      </c>
      <c r="J72" s="103">
        <f>SJ001621M96!J22</f>
        <v>0</v>
      </c>
      <c r="K72" s="103">
        <v>1</v>
      </c>
      <c r="L72" s="103" t="s">
        <v>697</v>
      </c>
    </row>
    <row r="73" spans="1:12" customFormat="1">
      <c r="A73" s="103" t="str">
        <f>SJ001621M96!A23</f>
        <v>SJ001621M96</v>
      </c>
      <c r="B73" s="103" t="str">
        <f>SJ001621M96!B23</f>
        <v>SJ001621M96/187-189A Cuando ya tú pasas un problema tú sientes que el, el, el vientre se te mueve desesperadamente es que tú vas a sentir que sí, tienes a alguien en qué apoyarte, que ya te conoce y casi igual como tú la vas a conocer a la otra persona. ¡Y eso es lindo!</v>
      </c>
      <c r="C73" s="103" t="str">
        <f>SJ001621M96!C23</f>
        <v>analítico</v>
      </c>
      <c r="D73" s="103" t="str">
        <f>SJ001621M96!D23</f>
        <v>temporal</v>
      </c>
      <c r="E73" s="103">
        <f>SJ001621M96!E23</f>
        <v>2</v>
      </c>
      <c r="F73" s="103">
        <f>SJ001621M96!F23</f>
        <v>0</v>
      </c>
      <c r="G73" s="103">
        <f>SJ001621M96!G23</f>
        <v>0</v>
      </c>
      <c r="H73" s="103">
        <f>SJ001621M96!H23</f>
        <v>0</v>
      </c>
      <c r="I73" s="103">
        <f>SJ001621M96!I23</f>
        <v>1</v>
      </c>
      <c r="J73" s="103">
        <f>SJ001621M96!J23</f>
        <v>0</v>
      </c>
      <c r="K73" s="103">
        <v>1</v>
      </c>
      <c r="L73" s="103" t="s">
        <v>697</v>
      </c>
    </row>
    <row r="74" spans="1:12" customFormat="1">
      <c r="A74" s="103" t="str">
        <f>SJ001621M96!A24</f>
        <v>SJ001621M96</v>
      </c>
      <c r="B74" s="103" t="str">
        <f>SJ001621M96!B24</f>
        <v>SJ001621M96/187-189B Cuando ya tú pasas un problema tú sientes que el, el, el vientre se te mueve desesperadamente es que tú vas a sentir que sí, tienes a alguien en qué apoyarte, que ya te conoce y casi igual como tú la vas a conocer a la otra persona. ¡Y eso es lindo!</v>
      </c>
      <c r="C74" s="103" t="str">
        <f>SJ001621M96!C24</f>
        <v>analítico</v>
      </c>
      <c r="D74" s="103" t="str">
        <f>SJ001621M96!D24</f>
        <v>temporal</v>
      </c>
      <c r="E74" s="103">
        <f>SJ001621M96!E24</f>
        <v>2</v>
      </c>
      <c r="F74" s="103">
        <f>SJ001621M96!F24</f>
        <v>0</v>
      </c>
      <c r="G74" s="103">
        <f>SJ001621M96!G24</f>
        <v>0</v>
      </c>
      <c r="H74" s="103">
        <f>SJ001621M96!H24</f>
        <v>0</v>
      </c>
      <c r="I74" s="103">
        <f>SJ001621M96!I24</f>
        <v>1</v>
      </c>
      <c r="J74" s="103">
        <f>SJ001621M96!J24</f>
        <v>0</v>
      </c>
      <c r="K74" s="103">
        <v>1</v>
      </c>
      <c r="L74" s="103" t="s">
        <v>697</v>
      </c>
    </row>
    <row r="75" spans="1:12" customFormat="1">
      <c r="A75" s="103" t="str">
        <f>SJ001621M96!A25</f>
        <v>SJ001621M96</v>
      </c>
      <c r="B75" s="103" t="str">
        <f>SJ001621M96!B25</f>
        <v>SJ001621M96/200 Solamente te va a dar un deseo, un instinto más fuerte.</v>
      </c>
      <c r="C75" s="103" t="str">
        <f>SJ001621M96!C25</f>
        <v>analítico</v>
      </c>
      <c r="D75" s="103" t="str">
        <f>SJ001621M96!D25</f>
        <v>temporal</v>
      </c>
      <c r="E75" s="103">
        <f>SJ001621M96!E25</f>
        <v>3</v>
      </c>
      <c r="F75" s="103">
        <f>SJ001621M96!F25</f>
        <v>0</v>
      </c>
      <c r="G75" s="103">
        <f>SJ001621M96!G25</f>
        <v>0</v>
      </c>
      <c r="H75" s="103">
        <f>SJ001621M96!H25</f>
        <v>0</v>
      </c>
      <c r="I75" s="103">
        <f>SJ001621M96!I25</f>
        <v>0</v>
      </c>
      <c r="J75" s="103">
        <f>SJ001621M96!J25</f>
        <v>0</v>
      </c>
      <c r="K75" s="103">
        <v>1</v>
      </c>
      <c r="L75" s="103" t="s">
        <v>697</v>
      </c>
    </row>
    <row r="76" spans="1:12" customFormat="1">
      <c r="A76" s="103" t="str">
        <f>SJ001621M96!A26</f>
        <v>SJ001621M96</v>
      </c>
      <c r="B76" s="103" t="str">
        <f>SJ001621M96!B26</f>
        <v>SJ001621M96/200-202 Te voy a contar algo brevecito cuando, ejemplo, yo me levantaba por las noches y eso era llorando y llorando y llorando y por la mañana trataba  que mi hija no me viera así de bebé.</v>
      </c>
      <c r="C76" s="103" t="str">
        <f>SJ001621M96!C26</f>
        <v>analítico</v>
      </c>
      <c r="D76" s="103" t="str">
        <f>SJ001621M96!D26</f>
        <v>temporal</v>
      </c>
      <c r="E76" s="103">
        <f>SJ001621M96!E26</f>
        <v>1</v>
      </c>
      <c r="F76" s="103">
        <f>SJ001621M96!F26</f>
        <v>0</v>
      </c>
      <c r="G76" s="103">
        <f>SJ001621M96!G26</f>
        <v>0</v>
      </c>
      <c r="H76" s="103">
        <f>SJ001621M96!H26</f>
        <v>0</v>
      </c>
      <c r="I76" s="103">
        <f>SJ001621M96!I26</f>
        <v>0</v>
      </c>
      <c r="J76" s="103">
        <f>SJ001621M96!J26</f>
        <v>0</v>
      </c>
      <c r="K76" s="103">
        <v>1</v>
      </c>
      <c r="L76" s="103" t="s">
        <v>697</v>
      </c>
    </row>
    <row r="77" spans="1:12" customFormat="1">
      <c r="A77" t="str">
        <f>SJ001621M96!A27</f>
        <v>SJ001621M96</v>
      </c>
      <c r="B77" t="str">
        <f>SJ001621M96!B27</f>
        <v>SJ001621M96/220-221A Es, vamos a [ver], no me acuerdo el tema, él, entonces cuando iban a la familia, o sea, iban a sentarse en la mesa y todo el mundo se criticaba.</v>
      </c>
      <c r="C77" t="str">
        <f>SJ001621M96!C27</f>
        <v>analítico</v>
      </c>
      <c r="D77" t="str">
        <f>SJ001621M96!D27</f>
        <v>exhortación</v>
      </c>
      <c r="E77">
        <f>SJ001621M96!E27</f>
        <v>4</v>
      </c>
      <c r="F77">
        <f>SJ001621M96!F27</f>
        <v>0</v>
      </c>
      <c r="G77">
        <f>SJ001621M96!G27</f>
        <v>0</v>
      </c>
      <c r="H77">
        <f>SJ001621M96!H27</f>
        <v>0</v>
      </c>
      <c r="I77">
        <f>SJ001621M96!I27</f>
        <v>0</v>
      </c>
      <c r="J77">
        <f>SJ001621M96!J27</f>
        <v>0</v>
      </c>
      <c r="K77">
        <v>1</v>
      </c>
      <c r="L77" t="s">
        <v>697</v>
      </c>
    </row>
    <row r="78" spans="1:12" customFormat="1">
      <c r="A78" s="103" t="str">
        <f>SJ001621M96!A28</f>
        <v>SJ001621M96</v>
      </c>
      <c r="B78" s="103" t="str">
        <f>SJ001621M96!B28</f>
        <v>SJ001621M96/248-250 Y si no nos uníamos dando un poquito de cada uno, este mundo, pues, nos trajo a, a, a la situación actual; va a ser un desastre.</v>
      </c>
      <c r="C78" s="103" t="str">
        <f>SJ001621M96!C28</f>
        <v>analítico</v>
      </c>
      <c r="D78" s="103" t="str">
        <f>SJ001621M96!D28</f>
        <v>temporal</v>
      </c>
      <c r="E78" s="103">
        <f>SJ001621M96!E28</f>
        <v>3</v>
      </c>
      <c r="F78" s="103">
        <f>SJ001621M96!F28</f>
        <v>0</v>
      </c>
      <c r="G78" s="103">
        <f>SJ001621M96!G28</f>
        <v>0</v>
      </c>
      <c r="H78" s="103">
        <f>SJ001621M96!H28</f>
        <v>0</v>
      </c>
      <c r="I78" s="103">
        <f>SJ001621M96!I28</f>
        <v>0</v>
      </c>
      <c r="J78" s="103">
        <f>SJ001621M96!J28</f>
        <v>1</v>
      </c>
      <c r="K78" s="103">
        <v>1</v>
      </c>
      <c r="L78" s="103" t="s">
        <v>697</v>
      </c>
    </row>
    <row r="79" spans="1:12" customFormat="1">
      <c r="A79" s="103" t="str">
        <f>SJ001621M96!A29</f>
        <v>SJ001621M96</v>
      </c>
      <c r="B79" s="103" t="str">
        <f>SJ001621M96!B29</f>
        <v>SJ001621M96/263-265A Entonces nos vamos a, a, a vamos a abusar de eso porque yo no te puede leer tu mente, entonces tal vez el que lo hizo con sus hechos, tal vez que no pudo controlar sus emociones, lo van a decapitar.</v>
      </c>
      <c r="C79" s="103" t="str">
        <f>SJ001621M96!C29</f>
        <v>analítico</v>
      </c>
      <c r="D79" s="103" t="str">
        <f>SJ001621M96!D29</f>
        <v>temporal</v>
      </c>
      <c r="E79" s="103">
        <f>SJ001621M96!E29</f>
        <v>4</v>
      </c>
      <c r="F79" s="103">
        <f>SJ001621M96!F29</f>
        <v>0</v>
      </c>
      <c r="G79" s="103">
        <f>SJ001621M96!G29</f>
        <v>0</v>
      </c>
      <c r="H79" s="103">
        <f>SJ001621M96!H29</f>
        <v>0</v>
      </c>
      <c r="I79" s="103">
        <f>SJ001621M96!I29</f>
        <v>0</v>
      </c>
      <c r="J79" s="103">
        <f>SJ001621M96!J29</f>
        <v>0</v>
      </c>
      <c r="K79" s="103">
        <v>1</v>
      </c>
      <c r="L79" s="103" t="s">
        <v>697</v>
      </c>
    </row>
    <row r="80" spans="1:12" customFormat="1">
      <c r="A80" s="103" t="str">
        <f>SJ001621M96!A30</f>
        <v>SJ001621M96</v>
      </c>
      <c r="B80" s="103" t="str">
        <f>SJ001621M96!B30</f>
        <v>SJ001621M96/263-265B Entonces nos vamos a, a, a vamos a abusar de eso porque yo no te puede leer tu mente, entonces tal vez el que lo hizo con sus hechos, tal vez que no pudo controlar sus emociones, lo van a decapitar.</v>
      </c>
      <c r="C80" s="103" t="str">
        <f>SJ001621M96!C30</f>
        <v>analítico</v>
      </c>
      <c r="D80" s="103" t="str">
        <f>SJ001621M96!D30</f>
        <v>temporal</v>
      </c>
      <c r="E80" s="103">
        <f>SJ001621M96!E30</f>
        <v>6</v>
      </c>
      <c r="F80" s="103">
        <f>SJ001621M96!F30</f>
        <v>0</v>
      </c>
      <c r="G80" s="103">
        <f>SJ001621M96!G30</f>
        <v>0</v>
      </c>
      <c r="H80" s="103">
        <f>SJ001621M96!H30</f>
        <v>0</v>
      </c>
      <c r="I80" s="103">
        <f>SJ001621M96!I30</f>
        <v>0</v>
      </c>
      <c r="J80" s="103">
        <f>SJ001621M96!J30</f>
        <v>0</v>
      </c>
      <c r="K80" s="103">
        <v>1</v>
      </c>
      <c r="L80" s="103" t="s">
        <v>697</v>
      </c>
    </row>
    <row r="81" spans="1:12" customFormat="1">
      <c r="A81" s="103" t="str">
        <f>SJ001621M96!A31</f>
        <v>SJ001621M96</v>
      </c>
      <c r="B81" s="103" t="str">
        <f>SJ001621M96!B31</f>
        <v>SJ001621M96/270-272 Otras personas se van a pasear, otras personas no duermen tranquilas hasta que le diga dos o tres a la otra persona, otras personas pueden decir que: “pues, si tu crees que ese es tu punto de opinión pues te lo respeto”.</v>
      </c>
      <c r="C81" s="103" t="str">
        <f>SJ001621M96!C31</f>
        <v>analítico</v>
      </c>
      <c r="D81" s="103" t="str">
        <f>SJ001621M96!D31</f>
        <v>temporal</v>
      </c>
      <c r="E81" s="103">
        <f>SJ001621M96!E31</f>
        <v>6</v>
      </c>
      <c r="F81" s="103">
        <f>SJ001621M96!F31</f>
        <v>0</v>
      </c>
      <c r="G81" s="103">
        <f>SJ001621M96!G31</f>
        <v>0</v>
      </c>
      <c r="H81" s="103">
        <f>SJ001621M96!H31</f>
        <v>1</v>
      </c>
      <c r="I81" s="103">
        <f>SJ001621M96!I31</f>
        <v>0</v>
      </c>
      <c r="J81" s="103">
        <f>SJ001621M96!J31</f>
        <v>0</v>
      </c>
      <c r="K81" s="103">
        <v>1</v>
      </c>
      <c r="L81" s="103" t="s">
        <v>697</v>
      </c>
    </row>
    <row r="82" spans="1:12" customFormat="1">
      <c r="A82" s="103" t="str">
        <f>SJ001621M96!A32</f>
        <v>SJ001621M96</v>
      </c>
      <c r="B82" s="103" t="str">
        <f>SJ001621M96!B32</f>
        <v>SJ001621M96/310-312A ¿Cómo lo podemos resolver? Vamos a quedarnos intermediarios, vamos a buscar una persona que, que diga la última palabra”.</v>
      </c>
      <c r="C82" s="103" t="str">
        <f>SJ001621M96!C32</f>
        <v>analítico</v>
      </c>
      <c r="D82" s="103" t="str">
        <f>SJ001621M96!D32</f>
        <v>temporal</v>
      </c>
      <c r="E82" s="103">
        <f>SJ001621M96!E32</f>
        <v>4</v>
      </c>
      <c r="F82" s="103">
        <f>SJ001621M96!F32</f>
        <v>0</v>
      </c>
      <c r="G82" s="103">
        <f>SJ001621M96!G32</f>
        <v>0</v>
      </c>
      <c r="H82" s="103">
        <f>SJ001621M96!H32</f>
        <v>0</v>
      </c>
      <c r="I82" s="103">
        <f>SJ001621M96!I32</f>
        <v>0</v>
      </c>
      <c r="J82" s="103">
        <f>SJ001621M96!J32</f>
        <v>0</v>
      </c>
      <c r="K82" s="103">
        <v>1</v>
      </c>
      <c r="L82" s="103" t="s">
        <v>697</v>
      </c>
    </row>
    <row r="83" spans="1:12" customFormat="1">
      <c r="A83" s="103" t="str">
        <f>SJ001621M96!A33</f>
        <v>SJ001621M96</v>
      </c>
      <c r="B83" s="103" t="str">
        <f>SJ001621M96!B33</f>
        <v>SJ001621M96/310-312 B¿Cómo lo podemos resolver? Vamos a quedarnos intermediarios, vamos a buscar una persona que, que diga la última palabra”.</v>
      </c>
      <c r="C83" s="103" t="str">
        <f>SJ001621M96!C33</f>
        <v>analítico</v>
      </c>
      <c r="D83" s="103" t="str">
        <f>SJ001621M96!D33</f>
        <v>temporal</v>
      </c>
      <c r="E83" s="103">
        <f>SJ001621M96!E33</f>
        <v>4</v>
      </c>
      <c r="F83" s="103">
        <f>SJ001621M96!F33</f>
        <v>0</v>
      </c>
      <c r="G83" s="103">
        <f>SJ001621M96!G33</f>
        <v>0</v>
      </c>
      <c r="H83" s="103">
        <f>SJ001621M96!H33</f>
        <v>0</v>
      </c>
      <c r="I83" s="103">
        <f>SJ001621M96!I33</f>
        <v>0</v>
      </c>
      <c r="J83" s="103">
        <f>SJ001621M96!J33</f>
        <v>0</v>
      </c>
      <c r="K83" s="103">
        <v>1</v>
      </c>
      <c r="L83" s="103" t="s">
        <v>697</v>
      </c>
    </row>
    <row r="84" spans="1:12" customFormat="1">
      <c r="A84" s="103" t="str">
        <f>SJ001621M96!A34</f>
        <v>SJ001621M96</v>
      </c>
      <c r="B84" s="103" t="str">
        <f>SJ001621M96!B34</f>
        <v>SJ001621M96/312-314 Si ahora tú ves que tu matrimonio después de veinte años no va a resultar y tú eres un pobre infeliz, porque no pudiste resolver ese problema hace veinte años atrás...</v>
      </c>
      <c r="C84" s="103" t="str">
        <f>SJ001621M96!C34</f>
        <v>analítico</v>
      </c>
      <c r="D84" s="103" t="str">
        <f>SJ001621M96!D34</f>
        <v>temporal</v>
      </c>
      <c r="E84" s="103">
        <f>SJ001621M96!E34</f>
        <v>3</v>
      </c>
      <c r="F84" s="103">
        <f>SJ001621M96!F34</f>
        <v>1</v>
      </c>
      <c r="G84" s="103">
        <f>SJ001621M96!G34</f>
        <v>1</v>
      </c>
      <c r="H84" s="103">
        <f>SJ001621M96!H34</f>
        <v>0</v>
      </c>
      <c r="I84" s="103">
        <f>SJ001621M96!I34</f>
        <v>1</v>
      </c>
      <c r="J84" s="103">
        <f>SJ001621M96!J34</f>
        <v>0</v>
      </c>
      <c r="K84" s="103">
        <v>1</v>
      </c>
      <c r="L84" s="103" t="s">
        <v>697</v>
      </c>
    </row>
    <row r="85" spans="1:12" customFormat="1">
      <c r="A85" s="103" t="str">
        <f>SJ001621M96!A35</f>
        <v>SJ001621M96</v>
      </c>
      <c r="B85" s="103" t="str">
        <f>SJ001621M96!B35</f>
        <v>SJ001621M96/327-328 ¿A qué te estoy trayendo esto a colación? Te lo voy a decir.</v>
      </c>
      <c r="C85" s="103" t="str">
        <f>SJ001621M96!C35</f>
        <v>analítico</v>
      </c>
      <c r="D85" s="103" t="str">
        <f>SJ001621M96!D35</f>
        <v>temporal</v>
      </c>
      <c r="E85" s="103">
        <f>SJ001621M96!E35</f>
        <v>1</v>
      </c>
      <c r="F85" s="103">
        <f>SJ001621M96!F35</f>
        <v>0</v>
      </c>
      <c r="G85" s="103">
        <f>SJ001621M96!G35</f>
        <v>0</v>
      </c>
      <c r="H85" s="103">
        <f>SJ001621M96!H35</f>
        <v>0</v>
      </c>
      <c r="I85" s="103">
        <f>SJ001621M96!I35</f>
        <v>0</v>
      </c>
      <c r="J85" s="103">
        <f>SJ001621M96!J35</f>
        <v>0</v>
      </c>
      <c r="K85" s="103">
        <v>1</v>
      </c>
      <c r="L85" s="103" t="s">
        <v>697</v>
      </c>
    </row>
    <row r="86" spans="1:12" customFormat="1">
      <c r="A86" s="103" t="str">
        <f>SJ001621M96!A36</f>
        <v>SJ001621M96</v>
      </c>
      <c r="B86" s="103" t="str">
        <f>SJ001621M96!B36</f>
        <v>SJ001621M96/332-334 . Y eso a mí me impactó tanto, el coraje que yo tuve, o sea, te lo voy a definir más claro.</v>
      </c>
      <c r="C86" s="103" t="str">
        <f>SJ001621M96!C36</f>
        <v>analítico</v>
      </c>
      <c r="D86" s="103" t="str">
        <f>SJ001621M96!D36</f>
        <v>temporal</v>
      </c>
      <c r="E86" s="103">
        <f>SJ001621M96!E36</f>
        <v>1</v>
      </c>
      <c r="F86" s="103">
        <f>SJ001621M96!F36</f>
        <v>0</v>
      </c>
      <c r="G86" s="103">
        <f>SJ001621M96!G36</f>
        <v>0</v>
      </c>
      <c r="H86" s="103">
        <f>SJ001621M96!H36</f>
        <v>0</v>
      </c>
      <c r="I86" s="103">
        <f>SJ001621M96!I36</f>
        <v>0</v>
      </c>
      <c r="J86" s="103">
        <f>SJ001621M96!J36</f>
        <v>0</v>
      </c>
      <c r="K86" s="103">
        <v>1</v>
      </c>
      <c r="L86" s="103" t="s">
        <v>697</v>
      </c>
    </row>
    <row r="87" spans="1:12" customFormat="1">
      <c r="A87" s="103" t="str">
        <f>SJ001621M96!A37</f>
        <v>SJ001621M96</v>
      </c>
      <c r="B87" s="103" t="str">
        <f>SJ001621M96!B37</f>
        <v>SJ001621M96/334-335 Ya te he dado unos, unos “la” de la, de lo que yo te voy a opinar ahora.</v>
      </c>
      <c r="C87" s="103" t="str">
        <f>SJ001621M96!C37</f>
        <v>analítico</v>
      </c>
      <c r="D87" s="103" t="str">
        <f>SJ001621M96!D37</f>
        <v>temporal</v>
      </c>
      <c r="E87" s="103">
        <f>SJ001621M96!E37</f>
        <v>1</v>
      </c>
      <c r="F87" s="103">
        <f>SJ001621M96!F37</f>
        <v>1</v>
      </c>
      <c r="G87" s="103">
        <f>SJ001621M96!G37</f>
        <v>0</v>
      </c>
      <c r="H87" s="103">
        <f>SJ001621M96!H37</f>
        <v>2</v>
      </c>
      <c r="I87" s="103">
        <f>SJ001621M96!I37</f>
        <v>0</v>
      </c>
      <c r="J87" s="103">
        <f>SJ001621M96!J37</f>
        <v>0</v>
      </c>
      <c r="K87" s="103">
        <v>1</v>
      </c>
      <c r="L87" s="103" t="s">
        <v>697</v>
      </c>
    </row>
    <row r="88" spans="1:12" customFormat="1">
      <c r="A88" s="103" t="str">
        <f>SJ001621M96!A38</f>
        <v>SJ001621M96</v>
      </c>
      <c r="B88" s="103" t="str">
        <f>SJ001621M96!B38</f>
        <v>SJ001621M96/340-341 O sea, yo no te voy a decir, Dolores, que si mi hija le pasara algo así, o a mi esp, a mí, al, al que, que sea esposo mío o a, algún familiar cercano.</v>
      </c>
      <c r="C88" s="103" t="str">
        <f>SJ001621M96!C38</f>
        <v>analítico</v>
      </c>
      <c r="D88" s="103" t="str">
        <f>SJ001621M96!D38</f>
        <v>temporal</v>
      </c>
      <c r="E88" s="103">
        <f>SJ001621M96!E38</f>
        <v>1</v>
      </c>
      <c r="F88" s="103">
        <f>SJ001621M96!F38</f>
        <v>0</v>
      </c>
      <c r="G88" s="103">
        <f>SJ001621M96!G38</f>
        <v>1</v>
      </c>
      <c r="H88" s="103">
        <f>SJ001621M96!H38</f>
        <v>0</v>
      </c>
      <c r="I88" s="103">
        <f>SJ001621M96!I38</f>
        <v>0</v>
      </c>
      <c r="J88" s="103">
        <f>SJ001621M96!J38</f>
        <v>0</v>
      </c>
      <c r="K88" s="103">
        <v>1</v>
      </c>
      <c r="L88" s="103" t="s">
        <v>697</v>
      </c>
    </row>
    <row r="89" spans="1:12" customFormat="1">
      <c r="A89" s="103" t="str">
        <f>SJ001621M96!A39</f>
        <v>SJ001621M96</v>
      </c>
      <c r="B89" s="103" t="str">
        <f>SJ001621M96!B39</f>
        <v>SJ001621M96/341-342 Yo no le voy a poner precio.</v>
      </c>
      <c r="C89" s="103" t="str">
        <f>SJ001621M96!C39</f>
        <v>analítico</v>
      </c>
      <c r="D89" s="103" t="str">
        <f>SJ001621M96!D39</f>
        <v>temporal</v>
      </c>
      <c r="E89" s="103">
        <f>SJ001621M96!E39</f>
        <v>1</v>
      </c>
      <c r="F89" s="103">
        <f>SJ001621M96!F39</f>
        <v>0</v>
      </c>
      <c r="G89" s="103">
        <f>SJ001621M96!G39</f>
        <v>1</v>
      </c>
      <c r="H89" s="103">
        <f>SJ001621M96!H39</f>
        <v>0</v>
      </c>
      <c r="I89" s="103">
        <f>SJ001621M96!I39</f>
        <v>0</v>
      </c>
      <c r="J89" s="103">
        <f>SJ001621M96!J39</f>
        <v>1</v>
      </c>
      <c r="K89" s="103">
        <v>1</v>
      </c>
      <c r="L89" s="103" t="s">
        <v>697</v>
      </c>
    </row>
    <row r="90" spans="1:12" customFormat="1">
      <c r="A90" s="103" t="str">
        <f>SJ001621M96!A40</f>
        <v>SJ001621M96</v>
      </c>
      <c r="B90" s="103" t="str">
        <f>SJ001621M96!B40</f>
        <v>SJ001621M96/342-344 Después que va pasando el tiempo, entonces tú puedes decir: “Pues mira, mi amor, si ya tú no puedes trabajar más, esto nos ha afectado a todos...”</v>
      </c>
      <c r="C90" s="103" t="str">
        <f>SJ001621M96!C40</f>
        <v>presente</v>
      </c>
      <c r="D90" s="103" t="str">
        <f>SJ001621M96!D40</f>
        <v>temporal</v>
      </c>
      <c r="E90" s="103">
        <f>SJ001621M96!E40</f>
        <v>2</v>
      </c>
      <c r="F90" s="103">
        <f>SJ001621M96!F40</f>
        <v>1</v>
      </c>
      <c r="G90" s="103">
        <f>SJ001621M96!G40</f>
        <v>0</v>
      </c>
      <c r="H90" s="103">
        <f>SJ001621M96!H40</f>
        <v>1</v>
      </c>
      <c r="I90" s="103">
        <f>SJ001621M96!I40</f>
        <v>0</v>
      </c>
      <c r="J90" s="103">
        <f>SJ001621M96!J40</f>
        <v>0</v>
      </c>
      <c r="K90" s="103">
        <v>1</v>
      </c>
      <c r="L90" s="103" t="s">
        <v>697</v>
      </c>
    </row>
    <row r="91" spans="1:12">
      <c r="A91" s="103" t="str">
        <f>SJ001621M96!A41</f>
        <v>SJ001621M96</v>
      </c>
      <c r="B91" s="103" t="str">
        <f>SJ001621M96!B41</f>
        <v>SJ001621M96/345-347A Entonces cómo tú le vas a ir a comprar un carro, cómo mucha gente va a ir allí a comprar casa, carro a costillas de un ser humano que se le fue tronchada la vida.</v>
      </c>
      <c r="C91" s="103" t="str">
        <f>SJ001621M96!C41</f>
        <v>analítico</v>
      </c>
      <c r="D91" s="103" t="str">
        <f>SJ001621M96!D41</f>
        <v>temporal</v>
      </c>
      <c r="E91" s="103">
        <f>SJ001621M96!E41</f>
        <v>2</v>
      </c>
      <c r="F91" s="103">
        <f>SJ001621M96!F41</f>
        <v>0</v>
      </c>
      <c r="G91" s="103">
        <f>SJ001621M96!G41</f>
        <v>0</v>
      </c>
      <c r="H91" s="103">
        <f>SJ001621M96!H41</f>
        <v>1</v>
      </c>
      <c r="I91" s="103">
        <f>SJ001621M96!I41</f>
        <v>0</v>
      </c>
      <c r="J91" s="103">
        <f>SJ001621M96!J41</f>
        <v>0</v>
      </c>
      <c r="K91" s="103">
        <v>1</v>
      </c>
      <c r="L91" s="103" t="s">
        <v>697</v>
      </c>
    </row>
    <row r="92" spans="1:12" customFormat="1">
      <c r="A92" s="103" t="str">
        <f>SJ001621M96!A42</f>
        <v>SJ001621M96</v>
      </c>
      <c r="B92" s="103" t="str">
        <f>SJ001621M96!B42</f>
        <v>SJ001621M96/345-347B Entonces cómo tú le vas a ir a comprar un carro, cómo mucha gente va a ir allí a comprar casa, carro a costillas de un ser humano que se le fue tronchada la vida.</v>
      </c>
      <c r="C92" s="103" t="str">
        <f>SJ001621M96!C42</f>
        <v>analítico</v>
      </c>
      <c r="D92" s="103" t="str">
        <f>SJ001621M96!D42</f>
        <v>temporal</v>
      </c>
      <c r="E92" s="103">
        <f>SJ001621M96!E42</f>
        <v>3</v>
      </c>
      <c r="F92" s="103">
        <f>SJ001621M96!F42</f>
        <v>0</v>
      </c>
      <c r="G92" s="103">
        <f>SJ001621M96!G42</f>
        <v>0</v>
      </c>
      <c r="H92" s="103">
        <f>SJ001621M96!H42</f>
        <v>1</v>
      </c>
      <c r="I92" s="103">
        <f>SJ001621M96!I42</f>
        <v>0</v>
      </c>
      <c r="J92" s="103">
        <f>SJ001621M96!J42</f>
        <v>0</v>
      </c>
      <c r="K92" s="103">
        <v>1</v>
      </c>
      <c r="L92" s="103" t="s">
        <v>697</v>
      </c>
    </row>
    <row r="93" spans="1:12" customFormat="1">
      <c r="A93" s="103" t="str">
        <f>SJ001621M96!A43</f>
        <v>SJ001621M96</v>
      </c>
      <c r="B93" s="103" t="str">
        <f>SJ001621M96!B43</f>
        <v>SJ001621M96/366-368 Qué, qué, qué persona puede decirle “le voy a recuper tu madre; no te preocupes que no ha pasado nada”.</v>
      </c>
      <c r="C93" s="103" t="str">
        <f>SJ001621M96!C43</f>
        <v>analítico</v>
      </c>
      <c r="D93" s="103" t="str">
        <f>SJ001621M96!D43</f>
        <v>temporal</v>
      </c>
      <c r="E93" s="103">
        <f>SJ001621M96!E43</f>
        <v>1</v>
      </c>
      <c r="F93" s="103">
        <f>SJ001621M96!F43</f>
        <v>0</v>
      </c>
      <c r="G93" s="103">
        <f>SJ001621M96!G43</f>
        <v>0</v>
      </c>
      <c r="H93" s="103">
        <f>SJ001621M96!H43</f>
        <v>0</v>
      </c>
      <c r="I93" s="103">
        <f>SJ001621M96!I43</f>
        <v>0</v>
      </c>
      <c r="J93" s="103">
        <f>SJ001621M96!J43</f>
        <v>0</v>
      </c>
      <c r="K93" s="103">
        <v>1</v>
      </c>
      <c r="L93" s="103" t="s">
        <v>697</v>
      </c>
    </row>
    <row r="94" spans="1:12" customFormat="1">
      <c r="A94" s="103" t="str">
        <f>SJ001621M96!A44</f>
        <v>SJ001621M96</v>
      </c>
      <c r="B94" s="103" t="str">
        <f>SJ001621M96!B44</f>
        <v>SJ001621M96/369-371 No miramos la, la, la, la, este sentimiento de que tú por lo menos lo puedes expresar, pero el niño nunca lo va a expresar hasta que sea adulto, no lo actualiza, la, la, la vivencia que le tocó…</v>
      </c>
      <c r="C94" s="103" t="str">
        <f>SJ001621M96!C44</f>
        <v>analítico</v>
      </c>
      <c r="D94" s="103" t="str">
        <f>SJ001621M96!D44</f>
        <v>temporal</v>
      </c>
      <c r="E94" s="103">
        <f>SJ001621M96!E44</f>
        <v>3</v>
      </c>
      <c r="F94" s="103">
        <f>SJ001621M96!F44</f>
        <v>1</v>
      </c>
      <c r="G94" s="103">
        <f>SJ001621M96!G44</f>
        <v>1</v>
      </c>
      <c r="H94" s="103">
        <f>SJ001621M96!H44</f>
        <v>1</v>
      </c>
      <c r="I94" s="103">
        <f>SJ001621M96!I44</f>
        <v>1</v>
      </c>
      <c r="J94" s="103">
        <f>SJ001621M96!J44</f>
        <v>0</v>
      </c>
      <c r="K94" s="103">
        <v>1</v>
      </c>
      <c r="L94" s="103" t="s">
        <v>697</v>
      </c>
    </row>
    <row r="95" spans="1:12" customFormat="1">
      <c r="A95" s="103" t="str">
        <f>SJ001621M96!A45</f>
        <v>SJ001621M96</v>
      </c>
      <c r="B95" s="103" t="str">
        <f>SJ001621M96!B45</f>
        <v>SJ001621M96/371-372 Y quién le va [a] recuperar, día a día, minuto a minuto lo que vivieron esos niños? ¿Con qué dinero se repara un daño? Con ninguno.</v>
      </c>
      <c r="C95" s="103" t="str">
        <f>SJ001621M96!C45</f>
        <v>analítico</v>
      </c>
      <c r="D95" s="103" t="str">
        <f>SJ001621M96!D45</f>
        <v>temporal</v>
      </c>
      <c r="E95" s="103">
        <f>SJ001621M96!E45</f>
        <v>3</v>
      </c>
      <c r="F95" s="103">
        <f>SJ001621M96!F45</f>
        <v>1</v>
      </c>
      <c r="G95" s="103">
        <f>SJ001621M96!G45</f>
        <v>0</v>
      </c>
      <c r="H95" s="103">
        <f>SJ001621M96!H45</f>
        <v>0</v>
      </c>
      <c r="I95" s="103">
        <f>SJ001621M96!I45</f>
        <v>0</v>
      </c>
      <c r="J95" s="103">
        <f>SJ001621M96!J45</f>
        <v>0</v>
      </c>
      <c r="K95" s="103">
        <v>1</v>
      </c>
      <c r="L95" s="103" t="s">
        <v>697</v>
      </c>
    </row>
    <row r="96" spans="1:12" customFormat="1">
      <c r="A96" s="103" t="str">
        <f>SJ001621M96!A46</f>
        <v>SJ001621M96</v>
      </c>
      <c r="B96" s="103" t="str">
        <f>SJ001621M96!B46</f>
        <v>SJ001621M96/377-378 El niño va a vivir con ese sufrimiento hasta que pueda llevarse a un sicólogo…</v>
      </c>
      <c r="C96" s="103" t="str">
        <f>SJ001621M96!C46</f>
        <v>analítico</v>
      </c>
      <c r="D96" s="103" t="str">
        <f>SJ001621M96!D46</f>
        <v>temporal</v>
      </c>
      <c r="E96" s="103">
        <f>SJ001621M96!E46</f>
        <v>3</v>
      </c>
      <c r="F96" s="103">
        <f>SJ001621M96!F46</f>
        <v>1</v>
      </c>
      <c r="G96" s="103">
        <f>SJ001621M96!G46</f>
        <v>0</v>
      </c>
      <c r="H96" s="103">
        <f>SJ001621M96!H46</f>
        <v>1</v>
      </c>
      <c r="I96" s="103">
        <f>SJ001621M96!I46</f>
        <v>0</v>
      </c>
      <c r="J96" s="103">
        <f>SJ001621M96!J46</f>
        <v>0</v>
      </c>
      <c r="K96" s="103">
        <v>1</v>
      </c>
      <c r="L96" s="103" t="s">
        <v>697</v>
      </c>
    </row>
    <row r="97" spans="1:12">
      <c r="A97" s="103" t="str">
        <f xml:space="preserve">
SJ004021M96!A2</f>
        <v>SJ004021M96</v>
      </c>
      <c r="B97" s="103" t="str">
        <f xml:space="preserve">
SJ004021M96!B2</f>
        <v>SJ004021M96/180-181 Sí, ahora precisamente el día veintinueve de noviembre hacemos la feria. La feria es una fiesta de pueblo de la Congregación y de todo el que desee venir.</v>
      </c>
      <c r="C97" s="103" t="str">
        <f xml:space="preserve">
SJ004021M96!C2</f>
        <v>presente</v>
      </c>
      <c r="D97" s="103" t="str">
        <f xml:space="preserve">
SJ004021M96!D2</f>
        <v>temporal</v>
      </c>
      <c r="E97" s="103">
        <f xml:space="preserve">
SJ004021M96!E2</f>
        <v>4</v>
      </c>
      <c r="F97" s="103">
        <f xml:space="preserve">
SJ004021M96!F2</f>
        <v>1</v>
      </c>
      <c r="G97" s="103">
        <f xml:space="preserve">
SJ004021M96!G2</f>
        <v>0</v>
      </c>
      <c r="H97" s="103">
        <f xml:space="preserve">
SJ004021M96!H2</f>
        <v>2</v>
      </c>
      <c r="I97" s="103">
        <f xml:space="preserve">
SJ004021M96!I2</f>
        <v>0</v>
      </c>
      <c r="J97" s="103">
        <f xml:space="preserve">
SJ004021M96!J2</f>
        <v>0</v>
      </c>
      <c r="K97" s="103">
        <v>1</v>
      </c>
      <c r="L97" s="103" t="s">
        <v>697</v>
      </c>
    </row>
    <row r="98" spans="1:12" customFormat="1">
      <c r="A98" s="103" t="str">
        <f xml:space="preserve">
SJ004021M96!A3</f>
        <v>SJ004021M96</v>
      </c>
      <c r="B98" s="103" t="str">
        <f xml:space="preserve">
SJ004021M96!B3</f>
        <v>SJ004021M96/184-185 Se hace un desfile en el cual yo he participado, donde nos ponemos trajes típicos o de acuerdo a lo que se escoja ese año que se va a representar y es, la...</v>
      </c>
      <c r="C98" s="103" t="str">
        <f xml:space="preserve">
SJ004021M96!C3</f>
        <v>analítico</v>
      </c>
      <c r="D98" s="103" t="str">
        <f xml:space="preserve">
SJ004021M96!D3</f>
        <v>temporal</v>
      </c>
      <c r="E98" s="103">
        <f xml:space="preserve">
SJ004021M96!E3</f>
        <v>3</v>
      </c>
      <c r="F98" s="103">
        <f xml:space="preserve">
SJ004021M96!F3</f>
        <v>1</v>
      </c>
      <c r="G98" s="103">
        <f xml:space="preserve">
SJ004021M96!G3</f>
        <v>0</v>
      </c>
      <c r="H98" s="103">
        <f xml:space="preserve">
SJ004021M96!H3</f>
        <v>2</v>
      </c>
      <c r="I98" s="103">
        <f xml:space="preserve">
SJ004021M96!I3</f>
        <v>0</v>
      </c>
      <c r="J98" s="103">
        <f xml:space="preserve">
SJ004021M96!J3</f>
        <v>0</v>
      </c>
      <c r="K98" s="103">
        <v>1</v>
      </c>
      <c r="L98" s="103" t="s">
        <v>697</v>
      </c>
    </row>
    <row r="99" spans="1:12" customFormat="1">
      <c r="A99" s="103" t="str">
        <f xml:space="preserve">
SJ004021M96!A4</f>
        <v>SJ004021M96</v>
      </c>
      <c r="B99" s="103" t="str">
        <f xml:space="preserve">
SJ004021M96!B4</f>
        <v>SJ004021M96/195-197 Este año, pues, se han escogido, este, símbolos como es el amor, este, la paz y cada cual, pues, el que va a representar la luz, pues, tiene que traer su carroza llena de luces, se han tomado temas más espirituales.</v>
      </c>
      <c r="C99" s="103" t="str">
        <f xml:space="preserve">
SJ004021M96!C4</f>
        <v>analítico</v>
      </c>
      <c r="D99" s="103" t="str">
        <f xml:space="preserve">
SJ004021M96!D4</f>
        <v>temporal</v>
      </c>
      <c r="E99" s="103">
        <f xml:space="preserve">
SJ004021M96!E4</f>
        <v>3</v>
      </c>
      <c r="F99" s="103">
        <f xml:space="preserve">
SJ004021M96!F4</f>
        <v>0</v>
      </c>
      <c r="G99" s="103">
        <f xml:space="preserve">
SJ004021M96!G4</f>
        <v>0</v>
      </c>
      <c r="H99" s="103">
        <f xml:space="preserve">
SJ004021M96!H4</f>
        <v>0</v>
      </c>
      <c r="I99" s="103">
        <f xml:space="preserve">
SJ004021M96!I4</f>
        <v>0</v>
      </c>
      <c r="J99" s="103">
        <f xml:space="preserve">
SJ004021M96!J4</f>
        <v>0</v>
      </c>
      <c r="K99" s="103">
        <v>1</v>
      </c>
      <c r="L99" s="103" t="s">
        <v>697</v>
      </c>
    </row>
    <row r="100" spans="1:12" customFormat="1">
      <c r="A100" s="103" t="str">
        <f xml:space="preserve">
SJ004021M96!A5</f>
        <v>SJ004021M96</v>
      </c>
      <c r="B100" s="103" t="str">
        <f xml:space="preserve">
SJ004021M96!B5</f>
        <v>SJ004021M96/220-224 Pero dedicamos mucho tiempo a eso y los consideramos baluartes en la Congregación, joyas, columnas, porque dentro de como era el Puerto Rico de antes ellos gozaban de algo que nosotros no gozamos que fue de mucha paz y seguridad, que ahora lo que hay es mucha violencia, pero este, para nosotros son bien importantes y si observas un día que vengas a la Congregación vas a ver muchas personas mayores, a pesar de que hay mucha juventud.</v>
      </c>
      <c r="C100" s="103" t="str">
        <f xml:space="preserve">
SJ004021M96!C5</f>
        <v>analítico</v>
      </c>
      <c r="D100" s="103" t="str">
        <f xml:space="preserve">
SJ004021M96!D5</f>
        <v>temporal</v>
      </c>
      <c r="E100" s="103">
        <f xml:space="preserve">
SJ004021M96!E5</f>
        <v>2</v>
      </c>
      <c r="F100" s="103">
        <f xml:space="preserve">
SJ004021M96!F5</f>
        <v>1</v>
      </c>
      <c r="G100" s="103">
        <f xml:space="preserve">
SJ004021M96!G5</f>
        <v>0</v>
      </c>
      <c r="H100" s="103">
        <f xml:space="preserve">
SJ004021M96!H5</f>
        <v>1</v>
      </c>
      <c r="I100" s="103">
        <f xml:space="preserve">
SJ004021M96!I5</f>
        <v>0</v>
      </c>
      <c r="J100" s="103">
        <f xml:space="preserve">
SJ004021M96!J5</f>
        <v>1</v>
      </c>
      <c r="K100" s="103">
        <v>1</v>
      </c>
      <c r="L100" s="103" t="s">
        <v>697</v>
      </c>
    </row>
    <row r="101" spans="1:12" customFormat="1">
      <c r="A101" s="103" t="str">
        <f xml:space="preserve">
SJ004021M96!A6</f>
        <v>SJ004021M96</v>
      </c>
      <c r="B101" s="103" t="str">
        <f xml:space="preserve">
SJ004021M96!B6</f>
        <v>SJ004021M96/264-266 Son bien tiernas, las antiguas, los musicales de Fred Astaire me gustan, aunque muy pocos se dan, por la música, West Side Story es bonita, o sea, me gustan las antiguas pero le voy a confesar, me gusta ITI (E. T) que es preciosa pero que hay muchas de acción que me gustan.</v>
      </c>
      <c r="C101" s="103" t="str">
        <f xml:space="preserve">
SJ004021M96!C6</f>
        <v>analítico</v>
      </c>
      <c r="D101" s="103" t="str">
        <f xml:space="preserve">
SJ004021M96!D6</f>
        <v>temporal</v>
      </c>
      <c r="E101" s="103">
        <f xml:space="preserve">
SJ004021M96!E6</f>
        <v>1</v>
      </c>
      <c r="F101" s="103">
        <f xml:space="preserve">
SJ004021M96!F6</f>
        <v>0</v>
      </c>
      <c r="G101" s="103">
        <f xml:space="preserve">
SJ004021M96!G6</f>
        <v>0</v>
      </c>
      <c r="H101" s="103">
        <f xml:space="preserve">
SJ004021M96!H6</f>
        <v>0</v>
      </c>
      <c r="I101" s="103">
        <f xml:space="preserve">
SJ004021M96!I6</f>
        <v>0</v>
      </c>
      <c r="J101" s="103">
        <f xml:space="preserve">
SJ004021M96!J6</f>
        <v>0</v>
      </c>
      <c r="K101" s="103">
        <v>1</v>
      </c>
      <c r="L101" s="103" t="s">
        <v>697</v>
      </c>
    </row>
    <row r="102" spans="1:12">
      <c r="A102" s="103" t="str">
        <f xml:space="preserve">
SJ004021M96!A7</f>
        <v>SJ004021M96</v>
      </c>
      <c r="B102" s="103" t="str">
        <f xml:space="preserve">
SJ004021M96!B7</f>
        <v>SJ004021M96/319-321A Ajá, no me gustaría. Por eso, porque la gente a pesar de que hay un gran porciento de decepciones, con las personas, porque lamentablemente, el ser humano es así, tú les puedes dar mucho y quizás pues no te dé lo que tú esperabas recibir, pero va haber otro que te va a dar.</v>
      </c>
      <c r="C102" s="103" t="str">
        <f xml:space="preserve">
SJ004021M96!C7</f>
        <v>analítico</v>
      </c>
      <c r="D102" s="103" t="str">
        <f xml:space="preserve">
SJ004021M96!D7</f>
        <v>temporal</v>
      </c>
      <c r="E102" s="103">
        <f xml:space="preserve">
SJ004021M96!E7</f>
        <v>3</v>
      </c>
      <c r="F102" s="103">
        <f xml:space="preserve">
SJ004021M96!F7</f>
        <v>0</v>
      </c>
      <c r="G102" s="103">
        <f xml:space="preserve">
SJ004021M96!G7</f>
        <v>0</v>
      </c>
      <c r="H102" s="103">
        <f xml:space="preserve">
SJ004021M96!H7</f>
        <v>0</v>
      </c>
      <c r="I102" s="103">
        <f xml:space="preserve">
SJ004021M96!I7</f>
        <v>0</v>
      </c>
      <c r="J102" s="103">
        <f xml:space="preserve">
SJ004021M96!J7</f>
        <v>0</v>
      </c>
      <c r="K102" s="103">
        <v>1</v>
      </c>
      <c r="L102" s="103" t="s">
        <v>697</v>
      </c>
    </row>
    <row r="103" spans="1:12">
      <c r="A103" s="103" t="str">
        <f xml:space="preserve">
SJ004021M96!A8</f>
        <v>SJ004021M96</v>
      </c>
      <c r="B103" s="103" t="str">
        <f xml:space="preserve">
SJ004021M96!B8</f>
        <v>SJ004021M96/319-321B Ajá, no me gustaría. Por eso, porque la gente a pesar de que hay un gran porciento de decepciones, con las personas, porque lamentablemente, el ser humano es así, tú les puedes dar mucho y quizás pues no te dé lo que tú esperabas recibir, pero va haber otro que te va a dar.</v>
      </c>
      <c r="C103" s="103" t="str">
        <f xml:space="preserve">
SJ004021M96!C8</f>
        <v>analítico</v>
      </c>
      <c r="D103" s="103" t="str">
        <f xml:space="preserve">
SJ004021M96!D8</f>
        <v>temporal</v>
      </c>
      <c r="E103" s="103">
        <f xml:space="preserve">
SJ004021M96!E8</f>
        <v>3</v>
      </c>
      <c r="F103" s="103">
        <f xml:space="preserve">
SJ004021M96!F8</f>
        <v>0</v>
      </c>
      <c r="G103" s="103">
        <f xml:space="preserve">
SJ004021M96!G8</f>
        <v>0</v>
      </c>
      <c r="H103" s="103">
        <f xml:space="preserve">
SJ004021M96!H8</f>
        <v>0</v>
      </c>
      <c r="I103" s="103">
        <f xml:space="preserve">
SJ004021M96!I8</f>
        <v>0</v>
      </c>
      <c r="J103" s="103">
        <f xml:space="preserve">
SJ004021M96!J8</f>
        <v>0</v>
      </c>
      <c r="K103" s="103">
        <v>1</v>
      </c>
      <c r="L103" s="103" t="s">
        <v>697</v>
      </c>
    </row>
    <row r="104" spans="1:12" customFormat="1">
      <c r="A104" s="103" t="str">
        <f xml:space="preserve">
SJ004021M96!A9</f>
        <v>SJ004021M96</v>
      </c>
      <c r="B104" s="103" t="str">
        <f xml:space="preserve">
SJ004021M96!B9</f>
        <v>SJ004021M96/341 Pues, le voy a con[tar], es algo, que me sorprendió.</v>
      </c>
      <c r="C104" s="103" t="str">
        <f xml:space="preserve">
SJ004021M96!C9</f>
        <v>analítico</v>
      </c>
      <c r="D104" s="103" t="str">
        <f xml:space="preserve">
SJ004021M96!D9</f>
        <v>temporal</v>
      </c>
      <c r="E104" s="103">
        <f xml:space="preserve">
SJ004021M96!E9</f>
        <v>1</v>
      </c>
      <c r="F104" s="103">
        <f xml:space="preserve">
SJ004021M96!F9</f>
        <v>0</v>
      </c>
      <c r="G104" s="103">
        <f xml:space="preserve">
SJ004021M96!G9</f>
        <v>0</v>
      </c>
      <c r="H104" s="103">
        <f xml:space="preserve">
SJ004021M96!H9</f>
        <v>0</v>
      </c>
      <c r="I104" s="103">
        <f xml:space="preserve">
SJ004021M96!I9</f>
        <v>0</v>
      </c>
      <c r="J104" s="103">
        <f xml:space="preserve">
SJ004021M96!J9</f>
        <v>0</v>
      </c>
      <c r="K104" s="103">
        <v>1</v>
      </c>
      <c r="L104" s="103" t="s">
        <v>697</v>
      </c>
    </row>
    <row r="105" spans="1:12" customFormat="1">
      <c r="A105" s="103" t="str">
        <f xml:space="preserve">
SJ004021M96!A10</f>
        <v>SJ004021M96</v>
      </c>
      <c r="B105" s="103" t="str">
        <f xml:space="preserve">
SJ004021M96!B10</f>
        <v>SJ004021M96/352-355A ¿Qué te parece si un verano te vas dos meses, por lo menos, le das lo teórico, lo básico, para que vayan aprendiendo música, pues, en, cuando yo llegué aquel sitio, a pesar de que yo vengo de un hogar que no es, no es, no somos ricos, pero uno tiene tantas comodidades, pues, era un lugar bastante humilde.</v>
      </c>
      <c r="C105" s="103" t="str">
        <f xml:space="preserve">
SJ004021M96!C10</f>
        <v>presente</v>
      </c>
      <c r="D105" s="103" t="str">
        <f xml:space="preserve">
SJ004021M96!D10</f>
        <v>temporal</v>
      </c>
      <c r="E105" s="103">
        <f xml:space="preserve">
SJ004021M96!E10</f>
        <v>2</v>
      </c>
      <c r="F105" s="103">
        <f xml:space="preserve">
SJ004021M96!F10</f>
        <v>1</v>
      </c>
      <c r="G105" s="103">
        <f xml:space="preserve">
SJ004021M96!G10</f>
        <v>0</v>
      </c>
      <c r="H105" s="103">
        <f xml:space="preserve">
SJ004021M96!H10</f>
        <v>1</v>
      </c>
      <c r="I105" s="103">
        <f xml:space="preserve">
SJ004021M96!I10</f>
        <v>0</v>
      </c>
      <c r="J105" s="103">
        <f xml:space="preserve">
SJ004021M96!J10</f>
        <v>0</v>
      </c>
      <c r="K105" s="103">
        <v>1</v>
      </c>
      <c r="L105" s="103" t="s">
        <v>697</v>
      </c>
    </row>
    <row r="106" spans="1:12" customFormat="1">
      <c r="A106" s="103" t="str">
        <f xml:space="preserve">
SJ004021M96!A11</f>
        <v>SJ004021M96</v>
      </c>
      <c r="B106" s="103" t="str">
        <f xml:space="preserve">
SJ004021M96!B11</f>
        <v>SJ004021M96/352-355B ¿Qué te parece si un verano te vas dos meses, por lo menos, le das lo teórico, lo básico, para que vayan aprendiendo música, pues, en, cuando yo llegué aquel sitio, a pesar de que yo vengo de un hogar que no es, no es, no somos ricos, pero uno tiene tantas comodidades, pues, era un lugar bastante humilde.</v>
      </c>
      <c r="C106" s="103" t="str">
        <f xml:space="preserve">
SJ004021M96!C11</f>
        <v>presente</v>
      </c>
      <c r="D106" s="103" t="str">
        <f xml:space="preserve">
SJ004021M96!D11</f>
        <v>temporal</v>
      </c>
      <c r="E106" s="103">
        <f xml:space="preserve">
SJ004021M96!E11</f>
        <v>2</v>
      </c>
      <c r="F106" s="103">
        <f xml:space="preserve">
SJ004021M96!F11</f>
        <v>1</v>
      </c>
      <c r="G106" s="103">
        <f xml:space="preserve">
SJ004021M96!G11</f>
        <v>0</v>
      </c>
      <c r="H106" s="103">
        <f xml:space="preserve">
SJ004021M96!H11</f>
        <v>1</v>
      </c>
      <c r="I106" s="103">
        <f xml:space="preserve">
SJ004021M96!I11</f>
        <v>0</v>
      </c>
      <c r="J106" s="103">
        <f xml:space="preserve">
SJ004021M96!J11</f>
        <v>0</v>
      </c>
      <c r="K106" s="103">
        <v>1</v>
      </c>
      <c r="L106" s="103" t="s">
        <v>697</v>
      </c>
    </row>
    <row r="107" spans="1:12" customFormat="1">
      <c r="A107" t="str">
        <f xml:space="preserve">
SJ004021M96!A12</f>
        <v>SJ004021M96</v>
      </c>
      <c r="B107" t="str">
        <f xml:space="preserve">
SJ004021M96!B12</f>
        <v>SJ004021M96/609-612A Ajá, la campiña entonces si te vas a la ciudad, lamentablemente, por el, como es un país subdesarrollado, este, hay mucha basura, en las calles, no hay desagües ni en el centro que es donde, vamos a decir que, vamos a decir que fuéramos a Río Piedras aquí, a las tiendas, este, la basura corre y las aguas negras sin...</v>
      </c>
      <c r="C107" t="str">
        <f xml:space="preserve">
SJ004021M96!C12</f>
        <v>analítico</v>
      </c>
      <c r="D107" t="str">
        <f xml:space="preserve">
SJ004021M96!D12</f>
        <v>marcador</v>
      </c>
      <c r="E107">
        <f xml:space="preserve">
SJ004021M96!E12</f>
        <v>4</v>
      </c>
      <c r="F107">
        <f xml:space="preserve">
SJ004021M96!F12</f>
        <v>0</v>
      </c>
      <c r="G107">
        <f xml:space="preserve">
SJ004021M96!G12</f>
        <v>0</v>
      </c>
      <c r="H107">
        <f xml:space="preserve">
SJ004021M96!H12</f>
        <v>0</v>
      </c>
      <c r="I107">
        <f xml:space="preserve">
SJ004021M96!I12</f>
        <v>0</v>
      </c>
      <c r="J107">
        <f xml:space="preserve">
SJ004021M96!J12</f>
        <v>0</v>
      </c>
      <c r="K107">
        <v>1</v>
      </c>
      <c r="L107" t="s">
        <v>697</v>
      </c>
    </row>
    <row r="108" spans="1:12" customFormat="1">
      <c r="A108" t="str">
        <f xml:space="preserve">
SJ004021M96!A13</f>
        <v>SJ004021M96</v>
      </c>
      <c r="B108" t="str">
        <f xml:space="preserve">
SJ004021M96!B13</f>
        <v>SJ004021M96/609-612B Ajá, la campiña entonces si te vas a la ciudad, lamentablemente, por el, como es un país subdesarrollado, este, hay mucha basura, en las calles, no hay desagües ni en el centro que es donde, vamos a decir que, vamos a decir que fuéramos a Río Piedras aquí, a las tiendas, este, la basura corre y las aguas negras sin...</v>
      </c>
      <c r="C108" t="str">
        <f xml:space="preserve">
SJ004021M96!C13</f>
        <v>analítico</v>
      </c>
      <c r="D108" t="str">
        <f xml:space="preserve">
SJ004021M96!D13</f>
        <v>marcador</v>
      </c>
      <c r="E108">
        <f xml:space="preserve">
SJ004021M96!E13</f>
        <v>4</v>
      </c>
      <c r="F108">
        <f xml:space="preserve">
SJ004021M96!F13</f>
        <v>0</v>
      </c>
      <c r="G108">
        <f xml:space="preserve">
SJ004021M96!G13</f>
        <v>0</v>
      </c>
      <c r="H108">
        <f xml:space="preserve">
SJ004021M96!H13</f>
        <v>0</v>
      </c>
      <c r="I108">
        <f xml:space="preserve">
SJ004021M96!I13</f>
        <v>0</v>
      </c>
      <c r="J108">
        <f xml:space="preserve">
SJ004021M96!J13</f>
        <v>0</v>
      </c>
      <c r="K108">
        <v>1</v>
      </c>
      <c r="L108" t="s">
        <v>697</v>
      </c>
    </row>
    <row r="109" spans="1:12" customFormat="1">
      <c r="A109" s="103" t="str">
        <f xml:space="preserve">
SJ004021M96!A14</f>
        <v>SJ004021M96</v>
      </c>
      <c r="B109" s="103" t="str">
        <f xml:space="preserve">
SJ004021M96!B14</f>
        <v>SJ004021M96/629-632 [N]o hay tortas de cemento arriba, porque si pues, se mueve, pues no, no, hace muchísimo menos daño a las, a las personas que habitan las casas, entonces, vas a ver muchas casitas con techos en rojo, techos en blanco, los pintan en verde.</v>
      </c>
      <c r="C109" s="103" t="str">
        <f xml:space="preserve">
SJ004021M96!C14</f>
        <v>analítico</v>
      </c>
      <c r="D109" s="103" t="str">
        <f xml:space="preserve">
SJ004021M96!D14</f>
        <v>temporal</v>
      </c>
      <c r="E109" s="103">
        <f xml:space="preserve">
SJ004021M96!E14</f>
        <v>2</v>
      </c>
      <c r="F109" s="103">
        <f xml:space="preserve">
SJ004021M96!F14</f>
        <v>0</v>
      </c>
      <c r="G109" s="103">
        <f xml:space="preserve">
SJ004021M96!G14</f>
        <v>0</v>
      </c>
      <c r="H109" s="103">
        <f xml:space="preserve">
SJ004021M96!H14</f>
        <v>0</v>
      </c>
      <c r="I109" s="103">
        <f xml:space="preserve">
SJ004021M96!I14</f>
        <v>0</v>
      </c>
      <c r="J109" s="103">
        <f xml:space="preserve">
SJ004021M96!J14</f>
        <v>0</v>
      </c>
      <c r="K109" s="103">
        <v>1</v>
      </c>
      <c r="L109" s="103" t="s">
        <v>697</v>
      </c>
    </row>
    <row r="110" spans="1:12" customFormat="1">
      <c r="A110" s="103" t="str">
        <f xml:space="preserve">
SJ004021M96!A15</f>
        <v>SJ004021M96</v>
      </c>
      <c r="B110" s="103" t="str">
        <f xml:space="preserve">
SJ004021M96!B15</f>
        <v>SJ004021M96/648-649 Y te hace un corte de pastelillo y entonces, te vas a estacionar y te dicen, no yo llegué primero, y te chilla la goma al frente y se te estaciona, no eso es, eso es...</v>
      </c>
      <c r="C110" s="103" t="str">
        <f xml:space="preserve">
SJ004021M96!C15</f>
        <v>analítico</v>
      </c>
      <c r="D110" s="103" t="str">
        <f xml:space="preserve">
SJ004021M96!D15</f>
        <v>temporal</v>
      </c>
      <c r="E110" s="103">
        <f xml:space="preserve">
SJ004021M96!E15</f>
        <v>2</v>
      </c>
      <c r="F110" s="103">
        <f xml:space="preserve">
SJ004021M96!F15</f>
        <v>0</v>
      </c>
      <c r="G110" s="103">
        <f xml:space="preserve">
SJ004021M96!G15</f>
        <v>0</v>
      </c>
      <c r="H110" s="103">
        <f xml:space="preserve">
SJ004021M96!H15</f>
        <v>0</v>
      </c>
      <c r="I110" s="103">
        <f xml:space="preserve">
SJ004021M96!I15</f>
        <v>0</v>
      </c>
      <c r="J110" s="103">
        <f xml:space="preserve">
SJ004021M96!J15</f>
        <v>0</v>
      </c>
      <c r="K110" s="103">
        <v>1</v>
      </c>
      <c r="L110" s="103" t="s">
        <v>697</v>
      </c>
    </row>
    <row r="111" spans="1:12" customFormat="1">
      <c r="A111" t="str">
        <f xml:space="preserve">
SJ004021M96!A16</f>
        <v>SJ004021M96</v>
      </c>
      <c r="B111" t="str">
        <f xml:space="preserve">
SJ004021M96!B16</f>
        <v>SJ004021M96/655-657 Sí, en cuestión de edificios y mucho, este, mucho infraestructura, muchas avenidas, muchas conexiones, museos, este, tiendas, este, igual que aquí en Puerto Rico en el Condado pues, están, este, vamos a decir estos, de París, este, Lancome, este, todas éstas...</v>
      </c>
      <c r="C111" t="str">
        <f xml:space="preserve">
SJ004021M96!C16</f>
        <v>analítico</v>
      </c>
      <c r="D111" t="str">
        <f xml:space="preserve">
SJ004021M96!D16</f>
        <v>marcador</v>
      </c>
      <c r="E111">
        <f xml:space="preserve">
SJ004021M96!E16</f>
        <v>4</v>
      </c>
      <c r="F111">
        <f xml:space="preserve">
SJ004021M96!F16</f>
        <v>0</v>
      </c>
      <c r="G111">
        <f xml:space="preserve">
SJ004021M96!G16</f>
        <v>0</v>
      </c>
      <c r="H111">
        <f xml:space="preserve">
SJ004021M96!H16</f>
        <v>0</v>
      </c>
      <c r="I111">
        <f xml:space="preserve">
SJ004021M96!I16</f>
        <v>0</v>
      </c>
      <c r="J111">
        <f xml:space="preserve">
SJ004021M96!J16</f>
        <v>0</v>
      </c>
      <c r="K111">
        <v>1</v>
      </c>
      <c r="L111" t="s">
        <v>697</v>
      </c>
    </row>
    <row r="112" spans="1:12" customFormat="1">
      <c r="A112" s="103" t="str">
        <f xml:space="preserve">
SJ004021M96!A17</f>
        <v>SJ004021M96</v>
      </c>
      <c r="B112" s="103" t="str">
        <f xml:space="preserve">
SJ004021M96!B17</f>
        <v>SJ004021M96/660-662 Las grandes compañías, pues Venezuela tiene este, sucursales que no las vamos, no las vamos a encontrar en Costa Rica ni otros sitios, o sea, tiene gente que va allí, pero, el venezolano como tal, la persona, yo sé que me están grabando pero, si algún venezolano, yo espero que no lo oiga.</v>
      </c>
      <c r="C112" s="103" t="str">
        <f xml:space="preserve">
SJ004021M96!C17</f>
        <v>analítico</v>
      </c>
      <c r="D112" s="103" t="str">
        <f xml:space="preserve">
SJ004021M96!D17</f>
        <v>temporal</v>
      </c>
      <c r="E112" s="103">
        <f xml:space="preserve">
SJ004021M96!E17</f>
        <v>4</v>
      </c>
      <c r="F112" s="103">
        <f xml:space="preserve">
SJ004021M96!F17</f>
        <v>0</v>
      </c>
      <c r="G112" s="103">
        <f xml:space="preserve">
SJ004021M96!G17</f>
        <v>0</v>
      </c>
      <c r="H112" s="103">
        <f xml:space="preserve">
SJ004021M96!H17</f>
        <v>0</v>
      </c>
      <c r="I112" s="103">
        <f xml:space="preserve">
SJ004021M96!I17</f>
        <v>0</v>
      </c>
      <c r="J112" s="103">
        <f xml:space="preserve">
SJ004021M96!J17</f>
        <v>0</v>
      </c>
      <c r="K112" s="103">
        <v>1</v>
      </c>
      <c r="L112" s="103" t="s">
        <v>697</v>
      </c>
    </row>
    <row r="113" spans="1:12">
      <c r="A113" s="103" t="str">
        <f xml:space="preserve">
SJ004021M96!A18</f>
        <v>SJ004021M96</v>
      </c>
      <c r="B113" s="103" t="str">
        <f xml:space="preserve">
SJ004021M96!B18</f>
        <v>SJ004021M96/701-702A Y por eso yo me sentí tan, tan rara. El país en sí me gusta, hay bastantes comodidades, si tú tienes di, dinero pues vas a comerte lo que tú quieras, vas a encontrar lo que tú quieras.</v>
      </c>
      <c r="C113" s="103" t="str">
        <f xml:space="preserve">
SJ004021M96!C18</f>
        <v>analítico</v>
      </c>
      <c r="D113" s="103" t="str">
        <f xml:space="preserve">
SJ004021M96!D18</f>
        <v>temporal</v>
      </c>
      <c r="E113" s="103">
        <f xml:space="preserve">
SJ004021M96!E18</f>
        <v>2</v>
      </c>
      <c r="F113" s="103">
        <f xml:space="preserve">
SJ004021M96!F18</f>
        <v>0</v>
      </c>
      <c r="G113" s="103">
        <f xml:space="preserve">
SJ004021M96!G18</f>
        <v>0</v>
      </c>
      <c r="H113" s="103">
        <f xml:space="preserve">
SJ004021M96!H18</f>
        <v>0</v>
      </c>
      <c r="I113" s="103">
        <f xml:space="preserve">
SJ004021M96!I18</f>
        <v>0</v>
      </c>
      <c r="J113" s="103">
        <f xml:space="preserve">
SJ004021M96!J18</f>
        <v>1</v>
      </c>
      <c r="K113" s="103">
        <v>1</v>
      </c>
      <c r="L113" s="103" t="s">
        <v>697</v>
      </c>
    </row>
    <row r="114" spans="1:12" customFormat="1">
      <c r="A114" s="103" t="str">
        <f xml:space="preserve">
SJ004021M96!A19</f>
        <v>SJ004021M96</v>
      </c>
      <c r="B114" s="103" t="str">
        <f xml:space="preserve">
SJ004021M96!B19</f>
        <v>SJ004021M96/701-702B Y por eso yo me sentí tan, tan rara. El país en sí me gusta, hay bastantes comodidades, si tú tienes di, dinero pues vas a comerte lo que tú quieras, vas a encontrar lo que tú quieras.</v>
      </c>
      <c r="C114" s="103" t="str">
        <f xml:space="preserve">
SJ004021M96!C19</f>
        <v>analítico</v>
      </c>
      <c r="D114" s="103" t="str">
        <f xml:space="preserve">
SJ004021M96!D19</f>
        <v>temporal</v>
      </c>
      <c r="E114" s="103">
        <f xml:space="preserve">
SJ004021M96!E19</f>
        <v>2</v>
      </c>
      <c r="F114" s="103">
        <f xml:space="preserve">
SJ004021M96!F19</f>
        <v>0</v>
      </c>
      <c r="G114" s="103">
        <f xml:space="preserve">
SJ004021M96!G19</f>
        <v>0</v>
      </c>
      <c r="H114" s="103">
        <f xml:space="preserve">
SJ004021M96!H19</f>
        <v>0</v>
      </c>
      <c r="I114" s="103">
        <f xml:space="preserve">
SJ004021M96!I19</f>
        <v>0</v>
      </c>
      <c r="J114" s="103">
        <f xml:space="preserve">
SJ004021M96!J19</f>
        <v>1</v>
      </c>
      <c r="K114" s="103">
        <v>1</v>
      </c>
      <c r="L114" s="103" t="s">
        <v>697</v>
      </c>
    </row>
    <row r="115" spans="1:12">
      <c r="A115" s="103" t="str">
        <f xml:space="preserve">
SJ004021M96!A20</f>
        <v>SJ004021M96</v>
      </c>
      <c r="B115" s="103" t="str">
        <f xml:space="preserve">
SJ004021M96!B20</f>
        <v>SJ004021M96/708-709 Es más difícil aunque por eso, pues, no todos se van a señalar y ellos hacen buenas obras y se han destacado en muchas cosas, pero, pues, eso no, no, fíjate la gente, pero el país...</v>
      </c>
      <c r="C115" s="103" t="str">
        <f xml:space="preserve">
SJ004021M96!C20</f>
        <v>analítico</v>
      </c>
      <c r="D115" s="103" t="str">
        <f xml:space="preserve">
SJ004021M96!D20</f>
        <v>temporal</v>
      </c>
      <c r="E115" s="103">
        <f xml:space="preserve">
SJ004021M96!E20</f>
        <v>6</v>
      </c>
      <c r="F115" s="103">
        <f xml:space="preserve">
SJ004021M96!F20</f>
        <v>0</v>
      </c>
      <c r="G115" s="103">
        <f xml:space="preserve">
SJ004021M96!G20</f>
        <v>0</v>
      </c>
      <c r="H115" s="103">
        <f xml:space="preserve">
SJ004021M96!H20</f>
        <v>0</v>
      </c>
      <c r="I115" s="103">
        <f xml:space="preserve">
SJ004021M96!I20</f>
        <v>0</v>
      </c>
      <c r="J115" s="103">
        <f xml:space="preserve">
SJ004021M96!J20</f>
        <v>0</v>
      </c>
      <c r="K115" s="103">
        <v>1</v>
      </c>
      <c r="L115" s="103" t="s">
        <v>697</v>
      </c>
    </row>
    <row r="116" spans="1:12">
      <c r="A116" s="103" t="str">
        <f xml:space="preserve">
SJ004021M96!A21</f>
        <v>SJ004021M96</v>
      </c>
      <c r="B116" s="103" t="str">
        <f xml:space="preserve">
SJ004021M96!B21</f>
        <v>SJ004021M96/718 Costa Rica te va a gustar.</v>
      </c>
      <c r="C116" s="103" t="str">
        <f xml:space="preserve">
SJ004021M96!C21</f>
        <v>analítico</v>
      </c>
      <c r="D116" s="103" t="str">
        <f xml:space="preserve">
SJ004021M96!D21</f>
        <v>temporal</v>
      </c>
      <c r="E116" s="103">
        <f xml:space="preserve">
SJ004021M96!E21</f>
        <v>3</v>
      </c>
      <c r="F116" s="103">
        <f xml:space="preserve">
SJ004021M96!F21</f>
        <v>0</v>
      </c>
      <c r="G116" s="103">
        <f xml:space="preserve">
SJ004021M96!G21</f>
        <v>0</v>
      </c>
      <c r="H116" s="103">
        <f xml:space="preserve">
SJ004021M96!H21</f>
        <v>0</v>
      </c>
      <c r="I116" s="103">
        <f xml:space="preserve">
SJ004021M96!I21</f>
        <v>0</v>
      </c>
      <c r="J116" s="103">
        <f xml:space="preserve">
SJ004021M96!J21</f>
        <v>0</v>
      </c>
      <c r="K116" s="103">
        <v>1</v>
      </c>
      <c r="L116" s="103" t="s">
        <v>697</v>
      </c>
    </row>
    <row r="117" spans="1:12" customFormat="1">
      <c r="A117" t="str">
        <f>SJ005021M96!A2</f>
        <v>SJ005021M96</v>
      </c>
      <c r="B117" t="str">
        <f>SJ005021M96!B2</f>
        <v>SJ005021M96/42-44 Ahora mismo, yo no tengo hijo pero si a mis sobrinos, me encanta, este, llevarlos con mi hermana y decirle, vamos a recoger la, a poner la caja y si no me ponen caja no hay regalo en casa.</v>
      </c>
      <c r="C117" t="str">
        <f>SJ005021M96!C2</f>
        <v>analítico</v>
      </c>
      <c r="D117" t="str">
        <f>SJ005021M96!D2</f>
        <v>exhortación</v>
      </c>
      <c r="E117">
        <f>SJ005021M96!E2</f>
        <v>4</v>
      </c>
      <c r="F117">
        <f>SJ005021M96!F2</f>
        <v>0</v>
      </c>
      <c r="G117">
        <f>SJ005021M96!G2</f>
        <v>0</v>
      </c>
      <c r="H117">
        <f>SJ005021M96!H2</f>
        <v>0</v>
      </c>
      <c r="I117">
        <f>SJ005021M96!I2</f>
        <v>0</v>
      </c>
      <c r="J117">
        <f>SJ005021M96!J2</f>
        <v>0</v>
      </c>
      <c r="K117">
        <v>1</v>
      </c>
      <c r="L117" t="s">
        <v>697</v>
      </c>
    </row>
    <row r="118" spans="1:12">
      <c r="A118" s="103" t="str">
        <f>SJ005021M96!A3</f>
        <v>SJ005021M96</v>
      </c>
      <c r="B118" s="103" t="str">
        <f>SJ005021M96!B3</f>
        <v>SJ005021M96/133-134 [P]orque ahora, prácticamente, el padre ya no tiene no autoridad pero si le pega a un niño, ya lo acusan de maltrato.</v>
      </c>
      <c r="C118" s="103" t="str">
        <f>SJ005021M96!C3</f>
        <v>presente</v>
      </c>
      <c r="D118" s="103" t="str">
        <f>SJ005021M96!D3</f>
        <v>temporal</v>
      </c>
      <c r="E118" s="103">
        <f>SJ005021M96!E3</f>
        <v>6</v>
      </c>
      <c r="F118" s="103">
        <f>SJ005021M96!F3</f>
        <v>0</v>
      </c>
      <c r="G118" s="103">
        <f>SJ005021M96!G3</f>
        <v>0</v>
      </c>
      <c r="H118" s="103">
        <f>SJ005021M96!H3</f>
        <v>0</v>
      </c>
      <c r="I118" s="103">
        <f>SJ005021M96!I3</f>
        <v>0</v>
      </c>
      <c r="J118" s="103">
        <f>SJ005021M96!J3</f>
        <v>1</v>
      </c>
      <c r="K118" s="103">
        <v>1</v>
      </c>
      <c r="L118" s="103" t="s">
        <v>697</v>
      </c>
    </row>
    <row r="119" spans="1:12" customFormat="1">
      <c r="A119" s="103" t="str">
        <f>SJ005021M96!A4</f>
        <v>SJ005021M96</v>
      </c>
      <c r="B119" s="103" t="str">
        <f>SJ005021M96!B4</f>
        <v>SJ005021M96/134-135 Y a veces hasta los mismos niños los amenazan, te voy a llamar a Servicios Sociales.</v>
      </c>
      <c r="C119" s="103" t="str">
        <f>SJ005021M96!C4</f>
        <v>analítico</v>
      </c>
      <c r="D119" s="103" t="str">
        <f>SJ005021M96!D4</f>
        <v>temporal</v>
      </c>
      <c r="E119" s="103">
        <f>SJ005021M96!E4</f>
        <v>1</v>
      </c>
      <c r="F119" s="103">
        <f>SJ005021M96!F4</f>
        <v>0</v>
      </c>
      <c r="G119" s="103">
        <f>SJ005021M96!G4</f>
        <v>0</v>
      </c>
      <c r="H119" s="103">
        <f>SJ005021M96!H4</f>
        <v>0</v>
      </c>
      <c r="I119" s="103">
        <f>SJ005021M96!I4</f>
        <v>0</v>
      </c>
      <c r="J119" s="103">
        <f>SJ005021M96!J4</f>
        <v>1</v>
      </c>
      <c r="K119" s="103">
        <v>1</v>
      </c>
      <c r="L119" s="103" t="s">
        <v>697</v>
      </c>
    </row>
    <row r="120" spans="1:12">
      <c r="A120" s="103" t="str">
        <f>SJ004531M96!A2</f>
        <v>SJ004531M96</v>
      </c>
      <c r="B120" s="103" t="str">
        <f>SJ004531M96!B2</f>
        <v>SJ004531M96/28-30 Yo estaba histérica, histérica nunca se me va olvidar ese cumpleaños porque tenía el pelo corto y yo le decía a mi mamá: “mama, pero yo voy a quedar fea en la, en las fotos porque no tengo pelo largo y todos los niños tienen pelo largo”.</v>
      </c>
      <c r="C120" s="103" t="str">
        <f>SJ004531M96!C2</f>
        <v>analítico</v>
      </c>
      <c r="D120" s="103" t="str">
        <f>SJ004531M96!D2</f>
        <v>temporal</v>
      </c>
      <c r="E120" s="103">
        <f>SJ004531M96!E2</f>
        <v>1</v>
      </c>
      <c r="F120" s="103">
        <f>SJ004531M96!F2</f>
        <v>0</v>
      </c>
      <c r="G120" s="103">
        <f>SJ004531M96!G2</f>
        <v>0</v>
      </c>
      <c r="H120" s="103">
        <f>SJ004531M96!H2</f>
        <v>0</v>
      </c>
      <c r="I120" s="103">
        <f>SJ004531M96!I2</f>
        <v>0</v>
      </c>
      <c r="J120" s="103">
        <f>SJ004531M96!J2</f>
        <v>0</v>
      </c>
      <c r="K120" s="103">
        <v>1</v>
      </c>
      <c r="L120" s="103" t="s">
        <v>697</v>
      </c>
    </row>
    <row r="121" spans="1:12">
      <c r="A121" s="103" t="str">
        <f>SJ004531M96!A3</f>
        <v>SJ004531M96</v>
      </c>
      <c r="B121" s="103" t="str">
        <f>SJ004531M96!B3</f>
        <v>SJ004531M96/226-228 Pues, me gustaría, ahora mismo no sé en qué exactamente es lo que voy [a] hacerla me gustaría que fuera en sicología industrial pues me, me centr, trataría de conseg, de encontrar un trabajo donde pudiera desempeñarme en el área que estudié que fue sicología industrial.</v>
      </c>
      <c r="C121" s="103" t="str">
        <f>SJ004531M96!C3</f>
        <v>analítico</v>
      </c>
      <c r="D121" s="103" t="str">
        <f>SJ004531M96!D3</f>
        <v>temporal</v>
      </c>
      <c r="E121" s="103">
        <f>SJ004531M96!E3</f>
        <v>1</v>
      </c>
      <c r="F121" s="103">
        <f>SJ004531M96!F3</f>
        <v>0</v>
      </c>
      <c r="G121" s="103">
        <f>SJ004531M96!G3</f>
        <v>0</v>
      </c>
      <c r="H121" s="103">
        <f>SJ004531M96!H3</f>
        <v>0</v>
      </c>
      <c r="I121" s="103">
        <f>SJ004531M96!I3</f>
        <v>0</v>
      </c>
      <c r="J121" s="103">
        <f>SJ004531M96!J3</f>
        <v>0</v>
      </c>
      <c r="K121" s="103">
        <v>1</v>
      </c>
      <c r="L121" s="103" t="s">
        <v>697</v>
      </c>
    </row>
    <row r="122" spans="1:12" customFormat="1">
      <c r="A122" s="103" t="str">
        <f>SJ004531M96!A4</f>
        <v>SJ004531M96</v>
      </c>
      <c r="B122" s="103" t="str">
        <f>SJ004531M96!B4</f>
        <v>SJ004531M96/255-257 “Oh, my God”, pues, yo creo que yo tengo la capacidad para afrontar una, digo, siempre pensando en que Dios le da, le dará la fortaleza para, para poder sobrellevarla y pues trataría también de superarme.</v>
      </c>
      <c r="C122" s="103" t="str">
        <f>SJ004531M96!C4</f>
        <v>presente</v>
      </c>
      <c r="D122" s="103" t="str">
        <f>SJ004531M96!D4</f>
        <v>temporal</v>
      </c>
      <c r="E122" s="103">
        <f>SJ004531M96!E4</f>
        <v>3</v>
      </c>
      <c r="F122" s="103">
        <f>SJ004531M96!F4</f>
        <v>0</v>
      </c>
      <c r="G122" s="103">
        <f>SJ004531M96!G4</f>
        <v>0</v>
      </c>
      <c r="H122" s="103">
        <f>SJ004531M96!H4</f>
        <v>0</v>
      </c>
      <c r="I122" s="103">
        <f>SJ004531M96!I4</f>
        <v>0</v>
      </c>
      <c r="J122" s="103">
        <f>SJ004531M96!J4</f>
        <v>0</v>
      </c>
      <c r="K122" s="103">
        <v>1</v>
      </c>
      <c r="L122" s="103" t="s">
        <v>697</v>
      </c>
    </row>
    <row r="123" spans="1:12" customFormat="1">
      <c r="A123" s="103" t="str">
        <f>SJ004531M96!A5</f>
        <v>SJ004531M96</v>
      </c>
      <c r="B123" s="103" t="str">
        <f>SJ004531M96!B5</f>
        <v>SJ004531M96/255-257 “Oh, my God”, pues, yo creo que yo tengo la capacidad para afrontar una, digo, siempre pensando en que Dios le da, le dará la fortaleza para, para poder sobrellevarla y pues trataría también de superarme.</v>
      </c>
      <c r="C123" s="103" t="str">
        <f>SJ004531M96!C5</f>
        <v>analítico</v>
      </c>
      <c r="D123" s="103" t="str">
        <f>SJ004531M96!D5</f>
        <v>temporal</v>
      </c>
      <c r="E123" s="103">
        <f>SJ004531M96!E5</f>
        <v>3</v>
      </c>
      <c r="F123" s="103">
        <f>SJ004531M96!F5</f>
        <v>0</v>
      </c>
      <c r="G123" s="103">
        <f>SJ004531M96!G5</f>
        <v>0</v>
      </c>
      <c r="H123" s="103">
        <f>SJ004531M96!H5</f>
        <v>0</v>
      </c>
      <c r="I123" s="103">
        <f>SJ004531M96!I5</f>
        <v>0</v>
      </c>
      <c r="J123" s="103">
        <f>SJ004531M96!J5</f>
        <v>0</v>
      </c>
      <c r="K123" s="103">
        <v>1</v>
      </c>
      <c r="L123" s="103" t="s">
        <v>697</v>
      </c>
    </row>
    <row r="124" spans="1:12" customFormat="1">
      <c r="A124" s="103" t="str">
        <f>SJ004531M96!A6</f>
        <v>SJ004531M96</v>
      </c>
      <c r="B124" s="103" t="str">
        <f>SJ004531M96!B6</f>
        <v>SJ004531M96/260-261A (¿Sí te ganas un carro último modelo del año?)Lo vendo y pago todas mis deudas.</v>
      </c>
      <c r="C124" s="103" t="str">
        <f>SJ004531M96!C6</f>
        <v>presente</v>
      </c>
      <c r="D124" s="103" t="str">
        <f>SJ004531M96!D6</f>
        <v>temporal</v>
      </c>
      <c r="E124" s="103">
        <f>SJ004531M96!E6</f>
        <v>1</v>
      </c>
      <c r="F124" s="103">
        <f>SJ004531M96!F6</f>
        <v>0</v>
      </c>
      <c r="G124" s="103">
        <f>SJ004531M96!G6</f>
        <v>0</v>
      </c>
      <c r="H124" s="103">
        <f>SJ004531M96!H6</f>
        <v>0</v>
      </c>
      <c r="I124" s="103">
        <f>SJ004531M96!I6</f>
        <v>0</v>
      </c>
      <c r="J124" s="103">
        <f>SJ004531M96!J6</f>
        <v>1</v>
      </c>
      <c r="K124" s="103">
        <v>1</v>
      </c>
      <c r="L124" s="103" t="s">
        <v>697</v>
      </c>
    </row>
    <row r="125" spans="1:12" customFormat="1">
      <c r="A125" s="103" t="str">
        <f>SJ004531M96!A7</f>
        <v>SJ004531M96</v>
      </c>
      <c r="B125" s="103" t="str">
        <f>SJ004531M96!B7</f>
        <v>SJ004531M96/260-261B (¿Sí te ganas un carro último modelo del año?)Lo vendo y pago todas mis deudas.</v>
      </c>
      <c r="C125" s="103" t="str">
        <f>SJ004531M96!C7</f>
        <v>presente</v>
      </c>
      <c r="D125" s="103" t="str">
        <f>SJ004531M96!D7</f>
        <v>temporal</v>
      </c>
      <c r="E125" s="103">
        <f>SJ004531M96!E7</f>
        <v>1</v>
      </c>
      <c r="F125" s="103">
        <f>SJ004531M96!F7</f>
        <v>0</v>
      </c>
      <c r="G125" s="103">
        <f>SJ004531M96!G7</f>
        <v>0</v>
      </c>
      <c r="H125" s="103">
        <f>SJ004531M96!H7</f>
        <v>0</v>
      </c>
      <c r="I125" s="103">
        <f>SJ004531M96!I7</f>
        <v>0</v>
      </c>
      <c r="J125" s="103">
        <f>SJ004531M96!J7</f>
        <v>1</v>
      </c>
      <c r="K125" s="103">
        <v>1</v>
      </c>
      <c r="L125" s="103" t="s">
        <v>697</v>
      </c>
    </row>
    <row r="126" spans="1:12" customFormat="1">
      <c r="A126" s="103" t="str">
        <f>SJ004531M96!A8</f>
        <v>SJ004531M96</v>
      </c>
      <c r="B126" s="103" t="str">
        <f>SJ004531M96!B8</f>
        <v>SJ004531M96/262-264A Verdaderamente, eh,   lo vendería, si me gano un carro de veinte mil dólares ahora mismo me pegó en la loto, resuelvo mis problemas económicos “a la soltá’” y creo que me quedó con el ñangara que tengo.</v>
      </c>
      <c r="C126" s="103" t="str">
        <f>SJ004531M96!C8</f>
        <v>presente</v>
      </c>
      <c r="D126" s="103" t="str">
        <f>SJ004531M96!D8</f>
        <v>temporal</v>
      </c>
      <c r="E126" s="103">
        <f>SJ004531M96!E8</f>
        <v>1</v>
      </c>
      <c r="F126" s="103">
        <f>SJ004531M96!F8</f>
        <v>0</v>
      </c>
      <c r="G126" s="103">
        <f>SJ004531M96!G8</f>
        <v>0</v>
      </c>
      <c r="H126" s="103">
        <f>SJ004531M96!H8</f>
        <v>0</v>
      </c>
      <c r="I126" s="103">
        <f>SJ004531M96!I8</f>
        <v>0</v>
      </c>
      <c r="J126" s="103">
        <f>SJ004531M96!J8</f>
        <v>1</v>
      </c>
      <c r="K126" s="103">
        <v>1</v>
      </c>
      <c r="L126" s="103" t="s">
        <v>697</v>
      </c>
    </row>
    <row r="127" spans="1:12" customFormat="1">
      <c r="A127" s="103" t="str">
        <f>SJ004531M96!A9</f>
        <v>SJ004531M96</v>
      </c>
      <c r="B127" s="103" t="str">
        <f>SJ004531M96!B9</f>
        <v>SJ004531M96/262-264B Verdaderamente, eh,   lo vendería, si me gano un carro de veinte mil dólares ahora mismo me pegó en la loto, resuelvo mis problemas económicos “a la soltá’” y creo que me quedó con el ñangara que tengo.</v>
      </c>
      <c r="C127" s="103" t="str">
        <f>SJ004531M96!C9</f>
        <v>presente</v>
      </c>
      <c r="D127" s="103" t="str">
        <f>SJ004531M96!D9</f>
        <v>temporal</v>
      </c>
      <c r="E127" s="103">
        <f>SJ004531M96!E9</f>
        <v>1</v>
      </c>
      <c r="F127" s="103">
        <f>SJ004531M96!F9</f>
        <v>0</v>
      </c>
      <c r="G127" s="103">
        <f>SJ004531M96!G9</f>
        <v>0</v>
      </c>
      <c r="H127" s="103">
        <f>SJ004531M96!H9</f>
        <v>0</v>
      </c>
      <c r="I127" s="103">
        <f>SJ004531M96!I9</f>
        <v>0</v>
      </c>
      <c r="J127" s="103">
        <f>SJ004531M96!J9</f>
        <v>1</v>
      </c>
      <c r="K127" s="103">
        <v>1</v>
      </c>
      <c r="L127" s="103" t="s">
        <v>697</v>
      </c>
    </row>
    <row r="128" spans="1:12" customFormat="1">
      <c r="A128" s="103" t="str">
        <f>SJ004531M96!A10</f>
        <v>SJ004531M96</v>
      </c>
      <c r="B128" s="103" t="str">
        <f>SJ004531M96!B10</f>
        <v>SJ004531M96/267-269 Pues, tengo mucha esperanza y mucha fe en que todos son etapas en la vida y hay etapas buenas y hay etapas malas no es que esté en una etapa mala, pero sé que, que con mucho empeño y con mucha fe voy a salir a adelante y lograr lo que quiero.</v>
      </c>
      <c r="C128" s="103" t="str">
        <f>SJ004531M96!C10</f>
        <v>analítico</v>
      </c>
      <c r="D128" s="103" t="str">
        <f>SJ004531M96!D10</f>
        <v>temporal</v>
      </c>
      <c r="E128" s="103">
        <f>SJ004531M96!E10</f>
        <v>1</v>
      </c>
      <c r="F128" s="103">
        <f>SJ004531M96!F10</f>
        <v>1</v>
      </c>
      <c r="G128" s="103">
        <f>SJ004531M96!G10</f>
        <v>0</v>
      </c>
      <c r="H128" s="103">
        <f>SJ004531M96!H10</f>
        <v>0</v>
      </c>
      <c r="I128" s="103">
        <f>SJ004531M96!I10</f>
        <v>1</v>
      </c>
      <c r="J128" s="103">
        <f>SJ004531M96!J10</f>
        <v>0</v>
      </c>
      <c r="K128" s="103">
        <v>1</v>
      </c>
      <c r="L128" s="103" t="s">
        <v>697</v>
      </c>
    </row>
    <row r="129" spans="1:12" customFormat="1">
      <c r="A129" s="103" t="str">
        <f>SJ004531M96!A11</f>
        <v>SJ004531M96</v>
      </c>
      <c r="B129" s="103" t="str">
        <f>SJ004531M96!B11</f>
        <v>SJ004531M96/277-279A Un chiste, el último chiste que acabo de escuchar es que van [a] hacer una, en una estación de radio acabo de escuchar, que van [a] hacer un chiste, que van [a] hacer y que el cord, el cor, el cordel del “brassiere” más grande, para, para inscribirlo en el libro de “Guinness”.</v>
      </c>
      <c r="C129" s="103" t="str">
        <f>SJ004531M96!C11</f>
        <v>analítico</v>
      </c>
      <c r="D129" s="103" t="str">
        <f>SJ004531M96!D11</f>
        <v>temporal</v>
      </c>
      <c r="E129" s="103">
        <f>SJ004531M96!E11</f>
        <v>6</v>
      </c>
      <c r="F129" s="103">
        <f>SJ004531M96!F11</f>
        <v>0</v>
      </c>
      <c r="G129" s="103">
        <f>SJ004531M96!G11</f>
        <v>0</v>
      </c>
      <c r="H129" s="103">
        <f>SJ004531M96!H11</f>
        <v>0</v>
      </c>
      <c r="I129" s="103">
        <f>SJ004531M96!I11</f>
        <v>0</v>
      </c>
      <c r="J129" s="103">
        <f>SJ004531M96!J11</f>
        <v>0</v>
      </c>
      <c r="K129" s="103">
        <v>1</v>
      </c>
      <c r="L129" s="103" t="s">
        <v>697</v>
      </c>
    </row>
    <row r="130" spans="1:12" customFormat="1">
      <c r="A130" s="103" t="str">
        <f>SJ004531M96!A12</f>
        <v>SJ004531M96</v>
      </c>
      <c r="B130" s="103" t="str">
        <f>SJ004531M96!B12</f>
        <v>SJ004531M96/277-279B Un chiste, el último chiste que acabo de escuchar es que van [a] hacer una, en una estación de radio acabo de escuchar, que van [a] hacer un chiste, que van [a] hacer y que el cord, el cor, el cordel del “brassiere” más grande, para, para inscribirlo en el libro de “Guinness”.</v>
      </c>
      <c r="C130" s="103" t="str">
        <f>SJ004531M96!C12</f>
        <v>analítico</v>
      </c>
      <c r="D130" s="103" t="str">
        <f>SJ004531M96!D12</f>
        <v>temporal</v>
      </c>
      <c r="E130" s="103">
        <f>SJ004531M96!E12</f>
        <v>6</v>
      </c>
      <c r="F130" s="103">
        <f>SJ004531M96!F12</f>
        <v>0</v>
      </c>
      <c r="G130" s="103">
        <f>SJ004531M96!G12</f>
        <v>0</v>
      </c>
      <c r="H130" s="103">
        <f>SJ004531M96!H12</f>
        <v>0</v>
      </c>
      <c r="I130" s="103">
        <f>SJ004531M96!I12</f>
        <v>0</v>
      </c>
      <c r="J130" s="103">
        <f>SJ004531M96!J12</f>
        <v>0</v>
      </c>
      <c r="K130" s="103">
        <v>1</v>
      </c>
      <c r="L130" s="103" t="s">
        <v>697</v>
      </c>
    </row>
    <row r="131" spans="1:12" customFormat="1">
      <c r="A131" s="103" t="str">
        <f>SJ004531M96!A13</f>
        <v>SJ004531M96</v>
      </c>
      <c r="B131" s="103" t="str">
        <f>SJ004531M96!B13</f>
        <v>SJ004531M96/277-279C Un chiste, el último chiste que acabo de escuchar es que van [a] hacer una, en una estación de radio acabo de escuchar, que van [a] hacer un chiste, que van [a] hacer y que el cord, el cor, el cordel del “brassiere” más grande, para, para inscribirlo en el libro de “Guinness”.</v>
      </c>
      <c r="C131" s="103" t="str">
        <f>SJ004531M96!C13</f>
        <v>analítico</v>
      </c>
      <c r="D131" s="103" t="str">
        <f>SJ004531M96!D13</f>
        <v>temporal</v>
      </c>
      <c r="E131" s="103">
        <f>SJ004531M96!E13</f>
        <v>6</v>
      </c>
      <c r="F131" s="103">
        <f>SJ004531M96!F13</f>
        <v>0</v>
      </c>
      <c r="G131" s="103">
        <f>SJ004531M96!G13</f>
        <v>0</v>
      </c>
      <c r="H131" s="103">
        <f>SJ004531M96!H13</f>
        <v>0</v>
      </c>
      <c r="I131" s="103">
        <f>SJ004531M96!I13</f>
        <v>0</v>
      </c>
      <c r="J131" s="103">
        <f>SJ004531M96!J13</f>
        <v>0</v>
      </c>
      <c r="K131" s="103">
        <v>1</v>
      </c>
      <c r="L131" s="103" t="s">
        <v>697</v>
      </c>
    </row>
    <row r="132" spans="1:12" customFormat="1">
      <c r="A132" s="103" t="str">
        <f>SJ004531M96!A14</f>
        <v>SJ004531M96</v>
      </c>
      <c r="B132" s="103" t="str">
        <f>SJ004531M96!B14</f>
        <v>SJ004531M96/279-281 Desde Las Tetas de Cayey de una, a la otra que todo el mundo va a llevar un “brassiere” a una estación de radio para que sea partícipe de este evento, me parece ridículo.</v>
      </c>
      <c r="C132" s="103" t="str">
        <f>SJ004531M96!C14</f>
        <v>analítico</v>
      </c>
      <c r="D132" s="103" t="str">
        <f>SJ004531M96!D14</f>
        <v>temporal</v>
      </c>
      <c r="E132" s="103">
        <f>SJ004531M96!E14</f>
        <v>3</v>
      </c>
      <c r="F132" s="103">
        <f>SJ004531M96!F14</f>
        <v>0</v>
      </c>
      <c r="G132" s="103">
        <f>SJ004531M96!G14</f>
        <v>0</v>
      </c>
      <c r="H132" s="103">
        <f>SJ004531M96!H14</f>
        <v>0</v>
      </c>
      <c r="I132" s="103">
        <f>SJ004531M96!I14</f>
        <v>0</v>
      </c>
      <c r="J132" s="103">
        <f>SJ004531M96!J14</f>
        <v>0</v>
      </c>
      <c r="K132" s="103">
        <v>1</v>
      </c>
      <c r="L132" s="103" t="s">
        <v>697</v>
      </c>
    </row>
    <row r="133" spans="1:12" customFormat="1">
      <c r="A133" s="103" t="str">
        <f>SJ004531M96!A15</f>
        <v>SJ004531M96</v>
      </c>
      <c r="B133" s="103" t="str">
        <f>SJ004531M96!B15</f>
        <v>SJ004531M96/417 (¿Y piensas ganar en el noventa y, en el dos mil?)Bueno, ahora dicen que van a cambiar hasta van a cambiar la insignia de la pava.</v>
      </c>
      <c r="C133" s="103" t="str">
        <f>SJ004531M96!C15</f>
        <v>analítico</v>
      </c>
      <c r="D133" s="103" t="str">
        <f>SJ004531M96!D15</f>
        <v>temporal</v>
      </c>
      <c r="E133" s="103">
        <f>SJ004531M96!E15</f>
        <v>6</v>
      </c>
      <c r="F133" s="103">
        <f>SJ004531M96!F15</f>
        <v>0</v>
      </c>
      <c r="G133" s="103">
        <f>SJ004531M96!G15</f>
        <v>0</v>
      </c>
      <c r="H133" s="103">
        <f>SJ004531M96!H15</f>
        <v>1</v>
      </c>
      <c r="I133" s="103">
        <f>SJ004531M96!I15</f>
        <v>0</v>
      </c>
      <c r="J133" s="103">
        <f>SJ004531M96!J15</f>
        <v>0</v>
      </c>
      <c r="K133" s="103">
        <v>1</v>
      </c>
      <c r="L133" s="103" t="s">
        <v>697</v>
      </c>
    </row>
    <row r="134" spans="1:12" customFormat="1">
      <c r="A134" s="103" t="str">
        <f>SJ004531M96!A16</f>
        <v>SJ004531M96</v>
      </c>
      <c r="B134" s="103" t="str">
        <f>SJ004531M96!B16</f>
        <v>SJ004531M96/417 (¿Y piensas ganar en el noventa y, en el dos mil?)Bueno, ahora dicen que van a cambiar hasta van a cambiar la insignia de la pava.</v>
      </c>
      <c r="C134" s="103" t="str">
        <f>SJ004531M96!C16</f>
        <v>analítico</v>
      </c>
      <c r="D134" s="103" t="str">
        <f>SJ004531M96!D16</f>
        <v>temporal</v>
      </c>
      <c r="E134" s="103">
        <f>SJ004531M96!E16</f>
        <v>6</v>
      </c>
      <c r="F134" s="103">
        <f>SJ004531M96!F16</f>
        <v>0</v>
      </c>
      <c r="G134" s="103">
        <f>SJ004531M96!G16</f>
        <v>0</v>
      </c>
      <c r="H134" s="103">
        <f>SJ004531M96!H16</f>
        <v>1</v>
      </c>
      <c r="I134" s="103">
        <f>SJ004531M96!I16</f>
        <v>0</v>
      </c>
      <c r="J134" s="103">
        <f>SJ004531M96!J16</f>
        <v>0</v>
      </c>
      <c r="K134" s="103">
        <v>1</v>
      </c>
      <c r="L134" s="103" t="s">
        <v>697</v>
      </c>
    </row>
    <row r="135" spans="1:12" customFormat="1">
      <c r="A135" s="103" t="str">
        <f>SJ004531M96!A17</f>
        <v>SJ004531M96</v>
      </c>
      <c r="B135" s="103" t="str">
        <f>SJ004531M96!B17</f>
        <v>SJ004531M96/416-426A (¿Y piensas ganar en el noventa y, en el dos mil?)_x000D_Bueno, ahora dicen que van a cambiar hasta van a cambiar la insignia de la pava.(¿Y qué opinas de esto?) Pues en verdad no estoy muy relacionada con el tema, no, no, estoy muy relacionada, fue que lo escuché en unas noticias pero no lo he leído nada acerca de eso, pero, hay to, en todos, eh, los cambios son buenos. Hay mucha gente que le costará adaptarse y que no, que no lo acepta pero yo si es en beneficio de, todos los cambios que sean en beneficio del pueblo y de nuestra sociedad pues, bienvenidos sean y, y de una ideología política pues bienvenidos sean.</v>
      </c>
      <c r="C135" s="103" t="str">
        <f>SJ004531M96!C17</f>
        <v>morfológico</v>
      </c>
      <c r="D135" s="103" t="str">
        <f>SJ004531M96!D17</f>
        <v>temporal</v>
      </c>
      <c r="E135" s="103">
        <f>SJ004531M96!E17</f>
        <v>3</v>
      </c>
      <c r="F135" s="103">
        <f>SJ004531M96!F17</f>
        <v>0</v>
      </c>
      <c r="G135" s="103">
        <f>SJ004531M96!G17</f>
        <v>0</v>
      </c>
      <c r="H135" s="103">
        <f>SJ004531M96!H17</f>
        <v>1</v>
      </c>
      <c r="I135" s="103">
        <f>SJ004531M96!I17</f>
        <v>0</v>
      </c>
      <c r="J135" s="103">
        <f>SJ004531M96!J17</f>
        <v>0</v>
      </c>
      <c r="K135" s="103">
        <v>1</v>
      </c>
      <c r="L135" s="103" t="s">
        <v>697</v>
      </c>
    </row>
    <row r="136" spans="1:12" customFormat="1">
      <c r="A136" s="103" t="str">
        <f>SJ004531M96!A18</f>
        <v>SJ004531M96</v>
      </c>
      <c r="B136" s="103" t="str">
        <f>SJ004531M96!B18</f>
        <v>SJ004531M96/423-426B Hay mucha gente que le costará adaptarse y que no, que no lo acepta pero yo si es en beneficio de, todos los cambios que sean en beneficio del pueblo y de nuestra sociedad pues, bienvenidos sean y, y de una ideología política pues bienvenidos sean.</v>
      </c>
      <c r="C136" s="103" t="str">
        <f>SJ004531M96!C18</f>
        <v>presente</v>
      </c>
      <c r="D136" s="103" t="str">
        <f>SJ004531M96!D18</f>
        <v>temporal</v>
      </c>
      <c r="E136" s="103">
        <f>SJ004531M96!E18</f>
        <v>3</v>
      </c>
      <c r="F136" s="103">
        <f>SJ004531M96!F18</f>
        <v>0</v>
      </c>
      <c r="G136" s="103">
        <f>SJ004531M96!G18</f>
        <v>0</v>
      </c>
      <c r="H136" s="103">
        <f>SJ004531M96!H18</f>
        <v>1</v>
      </c>
      <c r="I136" s="103">
        <f>SJ004531M96!I18</f>
        <v>0</v>
      </c>
      <c r="J136" s="103">
        <f>SJ004531M96!J18</f>
        <v>0</v>
      </c>
      <c r="K136" s="103">
        <v>1</v>
      </c>
      <c r="L136" s="103" t="s">
        <v>697</v>
      </c>
    </row>
    <row r="137" spans="1:12" customFormat="1">
      <c r="A137" s="103" t="str">
        <f>SJ004531M96!A19</f>
        <v>SJ004531M96</v>
      </c>
      <c r="B137" s="103" t="str">
        <f>SJ004531M96!B19</f>
        <v>SJ004531M96/423-426C Hay mucha gente que le costará adaptarse y que no, que no lo acepta pero yo si es en beneficio de, todos los cambios que sean en beneficio del pueblo y de nuestra sociedad pues, bienvenidos sean y, y de una ideología política pues bienvenidos sean.</v>
      </c>
      <c r="C137" s="103" t="str">
        <f>SJ004531M96!C19</f>
        <v>presente</v>
      </c>
      <c r="D137" s="103" t="str">
        <f>SJ004531M96!D19</f>
        <v>temporal</v>
      </c>
      <c r="E137" s="103">
        <f>SJ004531M96!E19</f>
        <v>3</v>
      </c>
      <c r="F137" s="103">
        <f>SJ004531M96!F19</f>
        <v>0</v>
      </c>
      <c r="G137" s="103">
        <f>SJ004531M96!G19</f>
        <v>0</v>
      </c>
      <c r="H137" s="103">
        <f>SJ004531M96!H19</f>
        <v>1</v>
      </c>
      <c r="I137" s="103">
        <f>SJ004531M96!I19</f>
        <v>0</v>
      </c>
      <c r="J137" s="103">
        <f>SJ004531M96!J19</f>
        <v>0</v>
      </c>
      <c r="K137" s="103">
        <v>1</v>
      </c>
      <c r="L137" s="103" t="s">
        <v>697</v>
      </c>
    </row>
    <row r="138" spans="1:12" customFormat="1">
      <c r="A138" s="103" t="str">
        <f>SJ008031M96!A2</f>
        <v>SJ008031M96</v>
      </c>
      <c r="B138" s="103" t="str">
        <f>SJ008031M96!B2</f>
        <v>SJ008031M96/60-63 Y tan pronto salgo de aquí que llego a la cinco a mi casa pues ya mi esposo y yo nos dividimos las tareas o si yo llego cocino y él atiende las asignaciones del nene o él me dice pues yo voy hoy a cocinar y atiende tú con las asignaciones del nené.</v>
      </c>
      <c r="C138" s="103" t="str">
        <f>SJ008031M96!C2</f>
        <v>analítico</v>
      </c>
      <c r="D138" s="103" t="str">
        <f>SJ008031M96!D2</f>
        <v>temporal</v>
      </c>
      <c r="E138" s="103">
        <f>SJ008031M96!E2</f>
        <v>1</v>
      </c>
      <c r="F138" s="103">
        <f>SJ008031M96!F2</f>
        <v>1</v>
      </c>
      <c r="G138" s="103">
        <f>SJ008031M96!G2</f>
        <v>0</v>
      </c>
      <c r="H138" s="103">
        <f>SJ008031M96!H2</f>
        <v>2</v>
      </c>
      <c r="I138" s="103">
        <f>SJ008031M96!I2</f>
        <v>0</v>
      </c>
      <c r="J138" s="103">
        <f>SJ008031M96!J2</f>
        <v>0</v>
      </c>
      <c r="K138" s="103">
        <v>1</v>
      </c>
      <c r="L138" s="103" t="s">
        <v>697</v>
      </c>
    </row>
    <row r="139" spans="1:12" customFormat="1">
      <c r="A139" s="103" t="str">
        <f>SJ008031M96!A3</f>
        <v>SJ008031M96</v>
      </c>
      <c r="B139" s="103" t="str">
        <f>SJ008031M96!B3</f>
        <v>SJ008031M96120-121A Esto es lo bueno, esto es lo malo, a esto te vas a enfrentar en la calle, este... tú eres quien vas a decidir por tu vida lo que tú quieras ser.</v>
      </c>
      <c r="C139" s="103" t="str">
        <f>SJ008031M96!C3</f>
        <v>analítico</v>
      </c>
      <c r="D139" s="103" t="str">
        <f>SJ008031M96!D3</f>
        <v>temporal</v>
      </c>
      <c r="E139" s="103">
        <f>SJ008031M96!E3</f>
        <v>2</v>
      </c>
      <c r="F139" s="103">
        <f>SJ008031M96!F3</f>
        <v>0</v>
      </c>
      <c r="G139" s="103">
        <f>SJ008031M96!G3</f>
        <v>0</v>
      </c>
      <c r="H139" s="103">
        <f>SJ008031M96!H3</f>
        <v>0</v>
      </c>
      <c r="I139" s="103">
        <f>SJ008031M96!I3</f>
        <v>0</v>
      </c>
      <c r="J139" s="103">
        <f>SJ008031M96!J3</f>
        <v>0</v>
      </c>
      <c r="K139" s="103">
        <v>1</v>
      </c>
      <c r="L139" s="103" t="s">
        <v>697</v>
      </c>
    </row>
    <row r="140" spans="1:12" customFormat="1">
      <c r="A140" s="103" t="str">
        <f>SJ008031M96!A4</f>
        <v>SJ008031M96</v>
      </c>
      <c r="B140" s="103" t="str">
        <f>SJ008031M96!B4</f>
        <v>SJ008031M96120-121B Esto es lo bueno, esto es lo malo, a esto te vas a enfrentar en la calle, este... tú eres quien vas a decidir por tu vida lo que tú quieras ser.</v>
      </c>
      <c r="C140" s="103" t="str">
        <f>SJ008031M96!C4</f>
        <v>analítico</v>
      </c>
      <c r="D140" s="103" t="str">
        <f>SJ008031M96!D4</f>
        <v>temporal</v>
      </c>
      <c r="E140" s="103">
        <f>SJ008031M96!E4</f>
        <v>2</v>
      </c>
      <c r="F140" s="103">
        <f>SJ008031M96!F4</f>
        <v>0</v>
      </c>
      <c r="G140" s="103">
        <f>SJ008031M96!G4</f>
        <v>0</v>
      </c>
      <c r="H140" s="103">
        <f>SJ008031M96!H4</f>
        <v>0</v>
      </c>
      <c r="I140" s="103">
        <f>SJ008031M96!I4</f>
        <v>0</v>
      </c>
      <c r="J140" s="103">
        <f>SJ008031M96!J4</f>
        <v>0</v>
      </c>
      <c r="K140" s="103">
        <v>1</v>
      </c>
      <c r="L140" s="103" t="s">
        <v>697</v>
      </c>
    </row>
    <row r="141" spans="1:12" customFormat="1">
      <c r="A141" s="103" t="str">
        <f>SJ008031M96!A5</f>
        <v>SJ008031M96</v>
      </c>
      <c r="B141" s="103" t="str">
        <f>SJ008031M96!B5</f>
        <v>SJ008031M96161-162 Si él pues viene y se separa del grupo o algo, pues ya tú sabes que la van a coger en contra de él.</v>
      </c>
      <c r="C141" s="103" t="str">
        <f>SJ008031M96!C5</f>
        <v>analítico</v>
      </c>
      <c r="D141" s="103" t="str">
        <f>SJ008031M96!D5</f>
        <v>temporal</v>
      </c>
      <c r="E141" s="103">
        <f>SJ008031M96!E5</f>
        <v>6</v>
      </c>
      <c r="F141" s="103">
        <f>SJ008031M96!F5</f>
        <v>0</v>
      </c>
      <c r="G141" s="103">
        <f>SJ008031M96!G5</f>
        <v>0</v>
      </c>
      <c r="H141" s="103">
        <f>SJ008031M96!H5</f>
        <v>0</v>
      </c>
      <c r="I141" s="103">
        <f>SJ008031M96!I5</f>
        <v>1</v>
      </c>
      <c r="J141" s="103">
        <f>SJ008031M96!J5</f>
        <v>1</v>
      </c>
      <c r="K141" s="103">
        <v>1</v>
      </c>
      <c r="L141" s="103" t="s">
        <v>697</v>
      </c>
    </row>
    <row r="142" spans="1:12" customFormat="1">
      <c r="A142" s="103" t="str">
        <f>SJ008031M96!A6</f>
        <v>SJ008031M96</v>
      </c>
      <c r="B142" s="103" t="str">
        <f>SJ008031M96!B6</f>
        <v>SJ008031M96203-205 Porque yo le digo a Orlín, este... “¡Ay!, cuando la nena tenga novio que vayan para plaza, que vayan para cine”. Ah, pues, vamos para cine con la nena (risa).”</v>
      </c>
      <c r="C142" s="103" t="str">
        <f>SJ008031M96!C6</f>
        <v>presente</v>
      </c>
      <c r="D142" s="103" t="str">
        <f>SJ008031M96!D6</f>
        <v>temporal</v>
      </c>
      <c r="E142" s="103">
        <f>SJ008031M96!E6</f>
        <v>4</v>
      </c>
      <c r="F142" s="103">
        <f>SJ008031M96!F6</f>
        <v>0</v>
      </c>
      <c r="G142" s="103">
        <f>SJ008031M96!G6</f>
        <v>0</v>
      </c>
      <c r="H142" s="103">
        <f>SJ008031M96!H6</f>
        <v>1</v>
      </c>
      <c r="I142" s="103">
        <f>SJ008031M96!I6</f>
        <v>0</v>
      </c>
      <c r="J142" s="103">
        <f>SJ008031M96!J6</f>
        <v>0</v>
      </c>
      <c r="K142" s="103">
        <v>1</v>
      </c>
      <c r="L142" s="103" t="s">
        <v>697</v>
      </c>
    </row>
    <row r="143" spans="1:12" customFormat="1">
      <c r="A143" s="103" t="str">
        <f>SJ008031M96!A7</f>
        <v>SJ008031M96</v>
      </c>
      <c r="B143" s="103" t="str">
        <f>SJ008031M96!B7</f>
        <v>SJ008031M96207A Llegar al punto medio es lo difícil y con eso es con lo que uno va a tener que bregar.</v>
      </c>
      <c r="C143" s="103" t="str">
        <f>SJ008031M96!C7</f>
        <v>presente</v>
      </c>
      <c r="D143" s="103" t="str">
        <f>SJ008031M96!D7</f>
        <v>temporal</v>
      </c>
      <c r="E143" s="103">
        <f>SJ008031M96!E7</f>
        <v>3</v>
      </c>
      <c r="F143" s="103">
        <f>SJ008031M96!F7</f>
        <v>0</v>
      </c>
      <c r="G143" s="103">
        <f>SJ008031M96!G7</f>
        <v>0</v>
      </c>
      <c r="H143" s="103">
        <f>SJ008031M96!H7</f>
        <v>1</v>
      </c>
      <c r="I143" s="103">
        <f>SJ008031M96!I7</f>
        <v>0</v>
      </c>
      <c r="J143" s="103">
        <f>SJ008031M96!J7</f>
        <v>0</v>
      </c>
      <c r="K143" s="103">
        <v>1</v>
      </c>
      <c r="L143" s="103" t="s">
        <v>697</v>
      </c>
    </row>
    <row r="144" spans="1:12" customFormat="1">
      <c r="A144" s="103" t="str">
        <f>SJ008031M96!A8</f>
        <v>SJ008031M96</v>
      </c>
      <c r="B144" s="103" t="str">
        <f>SJ008031M96!B8</f>
        <v>SJ008031M96207B Llegar al punto medio es lo difícil y con eso es con lo que uno va a tener que bregar.</v>
      </c>
      <c r="C144" s="103" t="str">
        <f>SJ008031M96!C8</f>
        <v>analítico</v>
      </c>
      <c r="D144" s="103" t="str">
        <f>SJ008031M96!D8</f>
        <v>temporal</v>
      </c>
      <c r="E144" s="103">
        <f>SJ008031M96!E8</f>
        <v>3</v>
      </c>
      <c r="F144" s="103">
        <f>SJ008031M96!F8</f>
        <v>0</v>
      </c>
      <c r="G144" s="103">
        <f>SJ008031M96!G8</f>
        <v>0</v>
      </c>
      <c r="H144" s="103">
        <f>SJ008031M96!H8</f>
        <v>1</v>
      </c>
      <c r="I144" s="103">
        <f>SJ008031M96!I8</f>
        <v>0</v>
      </c>
      <c r="J144" s="103">
        <f>SJ008031M96!J8</f>
        <v>0</v>
      </c>
      <c r="K144" s="103">
        <v>1</v>
      </c>
      <c r="L144" s="103" t="s">
        <v>697</v>
      </c>
    </row>
    <row r="145" spans="1:12" customFormat="1">
      <c r="A145" s="103" t="str">
        <f>SJ008031M96!A9</f>
        <v>SJ008031M96</v>
      </c>
      <c r="B145" s="103" t="str">
        <f>SJ008031M96!B9</f>
        <v>SJ008031M96219-221 No creo en el aborto porque hay tantos métodos anticonceptivos para tú evitar los hijos, y si lo vas a hacer porque es tu cuerpo y es tú decisión y no quieres ese niño, pues mira, evítalo.</v>
      </c>
      <c r="C145" s="103" t="str">
        <f>SJ008031M96!C9</f>
        <v>analítico</v>
      </c>
      <c r="D145" s="103" t="str">
        <f>SJ008031M96!D9</f>
        <v>temporal</v>
      </c>
      <c r="E145" s="103">
        <f>SJ008031M96!E9</f>
        <v>2</v>
      </c>
      <c r="F145" s="103">
        <f>SJ008031M96!F9</f>
        <v>0</v>
      </c>
      <c r="G145" s="103">
        <f>SJ008031M96!G9</f>
        <v>0</v>
      </c>
      <c r="H145" s="103">
        <f>SJ008031M96!H9</f>
        <v>0</v>
      </c>
      <c r="I145" s="103">
        <f>SJ008031M96!I9</f>
        <v>0</v>
      </c>
      <c r="J145" s="103">
        <f>SJ008031M96!J9</f>
        <v>1</v>
      </c>
      <c r="K145" s="103">
        <v>1</v>
      </c>
      <c r="L145" s="103" t="s">
        <v>697</v>
      </c>
    </row>
    <row r="146" spans="1:12" customFormat="1">
      <c r="A146" s="103" t="str">
        <f>SJ008031M96!A10</f>
        <v>SJ008031M96</v>
      </c>
      <c r="B146" s="103" t="str">
        <f>SJ008031M96!B10</f>
        <v>SJ008031M96225 Si ella lo quiere hacer no la culpo.</v>
      </c>
      <c r="C146" s="103" t="str">
        <f>SJ008031M96!C10</f>
        <v>presente</v>
      </c>
      <c r="D146" s="103" t="str">
        <f>SJ008031M96!D10</f>
        <v>temporal</v>
      </c>
      <c r="E146" s="103">
        <f>SJ008031M96!E10</f>
        <v>1</v>
      </c>
      <c r="F146" s="103">
        <f>SJ008031M96!F10</f>
        <v>0</v>
      </c>
      <c r="G146" s="103">
        <f>SJ008031M96!G10</f>
        <v>1</v>
      </c>
      <c r="H146" s="103">
        <f>SJ008031M96!H10</f>
        <v>0</v>
      </c>
      <c r="I146" s="103">
        <f>SJ008031M96!I10</f>
        <v>0</v>
      </c>
      <c r="J146" s="103">
        <f>SJ008031M96!J10</f>
        <v>1</v>
      </c>
      <c r="K146" s="103">
        <v>1</v>
      </c>
      <c r="L146" s="103" t="s">
        <v>697</v>
      </c>
    </row>
    <row r="147" spans="1:12" customFormat="1">
      <c r="A147" s="103" t="str">
        <f>SJ008031M96!A11</f>
        <v>SJ008031M96</v>
      </c>
      <c r="B147" s="103" t="str">
        <f>SJ008031M96!B11</f>
        <v>SJ008031M96247-248 Porque a mí me gusta este... llevar a mis nenes al colegio, estar pendientes, irlos a buscar, que si cuando llegamos a las tres que si vamos a bañarte, que toma una merienda.</v>
      </c>
      <c r="C147" s="103" t="str">
        <f>SJ008031M96!C11</f>
        <v>analítico</v>
      </c>
      <c r="D147" s="103" t="str">
        <f>SJ008031M96!D11</f>
        <v>temporal</v>
      </c>
      <c r="E147" s="103">
        <f>SJ008031M96!E11</f>
        <v>4</v>
      </c>
      <c r="F147" s="103">
        <f>SJ008031M96!F11</f>
        <v>0</v>
      </c>
      <c r="G147" s="103">
        <f>SJ008031M96!G11</f>
        <v>0</v>
      </c>
      <c r="H147" s="103">
        <f>SJ008031M96!H11</f>
        <v>0</v>
      </c>
      <c r="I147" s="103">
        <f>SJ008031M96!I11</f>
        <v>0</v>
      </c>
      <c r="J147" s="103">
        <f>SJ008031M96!J11</f>
        <v>0</v>
      </c>
      <c r="K147" s="103">
        <v>1</v>
      </c>
      <c r="L147" s="103" t="s">
        <v>697</v>
      </c>
    </row>
    <row r="148" spans="1:12" customFormat="1">
      <c r="A148" s="103" t="str">
        <f>SJ008031M96!A12</f>
        <v>SJ008031M96</v>
      </c>
      <c r="B148" s="103" t="str">
        <f>SJ008031M96!B12</f>
        <v>SJ008031M96259-262 Pues, por lo que yo ya dije tú no puedes dedicarte a eso hasta tanto tú no tengas una... una base sólida que un sueldo vaya a estar corriendo normal, como cuando él estaba en los camiones que había semanas que él tenía mil y pico en una semana.</v>
      </c>
      <c r="C148" s="103" t="str">
        <f>SJ008031M96!C12</f>
        <v>presente</v>
      </c>
      <c r="D148" s="103" t="str">
        <f>SJ008031M96!D12</f>
        <v>temporal</v>
      </c>
      <c r="E148" s="103">
        <f>SJ008031M96!E12</f>
        <v>2</v>
      </c>
      <c r="F148" s="103">
        <f>SJ008031M96!F12</f>
        <v>0</v>
      </c>
      <c r="G148" s="103">
        <f>SJ008031M96!G12</f>
        <v>1</v>
      </c>
      <c r="H148" s="103">
        <f>SJ008031M96!H12</f>
        <v>1</v>
      </c>
      <c r="I148" s="103">
        <f>SJ008031M96!I12</f>
        <v>0</v>
      </c>
      <c r="J148" s="103">
        <f>SJ008031M96!J12</f>
        <v>0</v>
      </c>
      <c r="K148" s="103">
        <v>1</v>
      </c>
      <c r="L148" s="103" t="s">
        <v>697</v>
      </c>
    </row>
    <row r="149" spans="1:12" customFormat="1">
      <c r="A149" s="103" t="str">
        <f>SJ008031M96!A13</f>
        <v>SJ008031M96</v>
      </c>
      <c r="B149" s="103" t="str">
        <f>SJ008031M96!B13</f>
        <v>SJ008031M96285-286A Sí, siempre habrá sus cositas porque eso siempre pasa eso es en todos los sitios, pero si ponemos en una balanza, yo te diría que hay más compañerismo que nada.</v>
      </c>
      <c r="C149" s="103" t="str">
        <f>SJ008031M96!C13</f>
        <v>morfológico</v>
      </c>
      <c r="D149" s="103" t="str">
        <f>SJ008031M96!D13</f>
        <v>temporal</v>
      </c>
      <c r="E149" s="103">
        <f>SJ008031M96!E13</f>
        <v>3</v>
      </c>
      <c r="F149" s="103">
        <f>SJ008031M96!F13</f>
        <v>1</v>
      </c>
      <c r="G149" s="103">
        <f>SJ008031M96!G13</f>
        <v>0</v>
      </c>
      <c r="H149" s="103">
        <f>SJ008031M96!H13</f>
        <v>0</v>
      </c>
      <c r="I149" s="103">
        <f>SJ008031M96!I13</f>
        <v>1</v>
      </c>
      <c r="J149" s="103">
        <f>SJ008031M96!J13</f>
        <v>0</v>
      </c>
      <c r="K149" s="103">
        <v>1</v>
      </c>
      <c r="L149" s="103" t="s">
        <v>697</v>
      </c>
    </row>
    <row r="150" spans="1:12" customFormat="1">
      <c r="A150" s="103" t="str">
        <f>SJ008031M96!A14</f>
        <v>SJ008031M96</v>
      </c>
      <c r="B150" s="103" t="str">
        <f>SJ008031M96!B14</f>
        <v>SJ008031M96296-297 Que él a veces viene y me agita y yo le digo: “Déjame terminar algo primero vamos a hacerlo con calma”.</v>
      </c>
      <c r="C150" s="103" t="str">
        <f>SJ008031M96!C14</f>
        <v>analítico</v>
      </c>
      <c r="D150" s="103" t="str">
        <f>SJ008031M96!D14</f>
        <v>temporal</v>
      </c>
      <c r="E150" s="103">
        <f>SJ008031M96!E14</f>
        <v>4</v>
      </c>
      <c r="F150" s="103">
        <f>SJ008031M96!F14</f>
        <v>0</v>
      </c>
      <c r="G150" s="103">
        <f>SJ008031M96!G14</f>
        <v>0</v>
      </c>
      <c r="H150" s="103">
        <f>SJ008031M96!H14</f>
        <v>0</v>
      </c>
      <c r="I150" s="103">
        <f>SJ008031M96!I14</f>
        <v>0</v>
      </c>
      <c r="J150" s="103">
        <f>SJ008031M96!J14</f>
        <v>0</v>
      </c>
      <c r="K150" s="103">
        <v>1</v>
      </c>
      <c r="L150" s="103" t="s">
        <v>697</v>
      </c>
    </row>
    <row r="151" spans="1:12" customFormat="1">
      <c r="A151" s="103" t="str">
        <f>SJ008031M96!A15</f>
        <v>SJ008031M96</v>
      </c>
      <c r="B151" s="103" t="str">
        <f>SJ008031M96!B15</f>
        <v>SJ008031M96350-351A Sí, a veces se pide una cuota, a veces, cada cual pues dice pues yo voy a traer esto, yo voy a traer lo otro, todo depende.</v>
      </c>
      <c r="C151" s="103" t="str">
        <f>SJ008031M96!C15</f>
        <v>analítico</v>
      </c>
      <c r="D151" s="103" t="str">
        <f>SJ008031M96!D15</f>
        <v>temporal</v>
      </c>
      <c r="E151" s="103">
        <f>SJ008031M96!E15</f>
        <v>1</v>
      </c>
      <c r="F151" s="103">
        <f>SJ008031M96!F15</f>
        <v>0</v>
      </c>
      <c r="G151" s="103">
        <f>SJ008031M96!G15</f>
        <v>0</v>
      </c>
      <c r="H151" s="103">
        <f>SJ008031M96!H15</f>
        <v>0</v>
      </c>
      <c r="I151" s="103">
        <f>SJ008031M96!I15</f>
        <v>0</v>
      </c>
      <c r="J151" s="103">
        <f>SJ008031M96!J15</f>
        <v>0</v>
      </c>
      <c r="K151" s="103">
        <v>1</v>
      </c>
      <c r="L151" s="103" t="s">
        <v>697</v>
      </c>
    </row>
    <row r="152" spans="1:12" customFormat="1">
      <c r="A152" s="103" t="str">
        <f>SJ008031M96!A16</f>
        <v>SJ008031M96</v>
      </c>
      <c r="B152" s="103" t="str">
        <f>SJ008031M96!B16</f>
        <v>SJ008031M96350-351B Sí, a veces se pide una cuota, a veces, cada cual pues dice pues yo voy a traer esto, yo voy a traer lo otro, todo depende.</v>
      </c>
      <c r="C152" s="103" t="str">
        <f>SJ008031M96!C16</f>
        <v>analítico</v>
      </c>
      <c r="D152" s="103" t="str">
        <f>SJ008031M96!D16</f>
        <v>temporal</v>
      </c>
      <c r="E152" s="103">
        <f>SJ008031M96!E16</f>
        <v>1</v>
      </c>
      <c r="F152" s="103">
        <f>SJ008031M96!F16</f>
        <v>0</v>
      </c>
      <c r="G152" s="103">
        <f>SJ008031M96!G16</f>
        <v>0</v>
      </c>
      <c r="H152" s="103">
        <f>SJ008031M96!H16</f>
        <v>0</v>
      </c>
      <c r="I152" s="103">
        <f>SJ008031M96!I16</f>
        <v>0</v>
      </c>
      <c r="J152" s="103">
        <f>SJ008031M96!J16</f>
        <v>0</v>
      </c>
      <c r="K152" s="103">
        <v>1</v>
      </c>
      <c r="L152" s="103" t="s">
        <v>697</v>
      </c>
    </row>
    <row r="153" spans="1:12" customFormat="1">
      <c r="A153" s="103" t="str">
        <f>SJ008031M96!A17</f>
        <v>SJ008031M96</v>
      </c>
      <c r="B153" s="103" t="str">
        <f>SJ008031M96!B17</f>
        <v>SJ008031M96355-356 Pues fíjate... en cuanto al horario flexible, yo opino como mi jefe que el horario flexible no va a resolver el problema del aire acondicionado.</v>
      </c>
      <c r="C153" s="103" t="str">
        <f>SJ008031M96!C17</f>
        <v>analítico</v>
      </c>
      <c r="D153" s="103" t="str">
        <f>SJ008031M96!D17</f>
        <v>temporal</v>
      </c>
      <c r="E153" s="103">
        <f>SJ008031M96!E17</f>
        <v>3</v>
      </c>
      <c r="F153" s="103">
        <f>SJ008031M96!F17</f>
        <v>0</v>
      </c>
      <c r="G153" s="103">
        <f>SJ008031M96!G17</f>
        <v>1</v>
      </c>
      <c r="H153" s="103">
        <f>SJ008031M96!H17</f>
        <v>0</v>
      </c>
      <c r="I153" s="103">
        <f>SJ008031M96!I17</f>
        <v>1</v>
      </c>
      <c r="J153" s="103">
        <f>SJ008031M96!J17</f>
        <v>0</v>
      </c>
      <c r="K153" s="103">
        <v>1</v>
      </c>
      <c r="L153" s="103" t="s">
        <v>697</v>
      </c>
    </row>
    <row r="154" spans="1:12" customFormat="1">
      <c r="A154" s="103" t="str">
        <f>SJ008031M96!A18</f>
        <v>SJ008031M96</v>
      </c>
      <c r="B154" s="103" t="str">
        <f>SJ008031M96!B18</f>
        <v>SJ008031M96361-362 [N]o resolvían el problema en sí que es cambiar toda esa maquinaria que entiendo que es lo que van a hacer ahora.</v>
      </c>
      <c r="C154" s="103" t="str">
        <f>SJ008031M96!C18</f>
        <v>analítico</v>
      </c>
      <c r="D154" s="103" t="str">
        <f>SJ008031M96!D18</f>
        <v>temporal</v>
      </c>
      <c r="E154" s="103">
        <f>SJ008031M96!E18</f>
        <v>6</v>
      </c>
      <c r="F154" s="103">
        <f>SJ008031M96!F18</f>
        <v>1</v>
      </c>
      <c r="G154" s="103">
        <f>SJ008031M96!G18</f>
        <v>0</v>
      </c>
      <c r="H154" s="103">
        <f>SJ008031M96!H18</f>
        <v>0</v>
      </c>
      <c r="I154" s="103">
        <f>SJ008031M96!I18</f>
        <v>1</v>
      </c>
      <c r="J154" s="103">
        <f>SJ008031M96!J18</f>
        <v>0</v>
      </c>
      <c r="K154" s="103">
        <v>1</v>
      </c>
      <c r="L154" s="103" t="s">
        <v>697</v>
      </c>
    </row>
    <row r="155" spans="1:12" customFormat="1">
      <c r="A155" s="103" t="str">
        <f>SJ008031M96!A19</f>
        <v>SJ008031M96</v>
      </c>
      <c r="B155" s="103" t="str">
        <f>SJ008031M96!B19</f>
        <v>SJ008031M96370-371 No, el hongo sí, eso siempre va a persistir por la humedad, por los libros, pero tienen que bregar con eso.</v>
      </c>
      <c r="C155" s="103" t="str">
        <f>SJ008031M96!C19</f>
        <v>analítico</v>
      </c>
      <c r="D155" s="103" t="str">
        <f>SJ008031M96!D19</f>
        <v>temporal</v>
      </c>
      <c r="E155" s="103">
        <f>SJ008031M96!E19</f>
        <v>3</v>
      </c>
      <c r="F155" s="103">
        <f>SJ008031M96!F19</f>
        <v>1</v>
      </c>
      <c r="G155" s="103">
        <f>SJ008031M96!G19</f>
        <v>0</v>
      </c>
      <c r="H155" s="103">
        <f>SJ008031M96!H19</f>
        <v>0</v>
      </c>
      <c r="I155" s="103">
        <f>SJ008031M96!I19</f>
        <v>1</v>
      </c>
      <c r="J155" s="103">
        <f>SJ008031M96!J19</f>
        <v>0</v>
      </c>
      <c r="K155" s="103">
        <v>1</v>
      </c>
      <c r="L155" s="103" t="s">
        <v>697</v>
      </c>
    </row>
    <row r="156" spans="1:12" customFormat="1">
      <c r="A156" s="103" t="str">
        <f>SJ008031M96!A20</f>
        <v>SJ008031M96</v>
      </c>
      <c r="B156" s="103" t="str">
        <f>SJ008031M96!B20</f>
        <v>SJ008031M96378-380 . O sea, no se ha trabajado con un patrón que diría bueno para esta época se pone más caliente, este, se activan más los hongos, pues en esta época pues vamos a, a hacer esa inspección.</v>
      </c>
      <c r="C156" s="103" t="str">
        <f>SJ008031M96!C20</f>
        <v>analítico</v>
      </c>
      <c r="D156" s="103" t="str">
        <f>SJ008031M96!D20</f>
        <v>temporal</v>
      </c>
      <c r="E156" s="103">
        <f>SJ008031M96!E20</f>
        <v>4</v>
      </c>
      <c r="F156" s="103">
        <f>SJ008031M96!F20</f>
        <v>1</v>
      </c>
      <c r="G156" s="103">
        <f>SJ008031M96!G20</f>
        <v>0</v>
      </c>
      <c r="H156" s="103">
        <f>SJ008031M96!H20</f>
        <v>2</v>
      </c>
      <c r="I156" s="103">
        <f>SJ008031M96!I20</f>
        <v>0</v>
      </c>
      <c r="J156" s="103">
        <f>SJ008031M96!J20</f>
        <v>0</v>
      </c>
      <c r="K156" s="103">
        <v>1</v>
      </c>
      <c r="L156" s="103" t="s">
        <v>697</v>
      </c>
    </row>
    <row r="157" spans="1:12" customFormat="1">
      <c r="A157" s="103" t="str">
        <f>SJ008031M96!A21</f>
        <v>SJ008031M96</v>
      </c>
      <c r="B157" s="103" t="str">
        <f>SJ008031M96!B21</f>
        <v>SJ008031M96388 Sí van a tardar bastante, y creo que sobre medio millón de dólares eso nada más.</v>
      </c>
      <c r="C157" s="103" t="str">
        <f>SJ008031M96!C21</f>
        <v>analítico</v>
      </c>
      <c r="D157" s="103" t="str">
        <f>SJ008031M96!D21</f>
        <v>temporal</v>
      </c>
      <c r="E157" s="103">
        <f>SJ008031M96!E21</f>
        <v>6</v>
      </c>
      <c r="F157" s="103">
        <f>SJ008031M96!F21</f>
        <v>0</v>
      </c>
      <c r="G157" s="103">
        <f>SJ008031M96!G21</f>
        <v>0</v>
      </c>
      <c r="H157" s="103">
        <f>SJ008031M96!H21</f>
        <v>0</v>
      </c>
      <c r="I157" s="103">
        <f>SJ008031M96!I21</f>
        <v>0</v>
      </c>
      <c r="J157" s="103">
        <f>SJ008031M96!J21</f>
        <v>1</v>
      </c>
      <c r="K157" s="103">
        <v>1</v>
      </c>
      <c r="L157" s="103" t="s">
        <v>697</v>
      </c>
    </row>
    <row r="158" spans="1:12" customFormat="1">
      <c r="A158" s="103" t="str">
        <f>SJ008031M96!A22</f>
        <v>SJ008031M96</v>
      </c>
      <c r="B158" s="103" t="str">
        <f>SJ008031M96!B22</f>
        <v>SJ008031M96449-451A Pues quiero hacer un patrón de ver si puedo hacer ejercicio y eso. Estoy tratando de acomodarlo para ver como lo puedo hacer porque tengo que rebajar.</v>
      </c>
      <c r="C158" s="103" t="str">
        <f>SJ008031M96!C22</f>
        <v>presente</v>
      </c>
      <c r="D158" s="103" t="str">
        <f>SJ008031M96!D22</f>
        <v>temporal</v>
      </c>
      <c r="E158" s="103">
        <f>SJ008031M96!E22</f>
        <v>1</v>
      </c>
      <c r="F158" s="103">
        <f>SJ008031M96!F22</f>
        <v>0</v>
      </c>
      <c r="G158" s="103">
        <f>SJ008031M96!G22</f>
        <v>0</v>
      </c>
      <c r="H158" s="103">
        <f>SJ008031M96!H22</f>
        <v>0</v>
      </c>
      <c r="I158" s="103">
        <f>SJ008031M96!I22</f>
        <v>0</v>
      </c>
      <c r="J158" s="103">
        <f>SJ008031M96!J22</f>
        <v>0</v>
      </c>
      <c r="K158" s="103">
        <v>1</v>
      </c>
      <c r="L158" s="103" t="s">
        <v>697</v>
      </c>
    </row>
    <row r="159" spans="1:12" customFormat="1">
      <c r="A159" s="103" t="str">
        <f>SJ008031M96!A23</f>
        <v>SJ008031M96</v>
      </c>
      <c r="B159" s="103" t="str">
        <f>SJ008031M96!B23</f>
        <v>SJ008031M96449-451B Pues quiero hacer un patrón de ver si puedo hacer ejercicio y eso. Estoy tratando de acomodarlo para ver como lo puedo hacer porque tengo que rebajar.</v>
      </c>
      <c r="C159" s="103" t="str">
        <f>SJ008031M96!C23</f>
        <v>presente</v>
      </c>
      <c r="D159" s="103" t="str">
        <f>SJ008031M96!D23</f>
        <v>temporal</v>
      </c>
      <c r="E159" s="103">
        <f>SJ008031M96!E23</f>
        <v>1</v>
      </c>
      <c r="F159" s="103">
        <f>SJ008031M96!F23</f>
        <v>0</v>
      </c>
      <c r="G159" s="103">
        <f>SJ008031M96!G23</f>
        <v>0</v>
      </c>
      <c r="H159" s="103">
        <f>SJ008031M96!H23</f>
        <v>0</v>
      </c>
      <c r="I159" s="103">
        <f>SJ008031M96!I23</f>
        <v>0</v>
      </c>
      <c r="J159" s="103">
        <f>SJ008031M96!J23</f>
        <v>0</v>
      </c>
      <c r="K159" s="103">
        <v>1</v>
      </c>
      <c r="L159" s="103" t="s">
        <v>697</v>
      </c>
    </row>
    <row r="160" spans="1:12" customFormat="1">
      <c r="A160" s="103" t="str">
        <f>SJ008031M96!A24</f>
        <v>SJ008031M96</v>
      </c>
      <c r="B160" s="103" t="str">
        <f>SJ008031M96!B24</f>
        <v>SJ008031M96459-463 Y entonces el domingo si vamos a ir al parque con los nenes y eso pues este yo me... usualmente me levanto bien temprano dejo los uniformes de los niños lavados mmm.... como viernes ya no le toco los libros a los niños, ni sábado, los libros se tocan domingo por la mañana para yo dejarles, bendito, que respiren.</v>
      </c>
      <c r="C160" s="103" t="str">
        <f>SJ008031M96!C24</f>
        <v>analítico</v>
      </c>
      <c r="D160" s="103" t="str">
        <f>SJ008031M96!D24</f>
        <v>temporal</v>
      </c>
      <c r="E160" s="103">
        <f>SJ008031M96!E24</f>
        <v>4</v>
      </c>
      <c r="F160" s="103">
        <f>SJ008031M96!F24</f>
        <v>1</v>
      </c>
      <c r="G160" s="103">
        <f>SJ008031M96!G24</f>
        <v>0</v>
      </c>
      <c r="H160" s="103">
        <f>SJ008031M96!H24</f>
        <v>2</v>
      </c>
      <c r="I160" s="103">
        <f>SJ008031M96!I24</f>
        <v>0</v>
      </c>
      <c r="J160" s="103">
        <f>SJ008031M96!J24</f>
        <v>0</v>
      </c>
      <c r="K160" s="103">
        <v>1</v>
      </c>
      <c r="L160" s="103" t="s">
        <v>697</v>
      </c>
    </row>
    <row r="161" spans="1:12" customFormat="1">
      <c r="A161" s="103" t="str">
        <f>SJ008031M96!A25</f>
        <v>SJ008031M96</v>
      </c>
      <c r="B161" s="103" t="str">
        <f>SJ008031M96!B25</f>
        <v>SJ008031M96475-476 Lo que pasa es que a veces digo ay, vamos, vamos, vamos, después digo vamos a esperar que los nenes estén más grandes.</v>
      </c>
      <c r="C161" s="103" t="str">
        <f>SJ008031M96!C25</f>
        <v>analítico</v>
      </c>
      <c r="D161" s="103" t="str">
        <f>SJ008031M96!D25</f>
        <v>temporal</v>
      </c>
      <c r="E161" s="103">
        <f>SJ008031M96!E25</f>
        <v>4</v>
      </c>
      <c r="F161" s="103">
        <f>SJ008031M96!F25</f>
        <v>1</v>
      </c>
      <c r="G161" s="103">
        <f>SJ008031M96!G25</f>
        <v>0</v>
      </c>
      <c r="H161" s="103">
        <f>SJ008031M96!H25</f>
        <v>1</v>
      </c>
      <c r="I161" s="103">
        <f>SJ008031M96!I25</f>
        <v>0</v>
      </c>
      <c r="J161" s="103">
        <f>SJ008031M96!J25</f>
        <v>0</v>
      </c>
      <c r="K161" s="103">
        <v>1</v>
      </c>
      <c r="L161" s="103" t="s">
        <v>697</v>
      </c>
    </row>
    <row r="162" spans="1:12" customFormat="1">
      <c r="A162" s="103" t="str">
        <f>SJ008031M96!A26</f>
        <v>SJ008031M96</v>
      </c>
      <c r="B162" s="103" t="str">
        <f>SJ008031M96!B26</f>
        <v>SJ008031M96476-478A Ahora los nenes tienen fiebre de ver nieve pues estamos haciendo los planes que no son seguros “time” eso está en planes, si en diciembre podemos ir unos días a casa del tío de mi esposo para ver si ellos ven la nieve y ya.</v>
      </c>
      <c r="C162" s="103" t="str">
        <f>SJ008031M96!C26</f>
        <v>presente</v>
      </c>
      <c r="D162" s="103" t="str">
        <f>SJ008031M96!D26</f>
        <v>temporal</v>
      </c>
      <c r="E162" s="103">
        <f>SJ008031M96!E26</f>
        <v>4</v>
      </c>
      <c r="F162" s="103">
        <f>SJ008031M96!F26</f>
        <v>1</v>
      </c>
      <c r="G162" s="103">
        <f>SJ008031M96!G26</f>
        <v>0</v>
      </c>
      <c r="H162" s="103">
        <f>SJ008031M96!H26</f>
        <v>1</v>
      </c>
      <c r="I162" s="103">
        <f>SJ008031M96!I26</f>
        <v>0</v>
      </c>
      <c r="J162" s="103">
        <f>SJ008031M96!J26</f>
        <v>0</v>
      </c>
      <c r="K162" s="103">
        <v>1</v>
      </c>
      <c r="L162" s="103" t="s">
        <v>697</v>
      </c>
    </row>
    <row r="163" spans="1:12" customFormat="1">
      <c r="A163" s="103" t="str">
        <f>SJ008031M96!A27</f>
        <v>SJ008031M96</v>
      </c>
      <c r="B163" s="103" t="str">
        <f>SJ008031M96!B27</f>
        <v>SJ008031M96476-478B Ahora los nenes tienen fiebre de ver nieve pues estamos haciendo los planes que no son seguros “time” eso está en planes, si en diciembre podemos ir unos días a casa del tío de mi esposo para ver si ellos ven la nieve y ya.</v>
      </c>
      <c r="C163" s="103" t="str">
        <f>SJ008031M96!C27</f>
        <v>presente</v>
      </c>
      <c r="D163" s="103" t="str">
        <f>SJ008031M96!D27</f>
        <v>temporal</v>
      </c>
      <c r="E163" s="103">
        <f>SJ008031M96!E27</f>
        <v>6</v>
      </c>
      <c r="F163" s="103">
        <f>SJ008031M96!F27</f>
        <v>1</v>
      </c>
      <c r="G163" s="103">
        <f>SJ008031M96!G27</f>
        <v>0</v>
      </c>
      <c r="H163" s="103">
        <f>SJ008031M96!H27</f>
        <v>2</v>
      </c>
      <c r="I163" s="103">
        <f>SJ008031M96!I27</f>
        <v>0</v>
      </c>
      <c r="J163" s="103">
        <f>SJ008031M96!J27</f>
        <v>0</v>
      </c>
      <c r="K163" s="103">
        <v>1</v>
      </c>
      <c r="L163" s="103" t="s">
        <v>697</v>
      </c>
    </row>
    <row r="164" spans="1:12" customFormat="1">
      <c r="A164" s="103" t="str">
        <f>SJ008031M96!A28</f>
        <v>SJ008031M96</v>
      </c>
      <c r="B164" s="103" t="str">
        <f>SJ008031M96!B28</f>
        <v>SJ008031M96540 Ya trato de que todas las actividades que voy a compartir sean en torno a los nenes.</v>
      </c>
      <c r="C164" s="103" t="str">
        <f>SJ008031M96!C28</f>
        <v>analítico</v>
      </c>
      <c r="D164" s="103" t="str">
        <f>SJ008031M96!D28</f>
        <v>temporal</v>
      </c>
      <c r="E164" s="103">
        <f>SJ008031M96!E28</f>
        <v>1</v>
      </c>
      <c r="F164" s="103">
        <f>SJ008031M96!F28</f>
        <v>0</v>
      </c>
      <c r="G164" s="103">
        <f>SJ008031M96!G28</f>
        <v>0</v>
      </c>
      <c r="H164" s="103">
        <f>SJ008031M96!H28</f>
        <v>0</v>
      </c>
      <c r="I164" s="103">
        <f>SJ008031M96!I28</f>
        <v>0</v>
      </c>
      <c r="J164" s="103">
        <f>SJ008031M96!J28</f>
        <v>0</v>
      </c>
      <c r="K164" s="103">
        <v>1</v>
      </c>
      <c r="L164" s="103" t="s">
        <v>697</v>
      </c>
    </row>
    <row r="165" spans="1:12" customFormat="1">
      <c r="A165" s="103" t="str">
        <f>SJ02812H96!A2</f>
        <v>SJ02812H96</v>
      </c>
      <c r="B165" s="103" t="str">
        <f>SJ02812H96!B2</f>
        <v>SJ02812H96/170-171 A veces, cuando las noticias. Cuando voy a ir a un culto, pero que casi el, el televisor casi yo no lo veo.</v>
      </c>
      <c r="C165" s="103" t="str">
        <f>SJ02812H96!C2</f>
        <v>analítico</v>
      </c>
      <c r="D165" s="103" t="str">
        <f>SJ02812H96!D2</f>
        <v>temporal</v>
      </c>
      <c r="E165" s="103">
        <f>SJ02812H96!E2</f>
        <v>1</v>
      </c>
      <c r="F165" s="103">
        <f>SJ02812H96!F2</f>
        <v>1</v>
      </c>
      <c r="G165" s="103">
        <f>SJ02812H96!G2</f>
        <v>0</v>
      </c>
      <c r="H165" s="103">
        <f>SJ02812H96!H2</f>
        <v>0</v>
      </c>
      <c r="I165" s="103">
        <f>SJ02812H96!I2</f>
        <v>0</v>
      </c>
      <c r="J165" s="103">
        <f>SJ02812H96!J2</f>
        <v>0</v>
      </c>
      <c r="K165" s="103">
        <v>2</v>
      </c>
      <c r="L165" s="103" t="s">
        <v>696</v>
      </c>
    </row>
    <row r="166" spans="1:12" customFormat="1">
      <c r="A166" s="103" t="str">
        <f>SJ02812H96!A3</f>
        <v>SJ02812H96</v>
      </c>
      <c r="B166" s="103" t="str">
        <f>SJ02812H96!B3</f>
        <v>SJ02812H96/379-382A Que, cuando Noé estaba haciendo la barca para el diluv, para el diluvio que venía, él le decía a la gente que le a, le ayudaran, o sea, a los del pueblo que le ayudaran entonces la gente se reían de él que decían: “Ah, cómo va a llover en este tiempo. Este, va a venir una tormenta. Va a venir un diluvio”.</v>
      </c>
      <c r="C166" s="103" t="str">
        <f>SJ02812H96!C3</f>
        <v>analítico</v>
      </c>
      <c r="D166" s="103" t="str">
        <f>SJ02812H96!D3</f>
        <v>temporal</v>
      </c>
      <c r="E166" s="103">
        <f>SJ02812H96!E3</f>
        <v>3</v>
      </c>
      <c r="F166" s="103">
        <f>SJ02812H96!F3</f>
        <v>1</v>
      </c>
      <c r="G166" s="103">
        <f>SJ02812H96!G3</f>
        <v>0</v>
      </c>
      <c r="H166" s="103">
        <f>SJ02812H96!H3</f>
        <v>2</v>
      </c>
      <c r="I166" s="103">
        <f>SJ02812H96!I3</f>
        <v>0</v>
      </c>
      <c r="J166" s="103">
        <f>SJ02812H96!J3</f>
        <v>0</v>
      </c>
      <c r="K166" s="103">
        <v>2</v>
      </c>
      <c r="L166" s="103" t="s">
        <v>696</v>
      </c>
    </row>
    <row r="167" spans="1:12" customFormat="1">
      <c r="A167" s="103" t="str">
        <f>SJ02812H96!A4</f>
        <v>SJ02812H96</v>
      </c>
      <c r="B167" s="103" t="str">
        <f>SJ02812H96!B4</f>
        <v>SJ02812H96/379-382B Que, cuando Noé estaba haciendo la barca para el diluv, para el diluvio que venía, él le decía a la gente que le a, le ayudaran, o sea, a los del pueblo que le ayudaran entonces la gente se reían de él que decían: “Ah, cómo va a llover en este tiempo. Este, va a venir una tormenta. Va a venir un diluvio”.</v>
      </c>
      <c r="C167" s="103" t="str">
        <f>SJ02812H96!C4</f>
        <v>analítico</v>
      </c>
      <c r="D167" s="103" t="str">
        <f>SJ02812H96!D4</f>
        <v>temporal</v>
      </c>
      <c r="E167" s="103">
        <f>SJ02812H96!E4</f>
        <v>3</v>
      </c>
      <c r="F167" s="103">
        <f>SJ02812H96!F4</f>
        <v>0</v>
      </c>
      <c r="G167" s="103">
        <f>SJ02812H96!G4</f>
        <v>0</v>
      </c>
      <c r="H167" s="103">
        <f>SJ02812H96!H4</f>
        <v>0</v>
      </c>
      <c r="I167" s="103">
        <f>SJ02812H96!I4</f>
        <v>0</v>
      </c>
      <c r="J167" s="103">
        <f>SJ02812H96!J4</f>
        <v>0</v>
      </c>
      <c r="K167" s="103">
        <v>2</v>
      </c>
      <c r="L167" s="103" t="s">
        <v>696</v>
      </c>
    </row>
    <row r="168" spans="1:12" customFormat="1">
      <c r="A168" s="103" t="str">
        <f>SJ02812H96!A5</f>
        <v>SJ02812H96</v>
      </c>
      <c r="B168" s="103" t="str">
        <f>SJ02812H96!B5</f>
        <v>SJ02812H96/379-382C Que, cuando Noé estaba haciendo la barca para el diluv, para el diluvio que venía, él le decía a la gente que le a, le ayudaran, o sea, a los del pueblo que le ayudaran entonces la gente se reían de él que decían: “Ah, cómo va a llover en este tiempo. Este, va a venir una tormenta. Va a venir un diluvio”.</v>
      </c>
      <c r="C168" s="103" t="str">
        <f>SJ02812H96!C5</f>
        <v>analítico</v>
      </c>
      <c r="D168" s="103" t="str">
        <f>SJ02812H96!D5</f>
        <v>temporal</v>
      </c>
      <c r="E168" s="103">
        <f>SJ02812H96!E5</f>
        <v>3</v>
      </c>
      <c r="F168" s="103">
        <f>SJ02812H96!F5</f>
        <v>0</v>
      </c>
      <c r="G168" s="103">
        <f>SJ02812H96!G5</f>
        <v>0</v>
      </c>
      <c r="H168" s="103">
        <f>SJ02812H96!H5</f>
        <v>0</v>
      </c>
      <c r="I168" s="103">
        <f>SJ02812H96!I5</f>
        <v>0</v>
      </c>
      <c r="J168" s="103">
        <f>SJ02812H96!J5</f>
        <v>0</v>
      </c>
      <c r="K168" s="103">
        <v>2</v>
      </c>
      <c r="L168" s="103" t="s">
        <v>696</v>
      </c>
    </row>
    <row r="169" spans="1:12" customFormat="1">
      <c r="A169" s="103" t="str">
        <f>SJ02812H96!A6</f>
        <v>SJ02812H96</v>
      </c>
      <c r="B169" s="103" t="str">
        <f>SJ02812H96!B6</f>
        <v>SJ02812H96/421-422 . Si tú te la quitas entonces los problemas siguen. Entonces el que no tiene culpa va a seguir con esos problemas.</v>
      </c>
      <c r="C169" s="103" t="str">
        <f>SJ02812H96!C6</f>
        <v>analítico</v>
      </c>
      <c r="D169" s="103" t="str">
        <f>SJ02812H96!D6</f>
        <v>temporal</v>
      </c>
      <c r="E169" s="103">
        <f>SJ02812H96!E6</f>
        <v>3</v>
      </c>
      <c r="F169" s="103">
        <f>SJ02812H96!F6</f>
        <v>0</v>
      </c>
      <c r="G169" s="103">
        <f>SJ02812H96!G6</f>
        <v>0</v>
      </c>
      <c r="H169" s="103">
        <f>SJ02812H96!H6</f>
        <v>0</v>
      </c>
      <c r="I169" s="103">
        <f>SJ02812H96!I6</f>
        <v>0</v>
      </c>
      <c r="J169" s="103">
        <f>SJ02812H96!J6</f>
        <v>0</v>
      </c>
      <c r="K169" s="103">
        <v>2</v>
      </c>
      <c r="L169" s="103" t="s">
        <v>696</v>
      </c>
    </row>
    <row r="170" spans="1:12" customFormat="1">
      <c r="A170" s="103" t="str">
        <f>SJ02812H96!A7</f>
        <v>SJ02812H96</v>
      </c>
      <c r="B170" s="103" t="str">
        <f>SJ02812H96!B7</f>
        <v>SJ02812H96/424-425 ¿Por qué te vas a quit, te vas a quitarte la vida de un momento a otro, así de puro chiste?</v>
      </c>
      <c r="C170" s="103" t="str">
        <f>SJ02812H96!C7</f>
        <v>analítico</v>
      </c>
      <c r="D170" s="103" t="str">
        <f>SJ02812H96!D7</f>
        <v>temporal</v>
      </c>
      <c r="E170" s="103">
        <f>SJ02812H96!E7</f>
        <v>2</v>
      </c>
      <c r="F170" s="103">
        <f>SJ02812H96!F7</f>
        <v>0</v>
      </c>
      <c r="G170" s="103">
        <f>SJ02812H96!G7</f>
        <v>0</v>
      </c>
      <c r="H170" s="103">
        <f>SJ02812H96!H7</f>
        <v>0</v>
      </c>
      <c r="I170" s="103">
        <f>SJ02812H96!I7</f>
        <v>0</v>
      </c>
      <c r="J170" s="103">
        <f>SJ02812H96!J7</f>
        <v>0</v>
      </c>
      <c r="K170" s="103">
        <v>2</v>
      </c>
      <c r="L170" s="103" t="s">
        <v>696</v>
      </c>
    </row>
    <row r="171" spans="1:12" customFormat="1">
      <c r="A171" s="103" t="str">
        <f>SJ02812H96!A8</f>
        <v>SJ02812H96</v>
      </c>
      <c r="B171" s="103" t="str">
        <f>SJ02812H96!B8</f>
        <v>SJ02812H96/426-427 Te voy a ayudar dime, dime, qué es lo que tú tiene, qué es lo qué te pasa y así trato de, de ayudarlo.</v>
      </c>
      <c r="C171" s="103" t="str">
        <f>SJ02812H96!C8</f>
        <v>analítico</v>
      </c>
      <c r="D171" s="103" t="str">
        <f>SJ02812H96!D8</f>
        <v>temporal</v>
      </c>
      <c r="E171" s="103">
        <f>SJ02812H96!E8</f>
        <v>1</v>
      </c>
      <c r="F171" s="103">
        <f>SJ02812H96!F8</f>
        <v>0</v>
      </c>
      <c r="G171" s="103">
        <f>SJ02812H96!G8</f>
        <v>0</v>
      </c>
      <c r="H171" s="103">
        <f>SJ02812H96!H8</f>
        <v>0</v>
      </c>
      <c r="I171" s="103">
        <f>SJ02812H96!I8</f>
        <v>0</v>
      </c>
      <c r="J171" s="103">
        <f>SJ02812H96!J8</f>
        <v>0</v>
      </c>
      <c r="K171" s="103">
        <v>2</v>
      </c>
      <c r="L171" s="103" t="s">
        <v>696</v>
      </c>
    </row>
    <row r="172" spans="1:12" customFormat="1">
      <c r="A172" t="str">
        <f>SJ02812H96!A9</f>
        <v>SJ02812H96</v>
      </c>
      <c r="B172" t="str">
        <f>SJ02812H96!B9</f>
        <v>SJ02812H96/463-464 Pues a los familiares más,  los familiares más, más, más cercanos y si hab, y si se habrán dos o tres vecinos que, que están ahí también reunidos ahí en la misma familia.</v>
      </c>
      <c r="C172" t="str">
        <f>SJ02812H96!C9</f>
        <v>morfológico</v>
      </c>
      <c r="D172" t="str">
        <f>SJ02812H96!D9</f>
        <v>hipótesis</v>
      </c>
      <c r="E172">
        <f>SJ02812H96!E9</f>
        <v>6</v>
      </c>
      <c r="F172">
        <f>SJ02812H96!F9</f>
        <v>0</v>
      </c>
      <c r="G172">
        <f>SJ02812H96!G9</f>
        <v>0</v>
      </c>
      <c r="H172">
        <f>SJ02812H96!H9</f>
        <v>0</v>
      </c>
      <c r="I172">
        <f>SJ02812H96!I9</f>
        <v>0</v>
      </c>
      <c r="J172">
        <f>SJ02812H96!J9</f>
        <v>0</v>
      </c>
      <c r="K172">
        <v>2</v>
      </c>
      <c r="L172" t="s">
        <v>696</v>
      </c>
    </row>
    <row r="173" spans="1:12" customFormat="1">
      <c r="A173" s="103" t="str">
        <f>SJ02812H96!A10</f>
        <v>SJ02812H96</v>
      </c>
      <c r="B173" s="103" t="str">
        <f>SJ02812H96!B10</f>
        <v>SJ02812H96/582-583 Que no había tanta discusión en eso mismo de los mismos  de eso, los partidos, no de que si yo, que si yo voy a ganar.</v>
      </c>
      <c r="C173" s="103" t="str">
        <f>SJ02812H96!C10</f>
        <v>analítico</v>
      </c>
      <c r="D173" s="103" t="str">
        <f>SJ02812H96!D10</f>
        <v>temporal</v>
      </c>
      <c r="E173" s="103">
        <f>SJ02812H96!E10</f>
        <v>1</v>
      </c>
      <c r="F173" s="103">
        <f>SJ02812H96!F10</f>
        <v>0</v>
      </c>
      <c r="G173" s="103">
        <f>SJ02812H96!G10</f>
        <v>0</v>
      </c>
      <c r="H173" s="103">
        <f>SJ02812H96!H10</f>
        <v>0</v>
      </c>
      <c r="I173" s="103">
        <f>SJ02812H96!I10</f>
        <v>0</v>
      </c>
      <c r="J173" s="103">
        <f>SJ02812H96!J10</f>
        <v>1</v>
      </c>
      <c r="K173" s="103">
        <v>2</v>
      </c>
      <c r="L173" s="103" t="s">
        <v>696</v>
      </c>
    </row>
    <row r="174" spans="1:12" customFormat="1">
      <c r="A174" s="103" t="str">
        <f>SJ02812H96!A11</f>
        <v>SJ02812H96</v>
      </c>
      <c r="B174" s="103" t="str">
        <f>SJ02812H96!B11</f>
        <v>SJ02812H96/610-612 (Umm. ¿Y, y lo del habla en inglés? Que se legalice, que se hable el inglés solamente)Entonces sí que la cosa está mala porque acá en Puerto Rico hay muchos que no sabemos hablar en inglés.</v>
      </c>
      <c r="C174" s="103" t="str">
        <f>SJ02812H96!C11</f>
        <v>presente</v>
      </c>
      <c r="D174" s="103" t="str">
        <f>SJ02812H96!D11</f>
        <v>temporal</v>
      </c>
      <c r="E174" s="103">
        <f>SJ02812H96!E11</f>
        <v>3</v>
      </c>
      <c r="F174" s="103">
        <f>SJ02812H96!F11</f>
        <v>1</v>
      </c>
      <c r="G174" s="103">
        <f>SJ02812H96!G11</f>
        <v>0</v>
      </c>
      <c r="H174" s="103">
        <f>SJ02812H96!H11</f>
        <v>1</v>
      </c>
      <c r="I174" s="103">
        <f>SJ02812H96!I11</f>
        <v>0</v>
      </c>
      <c r="J174" s="103">
        <f>SJ02812H96!J11</f>
        <v>0</v>
      </c>
      <c r="K174" s="103">
        <v>2</v>
      </c>
      <c r="L174" s="103" t="s">
        <v>696</v>
      </c>
    </row>
    <row r="175" spans="1:12" customFormat="1">
      <c r="A175" s="103" t="str">
        <f>SJ02812H96!A12</f>
        <v>SJ02812H96</v>
      </c>
      <c r="B175" s="103" t="str">
        <f>SJ02812H96!B12</f>
        <v>SJ02812H96/646 Bueno, voy a ver como para mí yo diría como algunos trece, trece de trece a catorce años por ahí.</v>
      </c>
      <c r="C175" s="103" t="str">
        <f>SJ02812H96!C12</f>
        <v>analítico</v>
      </c>
      <c r="D175" s="103" t="str">
        <f>SJ02812H96!D12</f>
        <v>temporal</v>
      </c>
      <c r="E175" s="103">
        <f>SJ02812H96!E12</f>
        <v>1</v>
      </c>
      <c r="F175" s="103">
        <f>SJ02812H96!F12</f>
        <v>0</v>
      </c>
      <c r="G175" s="103">
        <f>SJ02812H96!G12</f>
        <v>0</v>
      </c>
      <c r="H175" s="103">
        <f>SJ02812H96!H12</f>
        <v>0</v>
      </c>
      <c r="I175" s="103">
        <f>SJ02812H96!I12</f>
        <v>0</v>
      </c>
      <c r="J175" s="103">
        <f>SJ02812H96!J12</f>
        <v>0</v>
      </c>
      <c r="K175" s="103">
        <v>2</v>
      </c>
      <c r="L175" s="103" t="s">
        <v>696</v>
      </c>
    </row>
    <row r="176" spans="1:12">
      <c r="A176" s="103" t="str">
        <f>SJ02812H96!A13</f>
        <v>SJ02812H96</v>
      </c>
      <c r="B176" s="103" t="str">
        <f>SJ02812H96!B13</f>
        <v>SJ02812H96/727-729(Se metiera al vicio qué tú le aconsejarías. O qué, qué información le darías) Ah, mira eso te está haciendo daño, no hagas eso. Eso te está acabando con tu vida. Con eso lo que tú usando no es ??? tenías amistades y ahora te estás destruyendo. Todo el mundo te va a dar la espalda.</v>
      </c>
      <c r="C176" s="103" t="str">
        <f>SJ02812H96!C13</f>
        <v>analítico</v>
      </c>
      <c r="D176" s="103" t="str">
        <f>SJ02812H96!D13</f>
        <v>temporal</v>
      </c>
      <c r="E176" s="103">
        <f>SJ02812H96!E13</f>
        <v>3</v>
      </c>
      <c r="F176" s="103">
        <f>SJ02812H96!F13</f>
        <v>0</v>
      </c>
      <c r="G176" s="103">
        <f>SJ02812H96!G13</f>
        <v>0</v>
      </c>
      <c r="H176" s="103">
        <f>SJ02812H96!H13</f>
        <v>0</v>
      </c>
      <c r="I176" s="103">
        <f>SJ02812H96!I13</f>
        <v>0</v>
      </c>
      <c r="J176" s="103">
        <f>SJ02812H96!J13</f>
        <v>0</v>
      </c>
      <c r="K176" s="103">
        <v>2</v>
      </c>
      <c r="L176" s="103" t="s">
        <v>696</v>
      </c>
    </row>
    <row r="177" spans="1:12">
      <c r="A177" s="103" t="str">
        <f>SJ027022H96!A2</f>
        <v>SJ027022H95</v>
      </c>
      <c r="B177" s="103" t="str">
        <f>SJ027022H96!B2</f>
        <v>SJ027022H96/43-44A Algunos dicen: “Olvídate como tengo la computadora pues voy allí y le doy dedos a la computadora…</v>
      </c>
      <c r="C177" s="103" t="str">
        <f>SJ027022H96!C2</f>
        <v>presente</v>
      </c>
      <c r="D177" s="103" t="str">
        <f>SJ027022H96!D2</f>
        <v>temporal</v>
      </c>
      <c r="E177" s="103">
        <f>SJ027022H96!E2</f>
        <v>1</v>
      </c>
      <c r="F177" s="103">
        <f>SJ027022H96!F2</f>
        <v>0</v>
      </c>
      <c r="G177" s="103">
        <f>SJ027022H96!G2</f>
        <v>0</v>
      </c>
      <c r="H177" s="103">
        <f>SJ027022H96!H2</f>
        <v>0</v>
      </c>
      <c r="I177" s="103">
        <f>SJ027022H96!I2</f>
        <v>1</v>
      </c>
      <c r="J177" s="103">
        <f>SJ027022H96!J2</f>
        <v>0</v>
      </c>
      <c r="K177" s="103">
        <v>2</v>
      </c>
      <c r="L177" s="103" t="s">
        <v>696</v>
      </c>
    </row>
    <row r="178" spans="1:12" customFormat="1">
      <c r="A178" s="103" t="str">
        <f>SJ027022H96!A3</f>
        <v>SJ027022H96</v>
      </c>
      <c r="B178" s="103" t="str">
        <f>SJ027022H96!B3</f>
        <v>SJ027022H96/43-44B Algunos dicen: “Olvídate como tengo la computadora pues voy allí y le doy dedos a la computadora…</v>
      </c>
      <c r="C178" s="103" t="str">
        <f>SJ027022H96!C3</f>
        <v>presente</v>
      </c>
      <c r="D178" s="103" t="str">
        <f>SJ027022H96!D3</f>
        <v>temporal</v>
      </c>
      <c r="E178" s="103">
        <f>SJ027022H96!E3</f>
        <v>1</v>
      </c>
      <c r="F178" s="103">
        <f>SJ027022H96!F3</f>
        <v>0</v>
      </c>
      <c r="G178" s="103">
        <f>SJ027022H96!G3</f>
        <v>0</v>
      </c>
      <c r="H178" s="103">
        <f>SJ027022H96!H3</f>
        <v>0</v>
      </c>
      <c r="I178" s="103">
        <f>SJ027022H96!I3</f>
        <v>1</v>
      </c>
      <c r="J178" s="103">
        <f>SJ027022H96!J3</f>
        <v>0</v>
      </c>
      <c r="K178" s="103">
        <v>2</v>
      </c>
      <c r="L178" s="103" t="s">
        <v>696</v>
      </c>
    </row>
    <row r="179" spans="1:12" customFormat="1">
      <c r="A179" s="103" t="str">
        <f>SJ027022H96!A4</f>
        <v>SJ027022H96</v>
      </c>
      <c r="B179" s="103" t="str">
        <f>SJ027022H96!B4</f>
        <v>SJ027022H96/47 Y ella me va a, a, a dar información”.</v>
      </c>
      <c r="C179" s="103" t="str">
        <f>SJ027022H96!C4</f>
        <v>analítico</v>
      </c>
      <c r="D179" s="103" t="str">
        <f>SJ027022H96!D4</f>
        <v>temporal</v>
      </c>
      <c r="E179" s="103">
        <f>SJ027022H96!E4</f>
        <v>3</v>
      </c>
      <c r="F179" s="103">
        <f>SJ027022H96!F4</f>
        <v>0</v>
      </c>
      <c r="G179" s="103">
        <f>SJ027022H96!G4</f>
        <v>0</v>
      </c>
      <c r="H179" s="103">
        <f>SJ027022H96!H4</f>
        <v>0</v>
      </c>
      <c r="I179" s="103">
        <f>SJ027022H96!I4</f>
        <v>0</v>
      </c>
      <c r="J179" s="103">
        <f>SJ027022H96!J4</f>
        <v>0</v>
      </c>
      <c r="K179" s="103">
        <v>2</v>
      </c>
      <c r="L179" s="103" t="s">
        <v>696</v>
      </c>
    </row>
    <row r="180" spans="1:12" customFormat="1">
      <c r="A180" t="str">
        <f>SJ027022H96!A5</f>
        <v>SJ027022H96</v>
      </c>
      <c r="B180" t="str">
        <f>SJ027022H96!B5</f>
        <v>SJ027022H96/54-59 Bueno mira te te diré que e mi gran pasatiempo favorito es jugar, jugar y juego “softball” tengo un equipo en la comunidad donde yo me crié de muchacho eh que son los Atléticos de Manuel A. Pérez donde yo viví, donde yo viví de muchacho y ese equipo tiene de fundado veinte años ahora mismito cumplimos en el mil novecientos noventa  y siete el equipo cumple veinte años de organizado y de los pioneros de ese equipo, fundadores, todavía quedamos cinco en el equipo. Somos fundadores.</v>
      </c>
      <c r="C180" t="str">
        <f>SJ027022H96!C5</f>
        <v>morfológico</v>
      </c>
      <c r="D180" t="str">
        <f>SJ027022H96!D5</f>
        <v>marcador</v>
      </c>
      <c r="E180">
        <f>SJ027022H96!E5</f>
        <v>1</v>
      </c>
      <c r="F180">
        <f>SJ027022H96!F5</f>
        <v>0</v>
      </c>
      <c r="G180">
        <f>SJ027022H96!G5</f>
        <v>0</v>
      </c>
      <c r="H180">
        <f>SJ027022H96!H5</f>
        <v>0</v>
      </c>
      <c r="I180">
        <f>SJ027022H96!I5</f>
        <v>0</v>
      </c>
      <c r="J180">
        <f>SJ027022H96!J5</f>
        <v>0</v>
      </c>
      <c r="K180">
        <v>2</v>
      </c>
      <c r="L180" t="s">
        <v>696</v>
      </c>
    </row>
    <row r="181" spans="1:12" customFormat="1">
      <c r="A181" s="103" t="str">
        <f>SJ027022H96!A6</f>
        <v>SJ027022H96</v>
      </c>
      <c r="B181" s="103" t="str">
        <f>SJ027022H96!B6</f>
        <v>SJ027022H96/132-137 Tú sabes, el gobierno, tú sabes lo que hace, si te vamos a dar doscientos pesos pa’ que compres bates y cascos y qué sé yo si tú vas a recreación y te dan dos bates y una caja de bolas y qué sé yo y ahí y ahí te los sueltan y sigue tú bregando con eso, pero no envían un técnico de recreación para que ayude a esa persona que quizás lo que tiene es un poco de conocimientos porque jugó cuando era muchacho pelota y lo poquito que sabe se lo trata de transmitir a esos niños sin ninguna educación sobre eso.</v>
      </c>
      <c r="C181" s="103" t="str">
        <f>SJ027022H96!C6</f>
        <v>analítico</v>
      </c>
      <c r="D181" s="103" t="str">
        <f>SJ027022H96!D6</f>
        <v>temporal</v>
      </c>
      <c r="E181" s="103">
        <f>SJ027022H96!E6</f>
        <v>4</v>
      </c>
      <c r="F181" s="103">
        <f>SJ027022H96!F6</f>
        <v>0</v>
      </c>
      <c r="G181" s="103">
        <f>SJ027022H96!G6</f>
        <v>0</v>
      </c>
      <c r="H181" s="103">
        <f>SJ027022H96!H6</f>
        <v>0</v>
      </c>
      <c r="I181" s="103">
        <f>SJ027022H96!I6</f>
        <v>0</v>
      </c>
      <c r="J181" s="103">
        <f>SJ027022H96!J6</f>
        <v>1</v>
      </c>
      <c r="K181" s="103">
        <v>2</v>
      </c>
      <c r="L181" s="103" t="s">
        <v>696</v>
      </c>
    </row>
    <row r="182" spans="1:12" customFormat="1">
      <c r="A182" t="str">
        <f>SJ027022H96!A7</f>
        <v>SJ027022H96</v>
      </c>
      <c r="B182" t="str">
        <f>SJ027022H96!B7</f>
        <v>SJ027022H96/177-178A Pues te diré, para esa época yo estaba ya en noveno grado, me gradúo, me voy a estudiar a la Baldorioty de Castro en San Juan y cuando, tú sabes, cuando tú eres un muchacho de esa edad…</v>
      </c>
      <c r="C182" t="str">
        <f>SJ027022H96!C7</f>
        <v>morfológico</v>
      </c>
      <c r="D182" t="str">
        <f>SJ027022H96!D7</f>
        <v>marcador</v>
      </c>
      <c r="E182">
        <f>SJ027022H96!E7</f>
        <v>1</v>
      </c>
      <c r="F182">
        <f>SJ027022H96!F7</f>
        <v>0</v>
      </c>
      <c r="G182">
        <f>SJ027022H96!G7</f>
        <v>0</v>
      </c>
      <c r="H182">
        <f>SJ027022H96!H7</f>
        <v>0</v>
      </c>
      <c r="I182">
        <f>SJ027022H96!I7</f>
        <v>0</v>
      </c>
      <c r="J182">
        <f>SJ027022H96!J7</f>
        <v>0</v>
      </c>
      <c r="K182">
        <v>2</v>
      </c>
      <c r="L182" t="s">
        <v>696</v>
      </c>
    </row>
    <row r="183" spans="1:12" customFormat="1">
      <c r="A183" s="103" t="str">
        <f>SJ027022H96!A8</f>
        <v>SJ027022H96</v>
      </c>
      <c r="B183" s="103" t="str">
        <f>SJ027022H96!B8</f>
        <v>SJ027022H96/189-191. Y muchacho me estaba perdiendo en la escuela, el primer año mío allá en Baldorioty yo dije:  Si yo no me voy de aquí para mi casa, voy a fracasar” y efectivamente eso hice.</v>
      </c>
      <c r="C183" s="103" t="str">
        <f>SJ027022H96!C8</f>
        <v>analítico</v>
      </c>
      <c r="D183" s="103" t="str">
        <f>SJ027022H96!D8</f>
        <v>temporal</v>
      </c>
      <c r="E183" s="103">
        <f>SJ027022H96!E8</f>
        <v>1</v>
      </c>
      <c r="F183" s="103">
        <f>SJ027022H96!F8</f>
        <v>0</v>
      </c>
      <c r="G183" s="103">
        <f>SJ027022H96!G8</f>
        <v>0</v>
      </c>
      <c r="H183" s="103">
        <f>SJ027022H96!H8</f>
        <v>0</v>
      </c>
      <c r="I183" s="103">
        <f>SJ027022H96!I8</f>
        <v>0</v>
      </c>
      <c r="J183" s="103">
        <f>SJ027022H96!J8</f>
        <v>1</v>
      </c>
      <c r="K183" s="103">
        <v>2</v>
      </c>
      <c r="L183" s="103" t="s">
        <v>696</v>
      </c>
    </row>
    <row r="184" spans="1:12">
      <c r="A184" t="str">
        <f>SJ027022H96!A9</f>
        <v>SJ027022H96</v>
      </c>
      <c r="B184" t="str">
        <f>SJ027022H96!B9</f>
        <v>SJ027022H96/257-258 Todas esas cosas y, tú sabes, y yo decía: “Contra”, ¿cómo esa gente podrán hacer esas cosas ahí dentro de ese radio, tú sabes?</v>
      </c>
      <c r="C184" t="str">
        <f>SJ027022H96!C9</f>
        <v>morfológico</v>
      </c>
      <c r="D184" t="str">
        <f>SJ027022H96!D9</f>
        <v>sorpresa</v>
      </c>
      <c r="E184">
        <f>SJ027022H96!E9</f>
        <v>6</v>
      </c>
      <c r="F184">
        <f>SJ027022H96!F9</f>
        <v>0</v>
      </c>
      <c r="G184">
        <f>SJ027022H96!G9</f>
        <v>0</v>
      </c>
      <c r="H184">
        <f>SJ027022H96!H9</f>
        <v>0</v>
      </c>
      <c r="I184">
        <f>SJ027022H96!I9</f>
        <v>0</v>
      </c>
      <c r="J184">
        <f>SJ027022H96!J9</f>
        <v>0</v>
      </c>
      <c r="K184">
        <v>2</v>
      </c>
      <c r="L184" t="s">
        <v>696</v>
      </c>
    </row>
    <row r="185" spans="1:12" customFormat="1">
      <c r="A185" s="103" t="str">
        <f>SJ027022H96!A10</f>
        <v>SJ027022H96</v>
      </c>
      <c r="B185" s="103" t="str">
        <f>SJ027022H96!B10</f>
        <v xml:space="preserve">SJ027022H96/397-399 Fíjate, este, yo, yo verdaderamente no, no sé porque tendría yo que que la la naturaleza del ser humano es en un tipo de situación como esa, este, ¿cómo tú vas a reaccionar ante algo así, porque yo te podría decir ahora mismito, ¡ah! </v>
      </c>
      <c r="C185" s="103" t="str">
        <f>SJ027022H96!C10</f>
        <v>analítico</v>
      </c>
      <c r="D185" s="103" t="str">
        <f>SJ027022H96!D10</f>
        <v>temporal</v>
      </c>
      <c r="E185" s="103">
        <f>SJ027022H96!E10</f>
        <v>2</v>
      </c>
      <c r="F185" s="103">
        <f>SJ027022H96!F10</f>
        <v>0</v>
      </c>
      <c r="G185" s="103">
        <f>SJ027022H96!G10</f>
        <v>0</v>
      </c>
      <c r="H185" s="103">
        <f>SJ027022H96!H10</f>
        <v>0</v>
      </c>
      <c r="I185" s="103">
        <f>SJ027022H96!I10</f>
        <v>0</v>
      </c>
      <c r="J185" s="103">
        <f>SJ027022H96!J10</f>
        <v>0</v>
      </c>
      <c r="K185" s="103">
        <v>2</v>
      </c>
      <c r="L185" s="103" t="s">
        <v>696</v>
      </c>
    </row>
    <row r="186" spans="1:12" customFormat="1">
      <c r="A186" s="103" t="str">
        <f>SJ027022H96!A11</f>
        <v>SJ027022H96</v>
      </c>
      <c r="B186" s="103" t="str">
        <f>SJ027022H96!B11</f>
        <v>SJ027022H96/400 Que si se me presenta algo así yo voy hacer, no, no, tú sabes, verdaderamente no no te, no te sabría decir</v>
      </c>
      <c r="C186" s="103" t="str">
        <f>SJ027022H96!C11</f>
        <v>analítico</v>
      </c>
      <c r="D186" s="103" t="str">
        <f>SJ027022H96!D11</f>
        <v>temporal</v>
      </c>
      <c r="E186" s="103">
        <f>SJ027022H96!E11</f>
        <v>1</v>
      </c>
      <c r="F186" s="103">
        <f>SJ027022H96!F11</f>
        <v>0</v>
      </c>
      <c r="G186" s="103">
        <f>SJ027022H96!G11</f>
        <v>0</v>
      </c>
      <c r="H186" s="103">
        <f>SJ027022H96!H11</f>
        <v>0</v>
      </c>
      <c r="I186" s="103">
        <f>SJ027022H96!I11</f>
        <v>0</v>
      </c>
      <c r="J186" s="103">
        <f>SJ027022H96!J11</f>
        <v>1</v>
      </c>
      <c r="K186" s="103">
        <v>2</v>
      </c>
      <c r="L186" s="103" t="s">
        <v>696</v>
      </c>
    </row>
    <row r="187" spans="1:12" customFormat="1">
      <c r="A187" s="103" t="str">
        <f>SJ027022H96!A12</f>
        <v>SJ027022H96</v>
      </c>
      <c r="B187" s="103" t="str">
        <f>SJ027022H96!B12</f>
        <v>SJ027022H96/446 No, yo estoy en contra de eso, yo estoy en contra de eso y te voy a decir por qué.</v>
      </c>
      <c r="C187" s="103" t="str">
        <f>SJ027022H96!C12</f>
        <v>analítico</v>
      </c>
      <c r="D187" s="103" t="str">
        <f>SJ027022H96!D12</f>
        <v>temporal</v>
      </c>
      <c r="E187" s="103">
        <f>SJ027022H96!E12</f>
        <v>1</v>
      </c>
      <c r="F187" s="103">
        <f>SJ027022H96!F12</f>
        <v>0</v>
      </c>
      <c r="G187" s="103">
        <f>SJ027022H96!G12</f>
        <v>0</v>
      </c>
      <c r="H187" s="103">
        <f>SJ027022H96!H12</f>
        <v>0</v>
      </c>
      <c r="I187" s="103">
        <f>SJ027022H96!I12</f>
        <v>0</v>
      </c>
      <c r="J187" s="103">
        <f>SJ027022H96!J12</f>
        <v>0</v>
      </c>
      <c r="K187" s="103">
        <v>2</v>
      </c>
      <c r="L187" s="103" t="s">
        <v>696</v>
      </c>
    </row>
    <row r="188" spans="1:12" customFormat="1">
      <c r="A188" s="103" t="str">
        <f>SJ027022H96!A13</f>
        <v>SJ027022H96</v>
      </c>
      <c r="B188" s="103" t="str">
        <f>SJ027022H96!B13</f>
        <v>SJ027022H96/454 -456 Y mira te voy a dar un caso sencillito y rápido, el caso de Mollinari, el hijo del, del, del compadre del Gobernador, para darte un caso así rápido a la soltá’.</v>
      </c>
      <c r="C188" s="103" t="str">
        <f>SJ027022H96!C13</f>
        <v>analítico</v>
      </c>
      <c r="D188" s="103" t="str">
        <f>SJ027022H96!D13</f>
        <v>temporal</v>
      </c>
      <c r="E188" s="103">
        <f>SJ027022H96!E13</f>
        <v>1</v>
      </c>
      <c r="F188" s="103">
        <f>SJ027022H96!F13</f>
        <v>0</v>
      </c>
      <c r="G188" s="103">
        <f>SJ027022H96!G13</f>
        <v>0</v>
      </c>
      <c r="H188" s="103">
        <f>SJ027022H96!H13</f>
        <v>0</v>
      </c>
      <c r="I188" s="103">
        <f>SJ027022H96!I13</f>
        <v>0</v>
      </c>
      <c r="J188" s="103">
        <f>SJ027022H96!J13</f>
        <v>0</v>
      </c>
      <c r="K188" s="103">
        <v>2</v>
      </c>
      <c r="L188" s="103" t="s">
        <v>696</v>
      </c>
    </row>
    <row r="189" spans="1:12" customFormat="1">
      <c r="A189" s="103" t="str">
        <f>SJ027022H96!A14</f>
        <v>SJ027022H96</v>
      </c>
      <c r="B189" s="103" t="str">
        <f>SJ027022H96!B14</f>
        <v>SJ027022H96/461-466 Yo espero en Dios fíjate que ese muchacho con el pasar del tiempo pueda, a través de su persona, crear tú sabes, conciencia de la oportunidad que se le dio a él y, y sepa, tú sabes,  pues agradecer primero a, a Dios esa oportunidad que se le brindó de seguir hacia adelante, con su vida, de rehacer su vida porque yo me imagino que ese muchacho en algún momento tendrá que, que, que verse envuelto en una situación tan embarazosa como esa, porque imagínate que tú le quites la vida a otra persona y tú sabiendo que tú estabas haciendo una cosa mal hecha.</v>
      </c>
      <c r="C189" s="103" t="str">
        <f>SJ027022H96!C14</f>
        <v>morfológico</v>
      </c>
      <c r="D189" s="103" t="str">
        <f>SJ027022H96!D14</f>
        <v>temporal</v>
      </c>
      <c r="E189" s="103">
        <f>SJ027022H96!E14</f>
        <v>3</v>
      </c>
      <c r="F189" s="103">
        <f>SJ027022H96!F14</f>
        <v>1</v>
      </c>
      <c r="G189" s="103">
        <f>SJ027022H96!G14</f>
        <v>0</v>
      </c>
      <c r="H189" s="103">
        <f>SJ027022H96!H14</f>
        <v>1</v>
      </c>
      <c r="I189" s="103">
        <f>SJ027022H96!I14</f>
        <v>1</v>
      </c>
      <c r="J189" s="103">
        <f>SJ027022H96!J14</f>
        <v>0</v>
      </c>
      <c r="K189" s="103">
        <v>2</v>
      </c>
      <c r="L189" s="103" t="s">
        <v>696</v>
      </c>
    </row>
    <row r="190" spans="1:12" customFormat="1">
      <c r="A190" s="103" t="str">
        <f>SJ027022H96!A15</f>
        <v>SJ027022H96</v>
      </c>
      <c r="B190" s="103" t="str">
        <f>SJ027022H96!B15</f>
        <v>SJ027022H96/485-486 Tú entiendes, y entonces, que le van a decir después a los que quedan de esa familia de esa persona, perdón nos equivocamos. Mira yo estoy en desa, completamente en desacuerdo con eso.</v>
      </c>
      <c r="C190" s="103" t="str">
        <f>SJ027022H96!C15</f>
        <v>analítico</v>
      </c>
      <c r="D190" s="103" t="str">
        <f>SJ027022H96!D15</f>
        <v>temporal</v>
      </c>
      <c r="E190" s="103">
        <f>SJ027022H96!E15</f>
        <v>6</v>
      </c>
      <c r="F190" s="103">
        <f>SJ027022H96!F15</f>
        <v>1</v>
      </c>
      <c r="G190" s="103">
        <f>SJ027022H96!G15</f>
        <v>0</v>
      </c>
      <c r="H190" s="103">
        <f>SJ027022H96!H15</f>
        <v>1</v>
      </c>
      <c r="I190" s="103">
        <f>SJ027022H96!I15</f>
        <v>0</v>
      </c>
      <c r="J190" s="103">
        <f>SJ027022H96!J15</f>
        <v>0</v>
      </c>
      <c r="K190" s="103">
        <v>2</v>
      </c>
      <c r="L190" s="103" t="s">
        <v>696</v>
      </c>
    </row>
    <row r="191" spans="1:12" customFormat="1">
      <c r="A191" s="103" t="str">
        <f>SJ027022H96!A16</f>
        <v>SJ027022H96</v>
      </c>
      <c r="B191" s="103" t="str">
        <f>SJ027022H96!B16</f>
        <v>SJ027022H96/489A No, tú ya le quitaste la vida qué vas a hacer, no lo vas a revivir.</v>
      </c>
      <c r="C191" s="103" t="str">
        <f>SJ027022H96!C16</f>
        <v>analítico</v>
      </c>
      <c r="D191" s="103" t="str">
        <f>SJ027022H96!D16</f>
        <v>temporal</v>
      </c>
      <c r="E191" s="103">
        <f>SJ027022H96!E16</f>
        <v>2</v>
      </c>
      <c r="F191" s="103">
        <f>SJ027022H96!F16</f>
        <v>0</v>
      </c>
      <c r="G191" s="103">
        <f>SJ027022H96!G16</f>
        <v>0</v>
      </c>
      <c r="H191" s="103">
        <f>SJ027022H96!H16</f>
        <v>0</v>
      </c>
      <c r="I191" s="103">
        <f>SJ027022H96!I16</f>
        <v>0</v>
      </c>
      <c r="J191" s="103">
        <f>SJ027022H96!J16</f>
        <v>0</v>
      </c>
      <c r="K191" s="103">
        <v>2</v>
      </c>
      <c r="L191" s="103" t="s">
        <v>696</v>
      </c>
    </row>
    <row r="192" spans="1:12" customFormat="1">
      <c r="A192" s="103" t="str">
        <f>SJ027022H96!A17</f>
        <v>SJ027022H96</v>
      </c>
      <c r="B192" s="103" t="str">
        <f>SJ027022H96!B17</f>
        <v>SJ027022H96/489B No, tú ya le quitaste la vida qué vas a hacer, no lo vas a revivir.</v>
      </c>
      <c r="C192" s="103" t="str">
        <f>SJ027022H96!C17</f>
        <v>analítico</v>
      </c>
      <c r="D192" s="103" t="str">
        <f>SJ027022H96!D17</f>
        <v>temporal</v>
      </c>
      <c r="E192" s="103">
        <f>SJ027022H96!E17</f>
        <v>2</v>
      </c>
      <c r="F192" s="103">
        <f>SJ027022H96!F17</f>
        <v>0</v>
      </c>
      <c r="G192" s="103">
        <f>SJ027022H96!G17</f>
        <v>1</v>
      </c>
      <c r="H192" s="103">
        <f>SJ027022H96!H17</f>
        <v>0</v>
      </c>
      <c r="I192" s="103">
        <f>SJ027022H96!I17</f>
        <v>1</v>
      </c>
      <c r="J192" s="103">
        <f>SJ027022H96!J17</f>
        <v>0</v>
      </c>
      <c r="K192" s="103">
        <v>2</v>
      </c>
      <c r="L192" s="103" t="s">
        <v>696</v>
      </c>
    </row>
    <row r="193" spans="1:12" customFormat="1">
      <c r="A193" s="103" t="str">
        <f>SJ027022H96!A18</f>
        <v>SJ027022H96</v>
      </c>
      <c r="B193" s="103" t="str">
        <f>SJ027022H96!B18</f>
        <v>SJ027022H96/499-501A Si no tiene fuerza de voluntad está chava’o, porque pueden meterlo al mejor programa del mundo y no se va recuperar nunca va a volver a caer.</v>
      </c>
      <c r="C193" s="103" t="str">
        <f>SJ027022H96!C18</f>
        <v>analítico</v>
      </c>
      <c r="D193" s="103" t="str">
        <f>SJ027022H96!D18</f>
        <v>temporal</v>
      </c>
      <c r="E193" s="103">
        <f>SJ027022H96!E18</f>
        <v>3</v>
      </c>
      <c r="F193" s="103">
        <f>SJ027022H96!F18</f>
        <v>1</v>
      </c>
      <c r="G193" s="103">
        <f>SJ027022H96!G18</f>
        <v>1</v>
      </c>
      <c r="H193" s="103">
        <f>SJ027022H96!H18</f>
        <v>0</v>
      </c>
      <c r="I193" s="103">
        <f>SJ027022H96!I18</f>
        <v>1</v>
      </c>
      <c r="J193" s="103">
        <f>SJ027022H96!J18</f>
        <v>1</v>
      </c>
      <c r="K193" s="103">
        <v>2</v>
      </c>
      <c r="L193" s="103" t="s">
        <v>696</v>
      </c>
    </row>
    <row r="194" spans="1:12" customFormat="1">
      <c r="A194" s="103" t="str">
        <f>SJ027022H96!A19</f>
        <v>SJ027022H96</v>
      </c>
      <c r="B194" s="103" t="str">
        <f>SJ027022H96!B19</f>
        <v>SJ027022H96/499-501B Si no tiene fuerza de voluntad está chava’o, porque pueden meterlo al mejor programa del mundo y no se va recuperar nunca va a volver a caer.</v>
      </c>
      <c r="C194" s="103" t="str">
        <f>SJ027022H96!C19</f>
        <v>analítico</v>
      </c>
      <c r="D194" s="103" t="str">
        <f>SJ027022H96!D19</f>
        <v>temporal</v>
      </c>
      <c r="E194" s="103">
        <f>SJ027022H96!E19</f>
        <v>3</v>
      </c>
      <c r="F194" s="103">
        <f>SJ027022H96!F19</f>
        <v>1</v>
      </c>
      <c r="G194" s="103">
        <f>SJ027022H96!G19</f>
        <v>1</v>
      </c>
      <c r="H194" s="103">
        <f>SJ027022H96!H19</f>
        <v>0</v>
      </c>
      <c r="I194" s="103">
        <f>SJ027022H96!I19</f>
        <v>1</v>
      </c>
      <c r="J194" s="103">
        <f>SJ027022H96!J19</f>
        <v>1</v>
      </c>
      <c r="K194" s="103">
        <v>2</v>
      </c>
      <c r="L194" s="103" t="s">
        <v>696</v>
      </c>
    </row>
    <row r="195" spans="1:12" customFormat="1">
      <c r="A195" s="103" t="str">
        <f>SJ027022H96!A20</f>
        <v>SJ027022H96</v>
      </c>
      <c r="B195" s="103" t="str">
        <f>SJ027022H96!B20</f>
        <v>SJ027022H96/512-515 Sabes pues si pasa por eso que tú dices, pero eso no es son muchas cosas que, eso, no, no, no es un solo, no es una, no le, no le tratemos de buscar un solo mal sino son muchas cosas, tú sabes, que le pasan y si la persona no tiene mucha fuerza de voluntad, como te digo, va a caer.</v>
      </c>
      <c r="C195" s="103" t="str">
        <f>SJ027022H96!C20</f>
        <v>analítico</v>
      </c>
      <c r="D195" s="103" t="str">
        <f>SJ027022H96!D20</f>
        <v>temporal</v>
      </c>
      <c r="E195" s="103">
        <f>SJ027022H96!E20</f>
        <v>3</v>
      </c>
      <c r="F195" s="103">
        <f>SJ027022H96!F20</f>
        <v>0</v>
      </c>
      <c r="G195" s="103">
        <f>SJ027022H96!G20</f>
        <v>0</v>
      </c>
      <c r="H195" s="103">
        <f>SJ027022H96!H20</f>
        <v>0</v>
      </c>
      <c r="I195" s="103">
        <f>SJ027022H96!I20</f>
        <v>1</v>
      </c>
      <c r="J195" s="103">
        <f>SJ027022H96!J20</f>
        <v>1</v>
      </c>
      <c r="K195" s="103">
        <v>2</v>
      </c>
      <c r="L195" s="103" t="s">
        <v>696</v>
      </c>
    </row>
    <row r="196" spans="1:12" customFormat="1">
      <c r="A196" s="103" t="str">
        <f>SJ027022H96!A21</f>
        <v>SJ027022H96</v>
      </c>
      <c r="B196" s="103" t="str">
        <f>SJ027022H96!B21</f>
        <v>SJ027022H96/518-519A Va a caer si no tiene fuerza de voluntad va a caer y si después que cae no tiene la fuerza de voluntad para quitarse va a continuar en lo mismo.</v>
      </c>
      <c r="C196" s="103" t="str">
        <f>SJ027022H96!C21</f>
        <v>analítico</v>
      </c>
      <c r="D196" s="103" t="str">
        <f>SJ027022H96!D21</f>
        <v>temporal</v>
      </c>
      <c r="E196" s="103">
        <f>SJ027022H96!E21</f>
        <v>3</v>
      </c>
      <c r="F196" s="103">
        <f>SJ027022H96!F21</f>
        <v>0</v>
      </c>
      <c r="G196" s="103">
        <f>SJ027022H96!G21</f>
        <v>0</v>
      </c>
      <c r="H196" s="103">
        <f>SJ027022H96!H21</f>
        <v>0</v>
      </c>
      <c r="I196" s="103">
        <f>SJ027022H96!I21</f>
        <v>1</v>
      </c>
      <c r="J196" s="103">
        <f>SJ027022H96!J21</f>
        <v>1</v>
      </c>
      <c r="K196" s="103">
        <v>2</v>
      </c>
      <c r="L196" s="103" t="s">
        <v>696</v>
      </c>
    </row>
    <row r="197" spans="1:12">
      <c r="A197" s="103" t="str">
        <f>SJ027022H96!A22</f>
        <v>SJ027022H96</v>
      </c>
      <c r="B197" s="103" t="str">
        <f>SJ027022H96!B22</f>
        <v>SJ027022H96/518-519B Va a caer si no tiene fuerza de voluntad va a caer y si después que cae no tiene la fuerza de voluntad para quitarse va a continuar en lo mismo.</v>
      </c>
      <c r="C197" s="103" t="str">
        <f>SJ027022H96!C22</f>
        <v>analítico</v>
      </c>
      <c r="D197" s="103" t="str">
        <f>SJ027022H96!D22</f>
        <v>temporal</v>
      </c>
      <c r="E197" s="103">
        <f>SJ027022H96!E22</f>
        <v>3</v>
      </c>
      <c r="F197" s="103">
        <f>SJ027022H96!F22</f>
        <v>0</v>
      </c>
      <c r="G197" s="103">
        <f>SJ027022H96!G22</f>
        <v>0</v>
      </c>
      <c r="H197" s="103">
        <f>SJ027022H96!H22</f>
        <v>0</v>
      </c>
      <c r="I197" s="103">
        <f>SJ027022H96!I22</f>
        <v>1</v>
      </c>
      <c r="J197" s="103">
        <f>SJ027022H96!J22</f>
        <v>1</v>
      </c>
      <c r="K197" s="103">
        <v>2</v>
      </c>
      <c r="L197" s="103" t="s">
        <v>696</v>
      </c>
    </row>
    <row r="198" spans="1:12">
      <c r="A198" s="103" t="str">
        <f>SJ027022H96!A23</f>
        <v>SJ027022H96</v>
      </c>
      <c r="B198" s="103" t="str">
        <f>SJ027022H96!B23</f>
        <v>SJ027022H96/518-519E Va a caer si no tiene fuerza de voluntad va a caer y si después que cae no tiene la fuerza de voluntad para quitarse va a continuar en lo mismo.</v>
      </c>
      <c r="C198" s="103" t="str">
        <f>SJ027022H96!C23</f>
        <v>analítico</v>
      </c>
      <c r="D198" s="103" t="str">
        <f>SJ027022H96!D23</f>
        <v>temporal</v>
      </c>
      <c r="E198" s="103">
        <f>SJ027022H96!E23</f>
        <v>3</v>
      </c>
      <c r="F198" s="103">
        <f>SJ027022H96!F23</f>
        <v>0</v>
      </c>
      <c r="G198" s="103">
        <f>SJ027022H96!G23</f>
        <v>0</v>
      </c>
      <c r="H198" s="103">
        <f>SJ027022H96!H23</f>
        <v>0</v>
      </c>
      <c r="I198" s="103">
        <f>SJ027022H96!I23</f>
        <v>1</v>
      </c>
      <c r="J198" s="103">
        <f>SJ027022H96!J23</f>
        <v>1</v>
      </c>
      <c r="K198" s="103">
        <v>2</v>
      </c>
      <c r="L198" s="103" t="s">
        <v>696</v>
      </c>
    </row>
    <row r="199" spans="1:12">
      <c r="A199" s="103" t="str">
        <f>SJ027022H96!A24</f>
        <v>SJ027022H96</v>
      </c>
      <c r="B199" s="103" t="str">
        <f>SJ027022H96!B24</f>
        <v>SJ027022H96/533-535A Y va a seguir y lo llevan mil veces a la corte y va a continuar haciendo lo mismo. Va a seguir haciéndolo, porque le han ya la autoridad para hacerlo y como él van a salir otros y hasta que no le ponga un corte a eso va va a seguir pasándolo.</v>
      </c>
      <c r="C199" s="103" t="str">
        <f>SJ027022H96!C24</f>
        <v>analítico</v>
      </c>
      <c r="D199" s="103" t="str">
        <f>SJ027022H96!D24</f>
        <v>temporal</v>
      </c>
      <c r="E199" s="103">
        <f>SJ027022H96!E24</f>
        <v>3</v>
      </c>
      <c r="F199" s="103">
        <f>SJ027022H96!F24</f>
        <v>0</v>
      </c>
      <c r="G199" s="103">
        <f>SJ027022H96!G24</f>
        <v>0</v>
      </c>
      <c r="H199" s="103">
        <f>SJ027022H96!H24</f>
        <v>0</v>
      </c>
      <c r="I199" s="103">
        <f>SJ027022H96!I24</f>
        <v>1</v>
      </c>
      <c r="J199" s="103">
        <f>SJ027022H96!J24</f>
        <v>0</v>
      </c>
      <c r="K199" s="103">
        <v>2</v>
      </c>
      <c r="L199" s="103" t="s">
        <v>696</v>
      </c>
    </row>
    <row r="200" spans="1:12" customFormat="1">
      <c r="A200" s="103" t="str">
        <f>SJ027022H96!A25</f>
        <v>SJ027022H96</v>
      </c>
      <c r="B200" s="103" t="str">
        <f>SJ027022H96!B25</f>
        <v>SJ027022H96/533-535B Y va a seguir y lo llevan mil veces a la corte y va a continuar haciendo lo mismo. Va a seguir haciéndolo, porque le han ya la autoridad para hacerlo y como él van a salir otros y hasta que no le ponga un corte a eso va va a seguir pasándolo.</v>
      </c>
      <c r="C200" s="103" t="str">
        <f>SJ027022H96!C25</f>
        <v>presente</v>
      </c>
      <c r="D200" s="103" t="str">
        <f>SJ027022H96!D25</f>
        <v>temporal</v>
      </c>
      <c r="E200" s="103">
        <f>SJ027022H96!E25</f>
        <v>6</v>
      </c>
      <c r="F200" s="103">
        <f>SJ027022H96!F25</f>
        <v>0</v>
      </c>
      <c r="G200" s="103">
        <f>SJ027022H96!G25</f>
        <v>0</v>
      </c>
      <c r="H200" s="103">
        <f>SJ027022H96!H25</f>
        <v>0</v>
      </c>
      <c r="I200" s="103">
        <f>SJ027022H96!I25</f>
        <v>1</v>
      </c>
      <c r="J200" s="103">
        <f>SJ027022H96!J25</f>
        <v>0</v>
      </c>
      <c r="K200" s="103">
        <v>2</v>
      </c>
      <c r="L200" s="103" t="s">
        <v>696</v>
      </c>
    </row>
    <row r="201" spans="1:12" customFormat="1">
      <c r="A201" s="103" t="str">
        <f>SJ027022H96!A26</f>
        <v>SJ027022H96</v>
      </c>
      <c r="B201" s="103" t="str">
        <f>SJ027022H96!B26</f>
        <v>SJ027022H96/533-535C Y va a seguir y lo llevan mil veces a la corte y va a continuar haciendo lo mismo. Va a seguir haciéndolo, porque le han ya la autoridad para hacerlo y como él van a salir otros y hasta que no le ponga un corte a eso va va a seguir pasándolo.</v>
      </c>
      <c r="C201" s="103" t="str">
        <f>SJ027022H96!C26</f>
        <v>analítico</v>
      </c>
      <c r="D201" s="103" t="str">
        <f>SJ027022H96!D26</f>
        <v>temporal</v>
      </c>
      <c r="E201" s="103">
        <f>SJ027022H96!E26</f>
        <v>3</v>
      </c>
      <c r="F201" s="103">
        <f>SJ027022H96!F26</f>
        <v>0</v>
      </c>
      <c r="G201" s="103">
        <f>SJ027022H96!G26</f>
        <v>0</v>
      </c>
      <c r="H201" s="103">
        <f>SJ027022H96!H26</f>
        <v>0</v>
      </c>
      <c r="I201" s="103">
        <f>SJ027022H96!I26</f>
        <v>1</v>
      </c>
      <c r="J201" s="103">
        <f>SJ027022H96!J26</f>
        <v>0</v>
      </c>
      <c r="K201" s="103">
        <v>2</v>
      </c>
      <c r="L201" s="103" t="s">
        <v>696</v>
      </c>
    </row>
    <row r="202" spans="1:12" customFormat="1">
      <c r="A202" s="103" t="str">
        <f>SJ027022H96!A27</f>
        <v>SJ027022H96</v>
      </c>
      <c r="B202" s="103" t="str">
        <f>SJ027022H96!B27</f>
        <v>SJ027022H96/533-535D Y va a seguir y lo llevan mil veces a la corte y va a continuar haciendo lo mismo. Va a seguir haciéndolo, porque le han ya la autoridad para hacerlo y como él van a salir otros y hasta que no le ponga un corte a eso va va a seguir pasándolo.</v>
      </c>
      <c r="C202" s="103" t="str">
        <f>SJ027022H96!C27</f>
        <v>analítico</v>
      </c>
      <c r="D202" s="103" t="str">
        <f>SJ027022H96!D27</f>
        <v>temporal</v>
      </c>
      <c r="E202" s="103">
        <f>SJ027022H96!E27</f>
        <v>3</v>
      </c>
      <c r="F202" s="103">
        <f>SJ027022H96!F27</f>
        <v>0</v>
      </c>
      <c r="G202" s="103">
        <f>SJ027022H96!G27</f>
        <v>0</v>
      </c>
      <c r="H202" s="103">
        <f>SJ027022H96!H27</f>
        <v>0</v>
      </c>
      <c r="I202" s="103">
        <f>SJ027022H96!I27</f>
        <v>1</v>
      </c>
      <c r="J202" s="103">
        <f>SJ027022H96!J27</f>
        <v>0</v>
      </c>
      <c r="K202" s="103">
        <v>2</v>
      </c>
      <c r="L202" s="103" t="s">
        <v>696</v>
      </c>
    </row>
    <row r="203" spans="1:12" customFormat="1">
      <c r="A203" s="103" t="str">
        <f>SJ027022H96!A28</f>
        <v>SJ027022H96</v>
      </c>
      <c r="B203" s="103" t="str">
        <f>SJ027022H96!B28</f>
        <v>SJ027022H96/533-535E Y va a seguir y lo llevan mil veces a la corte y va a continuar haciendo lo mismo. Va a seguir haciéndolo, porque le han ya la autoridad para hacerlo y como él van a salir otros y hasta que no le ponga un corte a eso va va a seguir pasándolo.</v>
      </c>
      <c r="C203" s="103" t="str">
        <f>SJ027022H96!C28</f>
        <v>analítico</v>
      </c>
      <c r="D203" s="103" t="str">
        <f>SJ027022H96!D28</f>
        <v>temporal</v>
      </c>
      <c r="E203" s="103">
        <f>SJ027022H96!E28</f>
        <v>6</v>
      </c>
      <c r="F203" s="103">
        <f>SJ027022H96!F28</f>
        <v>0</v>
      </c>
      <c r="G203" s="103">
        <f>SJ027022H96!G28</f>
        <v>0</v>
      </c>
      <c r="H203" s="103">
        <f>SJ027022H96!H28</f>
        <v>0</v>
      </c>
      <c r="I203" s="103">
        <f>SJ027022H96!I28</f>
        <v>1</v>
      </c>
      <c r="J203" s="103">
        <f>SJ027022H96!J28</f>
        <v>0</v>
      </c>
      <c r="K203" s="103">
        <v>2</v>
      </c>
      <c r="L203" s="103" t="s">
        <v>696</v>
      </c>
    </row>
    <row r="204" spans="1:12">
      <c r="A204" s="103" t="str">
        <f>SJ027022H96!A29</f>
        <v>SJ027022H96</v>
      </c>
      <c r="B204" s="103" t="str">
        <f>SJ027022H96!B29</f>
        <v>SJ027022H96/533-535F Y va a seguir y lo llevan mil veces a la corte y va a continuar haciendo lo mismo. Va a seguir haciéndolo, porque le han ya la autoridad para hacerlo y como él van a salir otros y hasta que no le ponga un corte a eso va va a seguir pasándolo.</v>
      </c>
      <c r="C204" s="103" t="str">
        <f>SJ027022H96!C29</f>
        <v>analítico</v>
      </c>
      <c r="D204" s="103" t="str">
        <f>SJ027022H96!D29</f>
        <v>temporal</v>
      </c>
      <c r="E204" s="103">
        <f>SJ027022H96!E29</f>
        <v>3</v>
      </c>
      <c r="F204" s="103">
        <f>SJ027022H96!F29</f>
        <v>1</v>
      </c>
      <c r="G204" s="103">
        <f>SJ027022H96!G29</f>
        <v>0</v>
      </c>
      <c r="H204" s="103">
        <f>SJ027022H96!H29</f>
        <v>0</v>
      </c>
      <c r="I204" s="103">
        <f>SJ027022H96!I29</f>
        <v>1</v>
      </c>
      <c r="J204" s="103">
        <f>SJ027022H96!J29</f>
        <v>0</v>
      </c>
      <c r="K204" s="103">
        <v>2</v>
      </c>
      <c r="L204" s="103" t="s">
        <v>696</v>
      </c>
    </row>
    <row r="205" spans="1:12">
      <c r="A205" s="103" t="str">
        <f>SJ027022H96!A30</f>
        <v>SJ027022H96</v>
      </c>
      <c r="B205" s="103" t="str">
        <f>SJ027022H96!B30</f>
        <v>SJ027022H96/560-566A Lo, lo hacen pero, tú no ves que lo anuncian, sabes que te dan a ti un programa de actividades, qué sé yo, quizás lo hacen pa’ la gente del pueblo de ellos, pero para la comunidad como tal lo que te anuncian es esta noche va a estar Toño Rosario y la Máquina y entonces va a estar este Grupomanía y va a estar Gran Combo, o sea, para que tú vayas a ver eso, no te invitan a que tú vayas a esa otra celebración, a la de ir a la de la peregrinación de la Virgen, a llevarle flores a la Virgen, sabes o al santo que se le dedica esa, esa, esa fiesta, en Loíza se hace de esa forma todavía.</v>
      </c>
      <c r="C205" s="103" t="str">
        <f>SJ027022H96!C30</f>
        <v>analítico</v>
      </c>
      <c r="D205" s="103" t="str">
        <f>SJ027022H96!D30</f>
        <v>temporal</v>
      </c>
      <c r="E205" s="103">
        <f>SJ027022H96!E30</f>
        <v>3</v>
      </c>
      <c r="F205" s="103">
        <f>SJ027022H96!F30</f>
        <v>1</v>
      </c>
      <c r="G205" s="103">
        <f>SJ027022H96!G30</f>
        <v>0</v>
      </c>
      <c r="H205" s="103">
        <f>SJ027022H96!H30</f>
        <v>2</v>
      </c>
      <c r="I205" s="103">
        <f>SJ027022H96!I30</f>
        <v>1</v>
      </c>
      <c r="J205" s="103">
        <f>SJ027022H96!J30</f>
        <v>0</v>
      </c>
      <c r="K205" s="103">
        <v>2</v>
      </c>
      <c r="L205" s="103" t="s">
        <v>696</v>
      </c>
    </row>
    <row r="206" spans="1:12" customFormat="1">
      <c r="A206" s="103" t="str">
        <f>SJ027022H96!A31</f>
        <v>SJ027022H96</v>
      </c>
      <c r="B206" s="103" t="str">
        <f>SJ027022H96!B31</f>
        <v>SJ027022H96/560-566B Lo, lo hacen pero, tú no ves que lo anuncian, sabes que te dan a ti un programa de actividades, qué sé yo, quizás lo hacen pa’ la gente del pueblo de ellos, pero para la comunidad como tal lo que te anuncian es esta noche va a estar Toño Rosario y la Máquina y entonces va a estar este Grupomanía y va a estar Gran Combo, o sea, para que tú vayas a ver eso, no te invitan a que tú vayas a esa otra celebración, a la de ir a la de la peregrinación de la Virgen, a llevarle flores a la Virgen, sabes o al santo que se le dedica esa, esa, esa fiesta, en Loíza se hace de esa forma todavía.</v>
      </c>
      <c r="C206" s="103" t="str">
        <f>SJ027022H96!C31</f>
        <v>analítico</v>
      </c>
      <c r="D206" s="103" t="str">
        <f>SJ027022H96!D31</f>
        <v>temporal</v>
      </c>
      <c r="E206" s="103">
        <f>SJ027022H96!E31</f>
        <v>3</v>
      </c>
      <c r="F206" s="103">
        <f>SJ027022H96!F31</f>
        <v>1</v>
      </c>
      <c r="G206" s="103">
        <f>SJ027022H96!G31</f>
        <v>0</v>
      </c>
      <c r="H206" s="103">
        <f>SJ027022H96!H31</f>
        <v>2</v>
      </c>
      <c r="I206" s="103">
        <f>SJ027022H96!I31</f>
        <v>1</v>
      </c>
      <c r="J206" s="103">
        <f>SJ027022H96!J31</f>
        <v>0</v>
      </c>
      <c r="K206" s="103">
        <v>2</v>
      </c>
      <c r="L206" s="103" t="s">
        <v>696</v>
      </c>
    </row>
    <row r="207" spans="1:12" customFormat="1">
      <c r="A207" s="103" t="str">
        <f>SJ027022H96!A32</f>
        <v>SJ027022H96</v>
      </c>
      <c r="B207" s="103" t="str">
        <f>SJ027022H96!B32</f>
        <v>SJ027022H96/560-566C Lo, lo hacen pero, tú no ves que lo anuncian, sabes que te dan a ti un programa de actividades, qué sé yo, quizás lo hacen pa’ la gente del pueblo de ellos, pero para la comunidad como tal lo que te anuncian es esta noche va a estar Toño Rosario y la Máquina y entonces va a estar este Grupomanía y va a estar Gran Combo, o sea, para que tú vayas a ver eso, no te invitan a que tú vayas a esa otra celebración, a la de ir a la de la peregrinación de la Virgen, a llevarle flores a la Virgen, sabes o al santo que se le dedica esa, esa, esa fiesta, en Loíza se hace de esa forma todavía.</v>
      </c>
      <c r="C207" s="103" t="str">
        <f>SJ027022H96!C32</f>
        <v>analítico</v>
      </c>
      <c r="D207" s="103" t="str">
        <f>SJ027022H96!D32</f>
        <v>temporal</v>
      </c>
      <c r="E207" s="103">
        <f>SJ027022H96!E32</f>
        <v>3</v>
      </c>
      <c r="F207" s="103">
        <f>SJ027022H96!F32</f>
        <v>1</v>
      </c>
      <c r="G207" s="103">
        <f>SJ027022H96!G32</f>
        <v>0</v>
      </c>
      <c r="H207" s="103">
        <f>SJ027022H96!H32</f>
        <v>2</v>
      </c>
      <c r="I207" s="103">
        <f>SJ027022H96!I32</f>
        <v>0</v>
      </c>
      <c r="J207" s="103">
        <f>SJ027022H96!J32</f>
        <v>0</v>
      </c>
      <c r="K207" s="103">
        <v>2</v>
      </c>
      <c r="L207" s="103" t="s">
        <v>696</v>
      </c>
    </row>
    <row r="208" spans="1:12" customFormat="1">
      <c r="A208" s="103" t="str">
        <f>SJ027022H96!A33</f>
        <v>SJ027022H96</v>
      </c>
      <c r="B208" s="103" t="str">
        <f>SJ027022H96!B33</f>
        <v>SJ027022H96/581-583 Qué tú tienes que firmar eso ahí para cuando entras a solicitar un servicio, qué documentos que tú tienes que tener a la mano para cuando vengas a pedir un servicio.</v>
      </c>
      <c r="C208" s="103" t="str">
        <f>SJ027022H96!C33</f>
        <v>presente</v>
      </c>
      <c r="D208" s="103" t="str">
        <f>SJ027022H96!D33</f>
        <v>temporal</v>
      </c>
      <c r="E208" s="103">
        <f>SJ027022H96!E33</f>
        <v>2</v>
      </c>
      <c r="F208" s="103">
        <f>SJ027022H96!F33</f>
        <v>1</v>
      </c>
      <c r="G208" s="103">
        <f>SJ027022H96!G33</f>
        <v>0</v>
      </c>
      <c r="H208" s="103">
        <f>SJ027022H96!H33</f>
        <v>0</v>
      </c>
      <c r="I208" s="103">
        <f>SJ027022H96!I33</f>
        <v>0</v>
      </c>
      <c r="J208" s="103">
        <f>SJ027022H96!J33</f>
        <v>0</v>
      </c>
      <c r="K208" s="103">
        <v>2</v>
      </c>
      <c r="L208" s="103" t="s">
        <v>696</v>
      </c>
    </row>
    <row r="209" spans="1:12" customFormat="1">
      <c r="A209" s="103" t="str">
        <f>SJ027022H96!A34</f>
        <v>SJ027022H96</v>
      </c>
      <c r="B209" s="103" t="str">
        <f>SJ027022H96!B34</f>
        <v xml:space="preserve">SJ027022H96/597-604A No, yo no tengo preferencia con ninguna lectura, yo cayó en mis manos este periodiquito lo leí, y puede estar hablando de quizás un tema científico que yo no sepa de lo que es para ver quién pueda captar algo por qué, porque la diversidad de temas, cuando tú te encuentras que, tú sabes, que yo tengo mi guisito de lo de “Disc Jockey” los fines de semana y hay veces que porque yo tengo actividades con personas verdad pues, doctores, médicos, licenciados y estas cosas así y muchas veces tú vas a hablar con una persona de esas y de qué le vas a hablar, de caballos, pues tú sabes, tienes que decir pues si te pone un tema de algo relacionado con, con su con su vida, pues así tú sabes, tú ??? </v>
      </c>
      <c r="C209" s="103" t="str">
        <f>SJ027022H96!C34</f>
        <v>analítico</v>
      </c>
      <c r="D209" s="103" t="str">
        <f>SJ027022H96!D34</f>
        <v>temporal</v>
      </c>
      <c r="E209" s="103">
        <f>SJ027022H96!E34</f>
        <v>2</v>
      </c>
      <c r="F209" s="103">
        <f>SJ027022H96!F34</f>
        <v>1</v>
      </c>
      <c r="G209" s="103">
        <f>SJ027022H96!G34</f>
        <v>0</v>
      </c>
      <c r="H209" s="103">
        <f>SJ027022H96!H34</f>
        <v>0</v>
      </c>
      <c r="I209" s="103">
        <f>SJ027022H96!I34</f>
        <v>0</v>
      </c>
      <c r="J209" s="103">
        <f>SJ027022H96!J34</f>
        <v>0</v>
      </c>
      <c r="K209" s="103">
        <v>2</v>
      </c>
      <c r="L209" s="103" t="s">
        <v>696</v>
      </c>
    </row>
    <row r="210" spans="1:12" customFormat="1">
      <c r="A210" s="103" t="str">
        <f>SJ027022H96!A35</f>
        <v>SJ027022H96</v>
      </c>
      <c r="B210" s="103" t="str">
        <f>SJ027022H96!B35</f>
        <v>SJ027022H96/597-604B No, yo no tengo preferencia con ninguna lectura, yo cayó en mis manos este periodiquito lo leí, y puede estar hablando de quizás un tema científico que yo no sepa de lo que es para ver quién pueda captar algo por qué, porque la diversidad de temas, cuando tú te encuentras que, tú sabes, que yo tengo mi guisito de lo de “Disc Jockey” los fines de semana y hay veces que porque yo tengo actividades con personas verdad pues, doctores, médicos, licenciados y estas cosas así y muchas veces tú vas a hablar con una persona de esas y de qué le vas a hablar, de caballos, pues tú sabes, tienes que decir pues si te pone un tema de algo relacionado con, con su con su vida, pues así tú sabes, tú ???</v>
      </c>
      <c r="C210" s="103" t="str">
        <f>SJ027022H96!C35</f>
        <v>analítico</v>
      </c>
      <c r="D210" s="103" t="str">
        <f>SJ027022H96!D35</f>
        <v>temporal</v>
      </c>
      <c r="E210" s="103">
        <f>SJ027022H96!E35</f>
        <v>2</v>
      </c>
      <c r="F210" s="103">
        <f>SJ027022H96!F35</f>
        <v>0</v>
      </c>
      <c r="G210" s="103">
        <f>SJ027022H96!G35</f>
        <v>0</v>
      </c>
      <c r="H210" s="103">
        <f>SJ027022H96!H35</f>
        <v>0</v>
      </c>
      <c r="I210" s="103">
        <f>SJ027022H96!I35</f>
        <v>0</v>
      </c>
      <c r="J210" s="103">
        <f>SJ027022H96!J35</f>
        <v>0</v>
      </c>
      <c r="K210" s="103">
        <v>2</v>
      </c>
      <c r="L210" s="103" t="s">
        <v>696</v>
      </c>
    </row>
    <row r="211" spans="1:12" customFormat="1">
      <c r="A211" s="103" t="str">
        <f>SJ031022H96!A2</f>
        <v>SJ031022H96</v>
      </c>
      <c r="B211" s="103" t="str">
        <f>SJ031022H96!B2</f>
        <v>SJ031022H96/12A Aquí veintisiete, voy [a cumplir] en julio del año que viene cumplo veintisiete años.</v>
      </c>
      <c r="C211" s="103" t="str">
        <f>SJ031022H96!C2</f>
        <v>analítico</v>
      </c>
      <c r="D211" s="103" t="str">
        <f>SJ031022H96!D2</f>
        <v>temporal</v>
      </c>
      <c r="E211" s="103">
        <f>SJ031022H96!E2</f>
        <v>1</v>
      </c>
      <c r="F211" s="103">
        <f>SJ031022H96!F2</f>
        <v>1</v>
      </c>
      <c r="G211" s="103">
        <f>SJ031022H96!G2</f>
        <v>0</v>
      </c>
      <c r="H211" s="103">
        <f>SJ031022H96!H2</f>
        <v>1</v>
      </c>
      <c r="I211" s="103">
        <f>SJ031022H96!I2</f>
        <v>1</v>
      </c>
      <c r="J211" s="103">
        <f>SJ031022H96!J2</f>
        <v>0</v>
      </c>
      <c r="K211" s="103">
        <v>2</v>
      </c>
      <c r="L211" s="103" t="s">
        <v>696</v>
      </c>
    </row>
    <row r="212" spans="1:12" customFormat="1">
      <c r="A212" s="103" t="str">
        <f>SJ031022H96!A3</f>
        <v>SJ031022H96</v>
      </c>
      <c r="B212" s="103" t="str">
        <f>SJ031022H96!B3</f>
        <v>SJ031022H96/12B Aquí veintisiete, voy en julio del año que viene cumplo veintisiete años.</v>
      </c>
      <c r="C212" s="103" t="str">
        <f>SJ031022H96!C3</f>
        <v>presente</v>
      </c>
      <c r="D212" s="103" t="str">
        <f>SJ031022H96!D3</f>
        <v>temporal</v>
      </c>
      <c r="E212" s="103">
        <f>SJ031022H96!E3</f>
        <v>1</v>
      </c>
      <c r="F212" s="103">
        <f>SJ031022H96!F3</f>
        <v>1</v>
      </c>
      <c r="G212" s="103">
        <f>SJ031022H96!G3</f>
        <v>0</v>
      </c>
      <c r="H212" s="103">
        <f>SJ031022H96!H3</f>
        <v>1</v>
      </c>
      <c r="I212" s="103">
        <f>SJ031022H96!I3</f>
        <v>0</v>
      </c>
      <c r="J212" s="103">
        <f>SJ031022H96!J3</f>
        <v>0</v>
      </c>
      <c r="K212" s="103">
        <v>2</v>
      </c>
      <c r="L212" s="103" t="s">
        <v>696</v>
      </c>
    </row>
    <row r="213" spans="1:12" customFormat="1">
      <c r="A213" s="103" t="str">
        <f>SJ031022H96!A4</f>
        <v>SJ031022H96</v>
      </c>
      <c r="B213" s="103" t="str">
        <f>SJ031022H96!B4</f>
        <v>SJ031022H96/50-52 (¿Y pero tú crees, que bueno habría pues alguna solución para eso, pues, que esa [hacer de Río Piedras otra vez un municipio] sería una de las mejores soluciones?) Sí, sí, ya creo que sí ahora, uhm cómo será y cómo y cuándo.</v>
      </c>
      <c r="C213" s="103" t="str">
        <f>SJ031022H96!C4</f>
        <v>morfológico</v>
      </c>
      <c r="D213" s="103" t="str">
        <f>SJ031022H96!D4</f>
        <v>temporal</v>
      </c>
      <c r="E213" s="103">
        <f>SJ031022H96!E4</f>
        <v>3</v>
      </c>
      <c r="F213" s="103">
        <f>SJ031022H96!F4</f>
        <v>0</v>
      </c>
      <c r="G213" s="103">
        <f>SJ031022H96!G4</f>
        <v>0</v>
      </c>
      <c r="H213" s="103">
        <f>SJ031022H96!H4</f>
        <v>0</v>
      </c>
      <c r="I213" s="103">
        <f>SJ031022H96!I4</f>
        <v>0</v>
      </c>
      <c r="J213" s="103">
        <f>SJ031022H96!J4</f>
        <v>0</v>
      </c>
      <c r="K213" s="103">
        <v>2</v>
      </c>
      <c r="L213" s="103" t="s">
        <v>696</v>
      </c>
    </row>
    <row r="214" spans="1:12" customFormat="1">
      <c r="A214" s="103" t="str">
        <f>SJ031022H96!A5</f>
        <v>SJ031022H96</v>
      </c>
      <c r="B214" s="103" t="str">
        <f>SJ031022H96!B5</f>
        <v>SJ031022H96/151-155A Bueno, por lo menos en mi familia yo te podría hablar de mi familia, pues ahora viene “Thanksgiving” que nos reunimos y eso año tras año siempre lo hemos hecho, nos reunimos la familia y compartimos ese día ¿no? y damos gracias al Señor por todas las cosas cual nos ha brindado y las comidas y etcétera, igual que las navidades pues también nos tenemos unos días para reunirnos y hacer este, nuestra fiestecita y un intercambio de regalo y así por el estilo</v>
      </c>
      <c r="C214" s="103" t="str">
        <f>SJ031022H96!C5</f>
        <v>presente</v>
      </c>
      <c r="D214" s="103" t="str">
        <f>SJ031022H96!D5</f>
        <v>temporal</v>
      </c>
      <c r="E214" s="103">
        <f>SJ031022H96!E5</f>
        <v>3</v>
      </c>
      <c r="F214" s="103">
        <f>SJ031022H96!F5</f>
        <v>1</v>
      </c>
      <c r="G214" s="103">
        <f>SJ031022H96!G5</f>
        <v>0</v>
      </c>
      <c r="H214" s="103">
        <f>SJ031022H96!H5</f>
        <v>2</v>
      </c>
      <c r="I214" s="103">
        <f>SJ031022H96!I5</f>
        <v>1</v>
      </c>
      <c r="J214" s="103">
        <f>SJ031022H96!J5</f>
        <v>0</v>
      </c>
      <c r="K214" s="103">
        <v>2</v>
      </c>
      <c r="L214" s="103" t="s">
        <v>696</v>
      </c>
    </row>
    <row r="215" spans="1:12" customFormat="1">
      <c r="A215" t="str">
        <f>SJ031022H96!A6</f>
        <v>SJ031022H96</v>
      </c>
      <c r="B215" t="str">
        <f>SJ031022H96!B6</f>
        <v>SJ031022H96/357-359A Porque aquel que incurre a, a usar es usuario de drogas, tiende a robar sino pues ya va en camino de también de asesinar, no. Porque el desempleado pues hará su fechoría, pero no, no llega a tanto, a ese nivel.</v>
      </c>
      <c r="C215" t="str">
        <f>SJ031022H96!C6</f>
        <v>morfológico</v>
      </c>
      <c r="D215" t="str">
        <f>SJ031022H96!D6</f>
        <v>concesión</v>
      </c>
      <c r="E215">
        <f>SJ031022H96!E6</f>
        <v>3</v>
      </c>
      <c r="F215">
        <f>SJ031022H96!F6</f>
        <v>0</v>
      </c>
      <c r="G215">
        <f>SJ031022H96!G6</f>
        <v>0</v>
      </c>
      <c r="H215">
        <f>SJ031022H96!H6</f>
        <v>0</v>
      </c>
      <c r="I215">
        <f>SJ031022H96!I6</f>
        <v>0</v>
      </c>
      <c r="J215">
        <f>SJ031022H96!J6</f>
        <v>0</v>
      </c>
      <c r="K215">
        <v>2</v>
      </c>
      <c r="L215" t="s">
        <v>696</v>
      </c>
    </row>
    <row r="216" spans="1:12" customFormat="1">
      <c r="A216" s="103" t="str">
        <f>SJ031022H96!A7</f>
        <v>SJ031022H96</v>
      </c>
      <c r="B216" s="103" t="str">
        <f>SJ031022H96!B7</f>
        <v>SJ031022H96/544-549 . Fue un Motorola, no sé si todavía existe ese tipo de marca y la verdad es que, eh, yo me prendí el televisor y, y decía que pasará que no, que no sale imaginen, tú sabes, polque salía un ruidito piuuuuu y un tipo de indio en el centro en forma como de, de, de, de cruz o, o, o una hélice y yo me pasaba los minutos y las horas mirando eso a ver si se salía una imagen a la larga no porque comenzaba tarde ya como a las, no sé si eran al a las tres, a las cuatro o a las cinco que comenzaban las actividades de la televisión.</v>
      </c>
      <c r="C216" s="103" t="str">
        <f>SJ031022H96!C7</f>
        <v>morfológico</v>
      </c>
      <c r="D216" s="103" t="str">
        <f>SJ031022H96!D7</f>
        <v>temporal</v>
      </c>
      <c r="E216" s="103">
        <f>SJ031022H96!E7</f>
        <v>3</v>
      </c>
      <c r="F216" s="103">
        <f>SJ031022H96!F7</f>
        <v>0</v>
      </c>
      <c r="G216" s="103">
        <f>SJ031022H96!G7</f>
        <v>0</v>
      </c>
      <c r="H216" s="103">
        <f>SJ031022H96!H7</f>
        <v>0</v>
      </c>
      <c r="I216" s="103">
        <f>SJ031022H96!I7</f>
        <v>0</v>
      </c>
      <c r="J216" s="103">
        <f>SJ031022H96!J7</f>
        <v>0</v>
      </c>
      <c r="K216" s="103">
        <v>2</v>
      </c>
      <c r="L216" s="103" t="s">
        <v>696</v>
      </c>
    </row>
    <row r="217" spans="1:12" customFormat="1">
      <c r="A217" t="str">
        <f>SJ031022H96!A8</f>
        <v>SJ031022H96</v>
      </c>
      <c r="B217" t="str">
        <f>SJ031022H96!B8</f>
        <v>SJ031022H96/606-610 Mira yo te diría que no, porque es que tú no puedes, eh controlar, eh, una ???, eh, tú contraes matrimonio con una persona que el noviazgo pues, okey, será bien chévere todo color de rosa, cada cual tiene una diferente forma de pensar, pero ya ellos cuando llegan al matrimonio pues que están unidos, surgen este unos problemas como te dije anteriormente pueden ser económicos, puede ser diferentes problemas que entonces, se siguen agravando.</v>
      </c>
      <c r="C217" t="str">
        <f>SJ031022H96!C8</f>
        <v>morfológico</v>
      </c>
      <c r="D217" t="str">
        <f>SJ031022H96!D8</f>
        <v>concesión</v>
      </c>
      <c r="E217">
        <f>SJ031022H96!E8</f>
        <v>3</v>
      </c>
      <c r="F217">
        <f>SJ031022H96!F8</f>
        <v>0</v>
      </c>
      <c r="G217">
        <f>SJ031022H96!G8</f>
        <v>0</v>
      </c>
      <c r="H217">
        <f>SJ031022H96!H8</f>
        <v>0</v>
      </c>
      <c r="I217">
        <f>SJ031022H96!I8</f>
        <v>0</v>
      </c>
      <c r="J217">
        <f>SJ031022H96!J8</f>
        <v>0</v>
      </c>
      <c r="K217">
        <v>2</v>
      </c>
      <c r="L217" t="s">
        <v>696</v>
      </c>
    </row>
    <row r="218" spans="1:12" customFormat="1">
      <c r="A218" s="103" t="str">
        <f>SJ031022H96!A9</f>
        <v>SJ031022H96</v>
      </c>
      <c r="B218" s="103" t="str">
        <f>SJ031022H96!B9</f>
        <v>SJ031022H96/642-644A Sí, pero fíjate el que va a matar, no le importa si hay la pena de muerte o hay la pena de muerte si tienen un problema, está envuelto como dicen por ahí y demás y un asalto que sea mira, eh,… no le importa nada de eso.</v>
      </c>
      <c r="C218" s="103" t="str">
        <f>SJ031022H96!C9</f>
        <v>analítico</v>
      </c>
      <c r="D218" s="103" t="str">
        <f>SJ031022H96!D9</f>
        <v>temporal</v>
      </c>
      <c r="E218" s="103">
        <f>SJ031022H96!E9</f>
        <v>3</v>
      </c>
      <c r="F218" s="103">
        <f>SJ031022H96!F9</f>
        <v>0</v>
      </c>
      <c r="G218" s="103">
        <f>SJ031022H96!G9</f>
        <v>0</v>
      </c>
      <c r="H218" s="103">
        <f>SJ031022H96!H9</f>
        <v>0</v>
      </c>
      <c r="I218" s="103">
        <f>SJ031022H96!I9</f>
        <v>0</v>
      </c>
      <c r="J218" s="103">
        <f>SJ031022H96!J9</f>
        <v>0</v>
      </c>
      <c r="K218" s="103">
        <v>2</v>
      </c>
      <c r="L218" s="103" t="s">
        <v>696</v>
      </c>
    </row>
    <row r="219" spans="1:12" customFormat="1">
      <c r="A219" s="103" t="str">
        <f>SJ031022H96!A10</f>
        <v>SJ031022H96</v>
      </c>
      <c r="B219" s="103" t="str">
        <f>SJ031022H96!B10</f>
        <v>SJ031022H96/642-644B Sí, pero fíjate el que va a matar, no le importa si hay la pena de muerte o hay la pena de muerte si tienen un problema, está envuelto como dicen por ahí y demás y un asalto que sea mira, eh,… no le importa nada de eso.</v>
      </c>
      <c r="C219" s="103" t="str">
        <f>SJ031022H96!C10</f>
        <v>presente</v>
      </c>
      <c r="D219" s="103" t="str">
        <f>SJ031022H96!D10</f>
        <v>temporal</v>
      </c>
      <c r="E219" s="103">
        <f>SJ031022H96!E10</f>
        <v>3</v>
      </c>
      <c r="F219" s="103">
        <f>SJ031022H96!F10</f>
        <v>0</v>
      </c>
      <c r="G219" s="103">
        <f>SJ031022H96!G10</f>
        <v>0</v>
      </c>
      <c r="H219" s="103">
        <f>SJ031022H96!H10</f>
        <v>0</v>
      </c>
      <c r="I219" s="103">
        <f>SJ031022H96!I10</f>
        <v>0</v>
      </c>
      <c r="J219" s="103">
        <f>SJ031022H96!J10</f>
        <v>0</v>
      </c>
      <c r="K219" s="103">
        <v>2</v>
      </c>
      <c r="L219" s="103" t="s">
        <v>696</v>
      </c>
    </row>
    <row r="220" spans="1:12" customFormat="1">
      <c r="A220" s="103" t="str">
        <f>SJ031022H96!A11</f>
        <v>SJ031022H96</v>
      </c>
      <c r="B220" s="103" t="str">
        <f>SJ031022H96!B11</f>
        <v>SJ031022H96/642-644C Sí, pero fíjate el que va a matar, no le importa si hay la pena de muerte o hay la pena de muerte si tienen un problema, está envuelto como dicen por ahí y demás y un asalto que sea mira, eh,… no le importa nada de eso.</v>
      </c>
      <c r="C220" s="103" t="str">
        <f>SJ031022H96!C11</f>
        <v>presente</v>
      </c>
      <c r="D220" s="103" t="str">
        <f>SJ031022H96!D11</f>
        <v>temporal</v>
      </c>
      <c r="E220" s="103">
        <f>SJ031022H96!E11</f>
        <v>3</v>
      </c>
      <c r="F220" s="103">
        <f>SJ031022H96!F11</f>
        <v>0</v>
      </c>
      <c r="G220" s="103">
        <f>SJ031022H96!G11</f>
        <v>0</v>
      </c>
      <c r="H220" s="103">
        <f>SJ031022H96!H11</f>
        <v>0</v>
      </c>
      <c r="I220" s="103">
        <f>SJ031022H96!I11</f>
        <v>0</v>
      </c>
      <c r="J220" s="103">
        <f>SJ031022H96!J11</f>
        <v>0</v>
      </c>
      <c r="K220" s="103">
        <v>2</v>
      </c>
      <c r="L220" s="103" t="s">
        <v>696</v>
      </c>
    </row>
    <row r="221" spans="1:12" customFormat="1">
      <c r="A221" s="103" t="str">
        <f>SJ031022H96!A12</f>
        <v>SJ031022H96</v>
      </c>
      <c r="B221" s="103" t="str">
        <f>SJ031022H96!B12</f>
        <v>SJ031022H96/654 Te lo digo porque fíjate tuve una experiencia y te lo voy a decir aquí</v>
      </c>
      <c r="C221" s="103" t="str">
        <f>SJ031022H96!C12</f>
        <v>analítico</v>
      </c>
      <c r="D221" s="103" t="str">
        <f>SJ031022H96!D12</f>
        <v>temporal</v>
      </c>
      <c r="E221" s="103">
        <f>SJ031022H96!E12</f>
        <v>1</v>
      </c>
      <c r="F221" s="103">
        <f>SJ031022H96!F12</f>
        <v>1</v>
      </c>
      <c r="G221" s="103">
        <f>SJ031022H96!G12</f>
        <v>0</v>
      </c>
      <c r="H221" s="103">
        <f>SJ031022H96!H12</f>
        <v>2</v>
      </c>
      <c r="I221" s="103">
        <f>SJ031022H96!I12</f>
        <v>0</v>
      </c>
      <c r="J221" s="103">
        <f>SJ031022H96!J12</f>
        <v>0</v>
      </c>
      <c r="K221" s="103">
        <v>2</v>
      </c>
      <c r="L221" s="103" t="s">
        <v>696</v>
      </c>
    </row>
    <row r="222" spans="1:12" customFormat="1">
      <c r="A222" s="103" t="str">
        <f>SJ029032H96!A2</f>
        <v>SJ029032H96</v>
      </c>
      <c r="B222" s="103" t="str">
        <f>SJ029032H96!B2</f>
        <v>SJ029032H96/39-44 Bueno yo, cuando me retire tengo montones de cosas que hacer, por ejemplo: yo me, me, pierdo aquí montones aquí de conferencias que me gustaría ir por estar trabajando, yo estaría mucho en la Universidad, definitivamente para, lograrme debates que se dan aquí de, literatura, de política, de, de cuantos temas de la cultura y me gustaría mucho, o sea, tener acceso a eso del, además cosas que uno quiere hacer, exposiciones que uno quiere ver que quizás por el tiempo tan limitado…</v>
      </c>
      <c r="C222" s="103" t="str">
        <f>SJ029032H96!C2</f>
        <v>presente</v>
      </c>
      <c r="D222" s="103" t="str">
        <f>SJ029032H96!D2</f>
        <v>temporal</v>
      </c>
      <c r="E222" s="103">
        <f>SJ029032H96!E2</f>
        <v>1</v>
      </c>
      <c r="F222" s="103">
        <f>SJ029032H96!F2</f>
        <v>1</v>
      </c>
      <c r="G222" s="103">
        <f>SJ029032H96!G2</f>
        <v>0</v>
      </c>
      <c r="H222" s="103">
        <f>SJ029032H96!H2</f>
        <v>1</v>
      </c>
      <c r="I222" s="103">
        <f>SJ029032H96!I2</f>
        <v>0</v>
      </c>
      <c r="J222" s="103">
        <f>SJ029032H96!J2</f>
        <v>0</v>
      </c>
      <c r="K222" s="103">
        <v>2</v>
      </c>
      <c r="L222" s="103" t="s">
        <v>696</v>
      </c>
    </row>
    <row r="223" spans="1:12" customFormat="1">
      <c r="A223" t="str">
        <f>SJ029032H96!A3</f>
        <v>SJ029032H96</v>
      </c>
      <c r="B223" t="str">
        <f>SJ029032H96!B3</f>
        <v>SJ029032H96/109-112 Me crié en Manatí y, en aquellos tiempos, una cosa que creo que es más ventajosa que la de ahora, vamos a decir si uno se pone con las cosas de antes, era que habían  muchos juegos, pues yo, yo me acuerdo que yo cuando niño, pues jugaba trompo, este, la televisión no lo consumía a uno como ahora.</v>
      </c>
      <c r="C223" t="str">
        <f>SJ029032H96!C3</f>
        <v>analítico</v>
      </c>
      <c r="D223" t="str">
        <f>SJ029032H96!D3</f>
        <v>exhortación</v>
      </c>
      <c r="E223">
        <f>SJ029032H96!E3</f>
        <v>4</v>
      </c>
      <c r="F223">
        <f>SJ029032H96!F3</f>
        <v>0</v>
      </c>
      <c r="G223">
        <f>SJ029032H96!G3</f>
        <v>0</v>
      </c>
      <c r="H223">
        <f>SJ029032H96!H3</f>
        <v>0</v>
      </c>
      <c r="I223">
        <f>SJ029032H96!I3</f>
        <v>0</v>
      </c>
      <c r="J223">
        <f>SJ029032H96!J3</f>
        <v>0</v>
      </c>
      <c r="K223">
        <v>2</v>
      </c>
      <c r="L223" t="s">
        <v>696</v>
      </c>
    </row>
    <row r="224" spans="1:12" customFormat="1">
      <c r="A224" t="str">
        <f>SJ029032H96!A4</f>
        <v>SJ029032H96</v>
      </c>
      <c r="B224" t="str">
        <f>SJ029032H96!B4</f>
        <v>SJ029032H96/248-249 Que tenía sobre ochenta años estaba y ahí te va gente mayor pero, principalmente vamos a decir, de día.</v>
      </c>
      <c r="C224" t="str">
        <f>SJ029032H96!C4</f>
        <v>analítico</v>
      </c>
      <c r="D224" t="str">
        <f>SJ029032H96!D4</f>
        <v>exhortación</v>
      </c>
      <c r="E224">
        <f>SJ029032H96!E4</f>
        <v>4</v>
      </c>
      <c r="F224">
        <f>SJ029032H96!F4</f>
        <v>0</v>
      </c>
      <c r="G224">
        <f>SJ029032H96!G4</f>
        <v>0</v>
      </c>
      <c r="H224">
        <f>SJ029032H96!H4</f>
        <v>0</v>
      </c>
      <c r="I224">
        <f>SJ029032H96!I4</f>
        <v>0</v>
      </c>
      <c r="J224">
        <f>SJ029032H96!J4</f>
        <v>0</v>
      </c>
      <c r="K224">
        <v>2</v>
      </c>
      <c r="L224" t="s">
        <v>696</v>
      </c>
    </row>
    <row r="225" spans="1:12" customFormat="1">
      <c r="A225" s="103" t="str">
        <f>SJ029032H96!A5</f>
        <v>SJ029032H96</v>
      </c>
      <c r="B225" s="103" t="str">
        <f>SJ029032H96!B5</f>
        <v>SJ029032H96/269-271A Este, viendo a ver si van hacer el catálogo, si el rector ese de los colegios regionales esos, va a dar el presupuesto o no lo va a dar.</v>
      </c>
      <c r="C225" s="103" t="str">
        <f>SJ029032H96!C5</f>
        <v>analítico</v>
      </c>
      <c r="D225" s="103" t="str">
        <f>SJ029032H96!D5</f>
        <v>temporal</v>
      </c>
      <c r="E225" s="103">
        <f>SJ029032H96!E5</f>
        <v>3</v>
      </c>
      <c r="F225" s="103">
        <f>SJ029032H96!F5</f>
        <v>0</v>
      </c>
      <c r="G225" s="103">
        <f>SJ029032H96!G5</f>
        <v>0</v>
      </c>
      <c r="H225" s="103">
        <f>SJ029032H96!H5</f>
        <v>0</v>
      </c>
      <c r="I225" s="103">
        <f>SJ029032H96!I5</f>
        <v>0</v>
      </c>
      <c r="J225" s="103">
        <f>SJ029032H96!J5</f>
        <v>0</v>
      </c>
      <c r="K225" s="103">
        <v>2</v>
      </c>
      <c r="L225" s="103" t="s">
        <v>696</v>
      </c>
    </row>
    <row r="226" spans="1:12" customFormat="1">
      <c r="A226" s="103" t="str">
        <f>SJ029032H96!A6</f>
        <v>SJ029032H96</v>
      </c>
      <c r="B226" s="103" t="str">
        <f>SJ029032H96!B6</f>
        <v>SJ029032H96/269-271B Este, viendo a ver si van hacer el catálogo, si el rector ese de los colegios regionales esos, va a dar el presupuesto o no lo va a dar.</v>
      </c>
      <c r="C226" s="103" t="str">
        <f>SJ029032H96!C6</f>
        <v>analítico</v>
      </c>
      <c r="D226" s="103" t="str">
        <f>SJ029032H96!D6</f>
        <v>temporal</v>
      </c>
      <c r="E226" s="103">
        <f>SJ029032H96!E6</f>
        <v>3</v>
      </c>
      <c r="F226" s="103">
        <f>SJ029032H96!F6</f>
        <v>0</v>
      </c>
      <c r="G226" s="103">
        <f>SJ029032H96!G6</f>
        <v>0</v>
      </c>
      <c r="H226" s="103">
        <f>SJ029032H96!H6</f>
        <v>0</v>
      </c>
      <c r="I226" s="103">
        <f>SJ029032H96!I6</f>
        <v>0</v>
      </c>
      <c r="J226" s="103">
        <f>SJ029032H96!J6</f>
        <v>0</v>
      </c>
      <c r="K226" s="103">
        <v>2</v>
      </c>
      <c r="L226" s="103" t="s">
        <v>696</v>
      </c>
    </row>
    <row r="227" spans="1:12" customFormat="1">
      <c r="A227" s="103" t="str">
        <f>SJ029032H96!A7</f>
        <v>SJ029032H96</v>
      </c>
      <c r="B227" s="103" t="str">
        <f>SJ029032H96!B7</f>
        <v>SJ029032H96/271-273 En, pero además d’eso, pues estoy también, yo soy delegado de la Hermandad de Empleados Exentos no Docentes y estamos en una exposición que se va a abrir el lunes.</v>
      </c>
      <c r="C227" s="103" t="str">
        <f>SJ029032H96!C7</f>
        <v>analítico</v>
      </c>
      <c r="D227" s="103" t="str">
        <f>SJ029032H96!D7</f>
        <v>temporal</v>
      </c>
      <c r="E227" s="103">
        <f>SJ029032H96!E7</f>
        <v>3</v>
      </c>
      <c r="F227" s="103">
        <f>SJ029032H96!F7</f>
        <v>1</v>
      </c>
      <c r="G227" s="103">
        <f>SJ029032H96!G7</f>
        <v>0</v>
      </c>
      <c r="H227" s="103">
        <f>SJ029032H96!H7</f>
        <v>2</v>
      </c>
      <c r="I227" s="103">
        <f>SJ029032H96!I7</f>
        <v>1</v>
      </c>
      <c r="J227" s="103">
        <f>SJ029032H96!J7</f>
        <v>0</v>
      </c>
      <c r="K227" s="103">
        <v>2</v>
      </c>
      <c r="L227" s="103" t="s">
        <v>696</v>
      </c>
    </row>
    <row r="228" spans="1:12" customFormat="1">
      <c r="A228" s="103" t="str">
        <f>SJ029032H96!A8</f>
        <v>SJ029032H96</v>
      </c>
      <c r="B228" s="103" t="str">
        <f>SJ029032H96!B8</f>
        <v>SJ029032H96/273-275 Que de hecho hoy estuve, se va a abrir en la sala de exposiciones de aquí de la biblioteca y estuvimos trayendo los cuadros ayer de, de toda la trayectoria de la Hermandad de los últimos veinticinco años, de mil novecientos setenta y dos que fue cuando nos fundamos…</v>
      </c>
      <c r="C228" s="103" t="str">
        <f>SJ029032H96!C8</f>
        <v>analítico</v>
      </c>
      <c r="D228" s="103" t="str">
        <f>SJ029032H96!D8</f>
        <v>temporal</v>
      </c>
      <c r="E228" s="103">
        <f>SJ029032H96!E8</f>
        <v>3</v>
      </c>
      <c r="F228" s="103">
        <f>SJ029032H96!F8</f>
        <v>0</v>
      </c>
      <c r="G228" s="103">
        <f>SJ029032H96!G8</f>
        <v>0</v>
      </c>
      <c r="H228" s="103">
        <f>SJ029032H96!H8</f>
        <v>0</v>
      </c>
      <c r="I228" s="103">
        <f>SJ029032H96!I8</f>
        <v>1</v>
      </c>
      <c r="J228" s="103">
        <f>SJ029032H96!J8</f>
        <v>0</v>
      </c>
      <c r="K228" s="103">
        <v>2</v>
      </c>
      <c r="L228" s="103" t="s">
        <v>696</v>
      </c>
    </row>
    <row r="229" spans="1:12" customFormat="1">
      <c r="A229" s="103" t="str">
        <f>SJ029032H96!A9</f>
        <v>SJ029032H96</v>
      </c>
      <c r="B229" s="103" t="str">
        <f>SJ029032H96!B9</f>
        <v>SJ029032H96/278-279  Va a ver un certamen de carteles que yo fui uno de los que propicié para que trataran de participar los más que se pu… eh… pudieran.</v>
      </c>
      <c r="C229" s="103" t="str">
        <f>SJ029032H96!C9</f>
        <v>analítico</v>
      </c>
      <c r="D229" s="103" t="str">
        <f>SJ029032H96!D9</f>
        <v>temporal</v>
      </c>
      <c r="E229" s="103">
        <f>SJ029032H96!E9</f>
        <v>3</v>
      </c>
      <c r="F229" s="103">
        <f>SJ029032H96!F9</f>
        <v>0</v>
      </c>
      <c r="G229" s="103">
        <f>SJ029032H96!G9</f>
        <v>0</v>
      </c>
      <c r="H229" s="103">
        <f>SJ029032H96!H9</f>
        <v>0</v>
      </c>
      <c r="I229" s="103">
        <f>SJ029032H96!I9</f>
        <v>0</v>
      </c>
      <c r="J229" s="103">
        <f>SJ029032H96!J9</f>
        <v>0</v>
      </c>
      <c r="K229" s="103">
        <v>2</v>
      </c>
      <c r="L229" s="103" t="s">
        <v>696</v>
      </c>
    </row>
    <row r="230" spans="1:12" customFormat="1">
      <c r="A230" s="103" t="str">
        <f>SJ029032H96!A10</f>
        <v>SJ029032H96</v>
      </c>
      <c r="B230" s="103" t="str">
        <f>SJ029032H96!B10</f>
        <v>SJ029032H96/279-280A Entonces, este, partici, este, en ese certamen que el lunes es que van a dar el laudo.</v>
      </c>
      <c r="C230" s="103" t="str">
        <f>SJ029032H96!C10</f>
        <v>presente</v>
      </c>
      <c r="D230" s="103" t="str">
        <f>SJ029032H96!D10</f>
        <v>temporal</v>
      </c>
      <c r="E230" s="103">
        <f>SJ029032H96!E10</f>
        <v>3</v>
      </c>
      <c r="F230" s="103">
        <f>SJ029032H96!F10</f>
        <v>1</v>
      </c>
      <c r="G230" s="103">
        <f>SJ029032H96!G10</f>
        <v>0</v>
      </c>
      <c r="H230" s="103">
        <f>SJ029032H96!H10</f>
        <v>2</v>
      </c>
      <c r="I230" s="103">
        <f>SJ029032H96!I10</f>
        <v>0</v>
      </c>
      <c r="J230" s="103">
        <f>SJ029032H96!J10</f>
        <v>0</v>
      </c>
      <c r="K230" s="103">
        <v>2</v>
      </c>
      <c r="L230" s="103" t="s">
        <v>696</v>
      </c>
    </row>
    <row r="231" spans="1:12" customFormat="1">
      <c r="A231" s="103" t="str">
        <f>SJ029032H96!A11</f>
        <v>SJ029032H96</v>
      </c>
      <c r="B231" s="103" t="str">
        <f>SJ029032H96!B11</f>
        <v>SJ029032H96/279-280B Entonces, este, partici, este, en ese certamen que el lunes es que van a dar el laudo.</v>
      </c>
      <c r="C231" s="103" t="str">
        <f>SJ029032H96!C11</f>
        <v>analítico</v>
      </c>
      <c r="D231" s="103" t="str">
        <f>SJ029032H96!D11</f>
        <v>temporal</v>
      </c>
      <c r="E231" s="103">
        <f>SJ029032H96!E11</f>
        <v>6</v>
      </c>
      <c r="F231" s="103">
        <f>SJ029032H96!F11</f>
        <v>1</v>
      </c>
      <c r="G231" s="103">
        <f>SJ029032H96!G11</f>
        <v>0</v>
      </c>
      <c r="H231" s="103">
        <f>SJ029032H96!H11</f>
        <v>2</v>
      </c>
      <c r="I231" s="103">
        <f>SJ029032H96!I11</f>
        <v>0</v>
      </c>
      <c r="J231" s="103">
        <f>SJ029032H96!J11</f>
        <v>0</v>
      </c>
      <c r="K231" s="103">
        <v>2</v>
      </c>
      <c r="L231" s="103" t="s">
        <v>696</v>
      </c>
    </row>
    <row r="232" spans="1:12" customFormat="1">
      <c r="A232" s="103" t="str">
        <f>SJ029032H96!A12</f>
        <v>SJ029032H96</v>
      </c>
      <c r="B232" s="103" t="str">
        <f>SJ029032H96!B12</f>
        <v>SJ029032H96/280-281A Los, jurados son Nelson Sambolín, Ernesto Álvarez y Antonio Martorell y el lunes es la exposición.</v>
      </c>
      <c r="C232" s="103" t="str">
        <f>SJ029032H96!C12</f>
        <v>presente</v>
      </c>
      <c r="D232" s="103" t="str">
        <f>SJ029032H96!D12</f>
        <v>temporal</v>
      </c>
      <c r="E232" s="103">
        <f>SJ029032H96!E12</f>
        <v>6</v>
      </c>
      <c r="F232" s="103">
        <f>SJ029032H96!F12</f>
        <v>0</v>
      </c>
      <c r="G232" s="103">
        <f>SJ029032H96!G12</f>
        <v>0</v>
      </c>
      <c r="H232" s="103">
        <f>SJ029032H96!H12</f>
        <v>0</v>
      </c>
      <c r="I232" s="103">
        <f>SJ029032H96!I12</f>
        <v>0</v>
      </c>
      <c r="J232" s="103">
        <f>SJ029032H96!J12</f>
        <v>0</v>
      </c>
      <c r="K232" s="103">
        <v>2</v>
      </c>
      <c r="L232" s="103" t="s">
        <v>696</v>
      </c>
    </row>
    <row r="233" spans="1:12" customFormat="1">
      <c r="A233" s="103" t="str">
        <f>SJ029032H96!A13</f>
        <v>SJ029032H96</v>
      </c>
      <c r="B233" s="103" t="str">
        <f>SJ029032H96!B13</f>
        <v>SJ029032H96/280-281B Los, jurados son Nelson Sambolín, Ernesto Álvarez y Antonio Martorell y el lunes es la exposición.</v>
      </c>
      <c r="C233" s="103" t="str">
        <f>SJ029032H96!C13</f>
        <v>presente</v>
      </c>
      <c r="D233" s="103" t="str">
        <f>SJ029032H96!D13</f>
        <v>temporal</v>
      </c>
      <c r="E233" s="103">
        <f>SJ029032H96!E13</f>
        <v>3</v>
      </c>
      <c r="F233" s="103">
        <f>SJ029032H96!F13</f>
        <v>1</v>
      </c>
      <c r="G233" s="103">
        <f>SJ029032H96!G13</f>
        <v>0</v>
      </c>
      <c r="H233" s="103">
        <f>SJ029032H96!H13</f>
        <v>2</v>
      </c>
      <c r="I233" s="103">
        <f>SJ029032H96!I13</f>
        <v>0</v>
      </c>
      <c r="J233" s="103">
        <f>SJ029032H96!J13</f>
        <v>0</v>
      </c>
      <c r="K233" s="103">
        <v>2</v>
      </c>
      <c r="L233" s="103" t="s">
        <v>696</v>
      </c>
    </row>
    <row r="234" spans="1:12" customFormat="1">
      <c r="A234" s="103" t="str">
        <f>SJ029032H96!A14</f>
        <v>SJ029032H96</v>
      </c>
      <c r="B234" s="103" t="str">
        <f>SJ029032H96!B14</f>
        <v>SJ029032H96/281-283A Ese cartel va a ser el representativo de los veinticinco años de la Hermandad y ahí se, cuando se sepa quién es el que ganó, hay un premio de ochocientos…</v>
      </c>
      <c r="C234" s="103" t="str">
        <f>SJ029032H96!C14</f>
        <v>analítico</v>
      </c>
      <c r="D234" s="103" t="str">
        <f>SJ029032H96!D14</f>
        <v>temporal</v>
      </c>
      <c r="E234" s="103">
        <f>SJ029032H96!E14</f>
        <v>3</v>
      </c>
      <c r="F234" s="103">
        <f>SJ029032H96!F14</f>
        <v>0</v>
      </c>
      <c r="G234" s="103">
        <f>SJ029032H96!G14</f>
        <v>0</v>
      </c>
      <c r="H234" s="103">
        <f>SJ029032H96!H14</f>
        <v>0</v>
      </c>
      <c r="I234" s="103">
        <f>SJ029032H96!I14</f>
        <v>0</v>
      </c>
      <c r="J234" s="103">
        <f>SJ029032H96!J14</f>
        <v>0</v>
      </c>
      <c r="K234" s="103">
        <v>2</v>
      </c>
      <c r="L234" s="103" t="s">
        <v>696</v>
      </c>
    </row>
    <row r="235" spans="1:12" customFormat="1">
      <c r="A235" s="103" t="str">
        <f>SJ029032H96!A15</f>
        <v>SJ029032H96</v>
      </c>
      <c r="B235" s="103" t="str">
        <f>SJ029032H96!B15</f>
        <v>SJ029032H96/281-283B Ese cartel va a ser el representativo de los veinticinco años de la Hermandad y ahí se, cuando se sepa quién es el que ganó, hay un premio de ochocientos…</v>
      </c>
      <c r="C235" s="103" t="str">
        <f>SJ029032H96!C15</f>
        <v>presente</v>
      </c>
      <c r="D235" s="103" t="str">
        <f>SJ029032H96!D15</f>
        <v>temporal</v>
      </c>
      <c r="E235" s="103">
        <f>SJ029032H96!E15</f>
        <v>3</v>
      </c>
      <c r="F235" s="103">
        <f>SJ029032H96!F15</f>
        <v>1</v>
      </c>
      <c r="G235" s="103">
        <f>SJ029032H96!G15</f>
        <v>0</v>
      </c>
      <c r="H235" s="103">
        <f>SJ029032H96!H15</f>
        <v>1</v>
      </c>
      <c r="I235" s="103">
        <f>SJ029032H96!I15</f>
        <v>0</v>
      </c>
      <c r="J235" s="103">
        <f>SJ029032H96!J15</f>
        <v>0</v>
      </c>
      <c r="K235" s="103">
        <v>2</v>
      </c>
      <c r="L235" s="103" t="s">
        <v>696</v>
      </c>
    </row>
    <row r="236" spans="1:12" customFormat="1">
      <c r="A236" s="103" t="str">
        <f>SJ029032H96!A16</f>
        <v>SJ029032H96</v>
      </c>
      <c r="B236" s="103" t="str">
        <f>SJ029032H96!B16</f>
        <v>SJ029032H96/286-287A Uno de quinientos y otro de trescientos, pero ese cartel va a ser el representativo de los veinticinco años. Se tira en “offset” y después se le da a todos los miembros.</v>
      </c>
      <c r="C236" s="103" t="str">
        <f>SJ029032H96!C16</f>
        <v>analítico</v>
      </c>
      <c r="D236" s="103" t="str">
        <f>SJ029032H96!D16</f>
        <v>temporal</v>
      </c>
      <c r="E236" s="103">
        <f>SJ029032H96!E16</f>
        <v>3</v>
      </c>
      <c r="F236" s="103">
        <f>SJ029032H96!F16</f>
        <v>0</v>
      </c>
      <c r="G236" s="103">
        <f>SJ029032H96!G16</f>
        <v>0</v>
      </c>
      <c r="H236" s="103">
        <f>SJ029032H96!H16</f>
        <v>0</v>
      </c>
      <c r="I236" s="103">
        <f>SJ029032H96!I16</f>
        <v>0</v>
      </c>
      <c r="J236" s="103">
        <f>SJ029032H96!J16</f>
        <v>0</v>
      </c>
      <c r="K236" s="103">
        <v>2</v>
      </c>
      <c r="L236" s="103" t="s">
        <v>696</v>
      </c>
    </row>
    <row r="237" spans="1:12" customFormat="1">
      <c r="A237" s="103" t="str">
        <f>SJ029032H96!A17</f>
        <v>SJ029032H96</v>
      </c>
      <c r="B237" s="103" t="str">
        <f>SJ029032H96!B17</f>
        <v>SJ029032H96/287A Se tira en “offset” y después se le da a todos los miembros.</v>
      </c>
      <c r="C237" s="103" t="str">
        <f>SJ029032H96!C17</f>
        <v>presente</v>
      </c>
      <c r="D237" s="103" t="str">
        <f>SJ029032H96!D17</f>
        <v>temporal</v>
      </c>
      <c r="E237" s="103">
        <f>SJ029032H96!E17</f>
        <v>3</v>
      </c>
      <c r="F237" s="103">
        <f>SJ029032H96!F17</f>
        <v>0</v>
      </c>
      <c r="G237" s="103">
        <f>SJ029032H96!G17</f>
        <v>0</v>
      </c>
      <c r="H237" s="103">
        <f>SJ029032H96!H17</f>
        <v>1</v>
      </c>
      <c r="I237" s="103">
        <f>SJ029032H96!I17</f>
        <v>0</v>
      </c>
      <c r="J237" s="103">
        <f>SJ029032H96!J17</f>
        <v>0</v>
      </c>
      <c r="K237" s="103">
        <v>2</v>
      </c>
      <c r="L237" s="103" t="s">
        <v>696</v>
      </c>
    </row>
    <row r="238" spans="1:12" customFormat="1">
      <c r="A238" s="103" t="str">
        <f>SJ029032H96!A18</f>
        <v>SJ029032H96</v>
      </c>
      <c r="B238" s="103" t="str">
        <f>SJ029032H96!B18</f>
        <v>SJ029032H96/287A Se tira en “offset” y después se le da a todos los miembros.</v>
      </c>
      <c r="C238" s="103" t="str">
        <f>SJ029032H96!C18</f>
        <v>presente</v>
      </c>
      <c r="D238" s="103" t="str">
        <f>SJ029032H96!D18</f>
        <v>temporal</v>
      </c>
      <c r="E238" s="103">
        <f>SJ029032H96!E18</f>
        <v>3</v>
      </c>
      <c r="F238" s="103">
        <f>SJ029032H96!F18</f>
        <v>1</v>
      </c>
      <c r="G238" s="103">
        <f>SJ029032H96!G18</f>
        <v>0</v>
      </c>
      <c r="H238" s="103">
        <f>SJ029032H96!H18</f>
        <v>1</v>
      </c>
      <c r="I238" s="103">
        <f>SJ029032H96!I18</f>
        <v>0</v>
      </c>
      <c r="J238" s="103">
        <f>SJ029032H96!J18</f>
        <v>0</v>
      </c>
      <c r="K238" s="103">
        <v>2</v>
      </c>
      <c r="L238" s="103" t="s">
        <v>696</v>
      </c>
    </row>
    <row r="239" spans="1:12" customFormat="1">
      <c r="A239" s="103" t="str">
        <f>SJ029032H96!A19</f>
        <v>SJ029032H96</v>
      </c>
      <c r="B239" s="103" t="str">
        <f>SJ029032H96!B19</f>
        <v>SJ029032H96/392-395 Ahí uno trabaja haciendo guardia por la noche que puede ser, este… para que no se estacionen carro donde los artistas van a poner su instrumento para trabajar y también el, un quiosco que puede ser… en este caso a me toco el quiosco de, de o  de sindical que me me trabajé de dos a siete de la, el sábado de dos a siete de la tarde;</v>
      </c>
      <c r="C239" s="103" t="str">
        <f>SJ029032H96!C19</f>
        <v>analítico</v>
      </c>
      <c r="D239" s="103" t="str">
        <f>SJ029032H96!D19</f>
        <v>temporal</v>
      </c>
      <c r="E239" s="103">
        <f>SJ029032H96!E19</f>
        <v>6</v>
      </c>
      <c r="F239" s="103">
        <f>SJ029032H96!F19</f>
        <v>0</v>
      </c>
      <c r="G239" s="103">
        <f>SJ029032H96!G19</f>
        <v>0</v>
      </c>
      <c r="H239" s="103">
        <f>SJ029032H96!H19</f>
        <v>0</v>
      </c>
      <c r="I239" s="103">
        <f>SJ029032H96!I19</f>
        <v>0</v>
      </c>
      <c r="J239" s="103">
        <f>SJ029032H96!J19</f>
        <v>0</v>
      </c>
      <c r="K239" s="103">
        <v>2</v>
      </c>
      <c r="L239" s="103" t="s">
        <v>696</v>
      </c>
    </row>
    <row r="240" spans="1:12" customFormat="1">
      <c r="A240" t="str">
        <f>SJ029032H96!A20</f>
        <v>SJ029032H96</v>
      </c>
      <c r="B240" t="str">
        <f>SJ029032H96!B20</f>
        <v>SJ029032H96/499-502 En aquel tiempo los que impulsaron la causa mía, vamos a decirlo así fue: Luis Nieves Falcón, Monelisa Lima Pérez Marchán, que era doctora en filosofía, profesora de Filosofía, profesora Emeritus de aquí, pero que se tuvieron que reunir en Humanidades.</v>
      </c>
      <c r="C240" t="str">
        <f>SJ029032H96!C20</f>
        <v>analítico</v>
      </c>
      <c r="D240" t="str">
        <f>SJ029032H96!D20</f>
        <v>exhortación</v>
      </c>
      <c r="E240">
        <f>SJ029032H96!E20</f>
        <v>4</v>
      </c>
      <c r="F240">
        <f>SJ029032H96!F20</f>
        <v>0</v>
      </c>
      <c r="G240">
        <f>SJ029032H96!G20</f>
        <v>0</v>
      </c>
      <c r="H240">
        <f>SJ029032H96!H20</f>
        <v>0</v>
      </c>
      <c r="I240">
        <f>SJ029032H96!I20</f>
        <v>0</v>
      </c>
      <c r="J240">
        <f>SJ029032H96!J20</f>
        <v>0</v>
      </c>
      <c r="K240">
        <v>2</v>
      </c>
      <c r="L240" t="s">
        <v>696</v>
      </c>
    </row>
    <row r="241" spans="1:12" customFormat="1">
      <c r="A241" s="103" t="str">
        <f>SJ029032H96!A21</f>
        <v>SJ029032H96</v>
      </c>
      <c r="B241" s="103" t="str">
        <f>SJ029032H96!B21</f>
        <v>SJ029032H96/551-555 Creo que una orientación porque puede en un momento decir, pues no voy a abortar porque tengo s, yo creo en una orientación de unos profesionales, como trabajadores sociales, psicólogos, antes de que tome esa, en eso se debieran enfarizar más que en la cuestión de que no aborte o que aborte, pues yo creo que, que, que en esa dirección de una orientación de profesionales verdaderos que la puedan, y que la persona decida.</v>
      </c>
      <c r="C241" s="103" t="str">
        <f>SJ029032H96!C21</f>
        <v>analítico</v>
      </c>
      <c r="D241" s="103" t="str">
        <f>SJ029032H96!D21</f>
        <v>temporal</v>
      </c>
      <c r="E241" s="103">
        <f>SJ029032H96!E21</f>
        <v>1</v>
      </c>
      <c r="F241" s="103">
        <f>SJ029032H96!F21</f>
        <v>0</v>
      </c>
      <c r="G241" s="103">
        <f>SJ029032H96!G21</f>
        <v>0</v>
      </c>
      <c r="H241" s="103">
        <f>SJ029032H96!H21</f>
        <v>0</v>
      </c>
      <c r="I241" s="103">
        <f>SJ029032H96!I21</f>
        <v>0</v>
      </c>
      <c r="J241" s="103">
        <f>SJ029032H96!J21</f>
        <v>0</v>
      </c>
      <c r="K241" s="103">
        <v>2</v>
      </c>
      <c r="L241" s="103" t="s">
        <v>696</v>
      </c>
    </row>
    <row r="242" spans="1:12" customFormat="1">
      <c r="A242" t="str">
        <f>SJ024032H96!A2</f>
        <v>SJ024032H96</v>
      </c>
      <c r="B242" t="str">
        <f>SJ024032H96!B2</f>
        <v>SJ024032H96/50 A los… si vamos a ver casi a los eran a los dieciséis años.</v>
      </c>
      <c r="C242" t="str">
        <f>SJ024032H96!C2</f>
        <v>analítico</v>
      </c>
      <c r="D242" t="str">
        <f>SJ024032H96!D2</f>
        <v>exhortación</v>
      </c>
      <c r="E242">
        <f>SJ024032H96!E2</f>
        <v>4</v>
      </c>
      <c r="F242">
        <f>SJ024032H96!F2</f>
        <v>0</v>
      </c>
      <c r="G242">
        <f>SJ024032H96!G2</f>
        <v>0</v>
      </c>
      <c r="H242">
        <f>SJ024032H96!H2</f>
        <v>0</v>
      </c>
      <c r="I242">
        <f>SJ024032H96!I2</f>
        <v>0</v>
      </c>
      <c r="J242">
        <f>SJ024032H96!J2</f>
        <v>0</v>
      </c>
      <c r="K242">
        <v>2</v>
      </c>
      <c r="L242" t="s">
        <v>696</v>
      </c>
    </row>
    <row r="243" spans="1:12" customFormat="1">
      <c r="A243" s="103" t="str">
        <f>SJ024032H96!A3</f>
        <v>SJ024032H96</v>
      </c>
      <c r="B243" s="103" t="str">
        <f>SJ024032H96!B3</f>
        <v>SJ024032H96/108-109A Eh, eh los objetivos cambian y por lo tanto va, va [a] haber más cosas que hacer y se ven, nos vemos en la obligación de cambiarle en nombre.</v>
      </c>
      <c r="C243" s="103" t="str">
        <f>SJ024032H96!C3</f>
        <v>analítico</v>
      </c>
      <c r="D243" s="103" t="str">
        <f>SJ024032H96!D3</f>
        <v>temporal</v>
      </c>
      <c r="E243" s="103">
        <f>SJ024032H96!E3</f>
        <v>3</v>
      </c>
      <c r="F243" s="103">
        <f>SJ024032H96!F3</f>
        <v>0</v>
      </c>
      <c r="G243" s="103">
        <f>SJ024032H96!G3</f>
        <v>0</v>
      </c>
      <c r="H243" s="103">
        <f>SJ024032H96!H3</f>
        <v>0</v>
      </c>
      <c r="I243" s="103">
        <f>SJ024032H96!I3</f>
        <v>0</v>
      </c>
      <c r="J243" s="103">
        <f>SJ024032H96!J3</f>
        <v>0</v>
      </c>
      <c r="K243" s="103">
        <v>2</v>
      </c>
      <c r="L243" s="103" t="s">
        <v>696</v>
      </c>
    </row>
    <row r="244" spans="1:12" customFormat="1">
      <c r="A244" s="103" t="str">
        <f>SJ024032H96!A4</f>
        <v>SJ024032H96</v>
      </c>
      <c r="B244" s="103" t="str">
        <f>SJ024032H96!B4</f>
        <v>SJ024032H96/183-189 Por tanto, tenemos que tener una política de desarrollo de colecciones, eh, que vaya acorde con los cambios que están surgiendo desapareciendo cursos, esto, van surgiendo cursos especiales o cursos nuevos, y pues, la biblioteca tiene que, que, que responder para que hayan los recursos para esos cursos que se van a enseñar pues y a la misma vez la biblioteca también tiene que integrarse más a la tecnología y desarrollarse más en lo, en el campo tecnológico que es otro método, otra técnica de dar referencia y de encontrar recursos para satisfacer las necesidades de información.</v>
      </c>
      <c r="C244" s="103" t="str">
        <f>SJ024032H96!C4</f>
        <v>analítico</v>
      </c>
      <c r="D244" s="103" t="str">
        <f>SJ024032H96!D4</f>
        <v>temporal</v>
      </c>
      <c r="E244" s="103">
        <f>SJ024032H96!E4</f>
        <v>6</v>
      </c>
      <c r="F244" s="103">
        <f>SJ024032H96!F4</f>
        <v>0</v>
      </c>
      <c r="G244" s="103">
        <f>SJ024032H96!G4</f>
        <v>0</v>
      </c>
      <c r="H244" s="103">
        <f>SJ024032H96!H4</f>
        <v>1</v>
      </c>
      <c r="I244" s="103">
        <f>SJ024032H96!I4</f>
        <v>0</v>
      </c>
      <c r="J244" s="103">
        <f>SJ024032H96!J4</f>
        <v>0</v>
      </c>
      <c r="K244" s="103">
        <v>2</v>
      </c>
      <c r="L244" s="103" t="s">
        <v>696</v>
      </c>
    </row>
    <row r="245" spans="1:12" customFormat="1">
      <c r="A245" s="103" t="str">
        <f>SJ024032H96!A5</f>
        <v>SJ024032H96</v>
      </c>
      <c r="B245" s="103" t="str">
        <f>SJ024032H96!B5</f>
        <v>SJ024032H96/210-216 Hay una compañía que es ah, “Sirsi” (SERSE) en Estados Unidos tiene… se va a dar una demostración recient, esto, próximamente sobre el sistema de adquisiciones que ellos tienen el sistema que fue seleccionado fue el sistema Notis que tiene la Universidad de Puerto Rico y el módulo de adquisiciones, pues, se le han determinado algunas fallas hasta el momento y creo que por lo que he escuchado el sistema Notis no tiene, esto,… más, diciéndolo así más futuro, o sea, que no, no puede como acelerar o, o, o traer cosas nuevas por lo que, por lo que se está contemplando tal vez sea adquirir otro sistema.</v>
      </c>
      <c r="C245" s="103" t="str">
        <f>SJ024032H96!C5</f>
        <v>analítico</v>
      </c>
      <c r="D245" s="103" t="str">
        <f>SJ024032H96!D5</f>
        <v>temporal</v>
      </c>
      <c r="E245" s="103">
        <f>SJ024032H96!E5</f>
        <v>3</v>
      </c>
      <c r="F245" s="103">
        <f>SJ024032H96!F5</f>
        <v>1</v>
      </c>
      <c r="G245" s="103">
        <f>SJ024032H96!G5</f>
        <v>0</v>
      </c>
      <c r="H245" s="103">
        <f>SJ024032H96!H5</f>
        <v>2</v>
      </c>
      <c r="I245" s="103">
        <f>SJ024032H96!I5</f>
        <v>0</v>
      </c>
      <c r="J245" s="103">
        <f>SJ024032H96!J5</f>
        <v>0</v>
      </c>
      <c r="K245" s="103">
        <v>2</v>
      </c>
      <c r="L245" s="103" t="s">
        <v>696</v>
      </c>
    </row>
    <row r="246" spans="1:12" customFormat="1">
      <c r="A246" s="103" t="str">
        <f>SJ024032H96!A6</f>
        <v>SJ024032H96</v>
      </c>
      <c r="B246" s="103" t="str">
        <f>SJ024032H96!B6</f>
        <v>SJ024032H96/SJ024032H96/388-393 Por ejemplo sin, lo del aire que yo lo puedo mencionar, cuando estuvimos aquí en el mil novecientos noven,  ochenta y cinco teníamos el mismo problema y ya estamos en el mil novecientos noventa y seis y todavía no, no vemos una solución aunque ya han prometido que dentro de uno o dos meses van a instalar unidades independientes para este piso y que se pueda solucionar el problema, pero realmente llevamos once años esperando por, por resolver el problema.</v>
      </c>
      <c r="C246" s="103" t="str">
        <f>SJ024032H96!C6</f>
        <v>analítico</v>
      </c>
      <c r="D246" s="103" t="str">
        <f>SJ024032H96!D6</f>
        <v>temporal</v>
      </c>
      <c r="E246" s="103">
        <f>SJ024032H96!E6</f>
        <v>6</v>
      </c>
      <c r="F246" s="103">
        <f>SJ024032H96!F6</f>
        <v>1</v>
      </c>
      <c r="G246" s="103">
        <f>SJ024032H96!G6</f>
        <v>0</v>
      </c>
      <c r="H246" s="103">
        <f>SJ024032H96!H6</f>
        <v>1</v>
      </c>
      <c r="I246" s="103">
        <f>SJ024032H96!I6</f>
        <v>1</v>
      </c>
      <c r="J246" s="103">
        <f>SJ024032H96!J6</f>
        <v>0</v>
      </c>
      <c r="K246" s="103">
        <v>2</v>
      </c>
      <c r="L246" s="103" t="s">
        <v>696</v>
      </c>
    </row>
    <row r="247" spans="1:12" customFormat="1">
      <c r="A247" t="str">
        <f>SJ024032H96!A7</f>
        <v>SJ024032H96</v>
      </c>
      <c r="B247" t="str">
        <f>SJ024032H96!B7</f>
        <v>SJ024032H96/398-399 Ay Dios, siempre los recuerdo por,  los que se han quedado porque (risa) por lo que me relajaban a mí será. [Siempre recuerdo los que se han quedado, será porque me relajaban]</v>
      </c>
      <c r="C247" t="str">
        <f>SJ024032H96!C7</f>
        <v>morfológico</v>
      </c>
      <c r="D247" t="str">
        <f>SJ024032H96!D7</f>
        <v>hipótesis</v>
      </c>
      <c r="E247">
        <f>SJ024032H96!E7</f>
        <v>3</v>
      </c>
      <c r="F247">
        <f>SJ024032H96!F7</f>
        <v>0</v>
      </c>
      <c r="G247">
        <f>SJ024032H96!G7</f>
        <v>0</v>
      </c>
      <c r="H247">
        <f>SJ024032H96!H7</f>
        <v>0</v>
      </c>
      <c r="I247">
        <f>SJ024032H96!I7</f>
        <v>0</v>
      </c>
      <c r="J247">
        <f>SJ024032H96!J7</f>
        <v>0</v>
      </c>
      <c r="K247">
        <v>2</v>
      </c>
      <c r="L247" t="s">
        <v>696</v>
      </c>
    </row>
    <row r="248" spans="1:12" customFormat="1">
      <c r="A248" t="str">
        <f>SJ023012M96!A2</f>
        <v>SJ023012M96</v>
      </c>
      <c r="B248" t="str">
        <f>SJ023012M96!B2</f>
        <v>SJ023012M96/366-387 Debería estar estudiando mija, pues. O sea, que las muchachas de ahora yo no sé que les pasa como que… vamos a decir que no se dejan criar.</v>
      </c>
      <c r="C248" t="str">
        <f>SJ023012M96!C2</f>
        <v>analítico</v>
      </c>
      <c r="D248" t="str">
        <f>SJ023012M96!D2</f>
        <v>exhortación</v>
      </c>
      <c r="E248">
        <f>SJ023012M96!E2</f>
        <v>4</v>
      </c>
      <c r="F248">
        <f>SJ023012M96!F2</f>
        <v>0</v>
      </c>
      <c r="G248">
        <f>SJ023012M96!G2</f>
        <v>0</v>
      </c>
      <c r="H248">
        <f>SJ023012M96!H2</f>
        <v>0</v>
      </c>
      <c r="I248">
        <f>SJ023012M96!I2</f>
        <v>0</v>
      </c>
      <c r="J248">
        <f>SJ023012M96!J2</f>
        <v>0</v>
      </c>
      <c r="K248">
        <v>2</v>
      </c>
      <c r="L248" t="s">
        <v>697</v>
      </c>
    </row>
    <row r="249" spans="1:12">
      <c r="A249" s="103" t="str">
        <f>SJ023012M96!A3</f>
        <v>SJ023012M96</v>
      </c>
      <c r="B249" s="103" t="str">
        <f>SJ023012M96!B3</f>
        <v>SJ023012M96/404 Bueno, yo te voy a decir una cosa yo vine a ver televisión ya, ya, ya aquí.</v>
      </c>
      <c r="C249" s="103" t="str">
        <f>SJ023012M96!C3</f>
        <v>analítico</v>
      </c>
      <c r="D249" s="103" t="str">
        <f>SJ023012M96!D3</f>
        <v>temporal</v>
      </c>
      <c r="E249" s="103">
        <f>SJ023012M96!E3</f>
        <v>1</v>
      </c>
      <c r="F249" s="103">
        <f>SJ023012M96!F3</f>
        <v>0</v>
      </c>
      <c r="G249" s="103">
        <f>SJ023012M96!G3</f>
        <v>0</v>
      </c>
      <c r="H249" s="103">
        <f>SJ023012M96!H3</f>
        <v>2</v>
      </c>
      <c r="I249" s="103">
        <f>SJ023012M96!I3</f>
        <v>0</v>
      </c>
      <c r="J249" s="103">
        <f>SJ023012M96!J3</f>
        <v>0</v>
      </c>
      <c r="K249" s="103">
        <v>2</v>
      </c>
      <c r="L249" s="103" t="s">
        <v>697</v>
      </c>
    </row>
    <row r="250" spans="1:12" customFormat="1">
      <c r="A250" s="103" t="str">
        <f>SJ023012M96!A4</f>
        <v>SJ023012M96</v>
      </c>
      <c r="B250" s="103" t="str">
        <f>SJ023012M96!B4</f>
        <v>SJ023012M96/409 Y ahí fue que yo dije, pues, voy a comprar un televisor para ver los programas cristianos.</v>
      </c>
      <c r="C250" s="103" t="str">
        <f>SJ023012M96!C4</f>
        <v>analítico</v>
      </c>
      <c r="D250" s="103" t="str">
        <f>SJ023012M96!D4</f>
        <v>temporal</v>
      </c>
      <c r="E250" s="103">
        <f>SJ023012M96!E4</f>
        <v>1</v>
      </c>
      <c r="F250" s="103">
        <f>SJ023012M96!F4</f>
        <v>1</v>
      </c>
      <c r="G250" s="103">
        <f>SJ023012M96!G4</f>
        <v>0</v>
      </c>
      <c r="H250" s="103">
        <f>SJ023012M96!H4</f>
        <v>0</v>
      </c>
      <c r="I250" s="103">
        <f>SJ023012M96!I4</f>
        <v>0</v>
      </c>
      <c r="J250" s="103">
        <f>SJ023012M96!J4</f>
        <v>0</v>
      </c>
      <c r="K250" s="103">
        <v>2</v>
      </c>
      <c r="L250" s="103" t="s">
        <v>697</v>
      </c>
    </row>
    <row r="251" spans="1:12" customFormat="1">
      <c r="A251" s="103" t="str">
        <f>SJ023012M96!A5</f>
        <v>SJ023012M96</v>
      </c>
      <c r="B251" s="103" t="str">
        <f>SJ023012M96!B5</f>
        <v>SJ023012M96/433-434 [Y]a son adultas porque ya Dorcas tiene, va a cumplir veinticinco años y Raquel tiene veintitrés.</v>
      </c>
      <c r="C251" s="103" t="str">
        <f>SJ023012M96!C5</f>
        <v>analítico</v>
      </c>
      <c r="D251" s="103" t="str">
        <f>SJ023012M96!D5</f>
        <v>temporal</v>
      </c>
      <c r="E251" s="103">
        <f>SJ023012M96!E5</f>
        <v>3</v>
      </c>
      <c r="F251" s="103">
        <f>SJ023012M96!F5</f>
        <v>0</v>
      </c>
      <c r="G251" s="103">
        <f>SJ023012M96!G5</f>
        <v>0</v>
      </c>
      <c r="H251" s="103">
        <f>SJ023012M96!H5</f>
        <v>2</v>
      </c>
      <c r="I251" s="103">
        <f>SJ023012M96!I5</f>
        <v>0</v>
      </c>
      <c r="J251" s="103">
        <f>SJ023012M96!J5</f>
        <v>0</v>
      </c>
      <c r="K251" s="103">
        <v>2</v>
      </c>
      <c r="L251" s="103" t="s">
        <v>697</v>
      </c>
    </row>
    <row r="252" spans="1:12" customFormat="1">
      <c r="A252" s="103" t="str">
        <f>SJ023012M96!A6</f>
        <v>SJ023012M96</v>
      </c>
      <c r="B252" s="103" t="str">
        <f>SJ023012M96!B6</f>
        <v>SJ023012M96/596-597A Porque las encuentro livianas, y entonces ??? aunque esta pesa, tú sabes, un poquito, pero yo voy a comprar y tú me ves… cogiéndole el peso, porque yo ??? aprendí con la pesada, tú sabes.</v>
      </c>
      <c r="C252" s="103" t="str">
        <f>SJ023012M96!C6</f>
        <v>analítico</v>
      </c>
      <c r="D252" s="103" t="str">
        <f>SJ023012M96!D6</f>
        <v>temporal</v>
      </c>
      <c r="E252" s="103">
        <f>SJ023012M96!E6</f>
        <v>1</v>
      </c>
      <c r="F252" s="103">
        <f>SJ023012M96!F6</f>
        <v>0</v>
      </c>
      <c r="G252" s="103">
        <f>SJ023012M96!G6</f>
        <v>0</v>
      </c>
      <c r="H252" s="103">
        <f>SJ023012M96!H6</f>
        <v>0</v>
      </c>
      <c r="I252" s="103">
        <f>SJ023012M96!I6</f>
        <v>0</v>
      </c>
      <c r="J252" s="103">
        <f>SJ023012M96!J6</f>
        <v>0</v>
      </c>
      <c r="K252" s="103">
        <v>2</v>
      </c>
      <c r="L252" s="103" t="s">
        <v>697</v>
      </c>
    </row>
    <row r="253" spans="1:12" customFormat="1">
      <c r="A253" s="103" t="str">
        <f>SJ021022M96!A2</f>
        <v>SJ021022M96</v>
      </c>
      <c r="B253" s="103" t="str">
        <f>SJ021022M96!B2</f>
        <v>SJ021022M96/78-79 Y Jorge, Jorge terminó de estudiar y va a empezar a trabajar, él es dentista y Javier que está terminando las leyes.</v>
      </c>
      <c r="C253" s="103" t="str">
        <f>SJ021022M96!C2</f>
        <v>analítico</v>
      </c>
      <c r="D253" s="103" t="str">
        <f>SJ021022M96!D2</f>
        <v>temporal</v>
      </c>
      <c r="E253" s="103">
        <f>SJ021022M96!E2</f>
        <v>3</v>
      </c>
      <c r="F253" s="103">
        <f>SJ021022M96!F2</f>
        <v>0</v>
      </c>
      <c r="G253" s="103">
        <f>SJ021022M96!G2</f>
        <v>0</v>
      </c>
      <c r="H253" s="103">
        <f>SJ021022M96!H2</f>
        <v>2</v>
      </c>
      <c r="I253" s="103">
        <f>SJ021022M96!I2</f>
        <v>1</v>
      </c>
      <c r="J253" s="103">
        <f>SJ021022M96!J2</f>
        <v>0</v>
      </c>
      <c r="K253" s="103">
        <v>2</v>
      </c>
      <c r="L253" s="103" t="s">
        <v>697</v>
      </c>
    </row>
    <row r="254" spans="1:12" customFormat="1">
      <c r="A254" s="103" t="str">
        <f>SJ021022M96!A3</f>
        <v>SJ021022M96</v>
      </c>
      <c r="B254" s="103" t="str">
        <f>SJ021022M96!B3</f>
        <v>SJ021022M96/99-100 Bueno, depende, depende de los padres yo creo, porque yo creo que si un papá va, este,  a criar bien a sus hijos a ponerle respeto y leyes y orden.</v>
      </c>
      <c r="C254" s="103" t="str">
        <f>SJ021022M96!C3</f>
        <v>analítico</v>
      </c>
      <c r="D254" s="103" t="str">
        <f>SJ021022M96!D3</f>
        <v>temporal</v>
      </c>
      <c r="E254" s="103">
        <f>SJ021022M96!E3</f>
        <v>3</v>
      </c>
      <c r="F254" s="103">
        <f>SJ021022M96!F3</f>
        <v>0</v>
      </c>
      <c r="G254" s="103">
        <f>SJ021022M96!G3</f>
        <v>0</v>
      </c>
      <c r="H254" s="103">
        <f>SJ021022M96!H3</f>
        <v>0</v>
      </c>
      <c r="I254" s="103">
        <f>SJ021022M96!I3</f>
        <v>1</v>
      </c>
      <c r="J254" s="103">
        <f>SJ021022M96!J3</f>
        <v>1</v>
      </c>
      <c r="K254" s="103">
        <v>2</v>
      </c>
      <c r="L254" s="103" t="s">
        <v>697</v>
      </c>
    </row>
    <row r="255" spans="1:12" customFormat="1">
      <c r="A255" s="103" t="str">
        <f>SJ021022M96!A4</f>
        <v>SJ021022M96</v>
      </c>
      <c r="B255" s="103" t="str">
        <f>SJ021022M96!B4</f>
        <v>SJ021022M96/136-139A Es importante que, que los hijos sean niñas o niños, lo que sea, tú sepas quiénes son tus amigos, sus amigas para dónde van y si van a regresar tarde, que te lo digan y más o menos a qué hora van a regresar o con quién van a regresar o si hay que irlos a buscar.</v>
      </c>
      <c r="C255" s="103" t="str">
        <f>SJ021022M96!C4</f>
        <v>analítico</v>
      </c>
      <c r="D255" s="103" t="str">
        <f>SJ021022M96!D4</f>
        <v>temporal</v>
      </c>
      <c r="E255" s="103">
        <f>SJ021022M96!E4</f>
        <v>6</v>
      </c>
      <c r="F255" s="103">
        <f>SJ021022M96!F4</f>
        <v>1</v>
      </c>
      <c r="G255" s="103">
        <f>SJ021022M96!G4</f>
        <v>0</v>
      </c>
      <c r="H255" s="103">
        <f>SJ021022M96!H4</f>
        <v>2</v>
      </c>
      <c r="I255" s="103">
        <f>SJ021022M96!I4</f>
        <v>0</v>
      </c>
      <c r="J255" s="103">
        <f>SJ021022M96!J4</f>
        <v>0</v>
      </c>
      <c r="K255" s="103">
        <v>2</v>
      </c>
      <c r="L255" s="103" t="s">
        <v>697</v>
      </c>
    </row>
    <row r="256" spans="1:12" customFormat="1">
      <c r="A256" s="103" t="str">
        <f>SJ021022M96!A5</f>
        <v>SJ021022M96</v>
      </c>
      <c r="B256" s="103" t="str">
        <f>SJ021022M96!B5</f>
        <v>SJ021022M96/136-139B Es importante que, que los hijos sean niñas o niños, lo que sea, tú sepas quiénes son tus amigos, sus amigas para dónde van y si van a regresar tarde, que te lo digan y más o menos a qué hora van a regresar o con quién van a regresar o si hay que irlos a buscar.</v>
      </c>
      <c r="C256" s="103" t="str">
        <f>SJ021022M96!C5</f>
        <v>analítico</v>
      </c>
      <c r="D256" s="103" t="str">
        <f>SJ021022M96!D5</f>
        <v>temporal</v>
      </c>
      <c r="E256" s="103">
        <f>SJ021022M96!E5</f>
        <v>6</v>
      </c>
      <c r="F256" s="103">
        <f>SJ021022M96!F5</f>
        <v>1</v>
      </c>
      <c r="G256" s="103">
        <f>SJ021022M96!G5</f>
        <v>0</v>
      </c>
      <c r="H256" s="103">
        <f>SJ021022M96!H5</f>
        <v>2</v>
      </c>
      <c r="I256" s="103">
        <f>SJ021022M96!I5</f>
        <v>0</v>
      </c>
      <c r="J256" s="103">
        <f>SJ021022M96!J5</f>
        <v>0</v>
      </c>
      <c r="K256" s="103">
        <v>2</v>
      </c>
      <c r="L256" s="103" t="s">
        <v>697</v>
      </c>
    </row>
    <row r="257" spans="1:12" customFormat="1">
      <c r="A257" s="103" t="str">
        <f>SJ021022M96!A6</f>
        <v>SJ021022M96</v>
      </c>
      <c r="B257" s="103" t="str">
        <f>SJ021022M96!B6</f>
        <v>SJ021022M96/136-139C Es importante que, que los hijos sean niñas o niños, lo que sea, tú sepas quiénes son tus amigos, sus amigas para dónde van y si van a regresar tarde, que te lo digan y más o menos a qué hora van a regresar o con quién van a regresar o si hay que irlos a buscar.</v>
      </c>
      <c r="C257" s="103" t="str">
        <f>SJ021022M96!C6</f>
        <v>analítico</v>
      </c>
      <c r="D257" s="103" t="str">
        <f>SJ021022M96!D6</f>
        <v>temporal</v>
      </c>
      <c r="E257" s="103">
        <f>SJ021022M96!E6</f>
        <v>6</v>
      </c>
      <c r="F257" s="103">
        <f>SJ021022M96!F6</f>
        <v>0</v>
      </c>
      <c r="G257" s="103">
        <f>SJ021022M96!G6</f>
        <v>0</v>
      </c>
      <c r="H257" s="103">
        <f>SJ021022M96!H6</f>
        <v>2</v>
      </c>
      <c r="I257" s="103">
        <f>SJ021022M96!I6</f>
        <v>0</v>
      </c>
      <c r="J257" s="103">
        <f>SJ021022M96!J6</f>
        <v>0</v>
      </c>
      <c r="K257" s="103">
        <v>2</v>
      </c>
      <c r="L257" s="103" t="s">
        <v>697</v>
      </c>
    </row>
    <row r="258" spans="1:12">
      <c r="A258" s="103" t="str">
        <f>SJ021022M96!A7</f>
        <v>SJ021022M96</v>
      </c>
      <c r="B258" s="103" t="str">
        <f>SJ021022M96!B7</f>
        <v>SJ021022M96/136-139D Es importante que, que los hijos sean niñas o niños, lo que sea, tú sepas quiénes son tus amigos, sus amigas para dónde van y si van a regresar tarde, que te lo digan y más o menos a qué hora van a regresar o con quién van a regresar o si hay que irlos a buscar.</v>
      </c>
      <c r="C258" s="103" t="str">
        <f>SJ021022M96!C7</f>
        <v>presente</v>
      </c>
      <c r="D258" s="103" t="str">
        <f>SJ021022M96!D7</f>
        <v>temporal</v>
      </c>
      <c r="E258" s="103">
        <f>SJ021022M96!E7</f>
        <v>3</v>
      </c>
      <c r="F258" s="103">
        <f>SJ021022M96!F7</f>
        <v>0</v>
      </c>
      <c r="G258" s="103">
        <f>SJ021022M96!G7</f>
        <v>0</v>
      </c>
      <c r="H258" s="103">
        <f>SJ021022M96!H7</f>
        <v>2</v>
      </c>
      <c r="I258" s="103">
        <f>SJ021022M96!I7</f>
        <v>0</v>
      </c>
      <c r="J258" s="103">
        <f>SJ021022M96!J7</f>
        <v>0</v>
      </c>
      <c r="K258" s="103">
        <v>2</v>
      </c>
      <c r="L258" s="103" t="s">
        <v>697</v>
      </c>
    </row>
    <row r="259" spans="1:12" customFormat="1">
      <c r="A259" s="103" t="str">
        <f>SJ021022M96!A8</f>
        <v>SJ021022M96</v>
      </c>
      <c r="B259" s="103" t="str">
        <f>SJ021022M96!B8</f>
        <v>SJ021022M96/160-161 Porque si no lo puede tener, pues, creo que también hay otra persona que a lo mejor lo quisiera.</v>
      </c>
      <c r="C259" s="103" t="str">
        <f>SJ021022M96!C8</f>
        <v>presente</v>
      </c>
      <c r="D259" s="103" t="str">
        <f>SJ021022M96!D8</f>
        <v>temporal</v>
      </c>
      <c r="E259" s="103">
        <f>SJ021022M96!E8</f>
        <v>3</v>
      </c>
      <c r="F259" s="103">
        <f>SJ021022M96!F8</f>
        <v>0</v>
      </c>
      <c r="G259" s="103">
        <f>SJ021022M96!G8</f>
        <v>0</v>
      </c>
      <c r="H259" s="103">
        <f>SJ021022M96!H8</f>
        <v>0</v>
      </c>
      <c r="I259" s="103">
        <f>SJ021022M96!I8</f>
        <v>1</v>
      </c>
      <c r="J259" s="103">
        <f>SJ021022M96!J8</f>
        <v>1</v>
      </c>
      <c r="K259" s="103">
        <v>2</v>
      </c>
      <c r="L259" s="103" t="s">
        <v>697</v>
      </c>
    </row>
    <row r="260" spans="1:12" customFormat="1">
      <c r="A260" s="103" t="str">
        <f>SJ021022M96!A9</f>
        <v>SJ021022M96</v>
      </c>
      <c r="B260" s="103" t="str">
        <f>SJ021022M96!B9</f>
        <v>SJ021022M96/187-188A Que eso todavía estamos, todavía hasta que no comience a trabajar y se establezca hay que estarle supliendo</v>
      </c>
      <c r="C260" s="103" t="str">
        <f>SJ021022M96!C9</f>
        <v>presente</v>
      </c>
      <c r="D260" s="103" t="str">
        <f>SJ021022M96!D9</f>
        <v>temporal</v>
      </c>
      <c r="E260" s="103">
        <f>SJ021022M96!E9</f>
        <v>4</v>
      </c>
      <c r="F260" s="103">
        <f>SJ021022M96!F9</f>
        <v>1</v>
      </c>
      <c r="G260" s="103">
        <f>SJ021022M96!G9</f>
        <v>0</v>
      </c>
      <c r="H260" s="103">
        <f>SJ021022M96!H9</f>
        <v>1</v>
      </c>
      <c r="I260" s="103">
        <f>SJ021022M96!I9</f>
        <v>0</v>
      </c>
      <c r="J260" s="103">
        <f>SJ021022M96!J9</f>
        <v>0</v>
      </c>
      <c r="K260" s="103">
        <v>2</v>
      </c>
      <c r="L260" s="103" t="s">
        <v>697</v>
      </c>
    </row>
    <row r="261" spans="1:12" customFormat="1">
      <c r="A261" s="103" t="str">
        <f>SJ021022M96!A10</f>
        <v>SJ021022M96</v>
      </c>
      <c r="B261" s="103" t="str">
        <f>SJ021022M96!B10</f>
        <v>SJ021022M96/187-188B Que eso todavía estamos, todavía hasta que no comience a trabajar y se establezca hay que estarle supliendo</v>
      </c>
      <c r="C261" s="103" t="str">
        <f>SJ021022M96!C10</f>
        <v>presente</v>
      </c>
      <c r="D261" s="103" t="str">
        <f>SJ021022M96!D10</f>
        <v>temporal</v>
      </c>
      <c r="E261" s="103">
        <f>SJ021022M96!E10</f>
        <v>3</v>
      </c>
      <c r="F261" s="103">
        <f>SJ021022M96!F10</f>
        <v>0</v>
      </c>
      <c r="G261" s="103">
        <f>SJ021022M96!G10</f>
        <v>0</v>
      </c>
      <c r="H261" s="103">
        <f>SJ021022M96!H10</f>
        <v>1</v>
      </c>
      <c r="I261" s="103">
        <f>SJ021022M96!I10</f>
        <v>0</v>
      </c>
      <c r="J261" s="103">
        <f>SJ021022M96!J10</f>
        <v>0</v>
      </c>
      <c r="K261" s="103">
        <v>2</v>
      </c>
      <c r="L261" s="103" t="s">
        <v>697</v>
      </c>
    </row>
    <row r="262" spans="1:12" customFormat="1">
      <c r="A262" s="103" t="str">
        <f>SJ021022M96!A11</f>
        <v>SJ021022M96</v>
      </c>
      <c r="B262" s="103" t="str">
        <f>SJ021022M96!B11</f>
        <v>SJ021022M96/205-206A Sí, piensa hacer un consultorio, pero también va a trabajar empezando en noviembre él va a trabajar con un, con un, con un médico.</v>
      </c>
      <c r="C262" s="103" t="str">
        <f>SJ021022M96!C11</f>
        <v>analítico</v>
      </c>
      <c r="D262" s="103" t="str">
        <f>SJ021022M96!D11</f>
        <v>temporal</v>
      </c>
      <c r="E262" s="103">
        <f>SJ021022M96!E11</f>
        <v>3</v>
      </c>
      <c r="F262" s="103">
        <f>SJ021022M96!F11</f>
        <v>1</v>
      </c>
      <c r="G262" s="103">
        <f>SJ021022M96!G11</f>
        <v>0</v>
      </c>
      <c r="H262" s="103">
        <f>SJ021022M96!H11</f>
        <v>1</v>
      </c>
      <c r="I262" s="103">
        <f>SJ021022M96!I11</f>
        <v>0</v>
      </c>
      <c r="J262" s="103">
        <f>SJ021022M96!J11</f>
        <v>0</v>
      </c>
      <c r="K262" s="103">
        <v>2</v>
      </c>
      <c r="L262" s="103" t="s">
        <v>697</v>
      </c>
    </row>
    <row r="263" spans="1:12" customFormat="1">
      <c r="A263" s="103" t="str">
        <f>SJ021022M96!A12</f>
        <v>SJ021022M96</v>
      </c>
      <c r="B263" s="103" t="str">
        <f>SJ021022M96!B12</f>
        <v>SJ021022M96/205-206B Sí, piensa hacer un consultorio, pero también va a trabajar empezando en noviembre él va a trabajar con un, con un, con un médico.</v>
      </c>
      <c r="C263" s="103" t="str">
        <f>SJ021022M96!C12</f>
        <v>analítico</v>
      </c>
      <c r="D263" s="103" t="str">
        <f>SJ021022M96!D12</f>
        <v>temporal</v>
      </c>
      <c r="E263" s="103">
        <f>SJ021022M96!E12</f>
        <v>3</v>
      </c>
      <c r="F263" s="103">
        <f>SJ021022M96!F12</f>
        <v>1</v>
      </c>
      <c r="G263" s="103">
        <f>SJ021022M96!G12</f>
        <v>0</v>
      </c>
      <c r="H263" s="103">
        <f>SJ021022M96!H12</f>
        <v>1</v>
      </c>
      <c r="I263" s="103">
        <f>SJ021022M96!I12</f>
        <v>0</v>
      </c>
      <c r="J263" s="103">
        <f>SJ021022M96!J12</f>
        <v>0</v>
      </c>
      <c r="K263" s="103">
        <v>2</v>
      </c>
      <c r="L263" s="103" t="s">
        <v>697</v>
      </c>
    </row>
    <row r="264" spans="1:12" customFormat="1">
      <c r="A264" s="103" t="str">
        <f>SJ021022M96!A13</f>
        <v>SJ021022M96</v>
      </c>
      <c r="B264" s="103" t="str">
        <f>SJ021022M96!B13</f>
        <v>SJ021022M96/208-212 (¿Y Javier le falta cuánto…?) A él le falta, pues  le falta de este año y un año más. (Y ya ahí se quedan solitos) Bueno depende de lo que haga Javier ???</v>
      </c>
      <c r="C264" s="103" t="str">
        <f>SJ021022M96!C13</f>
        <v>analítico</v>
      </c>
      <c r="D264" s="103" t="str">
        <f>SJ021022M96!D13</f>
        <v>temporal</v>
      </c>
      <c r="E264" s="103">
        <f>SJ021022M96!E13</f>
        <v>3</v>
      </c>
      <c r="F264" s="103">
        <f>SJ021022M96!F13</f>
        <v>0</v>
      </c>
      <c r="G264" s="103">
        <f>SJ021022M96!G13</f>
        <v>0</v>
      </c>
      <c r="H264" s="103">
        <f>SJ021022M96!H13</f>
        <v>1</v>
      </c>
      <c r="I264" s="103">
        <f>SJ021022M96!I13</f>
        <v>0</v>
      </c>
      <c r="J264" s="103">
        <f>SJ021022M96!J13</f>
        <v>0</v>
      </c>
      <c r="K264" s="103">
        <v>2</v>
      </c>
      <c r="L264" s="103" t="s">
        <v>697</v>
      </c>
    </row>
    <row r="265" spans="1:12" customFormat="1">
      <c r="A265" t="str">
        <f>SJ021022M96!A14</f>
        <v>SJ021022M96</v>
      </c>
      <c r="B265" t="str">
        <f>SJ021022M96!B14</f>
        <v>SJ021022M96/266 La privada da mejor porque ellos se ocupan más, me imagino que será que como cobran…</v>
      </c>
      <c r="C265" t="str">
        <f>SJ021022M96!C14</f>
        <v>morfológico</v>
      </c>
      <c r="D265" t="str">
        <f>SJ021022M96!D14</f>
        <v>hipótesis</v>
      </c>
      <c r="E265">
        <f>SJ021022M96!E14</f>
        <v>3</v>
      </c>
      <c r="F265">
        <f>SJ021022M96!F14</f>
        <v>0</v>
      </c>
      <c r="G265">
        <f>SJ021022M96!G14</f>
        <v>0</v>
      </c>
      <c r="H265">
        <f>SJ021022M96!H14</f>
        <v>0</v>
      </c>
      <c r="I265">
        <f>SJ021022M96!I14</f>
        <v>1</v>
      </c>
      <c r="J265">
        <f>SJ021022M96!J14</f>
        <v>0</v>
      </c>
      <c r="K265">
        <v>2</v>
      </c>
      <c r="L265" t="s">
        <v>697</v>
      </c>
    </row>
    <row r="266" spans="1:12" customFormat="1">
      <c r="A266" s="103" t="str">
        <f>SJ025022M96!A2</f>
        <v>SJ025022M96</v>
      </c>
      <c r="B266" s="103" t="str">
        <f>SJ025022M96!B2</f>
        <v>SJ025022M96/44-47 Y efectivamente las amigas llegaban, pero era que ya teni, teníamos planes de ir a otro l/ugar a un río por ejemplo y muchas veces nos, nos rompían el, rompían el, el, el viaje porque ella decía, ustedes de aquí no va a salir, su papá salió, y él es el que da permisos.</v>
      </c>
      <c r="C266" s="103" t="str">
        <f>SJ025022M96!C2</f>
        <v>analítico</v>
      </c>
      <c r="D266" s="103" t="str">
        <f>SJ025022M96!D2</f>
        <v>temporal</v>
      </c>
      <c r="E266" s="103">
        <f>SJ025022M96!E2</f>
        <v>3</v>
      </c>
      <c r="F266" s="103">
        <f>SJ025022M96!F2</f>
        <v>0</v>
      </c>
      <c r="G266" s="103">
        <f>SJ025022M96!G2</f>
        <v>0</v>
      </c>
      <c r="H266" s="103">
        <f>SJ025022M96!H2</f>
        <v>1</v>
      </c>
      <c r="I266" s="103">
        <f>SJ025022M96!I2</f>
        <v>0</v>
      </c>
      <c r="J266" s="103">
        <f>SJ025022M96!J2</f>
        <v>0</v>
      </c>
      <c r="K266" s="103">
        <v>2</v>
      </c>
      <c r="L266" s="103" t="s">
        <v>697</v>
      </c>
    </row>
    <row r="267" spans="1:12" customFormat="1">
      <c r="A267" s="103" t="str">
        <f>SJ025022M96!A3</f>
        <v>SJ025022M96</v>
      </c>
      <c r="B267" s="103" t="str">
        <f>SJ025022M96!B3</f>
        <v>SJ025022M96/49-50  Pero yo siempre, no que nos vamos, que aquello, vénganse, no sean cobardes que ustedes son mayores, que papi no nos va a decir nada...</v>
      </c>
      <c r="C267" s="103" t="str">
        <f>SJ025022M96!C3</f>
        <v>analítico</v>
      </c>
      <c r="D267" s="103" t="str">
        <f>SJ025022M96!D3</f>
        <v>temporal</v>
      </c>
      <c r="E267" s="103">
        <f>SJ025022M96!E3</f>
        <v>3</v>
      </c>
      <c r="F267" s="103">
        <f>SJ025022M96!F3</f>
        <v>0</v>
      </c>
      <c r="G267" s="103">
        <f>SJ025022M96!G3</f>
        <v>0</v>
      </c>
      <c r="H267" s="103">
        <f>SJ025022M96!H3</f>
        <v>0</v>
      </c>
      <c r="I267" s="103">
        <f>SJ025022M96!I3</f>
        <v>0</v>
      </c>
      <c r="J267" s="103">
        <f>SJ025022M96!J3</f>
        <v>0</v>
      </c>
      <c r="K267" s="103">
        <v>2</v>
      </c>
      <c r="L267" s="103" t="s">
        <v>697</v>
      </c>
    </row>
    <row r="268" spans="1:12" customFormat="1">
      <c r="A268" s="103" t="str">
        <f>SJ025022M96!A4</f>
        <v>SJ025022M96</v>
      </c>
      <c r="B268" s="103" t="str">
        <f>SJ025022M96!B4</f>
        <v>SJ025022M96/84-85A No van a salir estas no son horas de salir, estas son horas de llegar.</v>
      </c>
      <c r="C268" s="103" t="str">
        <f>SJ025022M96!C4</f>
        <v>analítico</v>
      </c>
      <c r="D268" s="103" t="str">
        <f>SJ025022M96!D4</f>
        <v>temporal</v>
      </c>
      <c r="E268" s="103">
        <f>SJ025022M96!E4</f>
        <v>6</v>
      </c>
      <c r="F268" s="103">
        <f>SJ025022M96!F4</f>
        <v>1</v>
      </c>
      <c r="G268" s="103">
        <f>SJ025022M96!G4</f>
        <v>2</v>
      </c>
      <c r="H268" s="103">
        <f>SJ025022M96!H4</f>
        <v>1</v>
      </c>
      <c r="I268" s="103">
        <f>SJ025022M96!I4</f>
        <v>0</v>
      </c>
      <c r="J268" s="103">
        <f>SJ025022M96!J4</f>
        <v>0</v>
      </c>
      <c r="K268" s="103">
        <v>2</v>
      </c>
      <c r="L268" s="103" t="s">
        <v>697</v>
      </c>
    </row>
    <row r="269" spans="1:12" customFormat="1">
      <c r="A269" s="103" t="str">
        <f>SJ025022M96!A5</f>
        <v>SJ025022M96</v>
      </c>
      <c r="B269" s="103" t="str">
        <f>SJ025022M96!B5</f>
        <v>SJ025022M96/84-85B Pero papi si son las nueve y media son las diez de la noche. No, pero no van a salir.</v>
      </c>
      <c r="C269" s="103" t="str">
        <f>SJ025022M96!C5</f>
        <v>analítico</v>
      </c>
      <c r="D269" s="103" t="str">
        <f>SJ025022M96!D5</f>
        <v>temporal</v>
      </c>
      <c r="E269" s="103">
        <f>SJ025022M96!E5</f>
        <v>6</v>
      </c>
      <c r="F269" s="103">
        <f>SJ025022M96!F5</f>
        <v>0</v>
      </c>
      <c r="G269" s="103">
        <f>SJ025022M96!G5</f>
        <v>0</v>
      </c>
      <c r="H269" s="103">
        <f>SJ025022M96!H5</f>
        <v>1</v>
      </c>
      <c r="I269" s="103">
        <f>SJ025022M96!I5</f>
        <v>0</v>
      </c>
      <c r="J269" s="103">
        <f>SJ025022M96!J5</f>
        <v>0</v>
      </c>
      <c r="K269" s="103">
        <v>2</v>
      </c>
      <c r="L269" s="103" t="s">
        <v>697</v>
      </c>
    </row>
    <row r="270" spans="1:12" customFormat="1">
      <c r="A270" t="str">
        <f>SJ025022M96!A6</f>
        <v>SJ025022M96</v>
      </c>
      <c r="B270" t="str">
        <f>SJ025022M96!B6</f>
        <v>SJ025022M96/101-102A Entonces, yo siempre, yo les decía a mis hermanas, bueno, vamos a hacer una cosa, vamos a recoger dinero entre todas.</v>
      </c>
      <c r="C270" t="str">
        <f>SJ025022M96!C6</f>
        <v>analítico</v>
      </c>
      <c r="D270" t="str">
        <f>SJ025022M96!D6</f>
        <v>exhortación</v>
      </c>
      <c r="E270">
        <f>SJ025022M96!E6</f>
        <v>4</v>
      </c>
      <c r="F270">
        <f>SJ025022M96!F6</f>
        <v>0</v>
      </c>
      <c r="G270">
        <f>SJ025022M96!G6</f>
        <v>0</v>
      </c>
      <c r="H270">
        <f>SJ025022M96!H6</f>
        <v>0</v>
      </c>
      <c r="I270">
        <f>SJ025022M96!I6</f>
        <v>0</v>
      </c>
      <c r="J270">
        <f>SJ025022M96!J6</f>
        <v>0</v>
      </c>
      <c r="K270">
        <v>2</v>
      </c>
      <c r="L270" t="s">
        <v>697</v>
      </c>
    </row>
    <row r="271" spans="1:12" customFormat="1">
      <c r="A271" t="str">
        <f>SJ025022M96!A7</f>
        <v>SJ025022M96</v>
      </c>
      <c r="B271" t="str">
        <f>SJ025022M96!B7</f>
        <v>SJ025022M96/101-102B Entonces, yo siempre, yo les decía a mis hermanas, bueno, vamos a hacer una cosa, vamos a recoger dinero entre todas.</v>
      </c>
      <c r="C271" t="str">
        <f>SJ025022M96!C7</f>
        <v>analítico</v>
      </c>
      <c r="D271" t="str">
        <f>SJ025022M96!D7</f>
        <v>exhortación</v>
      </c>
      <c r="E271">
        <f>SJ025022M96!E7</f>
        <v>4</v>
      </c>
      <c r="F271">
        <f>SJ025022M96!F7</f>
        <v>0</v>
      </c>
      <c r="G271">
        <f>SJ025022M96!G7</f>
        <v>0</v>
      </c>
      <c r="H271">
        <f>SJ025022M96!H7</f>
        <v>0</v>
      </c>
      <c r="I271">
        <f>SJ025022M96!I7</f>
        <v>0</v>
      </c>
      <c r="J271">
        <f>SJ025022M96!J7</f>
        <v>0</v>
      </c>
      <c r="K271">
        <v>2</v>
      </c>
      <c r="L271" t="s">
        <v>697</v>
      </c>
    </row>
    <row r="272" spans="1:12" customFormat="1">
      <c r="A272" s="103" t="str">
        <f>SJ025022M96!A8</f>
        <v>SJ025022M96</v>
      </c>
      <c r="B272" s="103" t="str">
        <f>SJ025022M96!B8</f>
        <v>SJ025022M96/104-106 Ustedes nos tapan esta noche porque vamos a estar en la plaza hablando con nuestros amigos, pero si mi papá viene por ahí ustedes no avisan (risa)</v>
      </c>
      <c r="C272" s="103" t="str">
        <f>SJ025022M96!C8</f>
        <v>analítico</v>
      </c>
      <c r="D272" s="103" t="str">
        <f>SJ025022M96!D8</f>
        <v>temporal</v>
      </c>
      <c r="E272" s="103">
        <f>SJ025022M96!E8</f>
        <v>4</v>
      </c>
      <c r="F272" s="103">
        <f>SJ025022M96!F8</f>
        <v>1</v>
      </c>
      <c r="G272" s="103">
        <f>SJ025022M96!G8</f>
        <v>2</v>
      </c>
      <c r="H272" s="103">
        <f>SJ025022M96!H8</f>
        <v>0</v>
      </c>
      <c r="I272" s="103">
        <f>SJ025022M96!I8</f>
        <v>0</v>
      </c>
      <c r="J272" s="103">
        <f>SJ025022M96!J8</f>
        <v>0</v>
      </c>
      <c r="K272" s="103">
        <v>2</v>
      </c>
      <c r="L272" s="103" t="s">
        <v>697</v>
      </c>
    </row>
    <row r="273" spans="1:12" customFormat="1">
      <c r="A273" s="103" t="str">
        <f>SJ025022M96!A9</f>
        <v>SJ025022M96</v>
      </c>
      <c r="B273" s="103" t="str">
        <f>SJ025022M96!B9</f>
        <v>SJ025022M96/157 Entonces, mi familia decía, pero cómo tú vas a dejar ir a tu…[hijo con la familia.]</v>
      </c>
      <c r="C273" s="103" t="str">
        <f>SJ025022M96!C9</f>
        <v>analítico</v>
      </c>
      <c r="D273" s="103" t="str">
        <f>SJ025022M96!D9</f>
        <v>temporal</v>
      </c>
      <c r="E273" s="103">
        <f>SJ025022M96!E9</f>
        <v>2</v>
      </c>
      <c r="F273" s="103">
        <f>SJ025022M96!F9</f>
        <v>0</v>
      </c>
      <c r="G273" s="103">
        <f>SJ025022M96!G9</f>
        <v>0</v>
      </c>
      <c r="H273" s="103">
        <f>SJ025022M96!H9</f>
        <v>0</v>
      </c>
      <c r="I273" s="103">
        <f>SJ025022M96!I9</f>
        <v>0</v>
      </c>
      <c r="J273" s="103">
        <f>SJ025022M96!J9</f>
        <v>0</v>
      </c>
      <c r="K273" s="103">
        <v>2</v>
      </c>
      <c r="L273" s="103" t="s">
        <v>697</v>
      </c>
    </row>
    <row r="274" spans="1:12" customFormat="1">
      <c r="A274" s="103" t="str">
        <f>SJ025022M96!A10</f>
        <v>SJ025022M96</v>
      </c>
      <c r="B274" s="103" t="str">
        <f>SJ025022M96!B10</f>
        <v>SJ025022M96/191-194 Así que bajo y dice bueno vamos ahora com, vamos almorzar al Zipperle, “Daniel, yo no puedo entrar así al Zipperle”, pero por qué porque mira como yo ando y me empieza a encontrar gente que me conocen y qué van a decir esta señora está en lo último (risa).</v>
      </c>
      <c r="C274" s="103" t="str">
        <f>SJ025022M96!C10</f>
        <v>analítico</v>
      </c>
      <c r="D274" s="103" t="str">
        <f>SJ025022M96!D10</f>
        <v>temporal</v>
      </c>
      <c r="E274" s="103">
        <f>SJ025022M96!E10</f>
        <v>6</v>
      </c>
      <c r="F274" s="103">
        <f>SJ025022M96!F10</f>
        <v>0</v>
      </c>
      <c r="G274" s="103">
        <f>SJ025022M96!G10</f>
        <v>0</v>
      </c>
      <c r="H274" s="103">
        <f>SJ025022M96!H10</f>
        <v>0</v>
      </c>
      <c r="I274" s="103">
        <f>SJ025022M96!I10</f>
        <v>0</v>
      </c>
      <c r="J274" s="103">
        <f>SJ025022M96!J10</f>
        <v>0</v>
      </c>
      <c r="K274" s="103">
        <v>2</v>
      </c>
      <c r="L274" s="103" t="s">
        <v>697</v>
      </c>
    </row>
    <row r="275" spans="1:12" customFormat="1">
      <c r="A275" s="103" t="str">
        <f>SJ025022M96!A11</f>
        <v>SJ025022M96</v>
      </c>
      <c r="B275" s="103" t="str">
        <f>SJ025022M96!B11</f>
        <v>SJ025022M96/216-218 Tenemos al grandecito en esto ??? hace como dos meses en nursery, pero más es lo que falta porque estábamos viendo a ver cómo le iba, pero que, que no sé qué va a pasar.</v>
      </c>
      <c r="C275" s="103" t="str">
        <f>SJ025022M96!C11</f>
        <v>analítico</v>
      </c>
      <c r="D275" s="103" t="str">
        <f>SJ025022M96!D11</f>
        <v>temporal</v>
      </c>
      <c r="E275" s="103">
        <f>SJ025022M96!E11</f>
        <v>3</v>
      </c>
      <c r="F275" s="103">
        <f>SJ025022M96!F11</f>
        <v>0</v>
      </c>
      <c r="G275" s="103">
        <f>SJ025022M96!G11</f>
        <v>0</v>
      </c>
      <c r="H275" s="103">
        <f>SJ025022M96!H11</f>
        <v>0</v>
      </c>
      <c r="I275" s="103">
        <f>SJ025022M96!I11</f>
        <v>0</v>
      </c>
      <c r="J275" s="103">
        <f>SJ025022M96!J11</f>
        <v>0</v>
      </c>
      <c r="K275" s="103">
        <v>2</v>
      </c>
      <c r="L275" s="103" t="s">
        <v>697</v>
      </c>
    </row>
    <row r="276" spans="1:12" customFormat="1">
      <c r="A276" t="str">
        <f>SJ025022M96!A12</f>
        <v>SJ025022M96</v>
      </c>
      <c r="B276" t="str">
        <f>SJ025022M96!B12</f>
        <v>SJ025022M96/238-243 Hasta nosotras, consultamos un sicólogo, pero el sicólogo dijo no mira todos los niños hacen esto, pero si la persona que lo está cuidando lo, en este caso la maestra del nursery en el momento que él haga eso pues llamarle la atención que él, digo dentro de su, dentro de la edad que tiene pueda entender la situación porque comprenderás que cuando él lo traen del nursery nosotras no vamos a venir aquí a regañarlo porque es una cosa absurda y él lo que tiene es un año y medio, o sea, que él no entiende eso todavía.</v>
      </c>
      <c r="C276" t="str">
        <f>SJ025022M96!C12</f>
        <v>morfológico</v>
      </c>
      <c r="D276" t="str">
        <f>SJ025022M96!D12</f>
        <v>hipótesis</v>
      </c>
      <c r="E276">
        <f>SJ025022M96!E12</f>
        <v>2</v>
      </c>
      <c r="F276">
        <f>SJ025022M96!F12</f>
        <v>0</v>
      </c>
      <c r="G276">
        <f>SJ025022M96!G12</f>
        <v>0</v>
      </c>
      <c r="H276">
        <f>SJ025022M96!H12</f>
        <v>0</v>
      </c>
      <c r="I276">
        <f>SJ025022M96!I12</f>
        <v>0</v>
      </c>
      <c r="J276">
        <f>SJ025022M96!J12</f>
        <v>0</v>
      </c>
      <c r="K276">
        <v>2</v>
      </c>
      <c r="L276" t="s">
        <v>697</v>
      </c>
    </row>
    <row r="277" spans="1:12" customFormat="1">
      <c r="A277" s="103" t="str">
        <f>SJ025022M96!A13</f>
        <v>SJ025022M96</v>
      </c>
      <c r="B277" s="103" t="str">
        <f>SJ025022M96!B13</f>
        <v>SJ025022M96/238-243 Hasta nosotras, consultamos un sicólogo, pero el sicólogo dijo no mira todos los niños hacen esto, pero si la persona que lo está cuidando lo, en este caso la maestra del nursery en el momento que él haga eso pues llamarle la atención que él, digo dentro de su, dentro de la edad que tiene pueda entender la situación porque comprenderás que cuando él lo traen del nursery nosotras no vamos a venir aquí a regañarlo porque es una cosa absurda y él lo que tiene es un año y medio, o sea, que él no entiende eso todavía.</v>
      </c>
      <c r="C277" s="103" t="str">
        <f>SJ025022M96!C13</f>
        <v>analítico</v>
      </c>
      <c r="D277" s="103" t="str">
        <f>SJ025022M96!D13</f>
        <v>temporal</v>
      </c>
      <c r="E277" s="103">
        <f>SJ025022M96!E13</f>
        <v>4</v>
      </c>
      <c r="F277" s="103">
        <f>SJ025022M96!F13</f>
        <v>1</v>
      </c>
      <c r="G277" s="103">
        <f>SJ025022M96!G13</f>
        <v>0</v>
      </c>
      <c r="H277" s="103">
        <f>SJ025022M96!H13</f>
        <v>0</v>
      </c>
      <c r="I277" s="103">
        <f>SJ025022M96!I13</f>
        <v>0</v>
      </c>
      <c r="J277" s="103">
        <f>SJ025022M96!J13</f>
        <v>0</v>
      </c>
      <c r="K277" s="103">
        <v>2</v>
      </c>
      <c r="L277" s="103" t="s">
        <v>697</v>
      </c>
    </row>
    <row r="278" spans="1:12" customFormat="1">
      <c r="A278" t="str">
        <f>SJ025022M96!A14</f>
        <v>SJ025022M96</v>
      </c>
      <c r="B278" t="str">
        <f>SJ025022M96!B14</f>
        <v>SJ025022M96/270-272A Bueno, a mi me gusta tener por ejemplo, yo tengo un compromiso para el sábado vamos a, a decirlo así o para el viernes, me gusta tener todos los materiales, todo lo que voy a us, a utilizar, dos días antes o día y medio.</v>
      </c>
      <c r="C278" t="str">
        <f>SJ025022M96!C14</f>
        <v>analítico</v>
      </c>
      <c r="D278" t="str">
        <f>SJ025022M96!D14</f>
        <v>exhortación</v>
      </c>
      <c r="E278">
        <f>SJ025022M96!E14</f>
        <v>4</v>
      </c>
      <c r="F278">
        <f>SJ025022M96!F14</f>
        <v>0</v>
      </c>
      <c r="G278">
        <f>SJ025022M96!G14</f>
        <v>0</v>
      </c>
      <c r="H278">
        <f>SJ025022M96!H14</f>
        <v>0</v>
      </c>
      <c r="I278">
        <f>SJ025022M96!I14</f>
        <v>0</v>
      </c>
      <c r="J278">
        <f>SJ025022M96!J14</f>
        <v>0</v>
      </c>
      <c r="K278">
        <v>2</v>
      </c>
      <c r="L278" t="s">
        <v>697</v>
      </c>
    </row>
    <row r="279" spans="1:12" customFormat="1">
      <c r="A279" s="103" t="str">
        <f>SJ025022M96!A15</f>
        <v>SJ025022M96</v>
      </c>
      <c r="B279" s="103" t="str">
        <f>SJ025022M96!B15</f>
        <v>SJ025022M96/270-272B Bueno, a mi me gusta tener por ejemplo, yo tengo un compromiso para el sábado vamos a, a decirlo así o para el viernes, me gusta tener todos los materiales, todo lo que voy a us, a utilizar, dos días antes o día y medio.</v>
      </c>
      <c r="C279" s="103" t="str">
        <f>SJ025022M96!C15</f>
        <v>analítico</v>
      </c>
      <c r="D279" s="103" t="str">
        <f>SJ025022M96!D15</f>
        <v>temporal</v>
      </c>
      <c r="E279" s="103">
        <f>SJ025022M96!E15</f>
        <v>1</v>
      </c>
      <c r="F279" s="103">
        <f>SJ025022M96!F15</f>
        <v>0</v>
      </c>
      <c r="G279" s="103">
        <f>SJ025022M96!G15</f>
        <v>0</v>
      </c>
      <c r="H279" s="103">
        <f>SJ025022M96!H15</f>
        <v>0</v>
      </c>
      <c r="I279" s="103">
        <f>SJ025022M96!I15</f>
        <v>0</v>
      </c>
      <c r="J279" s="103">
        <f>SJ025022M96!J15</f>
        <v>0</v>
      </c>
      <c r="K279" s="103">
        <v>2</v>
      </c>
      <c r="L279" s="103" t="s">
        <v>697</v>
      </c>
    </row>
    <row r="280" spans="1:12" customFormat="1">
      <c r="A280" s="103" t="str">
        <f>SJ025022M96!A16</f>
        <v>SJ025022M96</v>
      </c>
      <c r="B280" s="103" t="str">
        <f>SJ025022M96!B16</f>
        <v>SJ025022M96/283-285A Le trabajo a la Universidad Sagrado Corazón, le trabajo a, a compañías mayormente, y a clientes que cuando van a hacer una celebración, tiene invitados en sus casas.</v>
      </c>
      <c r="C280" s="103" t="str">
        <f>SJ025022M96!C16</f>
        <v>analítico</v>
      </c>
      <c r="D280" s="103" t="str">
        <f>SJ025022M96!D16</f>
        <v>temporal</v>
      </c>
      <c r="E280" s="103">
        <f>SJ025022M96!E16</f>
        <v>6</v>
      </c>
      <c r="F280" s="103">
        <f>SJ025022M96!F16</f>
        <v>0</v>
      </c>
      <c r="G280" s="103">
        <f>SJ025022M96!G16</f>
        <v>0</v>
      </c>
      <c r="H280" s="103">
        <f>SJ025022M96!H16</f>
        <v>0</v>
      </c>
      <c r="I280" s="103">
        <f>SJ025022M96!I16</f>
        <v>0</v>
      </c>
      <c r="J280" s="103">
        <f>SJ025022M96!J16</f>
        <v>0</v>
      </c>
      <c r="K280" s="103">
        <v>2</v>
      </c>
      <c r="L280" s="103" t="s">
        <v>697</v>
      </c>
    </row>
    <row r="281" spans="1:12" customFormat="1">
      <c r="A281" s="103" t="str">
        <f>SJ025022M96!A17</f>
        <v>SJ025022M96</v>
      </c>
      <c r="B281" s="103" t="str">
        <f>SJ025022M96!B17</f>
        <v>SJ025022M96/283-285B Le trabajo a la Universidad Sagrado Corazón, le trabajo a, a compañías mayormente, y a clientes que cuando van a hacer una celebración, tiene invitados en sus casas.</v>
      </c>
      <c r="C281" s="103" t="str">
        <f>SJ025022M96!C17</f>
        <v>presente</v>
      </c>
      <c r="D281" s="103" t="str">
        <f>SJ025022M96!D17</f>
        <v>temporal</v>
      </c>
      <c r="E281" s="103">
        <f>SJ025022M96!E17</f>
        <v>3</v>
      </c>
      <c r="F281" s="103">
        <f>SJ025022M96!F17</f>
        <v>1</v>
      </c>
      <c r="G281" s="103">
        <f>SJ025022M96!G17</f>
        <v>0</v>
      </c>
      <c r="H281" s="103">
        <f>SJ025022M96!H17</f>
        <v>1</v>
      </c>
      <c r="I281" s="103">
        <f>SJ025022M96!I17</f>
        <v>0</v>
      </c>
      <c r="J281" s="103">
        <f>SJ025022M96!J17</f>
        <v>0</v>
      </c>
      <c r="K281" s="103">
        <v>2</v>
      </c>
      <c r="L281" s="103" t="s">
        <v>697</v>
      </c>
    </row>
    <row r="282" spans="1:12" customFormat="1">
      <c r="A282" s="103" t="str">
        <f>SJ025022M96!A18</f>
        <v>SJ025022M96</v>
      </c>
      <c r="B282" s="103" t="str">
        <f>SJ025022M96!B18</f>
        <v>SJ025022M96/379-381 Porque yo le digo mami, si todavía yo le peleo a mi hija, para que se vaya a ser doctora y ella se va a ir el año que viene, si el Señor lo permite, por qué tú no hiciste lo mismo conmigo.</v>
      </c>
      <c r="C282" s="103" t="str">
        <f>SJ025022M96!C18</f>
        <v>analítico</v>
      </c>
      <c r="D282" s="103" t="str">
        <f>SJ025022M96!D18</f>
        <v>temporal</v>
      </c>
      <c r="E282" s="103">
        <f>SJ025022M96!E18</f>
        <v>3</v>
      </c>
      <c r="F282" s="103">
        <f>SJ025022M96!F18</f>
        <v>1</v>
      </c>
      <c r="G282" s="103">
        <f>SJ025022M96!G18</f>
        <v>1</v>
      </c>
      <c r="H282" s="103">
        <f>SJ025022M96!H18</f>
        <v>0</v>
      </c>
      <c r="I282" s="103">
        <f>SJ025022M96!I18</f>
        <v>0</v>
      </c>
      <c r="J282" s="103">
        <f>SJ025022M96!J18</f>
        <v>0</v>
      </c>
      <c r="K282" s="103">
        <v>2</v>
      </c>
      <c r="L282" s="103" t="s">
        <v>697</v>
      </c>
    </row>
    <row r="283" spans="1:12" customFormat="1">
      <c r="A283" s="103" t="str">
        <f>SJ025022M96!A19</f>
        <v>SJ025022M96</v>
      </c>
      <c r="B283" s="103" t="str">
        <f>SJ025022M96!B19</f>
        <v>SJ025022M96/392-393A Bueno mira, este, eh, pídete una pizza; paga que a las ocho de la mañana yo estoy en el Banco y te voy a depositar los chavos si no tienes y así.</v>
      </c>
      <c r="C283" s="103" t="str">
        <f>SJ025022M96!C19</f>
        <v>presente</v>
      </c>
      <c r="D283" s="103" t="str">
        <f>SJ025022M96!D19</f>
        <v>temporal</v>
      </c>
      <c r="E283" s="103">
        <f>SJ025022M96!E19</f>
        <v>1</v>
      </c>
      <c r="F283" s="103">
        <f>SJ025022M96!F19</f>
        <v>1</v>
      </c>
      <c r="G283" s="103">
        <f>SJ025022M96!G19</f>
        <v>2</v>
      </c>
      <c r="H283" s="103">
        <f>SJ025022M96!H19</f>
        <v>0</v>
      </c>
      <c r="I283" s="103">
        <f>SJ025022M96!I19</f>
        <v>0</v>
      </c>
      <c r="J283" s="103">
        <f>SJ025022M96!J19</f>
        <v>0</v>
      </c>
      <c r="K283" s="103">
        <v>2</v>
      </c>
      <c r="L283" s="103" t="s">
        <v>697</v>
      </c>
    </row>
    <row r="284" spans="1:12" customFormat="1">
      <c r="A284" s="103" t="str">
        <f>SJ025022M96!A20</f>
        <v>SJ025022M96</v>
      </c>
      <c r="B284" s="103" t="str">
        <f>SJ025022M96!B20</f>
        <v>SJ025022M96/392-393B Bueno mira, este, eh, pídete una pizza; paga que a las ocho de la mañana yo estoy en el Banco y te voy a depositar los chavos si no tienes y así.</v>
      </c>
      <c r="C284" s="103" t="str">
        <f>SJ025022M96!C20</f>
        <v>analítico</v>
      </c>
      <c r="D284" s="103" t="str">
        <f>SJ025022M96!D20</f>
        <v>temporal</v>
      </c>
      <c r="E284" s="103">
        <f>SJ025022M96!E20</f>
        <v>1</v>
      </c>
      <c r="F284" s="103">
        <f>SJ025022M96!F20</f>
        <v>1</v>
      </c>
      <c r="G284" s="103">
        <f>SJ025022M96!G20</f>
        <v>2</v>
      </c>
      <c r="H284" s="103">
        <f>SJ025022M96!H20</f>
        <v>0</v>
      </c>
      <c r="I284" s="103">
        <f>SJ025022M96!I20</f>
        <v>1</v>
      </c>
      <c r="J284" s="103">
        <f>SJ025022M96!J20</f>
        <v>0</v>
      </c>
      <c r="K284" s="103">
        <v>2</v>
      </c>
      <c r="L284" s="103" t="s">
        <v>697</v>
      </c>
    </row>
    <row r="285" spans="1:12" customFormat="1">
      <c r="A285" t="str">
        <f>SJ025022M96!A21</f>
        <v>SJ025022M96</v>
      </c>
      <c r="B285" t="str">
        <f>SJ025022M96!B21</f>
        <v>SJ025022M96/447-448 No sé si por la pintura ¿verdad? Y, y, la joven está, la niña, vamos a ponerla como una niña se ve, este, como de rosado ¿verdad? como un tono naranja.</v>
      </c>
      <c r="C285" t="str">
        <f>SJ025022M96!C21</f>
        <v>analítico</v>
      </c>
      <c r="D285" t="str">
        <f>SJ025022M96!D21</f>
        <v>exhortación</v>
      </c>
      <c r="E285">
        <f>SJ025022M96!E21</f>
        <v>4</v>
      </c>
      <c r="F285">
        <f>SJ025022M96!F21</f>
        <v>0</v>
      </c>
      <c r="G285">
        <f>SJ025022M96!G21</f>
        <v>0</v>
      </c>
      <c r="H285">
        <f>SJ025022M96!H21</f>
        <v>0</v>
      </c>
      <c r="I285">
        <f>SJ025022M96!I21</f>
        <v>0</v>
      </c>
      <c r="J285">
        <f>SJ025022M96!J21</f>
        <v>0</v>
      </c>
      <c r="K285">
        <v>2</v>
      </c>
      <c r="L285" t="s">
        <v>697</v>
      </c>
    </row>
    <row r="286" spans="1:12" customFormat="1">
      <c r="A286" t="str">
        <f>SJ025022M96!A22</f>
        <v>SJ025022M96</v>
      </c>
      <c r="B286" t="str">
        <f>SJ025022M96!B22</f>
        <v>SJ025022M96/453 Bueno, vamos a ver, ésta… ésta debe ser una mamá…</v>
      </c>
      <c r="C286" t="str">
        <f>SJ025022M96!C22</f>
        <v>analítico</v>
      </c>
      <c r="D286" t="str">
        <f>SJ025022M96!D22</f>
        <v>exhortación</v>
      </c>
      <c r="E286">
        <f>SJ025022M96!E22</f>
        <v>4</v>
      </c>
      <c r="F286">
        <f>SJ025022M96!F22</f>
        <v>0</v>
      </c>
      <c r="G286">
        <f>SJ025022M96!G22</f>
        <v>0</v>
      </c>
      <c r="H286">
        <f>SJ025022M96!H22</f>
        <v>0</v>
      </c>
      <c r="I286">
        <f>SJ025022M96!I22</f>
        <v>0</v>
      </c>
      <c r="J286">
        <f>SJ025022M96!J22</f>
        <v>0</v>
      </c>
      <c r="K286">
        <v>2</v>
      </c>
      <c r="L286" t="s">
        <v>697</v>
      </c>
    </row>
    <row r="287" spans="1:12" customFormat="1">
      <c r="A287" s="103" t="str">
        <f>SJ025022M96!A23</f>
        <v>SJ025022M96</v>
      </c>
      <c r="B287" s="103" t="str">
        <f>SJ025022M96!B23</f>
        <v xml:space="preserve">SJ025022M96/466 Aquí ella como que va a partir vegetales de nuevo. </v>
      </c>
      <c r="C287" s="103" t="str">
        <f>SJ025022M96!C23</f>
        <v>analítico</v>
      </c>
      <c r="D287" s="103" t="str">
        <f>SJ025022M96!D23</f>
        <v>temporal</v>
      </c>
      <c r="E287" s="103">
        <f>SJ025022M96!E23</f>
        <v>3</v>
      </c>
      <c r="F287" s="103">
        <f>SJ025022M96!F23</f>
        <v>0</v>
      </c>
      <c r="G287" s="103">
        <f>SJ025022M96!G23</f>
        <v>0</v>
      </c>
      <c r="H287" s="103">
        <f>SJ025022M96!H23</f>
        <v>0</v>
      </c>
      <c r="I287" s="103">
        <f>SJ025022M96!I23</f>
        <v>0</v>
      </c>
      <c r="J287" s="103">
        <f>SJ025022M96!J23</f>
        <v>0</v>
      </c>
      <c r="K287" s="103">
        <v>2</v>
      </c>
      <c r="L287" s="103" t="s">
        <v>697</v>
      </c>
    </row>
    <row r="288" spans="1:12" customFormat="1">
      <c r="A288" t="str">
        <f>SJ025022M96!A24</f>
        <v>SJ025022M96</v>
      </c>
      <c r="B288" t="str">
        <f>SJ025022M96!B24</f>
        <v>SJ025022M96/473 Y estará preguntando por la comida, no sé, más o menos.</v>
      </c>
      <c r="C288" t="str">
        <f>SJ025022M96!C24</f>
        <v>morfológico</v>
      </c>
      <c r="D288" t="str">
        <f>SJ025022M96!D24</f>
        <v>hipótesis</v>
      </c>
      <c r="E288">
        <f>SJ025022M96!E24</f>
        <v>3</v>
      </c>
      <c r="F288">
        <f>SJ025022M96!F24</f>
        <v>0</v>
      </c>
      <c r="G288">
        <f>SJ025022M96!G24</f>
        <v>0</v>
      </c>
      <c r="H288">
        <f>SJ025022M96!H24</f>
        <v>0</v>
      </c>
      <c r="I288">
        <f>SJ025022M96!I24</f>
        <v>0</v>
      </c>
      <c r="J288">
        <f>SJ025022M96!J24</f>
        <v>0</v>
      </c>
      <c r="K288">
        <v>2</v>
      </c>
      <c r="L288" t="s">
        <v>697</v>
      </c>
    </row>
    <row r="289" spans="1:12" customFormat="1">
      <c r="A289" s="103">
        <f>SJ022022M96!A2</f>
        <v>0</v>
      </c>
      <c r="B289" s="103" t="str">
        <f>SJ022022M96!B2</f>
        <v>SJ022022M96/47-50 Cuando no, (risa) o sea, cuando mi tío veía que yo crucé decía: “muchacha tu madre te va a matar si te ve aquí de nuevo (risa) y entonces ella, según cuentan, o sea,  que, que me dejaron amarrada, o sea, o sea, para que yo me quedara en la escuela, para que yo me quedara, tú sabes, allá.</v>
      </c>
      <c r="C289" s="103" t="str">
        <f>SJ022022M96!C2</f>
        <v>analítico</v>
      </c>
      <c r="D289" s="103" t="str">
        <f>SJ022022M96!D2</f>
        <v>temporal</v>
      </c>
      <c r="E289" s="103">
        <f>SJ022022M96!E2</f>
        <v>3</v>
      </c>
      <c r="F289" s="103">
        <f>SJ022022M96!F2</f>
        <v>0</v>
      </c>
      <c r="G289" s="103">
        <f>SJ022022M96!G2</f>
        <v>0</v>
      </c>
      <c r="H289" s="103">
        <f>SJ022022M96!H2</f>
        <v>0</v>
      </c>
      <c r="I289" s="103">
        <f>SJ022022M96!I2</f>
        <v>0</v>
      </c>
      <c r="J289" s="103">
        <f>SJ022022M96!J2</f>
        <v>1</v>
      </c>
      <c r="K289" s="103">
        <v>2</v>
      </c>
      <c r="L289" s="103" t="s">
        <v>697</v>
      </c>
    </row>
    <row r="290" spans="1:12" customFormat="1">
      <c r="A290" t="str">
        <f>SJ022022M96!A3</f>
        <v>SJ022022M96</v>
      </c>
      <c r="B290" t="str">
        <f>SJ022022M96!B3</f>
        <v>SJ022022M96/81-82 (Con seis muchachos)¿Cómo tú vas a trabajar?</v>
      </c>
      <c r="C290" t="str">
        <f>SJ022022M96!C3</f>
        <v>analítico</v>
      </c>
      <c r="D290" t="str">
        <f>SJ022022M96!D3</f>
        <v>sorpresa</v>
      </c>
      <c r="E290">
        <f>SJ022022M96!E3</f>
        <v>2</v>
      </c>
      <c r="F290">
        <f>SJ022022M96!F3</f>
        <v>0</v>
      </c>
      <c r="G290">
        <f>SJ022022M96!G3</f>
        <v>0</v>
      </c>
      <c r="H290">
        <f>SJ022022M96!H3</f>
        <v>0</v>
      </c>
      <c r="I290">
        <f>SJ022022M96!I3</f>
        <v>0</v>
      </c>
      <c r="J290">
        <f>SJ022022M96!J3</f>
        <v>0</v>
      </c>
      <c r="K290">
        <v>2</v>
      </c>
      <c r="L290" t="s">
        <v>697</v>
      </c>
    </row>
    <row r="291" spans="1:12" customFormat="1">
      <c r="A291" s="103" t="str">
        <f>SJ022022M96!A4</f>
        <v>SJ022022M96</v>
      </c>
      <c r="B291" s="103" t="str">
        <f>SJ022022M96!B4</f>
        <v>SJ022022M96/189-192 [Y]o no he tratado de, tú sabes, de que por lo menos los de uno, uno sentir de que si tienen alguna incomodidad, o sea, alguna manera todo ello no te lo van a decir porque eso es lógico, pero por lo menos que tengan un poco de confianza en uno, o sea, no así como uno que a veces a mami uno lo que tenía como aquel miedo y aquel respeto</v>
      </c>
      <c r="C291" s="103" t="str">
        <f>SJ022022M96!C4</f>
        <v>analítico</v>
      </c>
      <c r="D291" s="103" t="str">
        <f>SJ022022M96!D4</f>
        <v>temporal</v>
      </c>
      <c r="E291" s="103">
        <f>SJ022022M96!E4</f>
        <v>6</v>
      </c>
      <c r="F291" s="103">
        <f>SJ022022M96!F4</f>
        <v>0</v>
      </c>
      <c r="G291" s="103">
        <f>SJ022022M96!G4</f>
        <v>1</v>
      </c>
      <c r="H291" s="103">
        <f>SJ022022M96!H4</f>
        <v>0</v>
      </c>
      <c r="I291" s="103">
        <f>SJ022022M96!I4</f>
        <v>1</v>
      </c>
      <c r="J291" s="103">
        <f>SJ022022M96!J4</f>
        <v>0</v>
      </c>
      <c r="K291" s="103">
        <v>2</v>
      </c>
      <c r="L291" s="103" t="s">
        <v>697</v>
      </c>
    </row>
    <row r="292" spans="1:12" customFormat="1">
      <c r="A292" s="103" t="str">
        <f>SJ022022M96!A5</f>
        <v>SJ022022M96</v>
      </c>
      <c r="B292" s="103" t="str">
        <f>SJ022022M96!B5</f>
        <v>SJ022022M96/254-258A Y entonces pues este yo me acuerdo que mi hermana, Chachi y nosotros nos reíamos tú estás, el cura nos va a botar a todas y nostras mira ella iba de lo más vacilaba y qué sé yo ni qué y ahora tú la ves en la iglesia que cuando llevamos los nenes ella se pone, pero y yo es que tú jeringaba como un loco también cuando tú estabas, o sea, que esto es todo un proceso, pero a la larga uno siempre va a llegar[…]</v>
      </c>
      <c r="C292" s="103" t="str">
        <f>SJ022022M96!C5</f>
        <v>analítico</v>
      </c>
      <c r="D292" s="103" t="str">
        <f>SJ022022M96!D5</f>
        <v>temporal</v>
      </c>
      <c r="E292" s="103">
        <f>SJ022022M96!E5</f>
        <v>3</v>
      </c>
      <c r="F292" s="103">
        <f>SJ022022M96!F5</f>
        <v>0</v>
      </c>
      <c r="G292" s="103">
        <f>SJ022022M96!G5</f>
        <v>0</v>
      </c>
      <c r="H292" s="103">
        <f>SJ022022M96!H5</f>
        <v>0</v>
      </c>
      <c r="I292" s="103">
        <f>SJ022022M96!I5</f>
        <v>0</v>
      </c>
      <c r="J292" s="103">
        <f>SJ022022M96!J5</f>
        <v>0</v>
      </c>
      <c r="K292" s="103">
        <v>2</v>
      </c>
      <c r="L292" s="103" t="s">
        <v>697</v>
      </c>
    </row>
    <row r="293" spans="1:12" customFormat="1">
      <c r="A293" s="103" t="str">
        <f>SJ022022M96!A6</f>
        <v>SJ022022M96</v>
      </c>
      <c r="B293" s="103" t="str">
        <f>SJ022022M96!B6</f>
        <v>SJ022022M96/254-258B Y entonces pues este yo me acuerdo que mi hermana, Chachi y nosotros nos reíamos tú estás, el cura nos va a botar a todas y nostras mira ella iba de lo más vacilaba y qué sé yo ni qué y ahora tú la ves en la iglesia que cuando llevamos los nenes ella se pone, pero y yo es que tú jeringaba como un loco también cuando tú estabas, o sea, que esto es todo un proceso, pero a la larga uno siempre va a llegar[…]</v>
      </c>
      <c r="C293" s="103" t="str">
        <f>SJ022022M96!C6</f>
        <v>analítico</v>
      </c>
      <c r="D293" s="103" t="str">
        <f>SJ022022M96!D6</f>
        <v>temporal</v>
      </c>
      <c r="E293" s="103">
        <f>SJ022022M96!E6</f>
        <v>3</v>
      </c>
      <c r="F293" s="103">
        <f>SJ022022M96!F6</f>
        <v>1</v>
      </c>
      <c r="G293" s="103">
        <f>SJ022022M96!G6</f>
        <v>0</v>
      </c>
      <c r="H293" s="103">
        <f>SJ022022M96!H6</f>
        <v>1</v>
      </c>
      <c r="I293" s="103">
        <f>SJ022022M96!I6</f>
        <v>1</v>
      </c>
      <c r="J293" s="103">
        <f>SJ022022M96!J6</f>
        <v>0</v>
      </c>
      <c r="K293" s="103">
        <v>2</v>
      </c>
      <c r="L293" s="103" t="s">
        <v>697</v>
      </c>
    </row>
    <row r="294" spans="1:12" customFormat="1">
      <c r="A294" s="103" t="str">
        <f>SJ022022M96!A7</f>
        <v>SJ022022M96</v>
      </c>
      <c r="B294" s="103" t="str">
        <f>SJ022022M96!B7</f>
        <v>SJ022022M96/281-283 [D]entro de la medida pues las situaciones han sido difíciles nos las vemos negras en algunas situaciones pero dentro de todo yo siempre me sentiré feliz y nunca me sentí, tú sabes, como te digo… humillada</v>
      </c>
      <c r="C294" s="103" t="str">
        <f>SJ022022M96!C7</f>
        <v>morfológico</v>
      </c>
      <c r="D294" s="103" t="str">
        <f>SJ022022M96!D7</f>
        <v>temporal</v>
      </c>
      <c r="E294" s="103">
        <f>SJ022022M96!E7</f>
        <v>1</v>
      </c>
      <c r="F294" s="103">
        <f>SJ022022M96!F7</f>
        <v>1</v>
      </c>
      <c r="G294" s="103">
        <f>SJ022022M96!G7</f>
        <v>0</v>
      </c>
      <c r="H294" s="103">
        <f>SJ022022M96!H7</f>
        <v>0</v>
      </c>
      <c r="I294" s="103">
        <f>SJ022022M96!I7</f>
        <v>1</v>
      </c>
      <c r="J294" s="103">
        <f>SJ022022M96!J7</f>
        <v>0</v>
      </c>
      <c r="K294" s="103">
        <v>2</v>
      </c>
      <c r="L294" s="103" t="s">
        <v>697</v>
      </c>
    </row>
    <row r="295" spans="1:12" customFormat="1">
      <c r="A295" s="103" t="str">
        <f>SJ022022M96!A8</f>
        <v>SJ022022M96</v>
      </c>
      <c r="B295" s="103" t="str">
        <f>SJ022022M96!B8</f>
        <v>SJ022022M96/422-423 Pero si no te digo al y de casa, se le compró el Nintendo y era fiebre con el Nintendo y era fiebre con el Nintendo perfecto vamos a comprarle el Nintendo.</v>
      </c>
      <c r="C295" s="103" t="str">
        <f>SJ022022M96!C8</f>
        <v>analítico</v>
      </c>
      <c r="D295" s="103" t="str">
        <f>SJ022022M96!D8</f>
        <v>temporal</v>
      </c>
      <c r="E295" s="103">
        <f>SJ022022M96!E8</f>
        <v>4</v>
      </c>
      <c r="F295" s="103">
        <f>SJ022022M96!F8</f>
        <v>0</v>
      </c>
      <c r="G295" s="103">
        <f>SJ022022M96!G8</f>
        <v>0</v>
      </c>
      <c r="H295" s="103">
        <f>SJ022022M96!H8</f>
        <v>0</v>
      </c>
      <c r="I295" s="103">
        <f>SJ022022M96!I8</f>
        <v>0</v>
      </c>
      <c r="J295" s="103">
        <f>SJ022022M96!J8</f>
        <v>0</v>
      </c>
      <c r="K295" s="103">
        <v>2</v>
      </c>
      <c r="L295" s="103" t="s">
        <v>697</v>
      </c>
    </row>
    <row r="296" spans="1:12" customFormat="1">
      <c r="A296" s="103" t="str">
        <f>SJ022022M96!A9</f>
        <v>SJ022022M96</v>
      </c>
      <c r="B296" s="103" t="str">
        <f>SJ022022M96!B9</f>
        <v>SJ022022M96/432-433 Que ellos están aburridos, que van a hacer y yo cómo que tú estás aburrido.</v>
      </c>
      <c r="C296" s="103" t="str">
        <f>SJ022022M96!C9</f>
        <v>analítico</v>
      </c>
      <c r="D296" s="103" t="str">
        <f>SJ022022M96!D9</f>
        <v>temporal</v>
      </c>
      <c r="E296" s="103">
        <f>SJ022022M96!E9</f>
        <v>6</v>
      </c>
      <c r="F296" s="103">
        <f>SJ022022M96!F9</f>
        <v>0</v>
      </c>
      <c r="G296" s="103">
        <f>SJ022022M96!G9</f>
        <v>0</v>
      </c>
      <c r="H296" s="103">
        <f>SJ022022M96!H9</f>
        <v>0</v>
      </c>
      <c r="I296" s="103">
        <f>SJ022022M96!I9</f>
        <v>0</v>
      </c>
      <c r="J296" s="103">
        <f>SJ022022M96!J9</f>
        <v>0</v>
      </c>
      <c r="K296" s="103">
        <v>2</v>
      </c>
      <c r="L296" s="103" t="s">
        <v>697</v>
      </c>
    </row>
    <row r="297" spans="1:12">
      <c r="A297" s="103" t="str">
        <f>SJ022022M96!A10</f>
        <v>SJ022022M96</v>
      </c>
      <c r="B297" s="103" t="str">
        <f>SJ022022M96!B10</f>
        <v>SJ022022M96/480-481 Si tú me dices a mí un vellón, le dije pues ahora yo no te voy a dar nada, porque cómo tú te atreves a dar un peso por un gallito.</v>
      </c>
      <c r="C297" s="103" t="str">
        <f>SJ022022M96!C10</f>
        <v>analítico</v>
      </c>
      <c r="D297" s="103" t="str">
        <f>SJ022022M96!D10</f>
        <v>temporal</v>
      </c>
      <c r="E297" s="103">
        <f>SJ022022M96!E10</f>
        <v>1</v>
      </c>
      <c r="F297" s="103">
        <f>SJ022022M96!F10</f>
        <v>1</v>
      </c>
      <c r="G297" s="103">
        <f>SJ022022M96!G10</f>
        <v>1</v>
      </c>
      <c r="H297" s="103">
        <f>SJ022022M96!H10</f>
        <v>2</v>
      </c>
      <c r="I297" s="103">
        <f>SJ022022M96!I10</f>
        <v>1</v>
      </c>
      <c r="J297" s="103">
        <f>SJ022022M96!J10</f>
        <v>0</v>
      </c>
      <c r="K297" s="103">
        <v>2</v>
      </c>
      <c r="L297" s="103" t="s">
        <v>697</v>
      </c>
    </row>
    <row r="298" spans="1:12" customFormat="1">
      <c r="A298" s="103" t="str">
        <f>SJ022022M96!A11</f>
        <v>SJ022022M96</v>
      </c>
      <c r="B298" s="103" t="str">
        <f>SJ022022M96!B11</f>
        <v>SJ022022M96/483-484A Yo Tito si eso es  ??? pues vamos allí y recogemos un cubo completo…</v>
      </c>
      <c r="C298" s="103" t="str">
        <f>SJ022022M96!C11</f>
        <v>presente</v>
      </c>
      <c r="D298" s="103" t="str">
        <f>SJ022022M96!D11</f>
        <v>temporal</v>
      </c>
      <c r="E298" s="103">
        <f>SJ022022M96!E11</f>
        <v>4</v>
      </c>
      <c r="F298" s="103">
        <f>SJ022022M96!F11</f>
        <v>0</v>
      </c>
      <c r="G298" s="103">
        <f>SJ022022M96!G11</f>
        <v>0</v>
      </c>
      <c r="H298" s="103">
        <f>SJ022022M96!H11</f>
        <v>2</v>
      </c>
      <c r="I298" s="103">
        <f>SJ022022M96!I11</f>
        <v>1</v>
      </c>
      <c r="J298" s="103">
        <f>SJ022022M96!J11</f>
        <v>0</v>
      </c>
      <c r="K298" s="103">
        <v>2</v>
      </c>
      <c r="L298" s="103" t="s">
        <v>697</v>
      </c>
    </row>
    <row r="299" spans="1:12" customFormat="1">
      <c r="A299" s="103" t="str">
        <f>SJ022022M96!A12</f>
        <v>SJ022022M96</v>
      </c>
      <c r="B299" s="103" t="str">
        <f>SJ022022M96!B12</f>
        <v>SJ022022M96/483-484B Yo Tito si eso es  ??? pues vamos allí y recogemos un cubo completo…</v>
      </c>
      <c r="C299" s="103" t="str">
        <f>SJ022022M96!C12</f>
        <v>presente</v>
      </c>
      <c r="D299" s="103" t="str">
        <f>SJ022022M96!D12</f>
        <v>temporal</v>
      </c>
      <c r="E299" s="103">
        <f>SJ022022M96!E12</f>
        <v>4</v>
      </c>
      <c r="F299" s="103">
        <f>SJ022022M96!F12</f>
        <v>0</v>
      </c>
      <c r="G299" s="103">
        <f>SJ022022M96!G12</f>
        <v>0</v>
      </c>
      <c r="H299" s="103">
        <f>SJ022022M96!H12</f>
        <v>2</v>
      </c>
      <c r="I299" s="103">
        <f>SJ022022M96!I12</f>
        <v>1</v>
      </c>
      <c r="J299" s="103">
        <f>SJ022022M96!J12</f>
        <v>0</v>
      </c>
      <c r="K299" s="103">
        <v>2</v>
      </c>
      <c r="L299" s="103" t="s">
        <v>697</v>
      </c>
    </row>
    <row r="300" spans="1:12" customFormat="1">
      <c r="A300" s="103" t="str">
        <f>SJ022022M96!A13</f>
        <v>SJ022022M96</v>
      </c>
      <c r="B300" s="103" t="str">
        <f>SJ022022M96!B13</f>
        <v>SJ022022M96/519-522A Aquí, o sea,  si se van a oír se va a oír los que no los que no tengan muchas, muchas barbaridades, pero tampoco le quito mucho porque pues a la larga a veces uno prohíbe tanto y tanto y tanto que entonces ellos terminan, pero si tú los dejas hacer llega un momento que ellos se les olvidó</v>
      </c>
      <c r="C300" s="103" t="str">
        <f>SJ022022M96!C13</f>
        <v>analítico</v>
      </c>
      <c r="D300" s="103" t="str">
        <f>SJ022022M96!D13</f>
        <v>temporal</v>
      </c>
      <c r="E300" s="103">
        <f>SJ022022M96!E13</f>
        <v>6</v>
      </c>
      <c r="F300" s="103">
        <f>SJ022022M96!F13</f>
        <v>0</v>
      </c>
      <c r="G300" s="103">
        <f>SJ022022M96!G13</f>
        <v>0</v>
      </c>
      <c r="H300" s="103">
        <f>SJ022022M96!H13</f>
        <v>0</v>
      </c>
      <c r="I300" s="103">
        <f>SJ022022M96!I13</f>
        <v>0</v>
      </c>
      <c r="J300" s="103">
        <f>SJ022022M96!J13</f>
        <v>0</v>
      </c>
      <c r="K300" s="103">
        <v>2</v>
      </c>
      <c r="L300" s="103" t="s">
        <v>697</v>
      </c>
    </row>
    <row r="301" spans="1:12" customFormat="1">
      <c r="A301" s="103" t="str">
        <f>SJ022022M96!A14</f>
        <v>SJ022022M96</v>
      </c>
      <c r="B301" s="103" t="str">
        <f>SJ022022M96!B14</f>
        <v>SJ022022M96/519-522B Aquí, o sea,  si se van a oír se va a oír los que no los que no tengan muchas, muchas barbaridades, pero tampoco le quito mucho porque pues a la larga a veces uno prohíbe tanto y tanto y tanto que entonces ellos terminan, pero si tú los dejas hacer llega un momento que ellos se les olvidó</v>
      </c>
      <c r="C301" s="103" t="str">
        <f>SJ022022M96!C14</f>
        <v>analítico</v>
      </c>
      <c r="D301" s="103" t="str">
        <f>SJ022022M96!D14</f>
        <v>temporal</v>
      </c>
      <c r="E301" s="103">
        <f>SJ022022M96!E14</f>
        <v>3</v>
      </c>
      <c r="F301" s="103">
        <f>SJ022022M96!F14</f>
        <v>0</v>
      </c>
      <c r="G301" s="103">
        <f>SJ022022M96!G14</f>
        <v>0</v>
      </c>
      <c r="H301" s="103">
        <f>SJ022022M96!H14</f>
        <v>0</v>
      </c>
      <c r="I301" s="103">
        <f>SJ022022M96!I14</f>
        <v>0</v>
      </c>
      <c r="J301" s="103">
        <f>SJ022022M96!J14</f>
        <v>0</v>
      </c>
      <c r="K301" s="103">
        <v>2</v>
      </c>
      <c r="L301" s="103" t="s">
        <v>697</v>
      </c>
    </row>
    <row r="302" spans="1:12" customFormat="1">
      <c r="A302" s="103" t="str">
        <f>SJ022022M96!A15</f>
        <v>SJ022022M96</v>
      </c>
      <c r="B302" s="103" t="str">
        <f>SJ022022M96!B15</f>
        <v>SJ022022M96/542-543 Y entonces uno se siente como contra espérate yo no voy a estar entre el grupo, pero que los de casa también oyen inclusive nosotras también lo oímos y lo bailamos (risa).</v>
      </c>
      <c r="C302" s="103" t="str">
        <f>SJ022022M96!C15</f>
        <v>analítico</v>
      </c>
      <c r="D302" s="103" t="str">
        <f>SJ022022M96!D15</f>
        <v>temporal</v>
      </c>
      <c r="E302" s="103">
        <f>SJ022022M96!E15</f>
        <v>1</v>
      </c>
      <c r="F302" s="103">
        <f>SJ022022M96!F15</f>
        <v>0</v>
      </c>
      <c r="G302" s="103">
        <f>SJ022022M96!G15</f>
        <v>0</v>
      </c>
      <c r="H302" s="103">
        <f>SJ022022M96!H15</f>
        <v>0</v>
      </c>
      <c r="I302" s="103">
        <f>SJ022022M96!I15</f>
        <v>0</v>
      </c>
      <c r="J302" s="103">
        <f>SJ022022M96!J15</f>
        <v>0</v>
      </c>
      <c r="K302" s="103">
        <v>2</v>
      </c>
      <c r="L302" s="103" t="s">
        <v>697</v>
      </c>
    </row>
    <row r="303" spans="1:12" customFormat="1">
      <c r="A303" s="103" t="str">
        <f>SJ022022M96!A16</f>
        <v>SJ022022M96</v>
      </c>
      <c r="B303" s="103" t="str">
        <f>SJ022022M96!B16</f>
        <v>SJ022022M96/575-576A [N]o, pues, tú lavas los que están en caca y a mí me toca y yo, este, es no mitad y mitad y tú lavas la mitad y yo lavo la mitad</v>
      </c>
      <c r="C303" s="103" t="str">
        <f>SJ022022M96!C16</f>
        <v>presente</v>
      </c>
      <c r="D303" s="103" t="str">
        <f>SJ022022M96!D16</f>
        <v>temporal</v>
      </c>
      <c r="E303" s="103">
        <f>SJ022022M96!E16</f>
        <v>2</v>
      </c>
      <c r="F303" s="103">
        <f>SJ022022M96!F16</f>
        <v>0</v>
      </c>
      <c r="G303" s="103">
        <f>SJ022022M96!G16</f>
        <v>0</v>
      </c>
      <c r="H303" s="103">
        <f>SJ022022M96!H16</f>
        <v>0</v>
      </c>
      <c r="I303" s="103">
        <f>SJ022022M96!I16</f>
        <v>1</v>
      </c>
      <c r="J303" s="103">
        <f>SJ022022M96!J16</f>
        <v>0</v>
      </c>
      <c r="K303" s="103">
        <v>2</v>
      </c>
      <c r="L303" s="103" t="s">
        <v>697</v>
      </c>
    </row>
    <row r="304" spans="1:12" customFormat="1">
      <c r="A304" s="103" t="str">
        <f>SJ022022M96!A17</f>
        <v>SJ022022M96</v>
      </c>
      <c r="B304" s="103" t="str">
        <f>SJ022022M96!B17</f>
        <v>SJ022022M96/575-576B [N]o, pues, tú lavas los que están en caca y a mí me toca y yo, este, es no mitad y mitad y tú lavas la mitad y yo lavo la mitad</v>
      </c>
      <c r="C304" s="103" t="str">
        <f>SJ022022M96!C17</f>
        <v>presente</v>
      </c>
      <c r="D304" s="103" t="str">
        <f>SJ022022M96!D17</f>
        <v>temporal</v>
      </c>
      <c r="E304" s="103">
        <f>SJ022022M96!E17</f>
        <v>2</v>
      </c>
      <c r="F304" s="103">
        <f>SJ022022M96!F17</f>
        <v>0</v>
      </c>
      <c r="G304" s="103">
        <f>SJ022022M96!G17</f>
        <v>0</v>
      </c>
      <c r="H304" s="103">
        <f>SJ022022M96!H17</f>
        <v>0</v>
      </c>
      <c r="I304" s="103">
        <f>SJ022022M96!I17</f>
        <v>1</v>
      </c>
      <c r="J304" s="103">
        <f>SJ022022M96!J17</f>
        <v>0</v>
      </c>
      <c r="K304" s="103">
        <v>2</v>
      </c>
      <c r="L304" s="103" t="s">
        <v>697</v>
      </c>
    </row>
    <row r="305" spans="1:12" customFormat="1">
      <c r="A305" s="103" t="str">
        <f>SJ022022M96!A18</f>
        <v>SJ022022M96</v>
      </c>
      <c r="B305" s="103" t="str">
        <f>SJ022022M96!B18</f>
        <v>SJ022022M96/575-576C[N]o, pues, tú lavas los que están en caca y a mí me toca y yo, este, es no mitad y mitad y tú lavas la mitad y yo lavo la mitad</v>
      </c>
      <c r="C305" s="103" t="str">
        <f>SJ022022M96!C18</f>
        <v>presente</v>
      </c>
      <c r="D305" s="103" t="str">
        <f>SJ022022M96!D18</f>
        <v>temporal</v>
      </c>
      <c r="E305" s="103">
        <f>SJ022022M96!E18</f>
        <v>1</v>
      </c>
      <c r="F305" s="103">
        <f>SJ022022M96!F18</f>
        <v>0</v>
      </c>
      <c r="G305" s="103">
        <f>SJ022022M96!G18</f>
        <v>0</v>
      </c>
      <c r="H305" s="103">
        <f>SJ022022M96!H18</f>
        <v>0</v>
      </c>
      <c r="I305" s="103">
        <f>SJ022022M96!I18</f>
        <v>1</v>
      </c>
      <c r="J305" s="103">
        <f>SJ022022M96!J18</f>
        <v>0</v>
      </c>
      <c r="K305" s="103">
        <v>2</v>
      </c>
      <c r="L305" s="103" t="s">
        <v>697</v>
      </c>
    </row>
    <row r="306" spans="1:12" customFormat="1">
      <c r="A306" s="103" t="str">
        <f>SJ022022M96!A19</f>
        <v>SJ022022M96</v>
      </c>
      <c r="B306" s="103" t="str">
        <f>SJ022022M96!B19</f>
        <v>SJ022022M96/594A Uno va a pensar que después de diez años mami va a dar a luz.</v>
      </c>
      <c r="C306" s="103" t="str">
        <f>SJ022022M96!C19</f>
        <v>analítico</v>
      </c>
      <c r="D306" s="103" t="str">
        <f>SJ022022M96!D19</f>
        <v>temporal</v>
      </c>
      <c r="E306" s="103">
        <f>SJ022022M96!E19</f>
        <v>3</v>
      </c>
      <c r="F306" s="103">
        <f>SJ022022M96!F19</f>
        <v>0</v>
      </c>
      <c r="G306" s="103">
        <f>SJ022022M96!G19</f>
        <v>0</v>
      </c>
      <c r="H306" s="103">
        <f>SJ022022M96!H19</f>
        <v>0</v>
      </c>
      <c r="I306" s="103">
        <f>SJ022022M96!I19</f>
        <v>0</v>
      </c>
      <c r="J306" s="103">
        <f>SJ022022M96!J19</f>
        <v>0</v>
      </c>
      <c r="K306" s="103">
        <v>2</v>
      </c>
      <c r="L306" s="103" t="s">
        <v>697</v>
      </c>
    </row>
    <row r="307" spans="1:12" customFormat="1">
      <c r="A307" s="103" t="str">
        <f>SJ022022M96!A20</f>
        <v>SJ022022M96</v>
      </c>
      <c r="B307" s="103" t="str">
        <f>SJ022022M96!B20</f>
        <v>SJ022022M96/594B Uno va a pensar que después de diez años mami va a dar a luz.</v>
      </c>
      <c r="C307" s="103" t="str">
        <f>SJ022022M96!C20</f>
        <v>analítico</v>
      </c>
      <c r="D307" s="103" t="str">
        <f>SJ022022M96!D20</f>
        <v>temporal</v>
      </c>
      <c r="E307" s="103">
        <f>SJ022022M96!E20</f>
        <v>3</v>
      </c>
      <c r="F307" s="103">
        <f>SJ022022M96!F20</f>
        <v>1</v>
      </c>
      <c r="G307" s="103">
        <f>SJ022022M96!G20</f>
        <v>0</v>
      </c>
      <c r="H307" s="103">
        <f>SJ022022M96!H20</f>
        <v>1</v>
      </c>
      <c r="I307" s="103">
        <f>SJ022022M96!I20</f>
        <v>0</v>
      </c>
      <c r="J307" s="103">
        <f>SJ022022M96!J20</f>
        <v>0</v>
      </c>
      <c r="K307" s="103">
        <v>2</v>
      </c>
      <c r="L307" s="103" t="s">
        <v>697</v>
      </c>
    </row>
    <row r="308" spans="1:12" customFormat="1">
      <c r="A308" t="str">
        <f>SJ022022M96!A21</f>
        <v>SJ022022M96</v>
      </c>
      <c r="B308" t="str">
        <f>SJ022022M96!B21</f>
        <v>SJ022022M96/646-650 [H]abrán situaciones donde uno a veces se incomoda y que como todo ser humano, porque uno tiene su, sus momentos buenos y sus momentos malos, pero nunca he tenido ningún tipo de problema con ninguno de ellos, o sea, donde yo tenga que optar por tal, tú sa’e, diciéndole o sea, en una discusión no pues mira hasta el sol de hoy, gracias a Dios, ninguno.</v>
      </c>
      <c r="C308" t="str">
        <f>SJ022022M96!C21</f>
        <v>morfológico</v>
      </c>
      <c r="D308" t="str">
        <f>SJ022022M96!D21</f>
        <v>hipótesis</v>
      </c>
      <c r="E308">
        <f>SJ022022M96!E21</f>
        <v>6</v>
      </c>
      <c r="F308">
        <f>SJ022022M96!F21</f>
        <v>0</v>
      </c>
      <c r="G308">
        <f>SJ022022M96!G21</f>
        <v>0</v>
      </c>
      <c r="H308">
        <f>SJ022022M96!H21</f>
        <v>0</v>
      </c>
      <c r="I308">
        <f>SJ022022M96!I21</f>
        <v>0</v>
      </c>
      <c r="J308">
        <f>SJ022022M96!J21</f>
        <v>0</v>
      </c>
      <c r="K308">
        <v>2</v>
      </c>
      <c r="L308" t="s">
        <v>697</v>
      </c>
    </row>
    <row r="309" spans="1:12" customFormat="1">
      <c r="A309" s="103" t="str">
        <f>SJ022022M96!A22</f>
        <v>SJ022022M96</v>
      </c>
      <c r="B309" s="103" t="str">
        <f>SJ022022M96!B22</f>
        <v xml:space="preserve">SJ022022M96/693-697A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va a resolver muchas cosas, pero me va a quitar otras que para mí son mucho más importantes. </v>
      </c>
      <c r="C309" s="103" t="str">
        <f>SJ022022M96!C22</f>
        <v>analítico</v>
      </c>
      <c r="D309" s="103" t="str">
        <f>SJ022022M96!D22</f>
        <v>temporal</v>
      </c>
      <c r="E309" s="103">
        <f>SJ022022M96!E22</f>
        <v>3</v>
      </c>
      <c r="F309" s="103">
        <f>SJ022022M96!F22</f>
        <v>0</v>
      </c>
      <c r="G309" s="103">
        <f>SJ022022M96!G22</f>
        <v>0</v>
      </c>
      <c r="H309" s="103">
        <f>SJ022022M96!H22</f>
        <v>0</v>
      </c>
      <c r="I309" s="103">
        <f>SJ022022M96!I22</f>
        <v>0</v>
      </c>
      <c r="J309" s="103">
        <f>SJ022022M96!J22</f>
        <v>1</v>
      </c>
      <c r="K309" s="103">
        <v>2</v>
      </c>
      <c r="L309" s="103" t="s">
        <v>697</v>
      </c>
    </row>
    <row r="310" spans="1:12" customFormat="1">
      <c r="A310" s="103" t="str">
        <f>SJ022022M96!A23</f>
        <v>SJ022022M96</v>
      </c>
      <c r="B310" s="103" t="str">
        <f>SJ022022M96!B23</f>
        <v xml:space="preserve">SJ022022M96/693-697B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va a resolver muchas cosas, pero me va a quitar otras que para mí son mucho más importantes. </v>
      </c>
      <c r="C310" s="103" t="str">
        <f>SJ022022M96!C23</f>
        <v>analítico</v>
      </c>
      <c r="D310" s="103" t="str">
        <f>SJ022022M96!D23</f>
        <v>temporal</v>
      </c>
      <c r="E310" s="103">
        <f>SJ022022M96!E23</f>
        <v>3</v>
      </c>
      <c r="F310" s="103">
        <f>SJ022022M96!F23</f>
        <v>1</v>
      </c>
      <c r="G310" s="103">
        <f>SJ022022M96!G23</f>
        <v>1</v>
      </c>
      <c r="H310" s="103">
        <f>SJ022022M96!H23</f>
        <v>1</v>
      </c>
      <c r="I310" s="103">
        <f>SJ022022M96!I23</f>
        <v>0</v>
      </c>
      <c r="J310" s="103">
        <f>SJ022022M96!J23</f>
        <v>0</v>
      </c>
      <c r="K310" s="103">
        <v>2</v>
      </c>
      <c r="L310" s="103" t="s">
        <v>697</v>
      </c>
    </row>
    <row r="311" spans="1:12" customFormat="1">
      <c r="A311" s="103" t="str">
        <f>SJ022022M96!A24</f>
        <v>SJ022022M96</v>
      </c>
      <c r="B311" s="103" t="str">
        <f>SJ022022M96!B24</f>
        <v xml:space="preserve">SJ022022M96/693-697C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va a resolver muchas cosas, pero me va a quitar otras que para mí son mucho más importantes. </v>
      </c>
      <c r="C311" s="103" t="str">
        <f>SJ022022M96!C24</f>
        <v>analítico</v>
      </c>
      <c r="D311" s="103" t="str">
        <f>SJ022022M96!D24</f>
        <v>temporal</v>
      </c>
      <c r="E311" s="103">
        <f>SJ022022M96!E24</f>
        <v>3</v>
      </c>
      <c r="F311" s="103">
        <f>SJ022022M96!F24</f>
        <v>1</v>
      </c>
      <c r="G311" s="103">
        <f>SJ022022M96!G24</f>
        <v>0</v>
      </c>
      <c r="H311" s="103">
        <f>SJ022022M96!H24</f>
        <v>1</v>
      </c>
      <c r="I311" s="103">
        <f>SJ022022M96!I24</f>
        <v>0</v>
      </c>
      <c r="J311" s="103">
        <f>SJ022022M96!J24</f>
        <v>0</v>
      </c>
      <c r="K311" s="103">
        <v>2</v>
      </c>
      <c r="L311" s="103" t="s">
        <v>697</v>
      </c>
    </row>
    <row r="312" spans="1:12" customFormat="1">
      <c r="A312" s="103" t="str">
        <f>SJ022022M96!A25</f>
        <v>SJ022022M96</v>
      </c>
      <c r="B312" s="103" t="str">
        <f>SJ022022M96!B25</f>
        <v>SJ022022M96/693-697D O sea, y si mi, si mi, mi, mi, mi felicidad va a ser a través de yo ser rica para después cambiar y ser otro, mira prefiero no tener nada prefiero pa’ ser, ser, o sea, como, o sea, como vine al mundo como mami me enseñó porque a la larga el dinero no me va a resolver, o sea, a lo mejor me va a resolver muchas cosas, pero me va a quitar otras que para mí son mucho más importantes. Pues como lo que te digo la cuestión de la familia, la cuestión de, de la unión con los, con los hijos de uno, o sea, porque a lo mejor yo, yo puedo tener un montón de chavos, pero entonces tengo a la familia abandonada y entonces yo prefiero tener poco dinero y levantarme todos los días a trabajar a sentarme a, a aventurar, tú sabes.</v>
      </c>
      <c r="C312" s="103" t="str">
        <f>SJ022022M96!C25</f>
        <v>analítico</v>
      </c>
      <c r="D312" s="103" t="str">
        <f>SJ022022M96!D25</f>
        <v>temporal</v>
      </c>
      <c r="E312" s="103">
        <f>SJ022022M96!E25</f>
        <v>3</v>
      </c>
      <c r="F312" s="103">
        <f>SJ022022M96!F25</f>
        <v>1</v>
      </c>
      <c r="G312" s="103">
        <f>SJ022022M96!G25</f>
        <v>0</v>
      </c>
      <c r="H312" s="103">
        <f>SJ022022M96!H25</f>
        <v>1</v>
      </c>
      <c r="I312" s="103">
        <f>SJ022022M96!I25</f>
        <v>0</v>
      </c>
      <c r="J312" s="103">
        <f>SJ022022M96!J25</f>
        <v>0</v>
      </c>
      <c r="K312" s="103">
        <v>2</v>
      </c>
      <c r="L312" s="103" t="s">
        <v>697</v>
      </c>
    </row>
    <row r="313" spans="1:12" customFormat="1">
      <c r="A313" s="103" t="str">
        <f>SJ022022M96!A26</f>
        <v>SJ022022M96</v>
      </c>
      <c r="B313" s="103" t="str">
        <f>SJ022022M96!B26</f>
        <v>SJ022022M96/721-722 Si íbamos a una fiesta, los nenes porque a mí los nenes, o sea, los hijos de uno nunca son estorbo porque mientras más tú le das más tú vas a adquirir de ellos…</v>
      </c>
      <c r="C313" s="103" t="str">
        <f>SJ022022M96!C26</f>
        <v>analítico</v>
      </c>
      <c r="D313" s="103" t="str">
        <f>SJ022022M96!D26</f>
        <v>temporal</v>
      </c>
      <c r="E313" s="103">
        <f>SJ022022M96!E26</f>
        <v>2</v>
      </c>
      <c r="F313" s="103">
        <f>SJ022022M96!F26</f>
        <v>0</v>
      </c>
      <c r="G313" s="103">
        <f>SJ022022M96!G26</f>
        <v>0</v>
      </c>
      <c r="H313" s="103">
        <f>SJ022022M96!H26</f>
        <v>0</v>
      </c>
      <c r="I313" s="103">
        <f>SJ022022M96!I26</f>
        <v>0</v>
      </c>
      <c r="J313" s="103">
        <f>SJ022022M96!J26</f>
        <v>1</v>
      </c>
      <c r="K313" s="103">
        <v>2</v>
      </c>
      <c r="L313" s="103" t="s">
        <v>697</v>
      </c>
    </row>
    <row r="314" spans="1:12" customFormat="1">
      <c r="A314" s="103" t="str">
        <f>SJ022022M96!A27</f>
        <v>SJ022022M96</v>
      </c>
      <c r="B314" s="103" t="str">
        <f>SJ022022M96!B27</f>
        <v>SJ022022M96/749 – 755 . Y si tú tienes un niño de ocho años, un niño de ocho años no puede decidir lo que va a hacer en su vida, o sea, si tú, si tú no lo llevas porque mira pues más adelante tal vez, pero empezando cuando un niño necesita que su mamá esté cerca y para ayudarlo en sus dificultades y a alguien ellos tienen que preguntarle, o sea, lo que no entienden y por lo menos si tienen una incomodidad o cualquier cosa que te pregunten mira mami yo vi un nene así asao que qué tú crees que fue eso, que tú le expliques porque al niño de hoy qué, qué es lo que tú ves en una escalera esperando una mamá o solo en una casa.</v>
      </c>
      <c r="C314" s="103" t="str">
        <f>SJ022022M96!C27</f>
        <v>analítico</v>
      </c>
      <c r="D314" s="103" t="str">
        <f>SJ022022M96!D27</f>
        <v>temporal</v>
      </c>
      <c r="E314" s="103">
        <f>SJ022022M96!E27</f>
        <v>3</v>
      </c>
      <c r="F314" s="103">
        <f>SJ022022M96!F27</f>
        <v>0</v>
      </c>
      <c r="G314" s="103">
        <f>SJ022022M96!G27</f>
        <v>0</v>
      </c>
      <c r="H314" s="103">
        <f>SJ022022M96!H27</f>
        <v>0</v>
      </c>
      <c r="I314" s="103">
        <f>SJ022022M96!I27</f>
        <v>0</v>
      </c>
      <c r="J314" s="103">
        <f>SJ022022M96!J27</f>
        <v>1</v>
      </c>
      <c r="K314" s="103">
        <v>2</v>
      </c>
      <c r="L314" s="103" t="s">
        <v>697</v>
      </c>
    </row>
    <row r="315" spans="1:12" customFormat="1">
      <c r="A315" t="str">
        <f>SJ026032M96!A2</f>
        <v>SJ026032M96</v>
      </c>
      <c r="B315" t="str">
        <f>SJ026032M96!B2</f>
        <v>SJ026032M96/203-205 Y de mi mamá aprendí muchas cosas de filosofía de vida, tú sabes, de respecto a hábitos de alimentación y cómo enfrentar distintas situaciones en una forma, este, positiva, vamos a decir, sabia.</v>
      </c>
      <c r="C315" t="str">
        <f>SJ026032M96!C2</f>
        <v>analítico</v>
      </c>
      <c r="D315" t="str">
        <f>SJ026032M96!D2</f>
        <v>exhortación</v>
      </c>
      <c r="E315">
        <f>SJ026032M96!E2</f>
        <v>4</v>
      </c>
      <c r="F315">
        <f>SJ026032M96!F2</f>
        <v>0</v>
      </c>
      <c r="G315">
        <f>SJ026032M96!G2</f>
        <v>0</v>
      </c>
      <c r="H315">
        <f>SJ026032M96!H2</f>
        <v>0</v>
      </c>
      <c r="I315">
        <f>SJ026032M96!I2</f>
        <v>0</v>
      </c>
      <c r="J315">
        <f>SJ026032M96!J2</f>
        <v>0</v>
      </c>
      <c r="K315">
        <v>2</v>
      </c>
      <c r="L315" t="s">
        <v>697</v>
      </c>
    </row>
    <row r="316" spans="1:12" customFormat="1">
      <c r="A316" t="str">
        <f>SJ026032M96!A3</f>
        <v>SJ026032M96</v>
      </c>
      <c r="B316" t="str">
        <f>SJ026032M96!B3</f>
        <v>SJ026032M96/404-406 Últimamente… Mira, este, hubo una época que yo leía mucho porque tuve, vamos a decir, una crisis, no una crisis, y sino no estuviera trabajando sino un momento crítico en la vida y en ese momento desarrollé el gusto por la lectura de estos libros de autoayuda.</v>
      </c>
      <c r="C316" t="str">
        <f>SJ026032M96!C3</f>
        <v>analítico</v>
      </c>
      <c r="D316" t="str">
        <f>SJ026032M96!D3</f>
        <v>exhortación</v>
      </c>
      <c r="E316">
        <f>SJ026032M96!E3</f>
        <v>4</v>
      </c>
      <c r="F316">
        <f>SJ026032M96!F3</f>
        <v>0</v>
      </c>
      <c r="G316">
        <f>SJ026032M96!G3</f>
        <v>0</v>
      </c>
      <c r="H316">
        <f>SJ026032M96!H3</f>
        <v>0</v>
      </c>
      <c r="I316">
        <f>SJ026032M96!I3</f>
        <v>0</v>
      </c>
      <c r="J316">
        <f>SJ026032M96!J3</f>
        <v>0</v>
      </c>
      <c r="K316">
        <v>2</v>
      </c>
      <c r="L316" t="s">
        <v>697</v>
      </c>
    </row>
    <row r="317" spans="1:12" customFormat="1">
      <c r="A317" s="103" t="str">
        <f>SJ026032M96!A4</f>
        <v>SJ026032M96</v>
      </c>
      <c r="B317" s="103" t="str">
        <f>SJ026032M96!B4</f>
        <v>SJ026032M96/03458-460A Estoy interesada en leer mucho de las obras de ahora, digamos que como ahora tengo tiempo pues leeré “Como agua para chocolate” y leeré “Paula” y leeré todas estas de ahora.</v>
      </c>
      <c r="C317" s="103" t="str">
        <f>SJ026032M96!C4</f>
        <v>morfológico</v>
      </c>
      <c r="D317" s="103" t="str">
        <f>SJ026032M96!D4</f>
        <v>temporal</v>
      </c>
      <c r="E317" s="103">
        <f>SJ026032M96!E4</f>
        <v>1</v>
      </c>
      <c r="F317" s="103">
        <f>SJ026032M96!F4</f>
        <v>1</v>
      </c>
      <c r="G317" s="103">
        <f>SJ026032M96!G4</f>
        <v>0</v>
      </c>
      <c r="H317" s="103">
        <f>SJ026032M96!H4</f>
        <v>1</v>
      </c>
      <c r="I317" s="103">
        <f>SJ026032M96!I4</f>
        <v>0</v>
      </c>
      <c r="J317" s="103">
        <f>SJ026032M96!J4</f>
        <v>0</v>
      </c>
      <c r="K317" s="103">
        <v>2</v>
      </c>
      <c r="L317" s="103" t="s">
        <v>697</v>
      </c>
    </row>
    <row r="318" spans="1:12" customFormat="1">
      <c r="A318" s="103" t="str">
        <f>SJ026032M96!A5</f>
        <v>SJ026032M96</v>
      </c>
      <c r="B318" s="103" t="str">
        <f>SJ026032M96!B5</f>
        <v>SJ026032M96/458-460B Estoy interesada en leer mucho de las obras de ahora, digamos que como ahora tengo tiempo pues leeré “Como agua para chocolate” y leeré “Paula” y leeré todas estas de ahora.</v>
      </c>
      <c r="C318" s="103" t="str">
        <f>SJ026032M96!C5</f>
        <v>morfológico</v>
      </c>
      <c r="D318" s="103" t="str">
        <f>SJ026032M96!D5</f>
        <v>temporal</v>
      </c>
      <c r="E318" s="103">
        <f>SJ026032M96!E5</f>
        <v>1</v>
      </c>
      <c r="F318" s="103">
        <f>SJ026032M96!F5</f>
        <v>1</v>
      </c>
      <c r="G318" s="103">
        <f>SJ026032M96!G5</f>
        <v>0</v>
      </c>
      <c r="H318" s="103">
        <f>SJ026032M96!H5</f>
        <v>1</v>
      </c>
      <c r="I318" s="103">
        <f>SJ026032M96!I5</f>
        <v>0</v>
      </c>
      <c r="J318" s="103">
        <f>SJ026032M96!J5</f>
        <v>0</v>
      </c>
      <c r="K318" s="103">
        <v>2</v>
      </c>
      <c r="L318" s="103" t="s">
        <v>697</v>
      </c>
    </row>
    <row r="319" spans="1:12" customFormat="1">
      <c r="A319" s="103" t="str">
        <f>SJ026032M96!A6</f>
        <v>SJ026032M96</v>
      </c>
      <c r="B319" s="103" t="str">
        <f>SJ026032M96!B6</f>
        <v>SJ026032M96/458-460C Estoy interesada en leer mucho de las obras de ahora, digamos que como ahora tengo tiempo pues leeré “Como agua para chocolate” y leeré “Paula” y leeré todas estas de ahora.</v>
      </c>
      <c r="C319" s="103" t="str">
        <f>SJ026032M96!C6</f>
        <v>morfológico</v>
      </c>
      <c r="D319" s="103" t="str">
        <f>SJ026032M96!D6</f>
        <v>temporal</v>
      </c>
      <c r="E319" s="103">
        <f>SJ026032M96!E6</f>
        <v>1</v>
      </c>
      <c r="F319" s="103">
        <f>SJ026032M96!F6</f>
        <v>1</v>
      </c>
      <c r="G319" s="103">
        <f>SJ026032M96!G6</f>
        <v>0</v>
      </c>
      <c r="H319" s="103">
        <f>SJ026032M96!H6</f>
        <v>1</v>
      </c>
      <c r="I319" s="103">
        <f>SJ026032M96!I6</f>
        <v>0</v>
      </c>
      <c r="J319" s="103">
        <f>SJ026032M96!J6</f>
        <v>0</v>
      </c>
      <c r="K319" s="103">
        <v>2</v>
      </c>
      <c r="L319" s="103" t="s">
        <v>697</v>
      </c>
    </row>
    <row r="320" spans="1:12" customFormat="1">
      <c r="A320" s="103" t="str">
        <f>SJ032032M96!A2</f>
        <v>SJ032032M96</v>
      </c>
      <c r="B320" s="103" t="str">
        <f>SJ032032M96!B2</f>
        <v>SJ032032M96/34-37 [S]i yo tengo una cantidad de dinero, poca o mucha en lo que yo voy a pensar es cómo voy a compartirla, quizás con, con mi familia, con mis compañeros, con, con mis amigos y en viajar, pero no es comprando una prenda y no en comprando una propiedad ni comprando cosas  porque ahí, ahí es ??? yo no pongo como mi, mi prioridad, tú sabes.</v>
      </c>
      <c r="C320" s="103" t="str">
        <f>SJ032032M96!C2</f>
        <v>analítico</v>
      </c>
      <c r="D320" s="103" t="str">
        <f>SJ032032M96!D2</f>
        <v>temporal</v>
      </c>
      <c r="E320" s="103">
        <f>SJ032032M96!E2</f>
        <v>1</v>
      </c>
      <c r="F320" s="103">
        <f>SJ032032M96!F2</f>
        <v>0</v>
      </c>
      <c r="G320" s="103">
        <f>SJ032032M96!G2</f>
        <v>0</v>
      </c>
      <c r="H320" s="103">
        <f>SJ032032M96!H2</f>
        <v>0</v>
      </c>
      <c r="I320" s="103">
        <f>SJ032032M96!I2</f>
        <v>0</v>
      </c>
      <c r="J320" s="103">
        <f>SJ032032M96!J2</f>
        <v>1</v>
      </c>
      <c r="K320" s="103">
        <v>2</v>
      </c>
      <c r="L320" s="103" t="s">
        <v>697</v>
      </c>
    </row>
    <row r="321" spans="1:12">
      <c r="A321" s="103" t="str">
        <f>SJ032032M96!A3</f>
        <v>SJ032032M96</v>
      </c>
      <c r="B321" s="103" t="str">
        <f>SJ032032M96!B3</f>
        <v>SJ032032M96/34-37 [S]i yo tengo una cantidad de dinero, poca o mucha en lo que yo voy a pensar es cómo voy a compartirla, quizás con, con mi familia, con mis compañeros, con, con mis amigos y en viajar, pero no es comprando una prenda y no en comprando una propiedad ni comprando cosas  porque ahí, ahí es ??? yo no pongo como mi, mi prioridad, tú sabes.</v>
      </c>
      <c r="C321" s="103" t="str">
        <f>SJ032032M96!C3</f>
        <v>analítico</v>
      </c>
      <c r="D321" s="103" t="str">
        <f>SJ032032M96!D3</f>
        <v>temporal</v>
      </c>
      <c r="E321" s="103">
        <f>SJ032032M96!E3</f>
        <v>1</v>
      </c>
      <c r="F321" s="103">
        <f>SJ032032M96!F3</f>
        <v>0</v>
      </c>
      <c r="G321" s="103">
        <f>SJ032032M96!G3</f>
        <v>0</v>
      </c>
      <c r="H321" s="103">
        <f>SJ032032M96!H3</f>
        <v>0</v>
      </c>
      <c r="I321" s="103">
        <f>SJ032032M96!I3</f>
        <v>0</v>
      </c>
      <c r="J321" s="103">
        <f>SJ032032M96!J3</f>
        <v>1</v>
      </c>
      <c r="K321" s="103">
        <v>2</v>
      </c>
      <c r="L321" s="103" t="s">
        <v>697</v>
      </c>
    </row>
    <row r="322" spans="1:12" customFormat="1">
      <c r="A322" s="103" t="str">
        <f>SJ032032M96!A4</f>
        <v>SJ032032M96</v>
      </c>
      <c r="B322" s="103" t="str">
        <f>SJ032032M96!B4</f>
        <v>SJ032032M96/34-37 [S]i yo tengo una cantidad de dinero, poca o mucha en lo que yo voy a pensar es cómo voy a compartirla, quizás con, con mi familia, con mis compañeros, con, con mis amigos y en viajar, pero no es comprando una prenda y no en comprando una propiedad ni comprando cosas  porque ahí, ahí es ??? yo no pongo como mi, mi prioridad, tú sabes.</v>
      </c>
      <c r="C322" s="103" t="str">
        <f>SJ032032M96!C4</f>
        <v>presente</v>
      </c>
      <c r="D322" s="103" t="str">
        <f>SJ032032M96!D4</f>
        <v>temporal</v>
      </c>
      <c r="E322" s="103">
        <f>SJ032032M96!E4</f>
        <v>3</v>
      </c>
      <c r="F322" s="103">
        <f>SJ032032M96!F4</f>
        <v>0</v>
      </c>
      <c r="G322" s="103">
        <f>SJ032032M96!G4</f>
        <v>1</v>
      </c>
      <c r="H322" s="103">
        <f>SJ032032M96!H4</f>
        <v>0</v>
      </c>
      <c r="I322" s="103">
        <f>SJ032032M96!I4</f>
        <v>0</v>
      </c>
      <c r="J322" s="103">
        <f>SJ032032M96!J4</f>
        <v>1</v>
      </c>
      <c r="K322" s="103">
        <v>2</v>
      </c>
      <c r="L322" s="103" t="s">
        <v>697</v>
      </c>
    </row>
    <row r="323" spans="1:12" customFormat="1">
      <c r="A323" t="str">
        <f>SJ032032M96!A5</f>
        <v>SJ032032M96</v>
      </c>
      <c r="B323" t="str">
        <f>SJ032032M96!B5</f>
        <v>SJ032032M96/85-90 [L]la maestra de salón hogar, me dijo, le dijo a mi mamá “pero es, esa nena, como que tiene una inteligencia natural, vamos a darle una materia de exámenes y demás, y dicho sea de paso, me dieron una serie de exámenes y cuando ya estaba en, en creo que en, en quinto grado o algo así, o sex, sexto grado o algo así, este, me dieron, este exámenes del Departamento de Educación y, y, y los exámenes demostraron que yo no debía estar en ese grado sino, este, en tres grados, este…</v>
      </c>
      <c r="C323" t="str">
        <f>SJ032032M96!C5</f>
        <v>analítico</v>
      </c>
      <c r="D323" t="str">
        <f>SJ032032M96!D5</f>
        <v>exhortación</v>
      </c>
      <c r="E323">
        <f>SJ032032M96!E5</f>
        <v>4</v>
      </c>
      <c r="F323">
        <f>SJ032032M96!F5</f>
        <v>0</v>
      </c>
      <c r="G323">
        <f>SJ032032M96!G5</f>
        <v>0</v>
      </c>
      <c r="H323">
        <f>SJ032032M96!H5</f>
        <v>0</v>
      </c>
      <c r="I323">
        <f>SJ032032M96!I5</f>
        <v>0</v>
      </c>
      <c r="J323">
        <f>SJ032032M96!J5</f>
        <v>0</v>
      </c>
      <c r="K323">
        <v>2</v>
      </c>
      <c r="L323" t="s">
        <v>697</v>
      </c>
    </row>
    <row r="324" spans="1:12" customFormat="1">
      <c r="A324" t="str">
        <f>SJ032032M96!A6</f>
        <v>SJ032032M96</v>
      </c>
      <c r="B324" t="str">
        <f>SJ032032M96!B6</f>
        <v>SJ032032M96/221 Mira vamos a empezar por las películas primero.</v>
      </c>
      <c r="C324" t="str">
        <f>SJ032032M96!C6</f>
        <v>analítico</v>
      </c>
      <c r="D324" t="str">
        <f>SJ032032M96!D6</f>
        <v>exhortación</v>
      </c>
      <c r="E324">
        <f>SJ032032M96!E6</f>
        <v>4</v>
      </c>
      <c r="F324">
        <f>SJ032032M96!F6</f>
        <v>0</v>
      </c>
      <c r="G324">
        <f>SJ032032M96!G6</f>
        <v>0</v>
      </c>
      <c r="H324">
        <f>SJ032032M96!H6</f>
        <v>0</v>
      </c>
      <c r="I324">
        <f>SJ032032M96!I6</f>
        <v>0</v>
      </c>
      <c r="J324">
        <f>SJ032032M96!J6</f>
        <v>0</v>
      </c>
      <c r="K324">
        <v>2</v>
      </c>
      <c r="L324" t="s">
        <v>697</v>
      </c>
    </row>
    <row r="325" spans="1:12" customFormat="1">
      <c r="A325" s="103" t="str">
        <f>SJ032032M96!A7</f>
        <v>SJ032032M96</v>
      </c>
      <c r="B325" s="103" t="str">
        <f>SJ032032M96!B7</f>
        <v>SJ032032M96/221-224 Eh, a mí me gustan el tipo de película que combinen los siguientes elementos: Primero, que me rete intelectualmente, porque sino no me vas a tener de, de, de receptora y de auditora, me tiene que retar intelectualmente, pero tiene que tener una buena combinación de reto intelectual, suspenso y acción y sino combina eso está mal.</v>
      </c>
      <c r="C325" s="103" t="str">
        <f>SJ032032M96!C7</f>
        <v>analítico</v>
      </c>
      <c r="D325" s="103" t="str">
        <f>SJ032032M96!D7</f>
        <v>temporal</v>
      </c>
      <c r="E325" s="103">
        <f>SJ032032M96!E7</f>
        <v>2</v>
      </c>
      <c r="F325" s="103">
        <f>SJ032032M96!F7</f>
        <v>0</v>
      </c>
      <c r="G325" s="103">
        <f>SJ032032M96!G7</f>
        <v>1</v>
      </c>
      <c r="H325" s="103">
        <f>SJ032032M96!H7</f>
        <v>0</v>
      </c>
      <c r="I325" s="103">
        <f>SJ032032M96!I7</f>
        <v>0</v>
      </c>
      <c r="J325" s="103">
        <f>SJ032032M96!J7</f>
        <v>1</v>
      </c>
      <c r="K325" s="103">
        <v>2</v>
      </c>
      <c r="L325" s="103" t="s">
        <v>697</v>
      </c>
    </row>
    <row r="326" spans="1:12" customFormat="1">
      <c r="A326" s="103" t="str">
        <f>SJ032032M96!A8</f>
        <v>SJ032032M96</v>
      </c>
      <c r="B326" s="103" t="str">
        <f>SJ032032M96!B8</f>
        <v>SJ032032M96/237-240 La segunda selección en películas es la película de ciencia ficción, bien hecha, porque si una película es ciencia ficción que venga con un monstruo, así, así, o asao, que definitivamente, ni voy a perder el tiempo, ni siquiera en, en, en averiguar cómo se titula, este, así que esas dos en cuanto a, a película.</v>
      </c>
      <c r="C326" s="103" t="str">
        <f>SJ032032M96!C8</f>
        <v>analítico</v>
      </c>
      <c r="D326" s="103" t="str">
        <f>SJ032032M96!D8</f>
        <v>temporal</v>
      </c>
      <c r="E326" s="103">
        <f>SJ032032M96!E8</f>
        <v>1</v>
      </c>
      <c r="F326" s="103">
        <f>SJ032032M96!F8</f>
        <v>0</v>
      </c>
      <c r="G326" s="103">
        <f>SJ032032M96!G8</f>
        <v>1</v>
      </c>
      <c r="H326" s="103">
        <f>SJ032032M96!H8</f>
        <v>0</v>
      </c>
      <c r="I326" s="103">
        <f>SJ032032M96!I8</f>
        <v>0</v>
      </c>
      <c r="J326" s="103">
        <f>SJ032032M96!J8</f>
        <v>1</v>
      </c>
      <c r="K326" s="103">
        <v>2</v>
      </c>
      <c r="L326" s="103" t="s">
        <v>697</v>
      </c>
    </row>
    <row r="327" spans="1:12" customFormat="1">
      <c r="A327" s="103" t="str">
        <f>SJ032032M96!A9</f>
        <v>SJ032032M96</v>
      </c>
      <c r="B327" s="103" t="str">
        <f>SJ032032M96!B9</f>
        <v>SJ032032M96/240-243A En cuanto a obras de teatro mira yo soy, este, bien variada en obras de teatro como es la experiencia de, como de, del actor con el público yo no tengo preferencia, lo mismo te voy a ver una comedia que te voy a ver una, un drama, etcétera.</v>
      </c>
      <c r="C327" s="103" t="str">
        <f>SJ032032M96!C9</f>
        <v>analítico</v>
      </c>
      <c r="D327" s="103" t="str">
        <f>SJ032032M96!D9</f>
        <v>temporal</v>
      </c>
      <c r="E327" s="103">
        <f>SJ032032M96!E9</f>
        <v>1</v>
      </c>
      <c r="F327" s="103">
        <f>SJ032032M96!F9</f>
        <v>0</v>
      </c>
      <c r="G327" s="103">
        <f>SJ032032M96!G9</f>
        <v>0</v>
      </c>
      <c r="H327" s="103">
        <f>SJ032032M96!H9</f>
        <v>0</v>
      </c>
      <c r="I327" s="103">
        <f>SJ032032M96!I9</f>
        <v>0</v>
      </c>
      <c r="J327" s="103">
        <f>SJ032032M96!J9</f>
        <v>0</v>
      </c>
      <c r="K327" s="103">
        <v>2</v>
      </c>
      <c r="L327" s="103" t="s">
        <v>697</v>
      </c>
    </row>
    <row r="328" spans="1:12" customFormat="1">
      <c r="A328" s="103" t="str">
        <f>SJ032032M96!A10</f>
        <v>SJ032032M96</v>
      </c>
      <c r="B328" s="103" t="str">
        <f>SJ032032M96!B10</f>
        <v>SJ032032M96/240-243B En cuanto a obras de teatro mira yo soy, este, bien variada en obras de teatro como es la experiencia de, como de, del actor con el público yo no tengo preferencia, lo mismo te voy a ver una comedia que te voy a ver una, un drama, etcétera.</v>
      </c>
      <c r="C328" s="103" t="str">
        <f>SJ032032M96!C10</f>
        <v>analítico</v>
      </c>
      <c r="D328" s="103" t="str">
        <f>SJ032032M96!D10</f>
        <v>temporal</v>
      </c>
      <c r="E328" s="103">
        <f>SJ032032M96!E10</f>
        <v>1</v>
      </c>
      <c r="F328" s="103">
        <f>SJ032032M96!F10</f>
        <v>0</v>
      </c>
      <c r="G328" s="103">
        <f>SJ032032M96!G10</f>
        <v>0</v>
      </c>
      <c r="H328" s="103">
        <f>SJ032032M96!H10</f>
        <v>0</v>
      </c>
      <c r="I328" s="103">
        <f>SJ032032M96!I10</f>
        <v>0</v>
      </c>
      <c r="J328" s="103">
        <f>SJ032032M96!J10</f>
        <v>0</v>
      </c>
      <c r="K328" s="103">
        <v>2</v>
      </c>
      <c r="L328" s="103" t="s">
        <v>697</v>
      </c>
    </row>
    <row r="329" spans="1:12" customFormat="1">
      <c r="A329" s="103" t="str">
        <f>SJ032032M96!A11</f>
        <v>SJ032032M96</v>
      </c>
      <c r="B329" s="103" t="str">
        <f>SJ032032M96!B11</f>
        <v>SJ032032M96/244-252 Yo la he visto como en tres ocasiones o en cuatro y, y creo que, que nunca me voy a cansar de verla, porque es, es una experiencia te, teatral tan, tan, tan como tan íntima porque es una sola actriz la que tiene que mantener la atención de un público durante casi dos horas de ese monólogo, o sea, para empezar tiene que ser una actriz de quilates para poder mantener la atención del público tanto tiempo, y número dos, este monólogo, está como dicen los muchachos míos, está fuera de liga, porque el, el monólogo gira en torno a, a esta, esta muchacha, eh, hija de, de, de hacendados cafetaleros, por cierto, del área de Yauco, y este, y como ella, este, por, por una serie de, de, de experiencias, una serie de vivencias, ella deriva en una prostituta.</v>
      </c>
      <c r="C329" s="103" t="str">
        <f>SJ032032M96!C11</f>
        <v>analítico</v>
      </c>
      <c r="D329" s="103" t="str">
        <f>SJ032032M96!D11</f>
        <v>temporal</v>
      </c>
      <c r="E329" s="103">
        <f>SJ032032M96!E11</f>
        <v>1</v>
      </c>
      <c r="F329" s="103">
        <f>SJ032032M96!F11</f>
        <v>1</v>
      </c>
      <c r="G329" s="103">
        <f>SJ032032M96!G11</f>
        <v>1</v>
      </c>
      <c r="H329" s="103">
        <f>SJ032032M96!H11</f>
        <v>0</v>
      </c>
      <c r="I329" s="103">
        <f>SJ032032M96!I11</f>
        <v>1</v>
      </c>
      <c r="J329" s="103">
        <f>SJ032032M96!J11</f>
        <v>0</v>
      </c>
      <c r="K329" s="103">
        <v>2</v>
      </c>
      <c r="L329" s="103" t="s">
        <v>697</v>
      </c>
    </row>
    <row r="330" spans="1:12" customFormat="1">
      <c r="A330" s="103" t="str">
        <f>SJ032032M96!A12</f>
        <v>SJ032032M96</v>
      </c>
      <c r="B330" s="103" t="str">
        <f>SJ032032M96!B12</f>
        <v>SJ032032M96/286-289 Eh, te voy a dar un ejemplo, cuando, cuando, este, yo estaba en segundo año de, de universidad, en mi primer año de prepa aquí fueron dieciocho créditos y creo que el segundo semestre, me, me, me, me hicieron un programa de veintiún créditos porque el programa ya estaba hecho.</v>
      </c>
      <c r="C330" s="103" t="str">
        <f>SJ032032M96!C12</f>
        <v>analítico</v>
      </c>
      <c r="D330" s="103" t="str">
        <f>SJ032032M96!D12</f>
        <v>temporal</v>
      </c>
      <c r="E330" s="103">
        <f>SJ032032M96!E12</f>
        <v>1</v>
      </c>
      <c r="F330" s="103">
        <f>SJ032032M96!F12</f>
        <v>0</v>
      </c>
      <c r="G330" s="103">
        <f>SJ032032M96!G12</f>
        <v>0</v>
      </c>
      <c r="H330" s="103">
        <f>SJ032032M96!H12</f>
        <v>2</v>
      </c>
      <c r="I330" s="103">
        <f>SJ032032M96!I12</f>
        <v>0</v>
      </c>
      <c r="J330" s="103">
        <f>SJ032032M96!J12</f>
        <v>0</v>
      </c>
      <c r="K330" s="103">
        <v>2</v>
      </c>
      <c r="L330" s="103" t="s">
        <v>697</v>
      </c>
    </row>
    <row r="331" spans="1:12" customFormat="1">
      <c r="A331" s="103" t="str">
        <f>SJ032032M96!A13</f>
        <v>SJ032032M96</v>
      </c>
      <c r="B331" s="103" t="str">
        <f>SJ032032M96!B13</f>
        <v>SJ032032M96/317-318 Cuando me dan aquel libraco de ‘Los hermanos Karamazov, yo, ??? yo no voy a poder leer eso.</v>
      </c>
      <c r="C331" s="103" t="str">
        <f>SJ032032M96!C13</f>
        <v>analítico</v>
      </c>
      <c r="D331" s="103" t="str">
        <f>SJ032032M96!D13</f>
        <v>temporal</v>
      </c>
      <c r="E331" s="103">
        <f>SJ032032M96!E13</f>
        <v>1</v>
      </c>
      <c r="F331" s="103">
        <f>SJ032032M96!F13</f>
        <v>0</v>
      </c>
      <c r="G331" s="103">
        <f>SJ032032M96!G13</f>
        <v>1</v>
      </c>
      <c r="H331" s="103">
        <f>SJ032032M96!H13</f>
        <v>2</v>
      </c>
      <c r="I331" s="103">
        <f>SJ032032M96!I13</f>
        <v>1</v>
      </c>
      <c r="J331" s="103">
        <f>SJ032032M96!J13</f>
        <v>0</v>
      </c>
      <c r="K331" s="103">
        <v>2</v>
      </c>
      <c r="L331" s="103" t="s">
        <v>697</v>
      </c>
    </row>
    <row r="332" spans="1:12" customFormat="1">
      <c r="A332" s="103" t="str">
        <f>SJ032032M96!A14</f>
        <v>SJ032032M96</v>
      </c>
      <c r="B332" s="103" t="str">
        <f>SJ032032M96!B14</f>
        <v>SJ032032M96/418 No te voy a contestar pero bien, una contestación…</v>
      </c>
      <c r="C332" s="103" t="str">
        <f>SJ032032M96!C14</f>
        <v>analítico</v>
      </c>
      <c r="D332" s="103" t="str">
        <f>SJ032032M96!D14</f>
        <v>temporal</v>
      </c>
      <c r="E332" s="103">
        <f>SJ032032M96!E14</f>
        <v>1</v>
      </c>
      <c r="F332" s="103">
        <f>SJ032032M96!F14</f>
        <v>0</v>
      </c>
      <c r="G332" s="103">
        <f>SJ032032M96!G14</f>
        <v>0</v>
      </c>
      <c r="H332" s="103">
        <f>SJ032032M96!H14</f>
        <v>0</v>
      </c>
      <c r="I332" s="103">
        <f>SJ032032M96!I14</f>
        <v>0</v>
      </c>
      <c r="J332" s="103">
        <f>SJ032032M96!J14</f>
        <v>0</v>
      </c>
      <c r="K332" s="103">
        <v>2</v>
      </c>
      <c r="L332" s="103" t="s">
        <v>697</v>
      </c>
    </row>
    <row r="333" spans="1:12" customFormat="1">
      <c r="A333" s="103" t="str">
        <f>SJ032032M96!A15</f>
        <v>SJ032032M96</v>
      </c>
      <c r="B333" s="103" t="str">
        <f>SJ032032M96!B15</f>
        <v>SJ032032M96/524-528A Yo le dije mira Cuqui si, si tú vas a hacer una de dos cosas si tú te quedas aquí en casa de tu padres y de tu madre que es también mi padre y mi madre, si tú te quedas aquí es porque vas a lavar ropa que fue a lo que viniste, pero si tú además de lavar ropa piensas discutir con tu marido pues te largas de aquí porque esta ya no es tu casa, esta es la casa de tus padres y de mis padres y tú respetas la casa de nuestros padres.</v>
      </c>
      <c r="C333" s="103" t="str">
        <f>SJ032032M96!C15</f>
        <v>analítico</v>
      </c>
      <c r="D333" s="103" t="str">
        <f>SJ032032M96!D15</f>
        <v>temporal</v>
      </c>
      <c r="E333" s="103">
        <f>SJ032032M96!E15</f>
        <v>2</v>
      </c>
      <c r="F333" s="103">
        <f>SJ032032M96!F15</f>
        <v>0</v>
      </c>
      <c r="G333" s="103">
        <f>SJ032032M96!G15</f>
        <v>0</v>
      </c>
      <c r="H333" s="103">
        <f>SJ032032M96!H15</f>
        <v>2</v>
      </c>
      <c r="I333" s="103">
        <f>SJ032032M96!I15</f>
        <v>0</v>
      </c>
      <c r="J333" s="103">
        <f>SJ032032M96!J15</f>
        <v>1</v>
      </c>
      <c r="K333" s="103">
        <v>2</v>
      </c>
      <c r="L333" s="103" t="s">
        <v>697</v>
      </c>
    </row>
    <row r="334" spans="1:12" customFormat="1">
      <c r="A334" s="103" t="str">
        <f>SJ032032M96!A16</f>
        <v>SJ032032M96</v>
      </c>
      <c r="B334" s="103" t="str">
        <f>SJ032032M96!B16</f>
        <v>SJ032032M96/524-528B Yo le dije mira Cuqui si, si tú vas a hacer una de dos cosas si tú te quedas aquí en casa de tu padres y de tu madre que es también mi padre y mi madre, si tú te quedas aquí es porque vas a lavar ropa que fue a lo que viniste, pero si tú además de lavar ropa piensas discutir con tu marido pues te largas de aquí porque esta ya no es tu casa, esta es la casa de tus padres y de mis padres y tú respetas la casa de nuestros padres.</v>
      </c>
      <c r="C334" s="103" t="str">
        <f>SJ032032M96!C16</f>
        <v>analítico</v>
      </c>
      <c r="D334" s="103" t="str">
        <f>SJ032032M96!D16</f>
        <v>temporal</v>
      </c>
      <c r="E334" s="103">
        <f>SJ032032M96!E16</f>
        <v>2</v>
      </c>
      <c r="F334" s="103">
        <f>SJ032032M96!F16</f>
        <v>0</v>
      </c>
      <c r="G334" s="103">
        <f>SJ032032M96!G16</f>
        <v>0</v>
      </c>
      <c r="H334" s="103">
        <f>SJ032032M96!H16</f>
        <v>2</v>
      </c>
      <c r="I334" s="103">
        <f>SJ032032M96!I16</f>
        <v>0</v>
      </c>
      <c r="J334" s="103">
        <f>SJ032032M96!J16</f>
        <v>1</v>
      </c>
      <c r="K334" s="103">
        <v>2</v>
      </c>
      <c r="L334" s="103" t="s">
        <v>697</v>
      </c>
    </row>
    <row r="335" spans="1:12" customFormat="1">
      <c r="A335" s="103" t="str">
        <f>SJ032032M96!A17</f>
        <v>SJ032032M96</v>
      </c>
      <c r="B335" s="103" t="str">
        <f>SJ032032M96!B17</f>
        <v>SJ032032M96/528-538 Si tú quieres discutir y, y lavas los trapitos sucios con tu esposo los lavas en tu casa o sino lo siento muchísimo aquí no regresas hasta que tú no estés dispuesta a hacer eso.</v>
      </c>
      <c r="C335" s="103" t="str">
        <f>SJ032032M96!C17</f>
        <v>presente</v>
      </c>
      <c r="D335" s="103" t="str">
        <f>SJ032032M96!D17</f>
        <v>temporal</v>
      </c>
      <c r="E335" s="103">
        <f>SJ032032M96!E17</f>
        <v>2</v>
      </c>
      <c r="F335" s="103">
        <f>SJ032032M96!F17</f>
        <v>0</v>
      </c>
      <c r="G335" s="103">
        <f>SJ032032M96!G17</f>
        <v>0</v>
      </c>
      <c r="H335" s="103">
        <f>SJ032032M96!H17</f>
        <v>0</v>
      </c>
      <c r="I335" s="103">
        <f>SJ032032M96!I17</f>
        <v>0</v>
      </c>
      <c r="J335" s="103">
        <f>SJ032032M96!J17</f>
        <v>1</v>
      </c>
      <c r="K335" s="103">
        <v>2</v>
      </c>
      <c r="L335" s="103" t="s">
        <v>697</v>
      </c>
    </row>
    <row r="336" spans="1:12" customFormat="1">
      <c r="A336" s="103" t="str">
        <f>SJ032032M96!A18</f>
        <v>SJ032032M96</v>
      </c>
      <c r="B336" s="103" t="str">
        <f>SJ032032M96!B18</f>
        <v>SJ032032M96/528-538 Si tú quieres discutir y, y lavas los trapitos sucios con tu esposo los lavas en tu casa o sino lo siento muchísimo aquí no regresas hasta que tú no estés dispuesta a hacer eso.</v>
      </c>
      <c r="C336" s="103" t="str">
        <f>SJ032032M96!C18</f>
        <v>presente</v>
      </c>
      <c r="D336" s="103" t="str">
        <f>SJ032032M96!D18</f>
        <v>temporal</v>
      </c>
      <c r="E336" s="103">
        <f>SJ032032M96!E18</f>
        <v>2</v>
      </c>
      <c r="F336" s="103">
        <f>SJ032032M96!F18</f>
        <v>1</v>
      </c>
      <c r="G336" s="103">
        <f>SJ032032M96!G18</f>
        <v>0</v>
      </c>
      <c r="H336" s="103">
        <f>SJ032032M96!H18</f>
        <v>2</v>
      </c>
      <c r="I336" s="103">
        <f>SJ032032M96!I18</f>
        <v>0</v>
      </c>
      <c r="J336" s="103">
        <f>SJ032032M96!J18</f>
        <v>0</v>
      </c>
      <c r="K336" s="103">
        <v>2</v>
      </c>
      <c r="L336" s="103" t="s">
        <v>697</v>
      </c>
    </row>
    <row r="337" spans="1:12" customFormat="1">
      <c r="A337" s="103" t="str">
        <f>SJ2513H96!A2</f>
        <v>SJ2513H96</v>
      </c>
      <c r="B337" s="103" t="str">
        <f>SJ2513H96!B2</f>
        <v>SJ2513H96/51-54A Ah, pues, pues...igual que ahora por invitación.  Invitábamos: “le vamos a llevar una parranda a fulano de tal, a...al compay tal, a la comay tal,” y nos reuníamos y entonces, pues “vamos a estar en tal sitio” y entonces el que no se reunía en algún lado, pues, iba personalmente y sabía ya donde iba, donde íbamos a estar.</v>
      </c>
      <c r="C337" s="103" t="str">
        <f>SJ2513H96!C2</f>
        <v>analítico</v>
      </c>
      <c r="D337" s="103" t="str">
        <f>SJ2513H96!D2</f>
        <v>temporal</v>
      </c>
      <c r="E337" s="103">
        <f>SJ2513H96!E2</f>
        <v>4</v>
      </c>
      <c r="F337" s="103">
        <f>SJ2513H96!F2</f>
        <v>0</v>
      </c>
      <c r="G337" s="103">
        <f>SJ2513H96!G2</f>
        <v>0</v>
      </c>
      <c r="H337" s="103">
        <f>SJ2513H96!H2</f>
        <v>0</v>
      </c>
      <c r="I337" s="103">
        <f>SJ2513H96!I2</f>
        <v>0</v>
      </c>
      <c r="J337" s="103">
        <f>SJ2513H96!J2</f>
        <v>0</v>
      </c>
      <c r="K337" s="103">
        <v>3</v>
      </c>
      <c r="L337" s="103" t="s">
        <v>696</v>
      </c>
    </row>
    <row r="338" spans="1:12" customFormat="1">
      <c r="A338" s="103" t="str">
        <f>SJ2513H96!A3</f>
        <v>SJ2513H96</v>
      </c>
      <c r="B338" s="103" t="str">
        <f>SJ2513H96!B3</f>
        <v>SJ2513H96/51-54B Ah, pues, pues...igual que ahora por invitación.  Invitábamos: “le vamos a llevar una parranda a fulano de tal, a...al compay tal, a la comay tal,” y nos reuníamos y entonces, pues “vamos a estar en tal sitio” y entonces el que no se reunía en algún lado, pues, iba personalmente y sabía ya donde iba, donde íbamos a estar.</v>
      </c>
      <c r="C338" s="103" t="str">
        <f>SJ2513H96!C3</f>
        <v>analítico</v>
      </c>
      <c r="D338" s="103" t="str">
        <f>SJ2513H96!D3</f>
        <v>temporal</v>
      </c>
      <c r="E338" s="103">
        <f>SJ2513H96!E3</f>
        <v>4</v>
      </c>
      <c r="F338" s="103">
        <f>SJ2513H96!F3</f>
        <v>0</v>
      </c>
      <c r="G338" s="103">
        <f>SJ2513H96!G3</f>
        <v>0</v>
      </c>
      <c r="H338" s="103">
        <f>SJ2513H96!H3</f>
        <v>0</v>
      </c>
      <c r="I338" s="103">
        <f>SJ2513H96!I3</f>
        <v>0</v>
      </c>
      <c r="J338" s="103">
        <f>SJ2513H96!J3</f>
        <v>0</v>
      </c>
      <c r="K338" s="103">
        <v>3</v>
      </c>
      <c r="L338" s="103" t="s">
        <v>696</v>
      </c>
    </row>
    <row r="339" spans="1:12" customFormat="1">
      <c r="A339" t="str">
        <f>SJ2513H96!A4</f>
        <v>SJ2513H96</v>
      </c>
      <c r="B339" t="str">
        <f>SJ2513H96!B4</f>
        <v>SJ2513H96/148-149 Bueno, con los...eh, eso es un ejemplar como...vamos a decir el caballo, usted tiene un caballo, un ejemplar, el gallo es un ejemplar.</v>
      </c>
      <c r="C339" t="str">
        <f>SJ2513H96!C4</f>
        <v>analítico</v>
      </c>
      <c r="D339" t="str">
        <f>SJ2513H96!D4</f>
        <v>exhortación</v>
      </c>
      <c r="E339">
        <f>SJ2513H96!E4</f>
        <v>4</v>
      </c>
      <c r="F339">
        <f>SJ2513H96!F4</f>
        <v>0</v>
      </c>
      <c r="G339">
        <f>SJ2513H96!G4</f>
        <v>0</v>
      </c>
      <c r="H339">
        <f>SJ2513H96!H4</f>
        <v>0</v>
      </c>
      <c r="I339">
        <f>SJ2513H96!I4</f>
        <v>0</v>
      </c>
      <c r="J339">
        <f>SJ2513H96!J4</f>
        <v>0</v>
      </c>
      <c r="K339">
        <v>3</v>
      </c>
      <c r="L339" t="s">
        <v>696</v>
      </c>
    </row>
    <row r="340" spans="1:12" customFormat="1">
      <c r="A340" t="str">
        <f>SJ2513H96!A5</f>
        <v>SJ2513H96</v>
      </c>
      <c r="B340" t="str">
        <f>SJ2513H96!B5</f>
        <v>SJ2513H96/151-152 Vamos a decir tres cuatro o tres siete, tres, tres ocho, tres diez, tres y doce.</v>
      </c>
      <c r="C340" t="str">
        <f>SJ2513H96!C5</f>
        <v>analítico</v>
      </c>
      <c r="D340" t="str">
        <f>SJ2513H96!D5</f>
        <v>exhortación</v>
      </c>
      <c r="E340">
        <f>SJ2513H96!E5</f>
        <v>4</v>
      </c>
      <c r="F340">
        <f>SJ2513H96!F5</f>
        <v>0</v>
      </c>
      <c r="G340">
        <f>SJ2513H96!G5</f>
        <v>0</v>
      </c>
      <c r="H340">
        <f>SJ2513H96!H5</f>
        <v>0</v>
      </c>
      <c r="I340">
        <f>SJ2513H96!I5</f>
        <v>0</v>
      </c>
      <c r="J340">
        <f>SJ2513H96!J5</f>
        <v>0</v>
      </c>
      <c r="K340">
        <v>3</v>
      </c>
      <c r="L340" t="s">
        <v>696</v>
      </c>
    </row>
    <row r="341" spans="1:12" customFormat="1">
      <c r="A341" s="103" t="str">
        <f>SJ2513H96!A6</f>
        <v>SJ2513H96</v>
      </c>
      <c r="B341" s="103" t="str">
        <f>SJ2513H96!B6</f>
        <v>SJ2513H96/200 Lo que le voy a contar y esto es realidad, no es un cuento.</v>
      </c>
      <c r="C341" s="103" t="str">
        <f>SJ2513H96!C6</f>
        <v>analítico</v>
      </c>
      <c r="D341" s="103" t="str">
        <f>SJ2513H96!D6</f>
        <v>temporal</v>
      </c>
      <c r="E341" s="103">
        <f>SJ2513H96!E6</f>
        <v>1</v>
      </c>
      <c r="F341" s="103">
        <f>SJ2513H96!F6</f>
        <v>0</v>
      </c>
      <c r="G341" s="103">
        <f>SJ2513H96!G6</f>
        <v>0</v>
      </c>
      <c r="H341" s="103">
        <f>SJ2513H96!H6</f>
        <v>0</v>
      </c>
      <c r="I341" s="103">
        <f>SJ2513H96!I6</f>
        <v>0</v>
      </c>
      <c r="J341" s="103">
        <f>SJ2513H96!J6</f>
        <v>0</v>
      </c>
      <c r="K341" s="103">
        <v>3</v>
      </c>
      <c r="L341" s="103" t="s">
        <v>696</v>
      </c>
    </row>
    <row r="342" spans="1:12" customFormat="1">
      <c r="A342" s="103" t="str">
        <f>SJ2513H96!A7</f>
        <v>SJ2513H96</v>
      </c>
      <c r="B342" s="103" t="str">
        <f>SJ2513H96!B7</f>
        <v>SJ2513H96/268-272A Hay quien lo haga, hay mucha gente que lo hacen porque hay ciertas razones como...de...muchas personas que no le gustan que nadie le haga nada, que se sienten aburridos de la vida, que piensan que “ya yo no voy para ningún lado”, que “no voy a hacer esto, que no voy hacer esto otro”, “ya pasó mi juventud”, “yo perdí mi tiempo y mi juventud”, “ya me pasó”, “ ¿qué yo voy a hacer ahora?” y muchas veces por esa razón ellos se matan, ellos mismos.</v>
      </c>
      <c r="C342" s="103" t="str">
        <f>SJ2513H96!C7</f>
        <v>analítico</v>
      </c>
      <c r="D342" s="103" t="str">
        <f>SJ2513H96!D7</f>
        <v>temporal</v>
      </c>
      <c r="E342" s="103">
        <f>SJ2513H96!E7</f>
        <v>1</v>
      </c>
      <c r="F342" s="103">
        <f>SJ2513H96!F7</f>
        <v>0</v>
      </c>
      <c r="G342" s="103">
        <f>SJ2513H96!G7</f>
        <v>0</v>
      </c>
      <c r="H342" s="103">
        <f>SJ2513H96!H7</f>
        <v>0</v>
      </c>
      <c r="I342" s="103">
        <f>SJ2513H96!I7</f>
        <v>0</v>
      </c>
      <c r="J342" s="103">
        <f>SJ2513H96!J7</f>
        <v>0</v>
      </c>
      <c r="K342" s="103">
        <v>3</v>
      </c>
      <c r="L342" s="103" t="s">
        <v>696</v>
      </c>
    </row>
    <row r="343" spans="1:12" customFormat="1">
      <c r="A343" s="103" t="str">
        <f>SJ2513H96!A8</f>
        <v>SJ2513H96</v>
      </c>
      <c r="B343" s="103" t="str">
        <f>SJ2513H96!B8</f>
        <v>SJ2513H96/268-272B Hay quien lo haga, hay mucha gente que lo hacen porque hay ciertas razones como...de...muchas personas que no le gustan que nadie le haga nada, que se sienten aburridos de la vida, que piensan que “ya yo no voy para ningún lado”, que “no voy a hacer esto, que no voy [a] hacer esto otro”, “ya pasó mi juventud”, “yo perdí mi tiempo y mi juventud”, “ya me pasó”, “ ¿qué yo voy a hacer ahora?” y muchas veces por esa razón ellos se matan, ellos mismos.</v>
      </c>
      <c r="C343" s="103" t="str">
        <f>SJ2513H96!C8</f>
        <v>analítico</v>
      </c>
      <c r="D343" s="103" t="str">
        <f>SJ2513H96!D8</f>
        <v>temporal</v>
      </c>
      <c r="E343" s="103">
        <f>SJ2513H96!E8</f>
        <v>1</v>
      </c>
      <c r="F343" s="103">
        <f>SJ2513H96!F8</f>
        <v>0</v>
      </c>
      <c r="G343" s="103">
        <f>SJ2513H96!G8</f>
        <v>0</v>
      </c>
      <c r="H343" s="103">
        <f>SJ2513H96!H8</f>
        <v>0</v>
      </c>
      <c r="I343" s="103">
        <f>SJ2513H96!I8</f>
        <v>0</v>
      </c>
      <c r="J343" s="103">
        <f>SJ2513H96!J8</f>
        <v>0</v>
      </c>
      <c r="K343" s="103">
        <v>3</v>
      </c>
      <c r="L343" s="103" t="s">
        <v>696</v>
      </c>
    </row>
    <row r="344" spans="1:12" customFormat="1">
      <c r="A344" s="103" t="str">
        <f>SJ2513H96!A9</f>
        <v>SJ2513H96</v>
      </c>
      <c r="B344" s="103" t="str">
        <f>SJ2513H96!B9</f>
        <v>SJ2513H96/268-272C Hay quien lo haga, hay mucha gente que lo hacen porque hay ciertas razones como...de...muchas personas que no le gustan que nadie le haga nada, que se sienten aburridos de la vida, que piensan que “ya yo no voy para ningún lado”, que “no voy a hacer esto, que no voy hacer esto otro”, “ya pasó mi juventud”, “yo perdí mi tiempo y mi juventud”, “ya me pasó”, “ ¿qué yo voy a hacer ahora?” y muchas veces por esa razón ellos se matan, ellos mismos.</v>
      </c>
      <c r="C344" s="103" t="str">
        <f>SJ2513H96!C9</f>
        <v>analítico</v>
      </c>
      <c r="D344" s="103" t="str">
        <f>SJ2513H96!D9</f>
        <v>temporal</v>
      </c>
      <c r="E344" s="103">
        <f>SJ2513H96!E9</f>
        <v>1</v>
      </c>
      <c r="F344" s="103">
        <f>SJ2513H96!F9</f>
        <v>0</v>
      </c>
      <c r="G344" s="103">
        <f>SJ2513H96!G9</f>
        <v>0</v>
      </c>
      <c r="H344" s="103">
        <f>SJ2513H96!H9</f>
        <v>0</v>
      </c>
      <c r="I344" s="103">
        <f>SJ2513H96!I9</f>
        <v>0</v>
      </c>
      <c r="J344" s="103">
        <f>SJ2513H96!J9</f>
        <v>0</v>
      </c>
      <c r="K344" s="103">
        <v>3</v>
      </c>
      <c r="L344" s="103" t="s">
        <v>696</v>
      </c>
    </row>
    <row r="345" spans="1:12" customFormat="1">
      <c r="A345" t="str">
        <f>SJ2513H96!A10</f>
        <v>SJ2513H96</v>
      </c>
      <c r="B345" t="str">
        <f>SJ2513H96!B10</f>
        <v xml:space="preserve">SJ2513H96/276-277A Bueno, eso... fuera en la familia entre todos, o unos o otros vamos a hacer esto, vamos a hacer esto otro.  </v>
      </c>
      <c r="C345" t="str">
        <f>SJ2513H96!C10</f>
        <v>analítico</v>
      </c>
      <c r="D345" t="str">
        <f>SJ2513H96!D10</f>
        <v>exhortación</v>
      </c>
      <c r="E345">
        <f>SJ2513H96!E10</f>
        <v>4</v>
      </c>
      <c r="F345">
        <f>SJ2513H96!F10</f>
        <v>0</v>
      </c>
      <c r="G345">
        <f>SJ2513H96!G10</f>
        <v>0</v>
      </c>
      <c r="H345">
        <f>SJ2513H96!H10</f>
        <v>0</v>
      </c>
      <c r="I345">
        <f>SJ2513H96!I10</f>
        <v>0</v>
      </c>
      <c r="J345">
        <f>SJ2513H96!J10</f>
        <v>0</v>
      </c>
      <c r="K345">
        <v>3</v>
      </c>
      <c r="L345" t="s">
        <v>696</v>
      </c>
    </row>
    <row r="346" spans="1:12" customFormat="1">
      <c r="A346" t="str">
        <f>SJ2513H96!A11</f>
        <v>SJ2513H96</v>
      </c>
      <c r="B346" t="str">
        <f>SJ2513H96!B11</f>
        <v xml:space="preserve">SJ2513H96/276-277B Bueno, eso... fuera en la familia entre todos, o unos o otros vamos a hacer esto, vamos a hacer esto otro.  </v>
      </c>
      <c r="C346" t="str">
        <f>SJ2513H96!C11</f>
        <v>analítico</v>
      </c>
      <c r="D346" t="str">
        <f>SJ2513H96!D11</f>
        <v>exhortación</v>
      </c>
      <c r="E346">
        <f>SJ2513H96!E11</f>
        <v>4</v>
      </c>
      <c r="F346">
        <f>SJ2513H96!F11</f>
        <v>0</v>
      </c>
      <c r="G346">
        <f>SJ2513H96!G11</f>
        <v>0</v>
      </c>
      <c r="H346">
        <f>SJ2513H96!H11</f>
        <v>0</v>
      </c>
      <c r="I346">
        <f>SJ2513H96!I11</f>
        <v>0</v>
      </c>
      <c r="J346">
        <f>SJ2513H96!J11</f>
        <v>0</v>
      </c>
      <c r="K346">
        <v>3</v>
      </c>
      <c r="L346" t="s">
        <v>696</v>
      </c>
    </row>
    <row r="347" spans="1:12" customFormat="1">
      <c r="A347" t="str">
        <f>SJ2513H96!A12</f>
        <v>SJ2513H96</v>
      </c>
      <c r="B347" t="str">
        <f>SJ2513H96!B12</f>
        <v>SJ2513H96/293-297 Bueno, yo compro las frutas vamos a decirle, esto...el coco yo lo compro para vender agua de coco, compro la parcha, saco la pulpa de la parcha, me la llevo a mi hogar y ahí yo con mi osteraiser, pues, yo preparo, saco, le quito la, la semilla y saco el líquido puro, lo traigo aquí a mi negocio y aquí tengo la azúcar y tengo mi conteiner y todo para prepararlo aquí mismo, más compro hielo, en los puestos de hielo.</v>
      </c>
      <c r="C347" t="str">
        <f>SJ2513H96!C12</f>
        <v>analítico</v>
      </c>
      <c r="D347" t="str">
        <f>SJ2513H96!D12</f>
        <v>exhortación</v>
      </c>
      <c r="E347">
        <f>SJ2513H96!E12</f>
        <v>4</v>
      </c>
      <c r="F347">
        <f>SJ2513H96!F12</f>
        <v>0</v>
      </c>
      <c r="G347">
        <f>SJ2513H96!G12</f>
        <v>0</v>
      </c>
      <c r="H347">
        <f>SJ2513H96!H12</f>
        <v>0</v>
      </c>
      <c r="I347">
        <f>SJ2513H96!I12</f>
        <v>0</v>
      </c>
      <c r="J347">
        <f>SJ2513H96!J12</f>
        <v>0</v>
      </c>
      <c r="K347">
        <v>3</v>
      </c>
      <c r="L347" t="s">
        <v>696</v>
      </c>
    </row>
    <row r="348" spans="1:12" customFormat="1">
      <c r="A348" t="str">
        <f>SJ2513H96!A13</f>
        <v>SJ2513H96</v>
      </c>
      <c r="B348" t="str">
        <f>SJ2513H96!B13</f>
        <v>SJ2513H96/389-393 […] [P]ues estábamos reunidos juntos y ahí mismo tenían espacio en donde cocinaban por lo menos, un poco de viandas y freían algunas carnes de los mismos ejemplares que...que...vamos a decir animales que mataba la tormenta, los vientos y eso, pues, algunas personas que se consideran más de esto los traían al sitio, la tormentera y ahí los preparábamos para darle comida a la familia que habíamos ahí en esa tormentera.</v>
      </c>
      <c r="C348" t="str">
        <f>SJ2513H96!C13</f>
        <v>analítico</v>
      </c>
      <c r="D348" t="str">
        <f>SJ2513H96!D13</f>
        <v>exhortación</v>
      </c>
      <c r="E348">
        <f>SJ2513H96!E13</f>
        <v>4</v>
      </c>
      <c r="F348">
        <f>SJ2513H96!F13</f>
        <v>0</v>
      </c>
      <c r="G348">
        <f>SJ2513H96!G13</f>
        <v>0</v>
      </c>
      <c r="H348">
        <f>SJ2513H96!H13</f>
        <v>0</v>
      </c>
      <c r="I348">
        <f>SJ2513H96!I13</f>
        <v>0</v>
      </c>
      <c r="J348">
        <f>SJ2513H96!J13</f>
        <v>0</v>
      </c>
      <c r="K348">
        <v>3</v>
      </c>
      <c r="L348" t="s">
        <v>696</v>
      </c>
    </row>
    <row r="349" spans="1:12" customFormat="1">
      <c r="A349" s="103" t="str">
        <f>SJ2513H96!A14</f>
        <v>SJ2513H96</v>
      </c>
      <c r="B349" s="103" t="str">
        <f>SJ2513H96!B14</f>
        <v>SJ2513H96/410-412 Entonces, él le dice, salió así como hacían los viejos de antes y miraban para todas las esquinas del cielo y demás.  “ay, que tormenta compadre deme un palo que me voy a dar un palo” y...siguió trabajando.</v>
      </c>
      <c r="C349" s="103" t="str">
        <f>SJ2513H96!C14</f>
        <v>analítico</v>
      </c>
      <c r="D349" s="103" t="str">
        <f>SJ2513H96!D14</f>
        <v>temporal</v>
      </c>
      <c r="E349" s="103">
        <f>SJ2513H96!E14</f>
        <v>1</v>
      </c>
      <c r="F349" s="103">
        <f>SJ2513H96!F14</f>
        <v>0</v>
      </c>
      <c r="G349" s="103">
        <f>SJ2513H96!G14</f>
        <v>0</v>
      </c>
      <c r="H349" s="103">
        <f>SJ2513H96!H14</f>
        <v>0</v>
      </c>
      <c r="I349" s="103">
        <f>SJ2513H96!I14</f>
        <v>0</v>
      </c>
      <c r="J349" s="103">
        <f>SJ2513H96!J14</f>
        <v>0</v>
      </c>
      <c r="K349" s="103">
        <v>3</v>
      </c>
      <c r="L349" s="103" t="s">
        <v>696</v>
      </c>
    </row>
    <row r="350" spans="1:12" customFormat="1">
      <c r="A350" s="103" t="str">
        <f>SJ2513H96!A15</f>
        <v>SJ2513H96</v>
      </c>
      <c r="B350" s="103" t="str">
        <f>SJ2513H96!B15</f>
        <v>SJ2513H96/413-416 Y le decía compadre riéguese dos caballos de yaguas ahí que mañana le voy a insertar la casa, y mi padre le contestó: “compadre, hay tormenta”, “¡qué tormenta, riéguela que no hay ninguna tormenta, mire como está de clarito, está bonito el día, está precioso”.</v>
      </c>
      <c r="C350" s="103" t="str">
        <f>SJ2513H96!C15</f>
        <v>analítico</v>
      </c>
      <c r="D350" s="103" t="str">
        <f>SJ2513H96!D15</f>
        <v>temporal</v>
      </c>
      <c r="E350" s="103">
        <f>SJ2513H96!E15</f>
        <v>1</v>
      </c>
      <c r="F350" s="103">
        <f>SJ2513H96!F15</f>
        <v>1</v>
      </c>
      <c r="G350" s="103">
        <f>SJ2513H96!G15</f>
        <v>0</v>
      </c>
      <c r="H350" s="103">
        <f>SJ2513H96!H15</f>
        <v>2</v>
      </c>
      <c r="I350" s="103">
        <f>SJ2513H96!I15</f>
        <v>0</v>
      </c>
      <c r="J350" s="103">
        <f>SJ2513H96!J15</f>
        <v>0</v>
      </c>
      <c r="K350" s="103">
        <v>3</v>
      </c>
      <c r="L350" s="103" t="s">
        <v>696</v>
      </c>
    </row>
    <row r="351" spans="1:12" customFormat="1">
      <c r="A351" s="103" t="str">
        <f>SJ2513H96!A16</f>
        <v>SJ2513H96</v>
      </c>
      <c r="B351" s="103" t="str">
        <f>SJ2513H96!B16</f>
        <v xml:space="preserve">SJ2513H96/418-420 Entonces, cuando...como a las nueve de la noche se tiró esa ventolera y un aguacero, pero una brisa, pero bien fuerte y mi padre dice: “vente que te voy a llevar a la tormentera de compay Goyo, porque ya empezó la tormenta.  </v>
      </c>
      <c r="C351" s="103" t="str">
        <f>SJ2513H96!C16</f>
        <v>analítico</v>
      </c>
      <c r="D351" s="103" t="str">
        <f>SJ2513H96!D16</f>
        <v>temporal</v>
      </c>
      <c r="E351" s="103">
        <f>SJ2513H96!E16</f>
        <v>1</v>
      </c>
      <c r="F351" s="103">
        <f>SJ2513H96!F16</f>
        <v>0</v>
      </c>
      <c r="G351" s="103">
        <f>SJ2513H96!G16</f>
        <v>0</v>
      </c>
      <c r="H351" s="103">
        <f>SJ2513H96!H16</f>
        <v>0</v>
      </c>
      <c r="I351" s="103">
        <f>SJ2513H96!I16</f>
        <v>0</v>
      </c>
      <c r="J351" s="103">
        <f>SJ2513H96!J16</f>
        <v>0</v>
      </c>
      <c r="K351" s="103">
        <v>3</v>
      </c>
      <c r="L351" s="103" t="s">
        <v>696</v>
      </c>
    </row>
    <row r="352" spans="1:12" customFormat="1">
      <c r="A352" t="str">
        <f>SJ2513H96!A17</f>
        <v>SJ2513H96</v>
      </c>
      <c r="B352" t="str">
        <f>SJ2513H96!B17</f>
        <v xml:space="preserve">SJ2513H96/423-430 Entonces, él empezó a apagarla y cuando...lo que le llaman en una tormenta la revirada él apareció allá todo quemado, la cara quemada, los brazos quemados y...la demás familias que habían allí y siguió esa tormenta soplando y poniéndose más fuerte y más fuerte y la dueña de la casa de...vamos a decir de la casa, la tormentera decía,...esto...”no pasa nada si los coquíes ehh están cantando” y la tormenta desbaratando el mundo y... “están cantando” y cuando hizo lo que llaman la revirada, que se estremeció la tormentera y se rompieron varas y todo, de eso partió la fuerza del viento, ella decía: “ay yo no creo más en los coquíes, yo no creo nada más que en Dios y la Virgen”.  </v>
      </c>
      <c r="C352" t="str">
        <f>SJ2513H96!C17</f>
        <v>analítico</v>
      </c>
      <c r="D352" t="str">
        <f>SJ2513H96!D17</f>
        <v>exhortación</v>
      </c>
      <c r="E352">
        <f>SJ2513H96!E17</f>
        <v>4</v>
      </c>
      <c r="F352">
        <f>SJ2513H96!F17</f>
        <v>0</v>
      </c>
      <c r="G352">
        <f>SJ2513H96!G17</f>
        <v>0</v>
      </c>
      <c r="H352">
        <f>SJ2513H96!H17</f>
        <v>0</v>
      </c>
      <c r="I352">
        <f>SJ2513H96!I17</f>
        <v>0</v>
      </c>
      <c r="J352">
        <f>SJ2513H96!J17</f>
        <v>0</v>
      </c>
      <c r="K352">
        <v>3</v>
      </c>
      <c r="L352" t="s">
        <v>696</v>
      </c>
    </row>
    <row r="353" spans="1:12" customFormat="1">
      <c r="A353" s="103" t="str">
        <f xml:space="preserve">
SJ02713H96!A2</f>
        <v>SJ02713H96</v>
      </c>
      <c r="B353" s="103" t="str">
        <f xml:space="preserve">
SJ02713H96!B2</f>
        <v>SJ02713H96/55-62 De que me voy a fastidiar yo porque yo no sé si él cogió una, una herencia y tuvo el  el d’eso de de hacer esa deso y entonces yo me voy con la envidia detrás de eso, que hoy en día lo que hay es una seria envidia y cosa por tener lo que no puedo, pero voy con un préstamo y me pongo hasta aquí, y después sigue, cómo se dice, el sistema, a lo mejor él ya pagó eso, pero yo soy el que me enredé por estar con la envidia y mirando, por eso es que hoy en día están así, nosotros vivíamos allá, pero entonces cuando cambiamos acá al campo, porque yo estuve allá en la escuela también, pero yo creo que primer grado así y estuve en la Gautier Benítez allá en Santurce</v>
      </c>
      <c r="C353" s="103" t="str">
        <f xml:space="preserve">
SJ02713H96!C2</f>
        <v>analítico</v>
      </c>
      <c r="D353" s="103" t="str">
        <f xml:space="preserve">
SJ02713H96!D2</f>
        <v>temporal</v>
      </c>
      <c r="E353" s="103">
        <f xml:space="preserve">
SJ02713H96!E2</f>
        <v>1</v>
      </c>
      <c r="F353" s="103">
        <f xml:space="preserve">
SJ02713H96!F2</f>
        <v>0</v>
      </c>
      <c r="G353" s="103">
        <f xml:space="preserve">
SJ02713H96!G2</f>
        <v>0</v>
      </c>
      <c r="H353" s="103">
        <f xml:space="preserve">
SJ02713H96!H2</f>
        <v>0</v>
      </c>
      <c r="I353" s="103">
        <f xml:space="preserve">
SJ02713H96!I2</f>
        <v>0</v>
      </c>
      <c r="J353" s="103">
        <f xml:space="preserve">
SJ02713H96!J2</f>
        <v>0</v>
      </c>
      <c r="K353" s="103">
        <v>3</v>
      </c>
      <c r="L353" s="103" t="s">
        <v>696</v>
      </c>
    </row>
    <row r="354" spans="1:12" customFormat="1">
      <c r="A354" t="str">
        <f xml:space="preserve">
SJ02713H96!A3</f>
        <v>SJ02713H96</v>
      </c>
      <c r="B354" t="str">
        <f xml:space="preserve">
SJ02713H96!B3</f>
        <v>SJ02713H96/79-85 durante la semana era un pantalón azul, corbata azul y camisa blanca y su bulto, y cuando llego acá, entonces ya, ya eso ya cambia, eso es otra cosa, entonces allá el viernes era, este, era blanco, los sábados, que diga los, los, los (los viernes) los viernes era de palomo, había que ir vestido de blanco, entonces, o sea, cuando uno llega al campo, pues mira, se, se agarra a lo que hay, había que andar a pie y había que.... las cosas cambiaron, entonces ya hay que andar este descalzo también porque uno se acostumbra y como uno ve a todo el mundo así pues uno dice, ah pues vamos a andar así también, qué, digo</v>
      </c>
      <c r="C354" t="str">
        <f xml:space="preserve">
SJ02713H96!C3</f>
        <v>analítico</v>
      </c>
      <c r="D354" t="str">
        <f xml:space="preserve">
SJ02713H96!D3</f>
        <v>exhortación</v>
      </c>
      <c r="E354">
        <f xml:space="preserve">
SJ02713H96!E3</f>
        <v>4</v>
      </c>
      <c r="F354">
        <f xml:space="preserve">
SJ02713H96!F3</f>
        <v>0</v>
      </c>
      <c r="G354">
        <f xml:space="preserve">
SJ02713H96!G3</f>
        <v>0</v>
      </c>
      <c r="H354">
        <f xml:space="preserve">
SJ02713H96!H3</f>
        <v>0</v>
      </c>
      <c r="I354">
        <f xml:space="preserve">
SJ02713H96!I3</f>
        <v>0</v>
      </c>
      <c r="J354">
        <f xml:space="preserve">
SJ02713H96!J3</f>
        <v>0</v>
      </c>
      <c r="K354">
        <v>3</v>
      </c>
      <c r="L354" t="s">
        <v>696</v>
      </c>
    </row>
    <row r="355" spans="1:12" customFormat="1">
      <c r="A355" s="103" t="str">
        <f xml:space="preserve">
SJ02713H96!A4</f>
        <v>SJ02713H96</v>
      </c>
      <c r="B355" s="103" t="str">
        <f xml:space="preserve">
SJ02713H96!B4</f>
        <v>SJ02713H96/127-133 […] y antes, te voy a decir una cosa, y antes, yo sé porque yo llegué a ver, antes las mujeres no se raspaban debajo del, ahí debajo de de las axilas, no se raspaban, hoy en día las mujeres se raspan todas, entonces no se quieren ver un vellito ahí, no, no, no, y antes era escaso el jabón, el jabón también era escaso porque la gente antes no tenía ese privilegio de tener mucho perfume, hoy el pobre tiene mucho perfume en la casa, tiene desodorante, mire que uno sale así a “rompe y raja” como dicen, salían bien olorosos y bien arregladitos […]</v>
      </c>
      <c r="C355" s="103" t="str">
        <f xml:space="preserve">
SJ02713H96!C4</f>
        <v>analítico</v>
      </c>
      <c r="D355" s="103" t="str">
        <f xml:space="preserve">
SJ02713H96!D4</f>
        <v>temporal</v>
      </c>
      <c r="E355" s="103">
        <f xml:space="preserve">
SJ02713H96!E4</f>
        <v>1</v>
      </c>
      <c r="F355" s="103">
        <f xml:space="preserve">
SJ02713H96!F4</f>
        <v>0</v>
      </c>
      <c r="G355" s="103">
        <f xml:space="preserve">
SJ02713H96!G4</f>
        <v>0</v>
      </c>
      <c r="H355" s="103">
        <f xml:space="preserve">
SJ02713H96!H4</f>
        <v>0</v>
      </c>
      <c r="I355" s="103">
        <f xml:space="preserve">
SJ02713H96!I4</f>
        <v>0</v>
      </c>
      <c r="J355" s="103">
        <f xml:space="preserve">
SJ02713H96!J4</f>
        <v>0</v>
      </c>
      <c r="K355" s="103">
        <v>3</v>
      </c>
      <c r="L355" s="103" t="s">
        <v>696</v>
      </c>
    </row>
    <row r="356" spans="1:12" customFormat="1">
      <c r="A356" s="103" t="str">
        <f xml:space="preserve">
SJ02713H96!A5</f>
        <v>SJ02713H96</v>
      </c>
      <c r="B356" s="103" t="str">
        <f xml:space="preserve">
SJ02713H96!B5</f>
        <v>SJ02713H96/166-170A […] hoy día usted ve al pobre, mire, cuida’o, ustedes ahí usted le va a ver el microonda y va a ver tiene un libro de cocina que se pone a cocinar allí, antes no, antes las amas de casa lo que tenían era un de su mente de lo que hacía y que rico era, era bueno porque como no había que pensar que había que pagar agua, no había que pagar luz, no había que pagar la mueblería, había que pagar este el préstamo</v>
      </c>
      <c r="C356" s="103" t="str">
        <f xml:space="preserve">
SJ02713H96!C5</f>
        <v>analítico</v>
      </c>
      <c r="D356" s="103" t="str">
        <f xml:space="preserve">
SJ02713H96!D5</f>
        <v>temporal</v>
      </c>
      <c r="E356" s="103">
        <f xml:space="preserve">
SJ02713H96!E5</f>
        <v>3</v>
      </c>
      <c r="F356" s="103">
        <f xml:space="preserve">
SJ02713H96!F5</f>
        <v>0</v>
      </c>
      <c r="G356" s="103">
        <f xml:space="preserve">
SJ02713H96!G5</f>
        <v>0</v>
      </c>
      <c r="H356" s="103">
        <f xml:space="preserve">
SJ02713H96!H5</f>
        <v>0</v>
      </c>
      <c r="I356" s="103">
        <f xml:space="preserve">
SJ02713H96!I5</f>
        <v>0</v>
      </c>
      <c r="J356" s="103">
        <f xml:space="preserve">
SJ02713H96!J5</f>
        <v>0</v>
      </c>
      <c r="K356" s="103">
        <v>3</v>
      </c>
      <c r="L356" s="103" t="s">
        <v>696</v>
      </c>
    </row>
    <row r="357" spans="1:12">
      <c r="A357" s="103" t="str">
        <f xml:space="preserve">
SJ02713H96!A6</f>
        <v>SJ02713H96</v>
      </c>
      <c r="B357" s="103" t="str">
        <f xml:space="preserve">
SJ02713H96!B6</f>
        <v>SJ02713H96/166-170B […] hoy día usted ve al pobre, mire, cuida’o, ustedes ahí usted le va a ver el microonda y va a ver tiene un libro de cocina que se pone a cocinar allí, antes no, antes las amas de casa lo que tenían era un de su mente de lo que hacía y que rico era, era bueno porque como no había que pensar que había que pagar agua, no había que pagar luz, no había que pagar la mueblería, había que pagar este el préstamo</v>
      </c>
      <c r="C357" s="103" t="str">
        <f xml:space="preserve">
SJ02713H96!C6</f>
        <v>analítico</v>
      </c>
      <c r="D357" s="103" t="str">
        <f xml:space="preserve">
SJ02713H96!D6</f>
        <v>temporal</v>
      </c>
      <c r="E357" s="103">
        <f xml:space="preserve">
SJ02713H96!E6</f>
        <v>3</v>
      </c>
      <c r="F357" s="103">
        <f xml:space="preserve">
SJ02713H96!F6</f>
        <v>0</v>
      </c>
      <c r="G357" s="103">
        <f xml:space="preserve">
SJ02713H96!G6</f>
        <v>0</v>
      </c>
      <c r="H357" s="103">
        <f xml:space="preserve">
SJ02713H96!H6</f>
        <v>0</v>
      </c>
      <c r="I357" s="103">
        <f xml:space="preserve">
SJ02713H96!I6</f>
        <v>0</v>
      </c>
      <c r="J357" s="103">
        <f xml:space="preserve">
SJ02713H96!J6</f>
        <v>0</v>
      </c>
      <c r="K357" s="103">
        <v>3</v>
      </c>
      <c r="L357" s="103" t="s">
        <v>696</v>
      </c>
    </row>
    <row r="358" spans="1:12">
      <c r="A358" t="str">
        <f xml:space="preserve">
SJ02713H96!A7</f>
        <v>SJ02713H96</v>
      </c>
      <c r="B358" t="str">
        <f xml:space="preserve">
SJ02713H96!B7</f>
        <v>SJ02713H96/191 No, por aquí, ¿qué fiesta va a haber?</v>
      </c>
      <c r="C358" t="str">
        <f xml:space="preserve">
SJ02713H96!C7</f>
        <v>analítico</v>
      </c>
      <c r="D358" t="str">
        <f xml:space="preserve">
SJ02713H96!D7</f>
        <v>sorpresa</v>
      </c>
      <c r="E358">
        <f xml:space="preserve">
SJ02713H96!E7</f>
        <v>3</v>
      </c>
      <c r="F358">
        <f xml:space="preserve">
SJ02713H96!F7</f>
        <v>0</v>
      </c>
      <c r="G358">
        <f xml:space="preserve">
SJ02713H96!G7</f>
        <v>0</v>
      </c>
      <c r="H358">
        <f xml:space="preserve">
SJ02713H96!H7</f>
        <v>0</v>
      </c>
      <c r="I358">
        <f xml:space="preserve">
SJ02713H96!I7</f>
        <v>0</v>
      </c>
      <c r="J358">
        <f xml:space="preserve">
SJ02713H96!J7</f>
        <v>0</v>
      </c>
      <c r="K358">
        <v>3</v>
      </c>
      <c r="L358" t="s">
        <v>696</v>
      </c>
    </row>
    <row r="359" spans="1:12" customFormat="1">
      <c r="A359" t="str">
        <f xml:space="preserve">
SJ02713H96!A8</f>
        <v>SJ02713H96</v>
      </c>
      <c r="B359" t="str">
        <f xml:space="preserve">
SJ02713H96!B8</f>
        <v>SJ02713H96/242-246 ... no y hablando de, de, de las cosas porque legalmente hoy en día es un privilegio porque se ha visto tantas cosas y tanto adelanto, y vamos a ver ese adelanto parece que tembién ha sido un poquito, se pone uno bien en las cosas porque uno está bien pero pa’ otro sistema, es un gasto terrible porque hoy en día y ese... antes no había cupones, había una PRA como decían la PRA, pero no había cupones</v>
      </c>
      <c r="C359" t="str">
        <f xml:space="preserve">
SJ02713H96!C8</f>
        <v>analítico</v>
      </c>
      <c r="D359" t="str">
        <f xml:space="preserve">
SJ02713H96!D8</f>
        <v>exhortación</v>
      </c>
      <c r="E359">
        <f xml:space="preserve">
SJ02713H96!E8</f>
        <v>4</v>
      </c>
      <c r="F359">
        <f xml:space="preserve">
SJ02713H96!F8</f>
        <v>0</v>
      </c>
      <c r="G359">
        <f xml:space="preserve">
SJ02713H96!G8</f>
        <v>0</v>
      </c>
      <c r="H359">
        <f xml:space="preserve">
SJ02713H96!H8</f>
        <v>0</v>
      </c>
      <c r="I359">
        <f xml:space="preserve">
SJ02713H96!I8</f>
        <v>0</v>
      </c>
      <c r="J359">
        <f xml:space="preserve">
SJ02713H96!J8</f>
        <v>0</v>
      </c>
      <c r="K359">
        <v>3</v>
      </c>
      <c r="L359" t="s">
        <v>696</v>
      </c>
    </row>
    <row r="360" spans="1:12" customFormat="1">
      <c r="A360" t="str">
        <f xml:space="preserve">
SJ02713H96!A9</f>
        <v>SJ02713H96</v>
      </c>
      <c r="B360" t="str">
        <f xml:space="preserve">
SJ02713H96!B9</f>
        <v>SJ02713H96/343-349 y antes los muertos había que llevarlos a mano, y hoy en día tú bajas en el gran fúnebre, y en el gran fúnebre y vas tú montá ahí, durmiendo, mire ahí pa’llá pa’l hoyo y usted va en su buen coche montaíta, antes era a mano que muchos jamaquiones daba, y párate aquí ahora, y uno cambiando de mano... toma, cógelo tú ahora, cógela tú ahora y decían después cuando estaban llegando al cementerio, siempre decían, qué mucho pesa y se ponían y que a pesar a los muertos y qué será eso, yo mismo decía qué es eso, ¿tú has oido eso? Qué mucho pesa, ¡tú también estás viejita sabes!</v>
      </c>
      <c r="C360" t="str">
        <f xml:space="preserve">
SJ02713H96!C9</f>
        <v>morfológico</v>
      </c>
      <c r="D360" t="str">
        <f xml:space="preserve">
SJ02713H96!D9</f>
        <v>sorpresa</v>
      </c>
      <c r="E360">
        <f xml:space="preserve">
SJ02713H96!E9</f>
        <v>3</v>
      </c>
      <c r="F360">
        <f xml:space="preserve">
SJ02713H96!F9</f>
        <v>0</v>
      </c>
      <c r="G360">
        <f xml:space="preserve">
SJ02713H96!G9</f>
        <v>0</v>
      </c>
      <c r="H360">
        <f xml:space="preserve">
SJ02713H96!H9</f>
        <v>0</v>
      </c>
      <c r="I360">
        <f xml:space="preserve">
SJ02713H96!I9</f>
        <v>0</v>
      </c>
      <c r="J360">
        <f xml:space="preserve">
SJ02713H96!J9</f>
        <v>0</v>
      </c>
      <c r="K360">
        <v>3</v>
      </c>
      <c r="L360" t="s">
        <v>696</v>
      </c>
    </row>
    <row r="361" spans="1:12" customFormat="1">
      <c r="A361" s="103" t="str">
        <f xml:space="preserve">
SJ02713H96!A10</f>
        <v>SJ02713H96</v>
      </c>
      <c r="B361" s="103" t="str">
        <f xml:space="preserve">
SJ02713H96!B10</f>
        <v>SJ02713H96/357-359A hoy en día lo, lo, lo, eso sale de allá de la funeraria, bueno, pa’tal hora tienes que ir allá y si no tienes carro y no tienes quién te lleve, no puedes ver el muerto, y aunque el muerto no te va a ver a ti tampoco, pero ahí vamos, entonces la vida era...</v>
      </c>
      <c r="C361" s="103" t="str">
        <f xml:space="preserve">
SJ02713H96!C10</f>
        <v>presente</v>
      </c>
      <c r="D361" s="103" t="str">
        <f xml:space="preserve">
SJ02713H96!D10</f>
        <v>temporal</v>
      </c>
      <c r="E361" s="103">
        <f xml:space="preserve">
SJ02713H96!E10</f>
        <v>2</v>
      </c>
      <c r="F361" s="103">
        <f xml:space="preserve">
SJ02713H96!F10</f>
        <v>0</v>
      </c>
      <c r="G361" s="103">
        <f xml:space="preserve">
SJ02713H96!G10</f>
        <v>0</v>
      </c>
      <c r="H361" s="103">
        <f xml:space="preserve">
SJ02713H96!H10</f>
        <v>0</v>
      </c>
      <c r="I361" s="103">
        <f xml:space="preserve">
SJ02713H96!I10</f>
        <v>0</v>
      </c>
      <c r="J361" s="103">
        <f xml:space="preserve">
SJ02713H96!J10</f>
        <v>1</v>
      </c>
      <c r="K361" s="103">
        <v>3</v>
      </c>
      <c r="L361" s="103" t="s">
        <v>696</v>
      </c>
    </row>
    <row r="362" spans="1:12">
      <c r="A362" s="103" t="str">
        <f xml:space="preserve">
SJ02713H96!A11</f>
        <v>SJ02713H96</v>
      </c>
      <c r="B362" s="103" t="str">
        <f xml:space="preserve">
SJ02713H96!B11</f>
        <v>SJ02713H96/357-359B hoy en día lo, lo, lo, eso sale de allá de la funeraria, bueno, pa’tal hora tienes que ir allá y si no tienes carro y no tienes quién te lleve, no puedes ver el muerto, y aunque el muerto no te va a ver a ti tampoco, pero ahí vamos, entonces la vida era...</v>
      </c>
      <c r="C362" s="103" t="str">
        <f xml:space="preserve">
SJ02713H96!C11</f>
        <v>analítico</v>
      </c>
      <c r="D362" s="103" t="str">
        <f xml:space="preserve">
SJ02713H96!D11</f>
        <v>temporal</v>
      </c>
      <c r="E362" s="103">
        <f xml:space="preserve">
SJ02713H96!E11</f>
        <v>3</v>
      </c>
      <c r="F362" s="103">
        <f xml:space="preserve">
SJ02713H96!F11</f>
        <v>0</v>
      </c>
      <c r="G362" s="103">
        <f xml:space="preserve">
SJ02713H96!G11</f>
        <v>1</v>
      </c>
      <c r="H362" s="103">
        <f xml:space="preserve">
SJ02713H96!H11</f>
        <v>0</v>
      </c>
      <c r="I362" s="103">
        <f xml:space="preserve">
SJ02713H96!I11</f>
        <v>1</v>
      </c>
      <c r="J362" s="103">
        <f xml:space="preserve">
SJ02713H96!J11</f>
        <v>0</v>
      </c>
      <c r="K362" s="103">
        <v>3</v>
      </c>
      <c r="L362" s="103" t="s">
        <v>696</v>
      </c>
    </row>
    <row r="363" spans="1:12" customFormat="1">
      <c r="A363" t="str">
        <f xml:space="preserve">
SJ02713H96!A12</f>
        <v>SJ02713H96</v>
      </c>
      <c r="B363" t="str">
        <f xml:space="preserve">
SJ02713H96!B12</f>
        <v>SJ02713H96/371-375 no había luz, y cualquiera iba y hacía cualquier invento o algo pero que como tal árbol de navidad hoy en día el más pobre el que no lo tenía antes y quiere llegar a eso, rápido va y lo compra, vamos a ver cómo funciona esto, y se compra un montón de, de estrellas y bombillas y dice esto era lo que usaban antes aquellos que tenían luz, pero nosotros no teníamos […]</v>
      </c>
      <c r="C363" t="str">
        <f xml:space="preserve">
SJ02713H96!C12</f>
        <v>analítico</v>
      </c>
      <c r="D363" t="str">
        <f xml:space="preserve">
SJ02713H96!D12</f>
        <v>exhortación</v>
      </c>
      <c r="E363">
        <f xml:space="preserve">
SJ02713H96!E12</f>
        <v>4</v>
      </c>
      <c r="F363">
        <f xml:space="preserve">
SJ02713H96!F12</f>
        <v>0</v>
      </c>
      <c r="G363">
        <f xml:space="preserve">
SJ02713H96!G12</f>
        <v>0</v>
      </c>
      <c r="H363">
        <f xml:space="preserve">
SJ02713H96!H12</f>
        <v>0</v>
      </c>
      <c r="I363">
        <f xml:space="preserve">
SJ02713H96!I12</f>
        <v>0</v>
      </c>
      <c r="J363">
        <f xml:space="preserve">
SJ02713H96!J12</f>
        <v>0</v>
      </c>
      <c r="K363">
        <v>3</v>
      </c>
      <c r="L363" t="s">
        <v>696</v>
      </c>
    </row>
    <row r="364" spans="1:12" customFormat="1">
      <c r="A364" s="103" t="str">
        <f xml:space="preserve">
SJ02713H96!A13</f>
        <v>SJ02713H96</v>
      </c>
      <c r="B364" s="103" t="str">
        <f xml:space="preserve">
SJ02713H96!B13</f>
        <v>SJ02713H96/387-392A de ahora yo le señalo no, coge allí a la derecha, allí dobla y a la izquierda, vas a ver el letrero, ah, pero antes como no había que decirle vas a doblar allí a la izquierda, porque eso, antes lo que había era una carretera de ahí, de ahí a allá, y la de Caguas de allá a allá, pero que tú sabes que era el sistema, y antes no había que decirle mire, doble aquí doble, porque esto era recta, ahora no, ahora hay caminos que en esa misma carrtera que esa era la 842</v>
      </c>
      <c r="C364" s="103" t="str">
        <f xml:space="preserve">
SJ02713H96!C13</f>
        <v>analítico</v>
      </c>
      <c r="D364" s="103" t="str">
        <f xml:space="preserve">
SJ02713H96!D13</f>
        <v>temporal</v>
      </c>
      <c r="E364" s="103">
        <f xml:space="preserve">
SJ02713H96!E13</f>
        <v>2</v>
      </c>
      <c r="F364" s="103">
        <f xml:space="preserve">
SJ02713H96!F13</f>
        <v>0</v>
      </c>
      <c r="G364" s="103">
        <f xml:space="preserve">
SJ02713H96!G13</f>
        <v>0</v>
      </c>
      <c r="H364" s="103">
        <f xml:space="preserve">
SJ02713H96!H13</f>
        <v>0</v>
      </c>
      <c r="I364" s="103">
        <f xml:space="preserve">
SJ02713H96!I13</f>
        <v>0</v>
      </c>
      <c r="J364" s="103">
        <f xml:space="preserve">
SJ02713H96!J13</f>
        <v>0</v>
      </c>
      <c r="K364" s="103">
        <v>3</v>
      </c>
      <c r="L364" s="103" t="s">
        <v>696</v>
      </c>
    </row>
    <row r="365" spans="1:12" customFormat="1">
      <c r="A365" s="103" t="str">
        <f xml:space="preserve">
SJ02713H96!A14</f>
        <v>SJ02713H96</v>
      </c>
      <c r="B365" s="103" t="str">
        <f xml:space="preserve">
SJ02713H96!B14</f>
        <v>SJ02713H96/387-392B de ahora yo le señalo no, coge allí a la derecha, allí dobla y a la izquierda, vas a ver el letrero, ah, pero antes como no había que decirle vas a doblar allí a la izquierda, porque eso, antes lo que había era una carretera de ahí, de ahí a allá, y la de Caguas de allá a allá, pero que tú sabes que era el sistema, y antes no había que decirle mire, doble aquí doble, porque esto era recta, ahora no, ahora hay caminos que en esa misma carrtera que esa era la 842</v>
      </c>
      <c r="C365" s="103" t="str">
        <f xml:space="preserve">
SJ02713H96!C14</f>
        <v>analítico</v>
      </c>
      <c r="D365" s="103" t="str">
        <f xml:space="preserve">
SJ02713H96!D14</f>
        <v>temporal</v>
      </c>
      <c r="E365" s="103">
        <f xml:space="preserve">
SJ02713H96!E14</f>
        <v>2</v>
      </c>
      <c r="F365" s="103">
        <f xml:space="preserve">
SJ02713H96!F14</f>
        <v>0</v>
      </c>
      <c r="G365" s="103">
        <f xml:space="preserve">
SJ02713H96!G14</f>
        <v>0</v>
      </c>
      <c r="H365" s="103">
        <f xml:space="preserve">
SJ02713H96!H14</f>
        <v>0</v>
      </c>
      <c r="I365" s="103">
        <f xml:space="preserve">
SJ02713H96!I14</f>
        <v>0</v>
      </c>
      <c r="J365" s="103">
        <f xml:space="preserve">
SJ02713H96!J14</f>
        <v>0</v>
      </c>
      <c r="K365" s="103">
        <v>3</v>
      </c>
      <c r="L365" s="103" t="s">
        <v>696</v>
      </c>
    </row>
    <row r="366" spans="1:12" customFormat="1">
      <c r="A366" s="103" t="str">
        <f xml:space="preserve">
SJ02713H96!A15</f>
        <v>SJ02713H96</v>
      </c>
      <c r="B366" s="103" t="str">
        <f xml:space="preserve">
SJ02713H96!B15</f>
        <v>SJ02713H96/407-413A El que atiende es otro personal, antes te atendían los de aquí, pero ahora tú vas a pagar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v>
      </c>
      <c r="C366" s="103" t="str">
        <f xml:space="preserve">
SJ02713H96!C15</f>
        <v>analítico</v>
      </c>
      <c r="D366" s="103" t="str">
        <f xml:space="preserve">
SJ02713H96!D15</f>
        <v>temporal</v>
      </c>
      <c r="E366" s="103">
        <f xml:space="preserve">
SJ02713H96!E15</f>
        <v>2</v>
      </c>
      <c r="F366" s="103">
        <f xml:space="preserve">
SJ02713H96!F15</f>
        <v>0</v>
      </c>
      <c r="G366" s="103">
        <f xml:space="preserve">
SJ02713H96!G15</f>
        <v>0</v>
      </c>
      <c r="H366" s="103">
        <f xml:space="preserve">
SJ02713H96!H15</f>
        <v>0</v>
      </c>
      <c r="I366" s="103">
        <f xml:space="preserve">
SJ02713H96!I15</f>
        <v>0</v>
      </c>
      <c r="J366" s="103">
        <f xml:space="preserve">
SJ02713H96!J15</f>
        <v>0</v>
      </c>
      <c r="K366" s="103">
        <v>3</v>
      </c>
      <c r="L366" s="103" t="s">
        <v>696</v>
      </c>
    </row>
    <row r="367" spans="1:12" customFormat="1">
      <c r="A367" s="103" t="str">
        <f xml:space="preserve">
SJ02713H96!A16</f>
        <v>SJ02713H96</v>
      </c>
      <c r="B367" s="103" t="str">
        <f xml:space="preserve">
SJ02713H96!B16</f>
        <v>SJ02713H96/407-413B El que atiende es otro personal, antes te atendían los de aquí, pero ahora tú vas a pagar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v>
      </c>
      <c r="C367" s="103" t="str">
        <f xml:space="preserve">
SJ02713H96!C16</f>
        <v>analítico</v>
      </c>
      <c r="D367" s="103" t="str">
        <f xml:space="preserve">
SJ02713H96!D16</f>
        <v>temporal</v>
      </c>
      <c r="E367" s="103">
        <f xml:space="preserve">
SJ02713H96!E16</f>
        <v>6</v>
      </c>
      <c r="F367" s="103">
        <f xml:space="preserve">
SJ02713H96!F16</f>
        <v>0</v>
      </c>
      <c r="G367" s="103">
        <f xml:space="preserve">
SJ02713H96!G16</f>
        <v>0</v>
      </c>
      <c r="H367" s="103">
        <f xml:space="preserve">
SJ02713H96!H16</f>
        <v>0</v>
      </c>
      <c r="I367" s="103">
        <f xml:space="preserve">
SJ02713H96!I16</f>
        <v>0</v>
      </c>
      <c r="J367" s="103">
        <f xml:space="preserve">
SJ02713H96!J16</f>
        <v>0</v>
      </c>
      <c r="K367" s="103">
        <v>3</v>
      </c>
      <c r="L367" s="103" t="s">
        <v>696</v>
      </c>
    </row>
    <row r="368" spans="1:12">
      <c r="A368" s="103" t="str">
        <f xml:space="preserve">
SJ02713H96!A17</f>
        <v>SJ02713H96</v>
      </c>
      <c r="B368" s="103" t="str">
        <f xml:space="preserve">
SJ02713H96!B17</f>
        <v>SJ02713H96/407-413C El que atiende es otro personal, antes te atendían los de aquí, pero ahora tú vas a pagar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v>
      </c>
      <c r="C368" s="103" t="str">
        <f xml:space="preserve">
SJ02713H96!C17</f>
        <v>analítico</v>
      </c>
      <c r="D368" s="103" t="str">
        <f xml:space="preserve">
SJ02713H96!D17</f>
        <v>temporal</v>
      </c>
      <c r="E368" s="103">
        <f xml:space="preserve">
SJ02713H96!E17</f>
        <v>6</v>
      </c>
      <c r="F368" s="103">
        <f xml:space="preserve">
SJ02713H96!F17</f>
        <v>0</v>
      </c>
      <c r="G368" s="103">
        <f xml:space="preserve">
SJ02713H96!G17</f>
        <v>0</v>
      </c>
      <c r="H368" s="103">
        <f xml:space="preserve">
SJ02713H96!H17</f>
        <v>0</v>
      </c>
      <c r="I368" s="103">
        <f xml:space="preserve">
SJ02713H96!I17</f>
        <v>0</v>
      </c>
      <c r="J368" s="103">
        <f xml:space="preserve">
SJ02713H96!J17</f>
        <v>0</v>
      </c>
      <c r="K368" s="103">
        <v>3</v>
      </c>
      <c r="L368" s="103" t="s">
        <v>696</v>
      </c>
    </row>
    <row r="369" spans="1:12" customFormat="1">
      <c r="A369" s="103" t="str">
        <f xml:space="preserve">
SJ02713H96!A18</f>
        <v>SJ02713H96</v>
      </c>
      <c r="B369" s="103" t="str">
        <f xml:space="preserve">
SJ02713H96!B18</f>
        <v>SJ02713H96/407-413D El que atiende es otro personal, antes te atendían los de aquí, pero ahora tú vas a pagar al mercado te van a atender los dominicanos son los que te van a atender porque eso es de ellos, (ya se han adueñado de todo) sí, ellos  ya están este, en ese traqueteo, como uno dice, y, pero que te quitaron ya la deso de tú ir a compartir con los mismos tuyos, tú sabes que era el que te hablaba claro, mira esto es así y así, pero ahora vas a compartir con el dominicano, que es el que, ellos se han adueñado de eso ahí, de esa plaza, yo quisiera que tu fueras para que tú chequiaras cómo está eso.</v>
      </c>
      <c r="C369" s="103" t="str">
        <f xml:space="preserve">
SJ02713H96!C18</f>
        <v>analítico</v>
      </c>
      <c r="D369" s="103" t="str">
        <f xml:space="preserve">
SJ02713H96!D18</f>
        <v>temporal</v>
      </c>
      <c r="E369" s="103">
        <f xml:space="preserve">
SJ02713H96!E18</f>
        <v>2</v>
      </c>
      <c r="F369" s="103">
        <f xml:space="preserve">
SJ02713H96!F18</f>
        <v>1</v>
      </c>
      <c r="G369" s="103">
        <f xml:space="preserve">
SJ02713H96!G18</f>
        <v>0</v>
      </c>
      <c r="H369" s="103">
        <f xml:space="preserve">
SJ02713H96!H18</f>
        <v>0</v>
      </c>
      <c r="I369" s="103">
        <f xml:space="preserve">
SJ02713H96!I18</f>
        <v>0</v>
      </c>
      <c r="J369" s="103">
        <f xml:space="preserve">
SJ02713H96!J18</f>
        <v>0</v>
      </c>
      <c r="K369" s="103">
        <v>3</v>
      </c>
      <c r="L369" s="103" t="s">
        <v>696</v>
      </c>
    </row>
    <row r="370" spans="1:12" customFormat="1">
      <c r="A370" s="103" t="str">
        <f xml:space="preserve">
SJ02713H96!A19</f>
        <v>SJ02713H96</v>
      </c>
      <c r="B370" s="103" t="str">
        <f xml:space="preserve">
SJ02713H96!B19</f>
        <v>SJ02713H96/453-455A quiero hacer voy a pintarme el pelo y voy a ver .... a veces con cinco pantallas en una oreja, seis y siete, tú sabes lo que es eso verdad, seis pantallitas metidas en la oreja</v>
      </c>
      <c r="C370" s="103" t="str">
        <f xml:space="preserve">
SJ02713H96!C19</f>
        <v>analítico</v>
      </c>
      <c r="D370" s="103" t="str">
        <f xml:space="preserve">
SJ02713H96!D19</f>
        <v>temporal</v>
      </c>
      <c r="E370" s="103">
        <f xml:space="preserve">
SJ02713H96!E19</f>
        <v>1</v>
      </c>
      <c r="F370" s="103">
        <f xml:space="preserve">
SJ02713H96!F19</f>
        <v>0</v>
      </c>
      <c r="G370" s="103">
        <f xml:space="preserve">
SJ02713H96!G19</f>
        <v>0</v>
      </c>
      <c r="H370" s="103">
        <f xml:space="preserve">
SJ02713H96!H19</f>
        <v>0</v>
      </c>
      <c r="I370" s="103">
        <f xml:space="preserve">
SJ02713H96!I19</f>
        <v>0</v>
      </c>
      <c r="J370" s="103">
        <f xml:space="preserve">
SJ02713H96!J19</f>
        <v>0</v>
      </c>
      <c r="K370" s="103">
        <v>3</v>
      </c>
      <c r="L370" s="103" t="s">
        <v>696</v>
      </c>
    </row>
    <row r="371" spans="1:12" customFormat="1">
      <c r="A371" s="103" t="str">
        <f xml:space="preserve">
SJ02713H96!A20</f>
        <v>SJ02713H96</v>
      </c>
      <c r="B371" s="103" t="str">
        <f xml:space="preserve">
SJ02713H96!B20</f>
        <v>SJ02713H96/453-455B quiero hacer voy a pintarme el pelo y voy a ver .... a veces con cinco pantallas en una oreja, seis y siete, tú sabes lo que es eso verdad, seis pantallitas metidas en la oreja</v>
      </c>
      <c r="C371" s="103" t="str">
        <f xml:space="preserve">
SJ02713H96!C20</f>
        <v>analítico</v>
      </c>
      <c r="D371" s="103" t="str">
        <f xml:space="preserve">
SJ02713H96!D20</f>
        <v>temporal</v>
      </c>
      <c r="E371" s="103">
        <f xml:space="preserve">
SJ02713H96!E20</f>
        <v>1</v>
      </c>
      <c r="F371" s="103">
        <f xml:space="preserve">
SJ02713H96!F20</f>
        <v>0</v>
      </c>
      <c r="G371" s="103">
        <f xml:space="preserve">
SJ02713H96!G20</f>
        <v>0</v>
      </c>
      <c r="H371" s="103">
        <f xml:space="preserve">
SJ02713H96!H20</f>
        <v>0</v>
      </c>
      <c r="I371" s="103">
        <f xml:space="preserve">
SJ02713H96!I20</f>
        <v>0</v>
      </c>
      <c r="J371" s="103">
        <f xml:space="preserve">
SJ02713H96!J20</f>
        <v>0</v>
      </c>
      <c r="K371" s="103">
        <v>3</v>
      </c>
      <c r="L371" s="103" t="s">
        <v>696</v>
      </c>
    </row>
    <row r="372" spans="1:12" customFormat="1">
      <c r="A372" s="103" t="str">
        <f xml:space="preserve">
SJ02713H96!A21</f>
        <v>SJ02713H96</v>
      </c>
      <c r="B372" s="103" t="str">
        <f xml:space="preserve">
SJ02713H96!B21</f>
        <v>SJ02713H96/564-567 entoces si ustedes se ponen a hacer tesoros aquí acuérdense que el otro los está velando, no van a dormir tranquilos porque puede venir a media noche un ladrón, y hoy en día lo que hay es pistola, hoy en día es pum, pum, hoy en día no hay, no hay ese break, ese día, hoy en día es pistola</v>
      </c>
      <c r="C372" s="103" t="str">
        <f xml:space="preserve">
SJ02713H96!C21</f>
        <v>analítico</v>
      </c>
      <c r="D372" s="103" t="str">
        <f xml:space="preserve">
SJ02713H96!D21</f>
        <v>temporal</v>
      </c>
      <c r="E372" s="103">
        <f xml:space="preserve">
SJ02713H96!E21</f>
        <v>6</v>
      </c>
      <c r="F372" s="103">
        <f xml:space="preserve">
SJ02713H96!F21</f>
        <v>0</v>
      </c>
      <c r="G372" s="103">
        <f xml:space="preserve">
SJ02713H96!G21</f>
        <v>1</v>
      </c>
      <c r="H372" s="103">
        <f xml:space="preserve">
SJ02713H96!H21</f>
        <v>0</v>
      </c>
      <c r="I372" s="103">
        <f xml:space="preserve">
SJ02713H96!I21</f>
        <v>0</v>
      </c>
      <c r="J372" s="103">
        <f xml:space="preserve">
SJ02713H96!J21</f>
        <v>1</v>
      </c>
      <c r="K372" s="103">
        <v>3</v>
      </c>
      <c r="L372" s="103" t="s">
        <v>696</v>
      </c>
    </row>
    <row r="373" spans="1:12" customFormat="1">
      <c r="A373" s="103" t="str">
        <f xml:space="preserve">
SJ02713H96!A22</f>
        <v>SJ02713H96</v>
      </c>
      <c r="B373" s="103" t="str">
        <f xml:space="preserve">
SJ02713H96!B22</f>
        <v>SJ02713H96/571-574 yo me voy a sacrificar por esto, pero que no tiene obediencia, y si usted no tiene obediencia no, no esté buscando reino del cielo, no diga, yo le digo a veces para dónde va, para dónde va, qué busca porque realmente a veces uno busca lo más lo material, que lo espiritual, que lo espiritual</v>
      </c>
      <c r="C373" s="103" t="str">
        <f xml:space="preserve">
SJ02713H96!C22</f>
        <v>analítico</v>
      </c>
      <c r="D373" s="103" t="str">
        <f xml:space="preserve">
SJ02713H96!D22</f>
        <v>temporal</v>
      </c>
      <c r="E373" s="103">
        <f xml:space="preserve">
SJ02713H96!E22</f>
        <v>1</v>
      </c>
      <c r="F373" s="103">
        <f xml:space="preserve">
SJ02713H96!F22</f>
        <v>0</v>
      </c>
      <c r="G373" s="103">
        <f xml:space="preserve">
SJ02713H96!G22</f>
        <v>0</v>
      </c>
      <c r="H373" s="103">
        <f xml:space="preserve">
SJ02713H96!H22</f>
        <v>0</v>
      </c>
      <c r="I373" s="103">
        <f xml:space="preserve">
SJ02713H96!I22</f>
        <v>0</v>
      </c>
      <c r="J373" s="103">
        <f xml:space="preserve">
SJ02713H96!J22</f>
        <v>0</v>
      </c>
      <c r="K373" s="103">
        <v>3</v>
      </c>
      <c r="L373" s="103" t="s">
        <v>696</v>
      </c>
    </row>
    <row r="374" spans="1:12" customFormat="1">
      <c r="A374" s="103" t="str">
        <f>SJ3123H96!A2</f>
        <v>SJ3123H96</v>
      </c>
      <c r="B374" s="103" t="str">
        <f>SJ3123H96!B2</f>
        <v>SJ3123H96/152-157A Tiene que ser hacerlo [divorciarse], porque si uno vive con una pareja no se supone que no, que no se llevan, verdad, que no pueden estar de acuerdo y es una pelea, es un infierno todo el tiempo, pues, en ese caso el divorcio, pues, sería la solución, pero yo me creo que uno antes de...cuando se va a casar, pues, buscar la pareja, tú sabes, para que por lo menos eso no...suceda el mismo, siempre va a suceder.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v>
      </c>
      <c r="C374" s="103" t="str">
        <f>SJ3123H96!C2</f>
        <v>analítico</v>
      </c>
      <c r="D374" s="103" t="str">
        <f>SJ3123H96!D2</f>
        <v>temporal</v>
      </c>
      <c r="E374" s="103">
        <f>SJ3123H96!E2</f>
        <v>3</v>
      </c>
      <c r="F374" s="103">
        <f>SJ3123H96!F2</f>
        <v>0</v>
      </c>
      <c r="G374" s="103">
        <f>SJ3123H96!G2</f>
        <v>0</v>
      </c>
      <c r="H374" s="103">
        <f>SJ3123H96!H2</f>
        <v>0</v>
      </c>
      <c r="I374" s="103">
        <f>SJ3123H96!I2</f>
        <v>0</v>
      </c>
      <c r="J374" s="103">
        <f>SJ3123H96!J2</f>
        <v>0</v>
      </c>
      <c r="K374" s="103">
        <v>3</v>
      </c>
      <c r="L374" s="103" t="s">
        <v>696</v>
      </c>
    </row>
    <row r="375" spans="1:12" customFormat="1">
      <c r="A375" s="103" t="str">
        <f>SJ3123H96!A3</f>
        <v>SJ3123H96</v>
      </c>
      <c r="B375" s="103" t="str">
        <f>SJ3123H96!B3</f>
        <v xml:space="preserve">SJ3123H96/152-157B Tiene que ser hacerlo [divorciarse], porque si uno vive con una pareja no se supone que no, que no se llevan, verdad, que no pueden estar de acuerdo y es una pelea, es un infierno todo el tiempo, pues, en ese caso el divorcio, pues, sería la solución, pero yo me creo que uno antes de...cuando se va a casar, pues, buscar la pareja, tú sabes, para que por lo menos eso no...suceda el mismo, siempre va a suceder.  </v>
      </c>
      <c r="C375" s="103" t="str">
        <f>SJ3123H96!C3</f>
        <v>analítico</v>
      </c>
      <c r="D375" s="103" t="str">
        <f>SJ3123H96!D3</f>
        <v>temporal</v>
      </c>
      <c r="E375" s="103">
        <f>SJ3123H96!E3</f>
        <v>3</v>
      </c>
      <c r="F375" s="103">
        <f>SJ3123H96!F3</f>
        <v>1</v>
      </c>
      <c r="G375" s="103">
        <f>SJ3123H96!G3</f>
        <v>0</v>
      </c>
      <c r="H375" s="103">
        <f>SJ3123H96!H3</f>
        <v>0</v>
      </c>
      <c r="I375" s="103">
        <f>SJ3123H96!I3</f>
        <v>1</v>
      </c>
      <c r="J375" s="103">
        <f>SJ3123H96!J3</f>
        <v>0</v>
      </c>
      <c r="K375" s="103">
        <v>3</v>
      </c>
      <c r="L375" s="103" t="s">
        <v>696</v>
      </c>
    </row>
    <row r="376" spans="1:12" customFormat="1">
      <c r="A376" s="103" t="str">
        <f>SJ3123H96!A4</f>
        <v>SJ3123H96</v>
      </c>
      <c r="B376" s="103" t="str">
        <f>SJ3123H96!B4</f>
        <v>SJ3123H96/157-161A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v>
      </c>
      <c r="C376" s="103" t="str">
        <f>SJ3123H96!C4</f>
        <v>analítico</v>
      </c>
      <c r="D376" s="103" t="str">
        <f>SJ3123H96!D4</f>
        <v>temporal</v>
      </c>
      <c r="E376" s="103">
        <f>SJ3123H96!E4</f>
        <v>3</v>
      </c>
      <c r="F376" s="103">
        <f>SJ3123H96!F4</f>
        <v>1</v>
      </c>
      <c r="G376" s="103">
        <f>SJ3123H96!G4</f>
        <v>0</v>
      </c>
      <c r="H376" s="103">
        <f>SJ3123H96!H4</f>
        <v>0</v>
      </c>
      <c r="I376" s="103">
        <f>SJ3123H96!I4</f>
        <v>1</v>
      </c>
      <c r="J376" s="103">
        <f>SJ3123H96!J4</f>
        <v>0</v>
      </c>
      <c r="K376" s="103">
        <v>3</v>
      </c>
      <c r="L376" s="103" t="s">
        <v>696</v>
      </c>
    </row>
    <row r="377" spans="1:12" customFormat="1">
      <c r="A377" s="103" t="str">
        <f>SJ3123H96!A5</f>
        <v>SJ3123H96</v>
      </c>
      <c r="B377" s="103" t="str">
        <f>SJ3123H96!B5</f>
        <v>SJ3123H96/157-161B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v>
      </c>
      <c r="C377" s="103" t="str">
        <f>SJ3123H96!C5</f>
        <v>analítico</v>
      </c>
      <c r="D377" s="103" t="str">
        <f>SJ3123H96!D5</f>
        <v>temporal</v>
      </c>
      <c r="E377" s="103">
        <f>SJ3123H96!E5</f>
        <v>3</v>
      </c>
      <c r="F377" s="103">
        <f>SJ3123H96!F5</f>
        <v>1</v>
      </c>
      <c r="G377" s="103">
        <f>SJ3123H96!G5</f>
        <v>0</v>
      </c>
      <c r="H377" s="103">
        <f>SJ3123H96!H5</f>
        <v>0</v>
      </c>
      <c r="I377" s="103">
        <f>SJ3123H96!I5</f>
        <v>1</v>
      </c>
      <c r="J377" s="103">
        <f>SJ3123H96!J5</f>
        <v>0</v>
      </c>
      <c r="K377" s="103">
        <v>3</v>
      </c>
      <c r="L377" s="103" t="s">
        <v>696</v>
      </c>
    </row>
    <row r="378" spans="1:12" customFormat="1">
      <c r="A378" s="103" t="str">
        <f>SJ3123H96!A6</f>
        <v>SJ3123H96</v>
      </c>
      <c r="B378" s="103" t="str">
        <f>SJ3123H96!B6</f>
        <v>SJ3123H96/157-161A El divorcio siempre va a existir, no creo que tampoco...yo creo que esas partes, como te digo si tú antes de llegar a un con... puedes escoger la pareja bien, pues tienen un setenta y cinco porciento a que no, a que no tenga ese problema de divorcio, pero siempre en algunas parejas va a suceder porque...y va a ser necesaria, ya tú sabes como está hoy día la...muchas personas que se matan.</v>
      </c>
      <c r="C378" s="103" t="str">
        <f>SJ3123H96!C6</f>
        <v>analítico</v>
      </c>
      <c r="D378" s="103" t="str">
        <f>SJ3123H96!D6</f>
        <v>temporal</v>
      </c>
      <c r="E378" s="103">
        <f>SJ3123H96!E6</f>
        <v>3</v>
      </c>
      <c r="F378" s="103">
        <f>SJ3123H96!F6</f>
        <v>1</v>
      </c>
      <c r="G378" s="103">
        <f>SJ3123H96!G6</f>
        <v>0</v>
      </c>
      <c r="H378" s="103">
        <f>SJ3123H96!H6</f>
        <v>0</v>
      </c>
      <c r="I378" s="103">
        <f>SJ3123H96!I6</f>
        <v>1</v>
      </c>
      <c r="J378" s="103">
        <f>SJ3123H96!J6</f>
        <v>0</v>
      </c>
      <c r="K378" s="103">
        <v>3</v>
      </c>
      <c r="L378" s="103" t="s">
        <v>696</v>
      </c>
    </row>
    <row r="379" spans="1:12" customFormat="1">
      <c r="A379" t="str">
        <f>SJ3123H96!A7</f>
        <v>SJ3123H96</v>
      </c>
      <c r="B379" t="str">
        <f>SJ3123H96!B7</f>
        <v xml:space="preserve">SJ3123H96/203-211 Todo ha ido cambiando, vamos a poner la política, pues, ya hoy día...yo no sé como que la mayoría de los líderes, la mayoría de la gente no... ni confiamos en ellos, a veces votamos, a veces hasta por votar y a veces uno no, no le dan ni deseos de ir a votar, porque los líderes hoy día pues, no sé, como que ya no son líderes, ya no es como antes, aquellos líderes de antes pues, eran como que más rectos y, venía con al misma situación de la vida ahora, quizás como ha cambiado también, el mundo, pues, que los políticos como que han cambiado también ahora y son bastantes diferentes, como que están pensando más en ellos que...que en el pueblo, y eso pasa en todos los partidos, por eso no hay, yo no veo diferencia en ninguno.  </v>
      </c>
      <c r="C379" t="str">
        <f>SJ3123H96!C7</f>
        <v>analítico</v>
      </c>
      <c r="D379" t="str">
        <f>SJ3123H96!D7</f>
        <v>exhortación</v>
      </c>
      <c r="E379">
        <f>SJ3123H96!E7</f>
        <v>4</v>
      </c>
      <c r="F379">
        <f>SJ3123H96!F7</f>
        <v>0</v>
      </c>
      <c r="G379">
        <f>SJ3123H96!G7</f>
        <v>0</v>
      </c>
      <c r="H379">
        <f>SJ3123H96!H7</f>
        <v>0</v>
      </c>
      <c r="I379">
        <f>SJ3123H96!I7</f>
        <v>0</v>
      </c>
      <c r="J379">
        <f>SJ3123H96!J7</f>
        <v>0</v>
      </c>
      <c r="K379">
        <v>3</v>
      </c>
      <c r="L379" t="s">
        <v>696</v>
      </c>
    </row>
    <row r="380" spans="1:12" customFormat="1">
      <c r="A380" s="103" t="str">
        <f>SJ3123H96!A8</f>
        <v>SJ3123H96</v>
      </c>
      <c r="B380" s="103" t="str">
        <f>SJ3123H96!B8</f>
        <v>SJ3123H96/232-238 Yo antes votaba íntegro también así, por el partido y ya...ahora pienso que hay que votar por los mejores candidatos, tú sabes, escoger de todos los partidos, todos los partidos tienen...gente buena y tienen gente mala y regular y hay que ir buscando de todos los partidos hay que buscar la gente para que Puerto Rico mejore en cuanto a eso, tú sabes, por ejemplo si uno ve que un independentista es bueno, si ve que un estadista es bueno, pues hay que votar por él...o popular, lo que...tú sabes lo que sea, socialista, quien sea después que uno piense que va a hacer el trabajo...yo creo que lo que hay que votar mixto, es lo que yo creo, actualmente.</v>
      </c>
      <c r="C380" s="103" t="str">
        <f>SJ3123H96!C8</f>
        <v>analítico</v>
      </c>
      <c r="D380" s="103" t="str">
        <f>SJ3123H96!D8</f>
        <v>temporal</v>
      </c>
      <c r="E380" s="103">
        <f>SJ3123H96!E8</f>
        <v>3</v>
      </c>
      <c r="F380" s="103">
        <f>SJ3123H96!F8</f>
        <v>0</v>
      </c>
      <c r="G380" s="103">
        <f>SJ3123H96!G8</f>
        <v>0</v>
      </c>
      <c r="H380" s="103">
        <f>SJ3123H96!H8</f>
        <v>0</v>
      </c>
      <c r="I380" s="103">
        <f>SJ3123H96!I8</f>
        <v>0</v>
      </c>
      <c r="J380" s="103">
        <f>SJ3123H96!J8</f>
        <v>0</v>
      </c>
      <c r="K380" s="103">
        <v>3</v>
      </c>
      <c r="L380" s="103" t="s">
        <v>696</v>
      </c>
    </row>
    <row r="381" spans="1:12">
      <c r="A381" s="103" t="str">
        <f>SJ3123H96!A9</f>
        <v>SJ3123H96</v>
      </c>
      <c r="B381" s="103" t="str">
        <f>SJ3123H96!B9</f>
        <v xml:space="preserve">SJ3123H96/260-266 Seguro, porque fíjate que tú llegas a alcalde de San Juan y por ejemplo y...y ¿cómo se llama? ese es un paso para la gobernación y a veces los mismos tuyos cuando ven que tú vas a ganar ese paso, pues a veces hasta no te ayudan para que tú pierdas, para que, para que no, porque saben que está peligrando el..la gobernación de ellos, o sea, el puesto de ellos y a veces pues te aterrochan, y eso mismo pasa con Cucuza y eso pasa con todo, y hay tú sabes, ahí tú sabes tienes el caso de Melo Muñoz, ese es otro caso, que tú sabes, que los mismos populares fue la que no, como quien dice la...le troncharon la carrera.  </v>
      </c>
      <c r="C381" s="103" t="str">
        <f>SJ3123H96!C9</f>
        <v>analítico</v>
      </c>
      <c r="D381" s="103" t="str">
        <f>SJ3123H96!D9</f>
        <v>temporal</v>
      </c>
      <c r="E381" s="103">
        <f>SJ3123H96!E9</f>
        <v>2</v>
      </c>
      <c r="F381" s="103">
        <f>SJ3123H96!F9</f>
        <v>1</v>
      </c>
      <c r="G381" s="103">
        <f>SJ3123H96!G9</f>
        <v>0</v>
      </c>
      <c r="H381" s="103">
        <f>SJ3123H96!H9</f>
        <v>0</v>
      </c>
      <c r="I381" s="103">
        <f>SJ3123H96!I9</f>
        <v>0</v>
      </c>
      <c r="J381" s="103">
        <f>SJ3123H96!J9</f>
        <v>0</v>
      </c>
      <c r="K381" s="103">
        <v>3</v>
      </c>
      <c r="L381" s="103" t="s">
        <v>696</v>
      </c>
    </row>
    <row r="382" spans="1:12" customFormat="1">
      <c r="A382" s="103" t="str">
        <f>SJ3123H96!A10</f>
        <v>SJ3123H96</v>
      </c>
      <c r="B382" s="103" t="str">
        <f>SJ3123H96!B10</f>
        <v>SJ3123H96/267-268 Cuando ellas suben, suben y suben hasta que...tienen un límite, después de ese último paso ese es el que se le hace difícil.</v>
      </c>
      <c r="C382" s="103" t="str">
        <f>SJ3123H96!C10</f>
        <v>presente</v>
      </c>
      <c r="D382" s="103" t="str">
        <f>SJ3123H96!D10</f>
        <v>temporal</v>
      </c>
      <c r="E382" s="103">
        <f>SJ3123H96!E10</f>
        <v>3</v>
      </c>
      <c r="F382" s="103">
        <f>SJ3123H96!F10</f>
        <v>1</v>
      </c>
      <c r="G382" s="103">
        <f>SJ3123H96!G10</f>
        <v>0</v>
      </c>
      <c r="H382" s="103">
        <f>SJ3123H96!H10</f>
        <v>0</v>
      </c>
      <c r="I382" s="103">
        <f>SJ3123H96!I10</f>
        <v>0</v>
      </c>
      <c r="J382" s="103">
        <f>SJ3123H96!J10</f>
        <v>0</v>
      </c>
      <c r="K382" s="103">
        <v>3</v>
      </c>
      <c r="L382" s="103" t="s">
        <v>696</v>
      </c>
    </row>
    <row r="383" spans="1:12" customFormat="1">
      <c r="A383" s="103" t="str">
        <f>SJ3123H96!A11</f>
        <v>SJ3123H96</v>
      </c>
      <c r="B383" s="103" t="str">
        <f>SJ3123H96!B11</f>
        <v>SJ3123H96/267-268 Cuando ellas suben, suben y suben hasta que...tienen un límite, después de ese último paso ese es el que se le hace difícil.</v>
      </c>
      <c r="C383" s="103" t="str">
        <f>SJ3123H96!C11</f>
        <v>presente</v>
      </c>
      <c r="D383" s="103" t="str">
        <f>SJ3123H96!D11</f>
        <v>temporal</v>
      </c>
      <c r="E383" s="103">
        <f>SJ3123H96!E11</f>
        <v>3</v>
      </c>
      <c r="F383" s="103">
        <f>SJ3123H96!F11</f>
        <v>0</v>
      </c>
      <c r="G383" s="103">
        <f>SJ3123H96!G11</f>
        <v>0</v>
      </c>
      <c r="H383" s="103">
        <f>SJ3123H96!H11</f>
        <v>0</v>
      </c>
      <c r="I383" s="103">
        <f>SJ3123H96!I11</f>
        <v>0</v>
      </c>
      <c r="J383" s="103">
        <f>SJ3123H96!J11</f>
        <v>0</v>
      </c>
      <c r="K383" s="103">
        <v>3</v>
      </c>
      <c r="L383" s="103" t="s">
        <v>696</v>
      </c>
    </row>
    <row r="384" spans="1:12" customFormat="1">
      <c r="A384" s="103" t="str">
        <f>SJ3123H96!A12</f>
        <v>SJ3123H96</v>
      </c>
      <c r="B384" s="103" t="str">
        <f>SJ3123H96!B12</f>
        <v>SJ3123H96/279-281A Llegará el día en que en Puerto Rico haya una gobernadora y que eso, tú sabes como se llama, que se le haga más fácil a ellas, pero, pero ellas van a ser, ellas van a ser las ¿cómo se llama? las que van a abrir el camino de eso, las que están abriendo el camino.</v>
      </c>
      <c r="C384" s="103" t="str">
        <f>SJ3123H96!C12</f>
        <v>morfológico</v>
      </c>
      <c r="D384" s="103" t="str">
        <f>SJ3123H96!D12</f>
        <v>temporal</v>
      </c>
      <c r="E384" s="103">
        <f>SJ3123H96!E12</f>
        <v>3</v>
      </c>
      <c r="F384" s="103">
        <f>SJ3123H96!F12</f>
        <v>0</v>
      </c>
      <c r="G384" s="103">
        <f>SJ3123H96!G12</f>
        <v>0</v>
      </c>
      <c r="H384" s="103">
        <f>SJ3123H96!H12</f>
        <v>1</v>
      </c>
      <c r="I384" s="103">
        <f>SJ3123H96!I12</f>
        <v>0</v>
      </c>
      <c r="J384" s="103">
        <f>SJ3123H96!J12</f>
        <v>0</v>
      </c>
      <c r="K384" s="103">
        <v>3</v>
      </c>
      <c r="L384" s="103" t="s">
        <v>696</v>
      </c>
    </row>
    <row r="385" spans="1:12" customFormat="1">
      <c r="A385" s="103" t="str">
        <f>SJ3123H96!A13</f>
        <v>SJ3123H96</v>
      </c>
      <c r="B385" s="103" t="str">
        <f>SJ3123H96!B13</f>
        <v>SJ3123H96/279-281B Llegará el día en que en Puerto Rico haya una gobernadora y que eso, tú sabes como se llama, que se le haga más fácil a ellas, pero, pero ellas van a ser, ellas van a ser las ¿cómo se llama? las que van a abrir el camino de eso, las que están abriendo el camino.</v>
      </c>
      <c r="C385" s="103" t="str">
        <f>SJ3123H96!C13</f>
        <v>analítico</v>
      </c>
      <c r="D385" s="103" t="str">
        <f>SJ3123H96!D13</f>
        <v>temporal</v>
      </c>
      <c r="E385" s="103">
        <f>SJ3123H96!E13</f>
        <v>6</v>
      </c>
      <c r="F385" s="103">
        <f>SJ3123H96!F13</f>
        <v>0</v>
      </c>
      <c r="G385" s="103">
        <f>SJ3123H96!G13</f>
        <v>0</v>
      </c>
      <c r="H385" s="103">
        <f>SJ3123H96!H13</f>
        <v>0</v>
      </c>
      <c r="I385" s="103">
        <f>SJ3123H96!I13</f>
        <v>0</v>
      </c>
      <c r="J385" s="103">
        <f>SJ3123H96!J13</f>
        <v>0</v>
      </c>
      <c r="K385" s="103">
        <v>3</v>
      </c>
      <c r="L385" s="103" t="s">
        <v>696</v>
      </c>
    </row>
    <row r="386" spans="1:12" customFormat="1">
      <c r="A386" s="103" t="str">
        <f>SJ3123H96!A14</f>
        <v>SJ3123H96</v>
      </c>
      <c r="B386" s="103" t="str">
        <f>SJ3123H96!B14</f>
        <v>SJ3123H96/279-281C Llegará el día en que en Puerto Rico haya una gobernadora y que eso, tú sabes como se llama, que se le haga más fácil a ellas, pero, pero ellas van a ser, ellas van a ser las ¿cómo se llama? las que van a abrir el camino de eso, las que están abriendo el camino.</v>
      </c>
      <c r="C386" s="103" t="str">
        <f>SJ3123H96!C14</f>
        <v>analítico</v>
      </c>
      <c r="D386" s="103" t="str">
        <f>SJ3123H96!D14</f>
        <v>temporal</v>
      </c>
      <c r="E386" s="103">
        <f>SJ3123H96!E14</f>
        <v>6</v>
      </c>
      <c r="F386" s="103">
        <f>SJ3123H96!F14</f>
        <v>0</v>
      </c>
      <c r="G386" s="103">
        <f>SJ3123H96!G14</f>
        <v>0</v>
      </c>
      <c r="H386" s="103">
        <f>SJ3123H96!H14</f>
        <v>0</v>
      </c>
      <c r="I386" s="103">
        <f>SJ3123H96!I14</f>
        <v>0</v>
      </c>
      <c r="J386" s="103">
        <f>SJ3123H96!J14</f>
        <v>0</v>
      </c>
      <c r="K386" s="103">
        <v>3</v>
      </c>
      <c r="L386" s="103" t="s">
        <v>696</v>
      </c>
    </row>
    <row r="387" spans="1:12" customFormat="1">
      <c r="A387" s="103" t="str">
        <f>SJ3123H96!A15</f>
        <v>SJ3123H96</v>
      </c>
      <c r="B387" s="103" t="str">
        <f>SJ3123H96!B15</f>
        <v>SJ3123H96/279-281D Llegará el día en que en Puerto Rico haya una gobernadora y que eso, tú sabes como se llama, que se le haga más fácil a ellas, pero, pero ellas van a ser, ellas van a ser las ¿cómo se llama? las que van a abrir el camino de eso, las que están abriendo el camino.</v>
      </c>
      <c r="C387" s="103" t="str">
        <f>SJ3123H96!C15</f>
        <v>analítico</v>
      </c>
      <c r="D387" s="103" t="str">
        <f>SJ3123H96!D15</f>
        <v>temporal</v>
      </c>
      <c r="E387" s="103">
        <f>SJ3123H96!E15</f>
        <v>6</v>
      </c>
      <c r="F387" s="103">
        <f>SJ3123H96!F15</f>
        <v>0</v>
      </c>
      <c r="G387" s="103">
        <f>SJ3123H96!G15</f>
        <v>0</v>
      </c>
      <c r="H387" s="103">
        <f>SJ3123H96!H15</f>
        <v>0</v>
      </c>
      <c r="I387" s="103">
        <f>SJ3123H96!I15</f>
        <v>0</v>
      </c>
      <c r="J387" s="103">
        <f>SJ3123H96!J15</f>
        <v>0</v>
      </c>
      <c r="K387" s="103">
        <v>3</v>
      </c>
      <c r="L387" s="103" t="s">
        <v>696</v>
      </c>
    </row>
    <row r="388" spans="1:12" customFormat="1">
      <c r="A388" s="103" t="str">
        <f>SJ3123H96!A16</f>
        <v>SJ3123H96</v>
      </c>
      <c r="B388" s="103" t="str">
        <f>SJ3123H96!B16</f>
        <v xml:space="preserve">SJ3123H96/288-291 Sabe, en Puerto Rico, y es más y es posible que todo lo que estamos hablando verdad...verdad de...las cosas cómo cambian, pero eso es una de las cosas también que ...que nos dividen en Puerto Rico porque, tú sabes los partidos están divididos y los...mientras no resuelvan el estatus, pues, olvídate que ...va a estar esto así.  </v>
      </c>
      <c r="C388" s="103" t="str">
        <f>SJ3123H96!C16</f>
        <v>analítico</v>
      </c>
      <c r="D388" s="103" t="str">
        <f>SJ3123H96!D16</f>
        <v>temporal</v>
      </c>
      <c r="E388" s="103">
        <f>SJ3123H96!E16</f>
        <v>3</v>
      </c>
      <c r="F388" s="103">
        <f>SJ3123H96!F16</f>
        <v>0</v>
      </c>
      <c r="G388" s="103">
        <f>SJ3123H96!G16</f>
        <v>0</v>
      </c>
      <c r="H388" s="103">
        <f>SJ3123H96!H16</f>
        <v>1</v>
      </c>
      <c r="I388" s="103">
        <f>SJ3123H96!I16</f>
        <v>0</v>
      </c>
      <c r="J388" s="103">
        <f>SJ3123H96!J16</f>
        <v>0</v>
      </c>
      <c r="K388" s="103">
        <v>3</v>
      </c>
      <c r="L388" s="103" t="s">
        <v>696</v>
      </c>
    </row>
    <row r="389" spans="1:12" customFormat="1">
      <c r="A389" s="103" t="str">
        <f>SJ3123H96!A17</f>
        <v>SJ3123H96</v>
      </c>
      <c r="B389" s="103" t="str">
        <f>SJ3123H96!B17</f>
        <v>SJ3123H96/383-384 El pequeño es el que yo creo que va a salir, también, comerciante.</v>
      </c>
      <c r="C389" s="103" t="str">
        <f>SJ3123H96!C17</f>
        <v>analítico</v>
      </c>
      <c r="D389" s="103" t="str">
        <f>SJ3123H96!D17</f>
        <v>temporal</v>
      </c>
      <c r="E389" s="103">
        <f>SJ3123H96!E17</f>
        <v>3</v>
      </c>
      <c r="F389" s="103">
        <f>SJ3123H96!F17</f>
        <v>0</v>
      </c>
      <c r="G389" s="103">
        <f>SJ3123H96!G17</f>
        <v>0</v>
      </c>
      <c r="H389" s="103">
        <f>SJ3123H96!H17</f>
        <v>0</v>
      </c>
      <c r="I389" s="103">
        <f>SJ3123H96!I17</f>
        <v>1</v>
      </c>
      <c r="J389" s="103">
        <f>SJ3123H96!J17</f>
        <v>0</v>
      </c>
      <c r="K389" s="103">
        <v>3</v>
      </c>
      <c r="L389" s="103" t="s">
        <v>696</v>
      </c>
    </row>
    <row r="390" spans="1:12" customFormat="1">
      <c r="A390" s="103" t="str">
        <f>SJ3223H96!A2</f>
        <v>SJ3223H96</v>
      </c>
      <c r="B390" s="103" t="str">
        <f>SJ3223H96!B2</f>
        <v xml:space="preserve">SJ3223H96/78-79A De aquí si te cuento una anécdota que me pasó ayer, tú no me lo crees, pero no te la voy a contar eso es un espergrullo.  </v>
      </c>
      <c r="C390" s="103" t="str">
        <f>SJ3223H96!C2</f>
        <v>presente</v>
      </c>
      <c r="D390" s="103" t="str">
        <f>SJ3223H96!D2</f>
        <v>temporal</v>
      </c>
      <c r="E390" s="103">
        <f>SJ3223H96!E2</f>
        <v>3</v>
      </c>
      <c r="F390" s="103">
        <f>SJ3223H96!F2</f>
        <v>0</v>
      </c>
      <c r="G390" s="103">
        <f>SJ3223H96!G2</f>
        <v>0</v>
      </c>
      <c r="H390" s="103">
        <f>SJ3223H96!H2</f>
        <v>0</v>
      </c>
      <c r="I390" s="103">
        <f>SJ3223H96!I2</f>
        <v>0</v>
      </c>
      <c r="J390" s="103">
        <f>SJ3223H96!J2</f>
        <v>0</v>
      </c>
      <c r="K390" s="103">
        <v>3</v>
      </c>
      <c r="L390" s="103" t="s">
        <v>696</v>
      </c>
    </row>
    <row r="391" spans="1:12" customFormat="1">
      <c r="A391" s="103" t="str">
        <f>SJ3223H96!A3</f>
        <v>SJ3223H96</v>
      </c>
      <c r="B391" s="103" t="str">
        <f>SJ3223H96!B3</f>
        <v xml:space="preserve">SJ3223H96/78-79B De aquí si te cuento una anécdota que me pasó ayer, tú no me lo crees, pero no te la voy a contar eso es un espergrullo.  </v>
      </c>
      <c r="C391" s="103" t="str">
        <f>SJ3223H96!C3</f>
        <v>analítico</v>
      </c>
      <c r="D391" s="103" t="str">
        <f>SJ3223H96!D3</f>
        <v>temporal</v>
      </c>
      <c r="E391" s="103">
        <f>SJ3223H96!E3</f>
        <v>1</v>
      </c>
      <c r="F391" s="103">
        <f>SJ3223H96!F3</f>
        <v>0</v>
      </c>
      <c r="G391" s="103">
        <f>SJ3223H96!G3</f>
        <v>0</v>
      </c>
      <c r="H391" s="103">
        <f>SJ3223H96!H3</f>
        <v>0</v>
      </c>
      <c r="I391" s="103">
        <f>SJ3223H96!I3</f>
        <v>0</v>
      </c>
      <c r="J391" s="103">
        <f>SJ3223H96!J3</f>
        <v>0</v>
      </c>
      <c r="K391" s="103">
        <v>3</v>
      </c>
      <c r="L391" s="103" t="s">
        <v>696</v>
      </c>
    </row>
    <row r="392" spans="1:12" customFormat="1">
      <c r="A392" s="103" t="str">
        <f>SJ3223H96!A4</f>
        <v>SJ3223H96</v>
      </c>
      <c r="B392" s="103" t="str">
        <f>SJ3223H96!B4</f>
        <v>SJ3223H96/129-136 En un lado, la liberación femenina tiene que ver y tú me perdonas que seas mujer o una dama, perdón, porque ahora el matrimonio es un contrato, ahora...tú te vas a...trabajar, tu mujer también tiene que trabajar, tú pagas una parte, él paga otra, ya el niño está en la escuela solo, lo suel, lo suel, lo sueltan en el colegio, se fueron a trabajar cuando vinieron el hijo está en la casa no saben si hicieron asignación, si están jugando misterio o están jugando baraja o están jugando parchí, o cualquier clase de juego, pero no está pendiente a la escuela, ya el padre no le pregunta: “Mira, hiciste la asignación, mira, hiciste esto.”, nada.</v>
      </c>
      <c r="C392" s="103" t="str">
        <f>SJ3223H96!C4</f>
        <v>analítico</v>
      </c>
      <c r="D392" s="103" t="str">
        <f>SJ3223H96!D4</f>
        <v>temporal</v>
      </c>
      <c r="E392" s="103">
        <f>SJ3223H96!E4</f>
        <v>2</v>
      </c>
      <c r="F392" s="103">
        <f>SJ3223H96!F4</f>
        <v>0</v>
      </c>
      <c r="G392" s="103">
        <f>SJ3223H96!G4</f>
        <v>0</v>
      </c>
      <c r="H392" s="103">
        <f>SJ3223H96!H4</f>
        <v>0</v>
      </c>
      <c r="I392" s="103">
        <f>SJ3223H96!I4</f>
        <v>0</v>
      </c>
      <c r="J392" s="103">
        <f>SJ3223H96!J4</f>
        <v>0</v>
      </c>
      <c r="K392" s="103">
        <v>3</v>
      </c>
      <c r="L392" s="103" t="s">
        <v>696</v>
      </c>
    </row>
    <row r="393" spans="1:12" customFormat="1">
      <c r="A393" s="103" t="str">
        <f>SJ3223H96!A5</f>
        <v>SJ3223H96</v>
      </c>
      <c r="B393" s="103" t="str">
        <f>SJ3223H96!B5</f>
        <v xml:space="preserve">SJ3223H96/142-146 Yo cocinaba por la mañana y mi hermana cocinaba por la tarde, pues, ahora dime de un niño que cocine ahora, que no saben, no saben ni hacer un huevo frito, sino, vamos para Burguer King o Kentuky, papi me va a dar chavos, por eso hoy en día están, como están  las cosas porque los padres no se ocupan de los niños, nada, ni religión le enseñan tan siquiera unos para un lado y otros para otro, así es que se vive hoy en día negrita.  </v>
      </c>
      <c r="C393" s="103" t="str">
        <f>SJ3223H96!C5</f>
        <v>analítico</v>
      </c>
      <c r="D393" s="103" t="str">
        <f>SJ3223H96!D5</f>
        <v>temporal</v>
      </c>
      <c r="E393" s="103">
        <f>SJ3223H96!E5</f>
        <v>3</v>
      </c>
      <c r="F393" s="103">
        <f>SJ3223H96!F5</f>
        <v>0</v>
      </c>
      <c r="G393" s="103">
        <f>SJ3223H96!G5</f>
        <v>0</v>
      </c>
      <c r="H393" s="103">
        <f>SJ3223H96!H5</f>
        <v>0</v>
      </c>
      <c r="I393" s="103">
        <f>SJ3223H96!I5</f>
        <v>0</v>
      </c>
      <c r="J393" s="103">
        <f>SJ3223H96!J5</f>
        <v>0</v>
      </c>
      <c r="K393" s="103">
        <v>3</v>
      </c>
      <c r="L393" s="103" t="s">
        <v>696</v>
      </c>
    </row>
    <row r="394" spans="1:12" customFormat="1">
      <c r="A394" t="str">
        <f>SJ3223H96!A6</f>
        <v>SJ3223H96</v>
      </c>
      <c r="B394" t="str">
        <f>SJ3223H96!B6</f>
        <v xml:space="preserve">SJ3223H96/174 No sé cómo estará, porque hace tiempo que no paso por ahí.  </v>
      </c>
      <c r="C394" t="str">
        <f>SJ3223H96!C6</f>
        <v>morfológico</v>
      </c>
      <c r="D394" t="str">
        <f>SJ3223H96!D6</f>
        <v>duda</v>
      </c>
      <c r="E394">
        <f>SJ3223H96!E6</f>
        <v>3</v>
      </c>
      <c r="F394">
        <f>SJ3223H96!F6</f>
        <v>0</v>
      </c>
      <c r="G394">
        <f>SJ3223H96!G6</f>
        <v>0</v>
      </c>
      <c r="H394">
        <f>SJ3223H96!H6</f>
        <v>0</v>
      </c>
      <c r="I394">
        <f>SJ3223H96!I6</f>
        <v>0</v>
      </c>
      <c r="J394">
        <f>SJ3223H96!J6</f>
        <v>0</v>
      </c>
      <c r="K394">
        <v>3</v>
      </c>
      <c r="L394" t="s">
        <v>696</v>
      </c>
    </row>
    <row r="395" spans="1:12" customFormat="1">
      <c r="A395" s="103" t="str">
        <f>SJ3223H96!A7</f>
        <v>SJ3223H96</v>
      </c>
      <c r="B395" s="103" t="str">
        <f>SJ3223H96!B7</f>
        <v xml:space="preserve">SJ3223H96/190-191 Siempre, siempre, siempre, siempre anhelaré usar un uniforme o ser policía o pertenecer a la ----civil.  </v>
      </c>
      <c r="C395" s="103" t="str">
        <f>SJ3223H96!C7</f>
        <v>morfológico</v>
      </c>
      <c r="D395" s="103" t="str">
        <f>SJ3223H96!D7</f>
        <v>temporal</v>
      </c>
      <c r="E395" s="103">
        <f>SJ3223H96!E7</f>
        <v>1</v>
      </c>
      <c r="F395" s="103">
        <f>SJ3223H96!F7</f>
        <v>1</v>
      </c>
      <c r="G395" s="103">
        <f>SJ3223H96!G7</f>
        <v>0</v>
      </c>
      <c r="H395" s="103">
        <f>SJ3223H96!H7</f>
        <v>0</v>
      </c>
      <c r="I395" s="103">
        <f>SJ3223H96!I7</f>
        <v>1</v>
      </c>
      <c r="J395" s="103">
        <f>SJ3223H96!J7</f>
        <v>0</v>
      </c>
      <c r="K395" s="103">
        <v>3</v>
      </c>
      <c r="L395" s="103" t="s">
        <v>696</v>
      </c>
    </row>
    <row r="396" spans="1:12" customFormat="1">
      <c r="A396" s="103" t="str">
        <f>SJ3223H96!A8</f>
        <v>SJ3223H96</v>
      </c>
      <c r="B396" s="103" t="str">
        <f>SJ3223H96!B8</f>
        <v>SJ3223H96/211 Si me pegko [la lotería] hago un parque para los niños.</v>
      </c>
      <c r="C396" s="103" t="str">
        <f>SJ3223H96!C8</f>
        <v>presente</v>
      </c>
      <c r="D396" s="103" t="str">
        <f>SJ3223H96!D8</f>
        <v>temporal</v>
      </c>
      <c r="E396" s="103">
        <f>SJ3223H96!E8</f>
        <v>1</v>
      </c>
      <c r="F396" s="103">
        <f>SJ3223H96!F8</f>
        <v>0</v>
      </c>
      <c r="G396" s="103">
        <f>SJ3223H96!G8</f>
        <v>0</v>
      </c>
      <c r="H396" s="103">
        <f>SJ3223H96!H8</f>
        <v>0</v>
      </c>
      <c r="I396" s="103">
        <f>SJ3223H96!I8</f>
        <v>0</v>
      </c>
      <c r="J396" s="103">
        <f>SJ3223H96!J8</f>
        <v>1</v>
      </c>
      <c r="K396" s="103">
        <v>3</v>
      </c>
      <c r="L396" s="103" t="s">
        <v>696</v>
      </c>
    </row>
    <row r="397" spans="1:12" customFormat="1">
      <c r="A397" s="103" t="str">
        <f>SJ3223H96!A9</f>
        <v>SJ3223H96</v>
      </c>
      <c r="B397" s="103" t="str">
        <f>SJ3223H96!B9</f>
        <v>SJ3223H96/228-229 (Sí.  ¿Qué harás cuando te retires?) Cuando Dios me retire será que ma entierren.</v>
      </c>
      <c r="C397" s="103" t="str">
        <f>SJ3223H96!C9</f>
        <v>morfológico</v>
      </c>
      <c r="D397" s="103" t="str">
        <f>SJ3223H96!D9</f>
        <v>temporal</v>
      </c>
      <c r="E397" s="103">
        <f>SJ3223H96!E9</f>
        <v>3</v>
      </c>
      <c r="F397" s="103">
        <f>SJ3223H96!F9</f>
        <v>1</v>
      </c>
      <c r="G397" s="103">
        <f>SJ3223H96!G9</f>
        <v>0</v>
      </c>
      <c r="H397" s="103">
        <f>SJ3223H96!H9</f>
        <v>1</v>
      </c>
      <c r="I397" s="103">
        <f>SJ3223H96!I9</f>
        <v>0</v>
      </c>
      <c r="J397" s="103">
        <f>SJ3223H96!J9</f>
        <v>0</v>
      </c>
      <c r="K397" s="103">
        <v>3</v>
      </c>
      <c r="L397" s="103" t="s">
        <v>696</v>
      </c>
    </row>
    <row r="398" spans="1:12" customFormat="1">
      <c r="A398" s="103" t="str">
        <f>SJ3223H96!A10</f>
        <v>SJ3223H96</v>
      </c>
      <c r="B398" s="103" t="str">
        <f>SJ3223H96!B10</f>
        <v xml:space="preserve">SJ3223H96/252-253 Voy para casa de Marabia, tengo ahí hecho arroz con vegetales voy a comprar un, un crepo para hacer una ensalada y comer, bañarme y ver televisión.  </v>
      </c>
      <c r="C398" s="103" t="str">
        <f>SJ3223H96!C10</f>
        <v>analítico</v>
      </c>
      <c r="D398" s="103" t="str">
        <f>SJ3223H96!D10</f>
        <v>temporal</v>
      </c>
      <c r="E398" s="103">
        <f>SJ3223H96!E10</f>
        <v>1</v>
      </c>
      <c r="F398" s="103">
        <f>SJ3223H96!F10</f>
        <v>0</v>
      </c>
      <c r="G398" s="103">
        <f>SJ3223H96!G10</f>
        <v>0</v>
      </c>
      <c r="H398" s="103">
        <f>SJ3223H96!H10</f>
        <v>0</v>
      </c>
      <c r="I398" s="103">
        <f>SJ3223H96!I10</f>
        <v>0</v>
      </c>
      <c r="J398" s="103">
        <f>SJ3223H96!J10</f>
        <v>0</v>
      </c>
      <c r="K398" s="103">
        <v>3</v>
      </c>
      <c r="L398" s="103" t="s">
        <v>696</v>
      </c>
    </row>
    <row r="399" spans="1:12" customFormat="1">
      <c r="A399" s="103" t="str">
        <f>SJ3223H96!A11</f>
        <v>SJ3223H96</v>
      </c>
      <c r="B399" s="103" t="str">
        <f>SJ3223H96!B11</f>
        <v>SJ3223H96/262-263 O toda la noche si tengo que estarlo o nos vamos a pasear por la isla a dar una vuelta por ahí a..a..ver ---de baile, ver las muchachas, las viejas y esas cosas, así.</v>
      </c>
      <c r="C399" s="103" t="str">
        <f>SJ3223H96!C11</f>
        <v>analítico</v>
      </c>
      <c r="D399" s="103" t="str">
        <f>SJ3223H96!D11</f>
        <v>temporal</v>
      </c>
      <c r="E399" s="103">
        <f>SJ3223H96!E11</f>
        <v>4</v>
      </c>
      <c r="F399" s="103">
        <f>SJ3223H96!F11</f>
        <v>0</v>
      </c>
      <c r="G399" s="103">
        <f>SJ3223H96!G11</f>
        <v>0</v>
      </c>
      <c r="H399" s="103">
        <f>SJ3223H96!H11</f>
        <v>0</v>
      </c>
      <c r="I399" s="103">
        <f>SJ3223H96!I11</f>
        <v>0</v>
      </c>
      <c r="J399" s="103">
        <f>SJ3223H96!J11</f>
        <v>0</v>
      </c>
      <c r="K399" s="103">
        <v>3</v>
      </c>
      <c r="L399" s="103" t="s">
        <v>696</v>
      </c>
    </row>
    <row r="400" spans="1:12" customFormat="1">
      <c r="A400" s="103" t="str">
        <f>SJ3223H96!A12</f>
        <v>SJ3223H96</v>
      </c>
      <c r="B400" s="103" t="str">
        <f>SJ3223H96!B12</f>
        <v xml:space="preserve">SJ3223H96/265-266 Ahora si decimos herencia será ayudar a la…a mis hijos, a mis nietos, ayudarlos a que estudien y eso.  </v>
      </c>
      <c r="C400" s="103" t="str">
        <f>SJ3223H96!C12</f>
        <v>morfológico</v>
      </c>
      <c r="D400" s="103" t="str">
        <f>SJ3223H96!D12</f>
        <v>temporal</v>
      </c>
      <c r="E400" s="103">
        <f>SJ3223H96!E12</f>
        <v>3</v>
      </c>
      <c r="F400" s="103">
        <f>SJ3223H96!F12</f>
        <v>0</v>
      </c>
      <c r="G400" s="103">
        <f>SJ3223H96!G12</f>
        <v>0</v>
      </c>
      <c r="H400" s="103">
        <f>SJ3223H96!H12</f>
        <v>0</v>
      </c>
      <c r="I400" s="103">
        <f>SJ3223H96!I12</f>
        <v>0</v>
      </c>
      <c r="J400" s="103">
        <f>SJ3223H96!J12</f>
        <v>1</v>
      </c>
      <c r="K400" s="103">
        <v>3</v>
      </c>
      <c r="L400" s="103" t="s">
        <v>696</v>
      </c>
    </row>
    <row r="401" spans="1:12" customFormat="1">
      <c r="A401" s="103" t="str">
        <f>SJ3223H96!A13</f>
        <v>SJ3223H96</v>
      </c>
      <c r="B401" s="103" t="str">
        <f>SJ3223H96!B13</f>
        <v xml:space="preserve">SJ3223H96/311-312 “Pero mira, muchacho, ¿cómo tú diablos tú vas a pedir a pedir una muchacha si tú no usas ni pantaloncillos, canto descarado, so puerco, so fresco.”  </v>
      </c>
      <c r="C401" s="103" t="str">
        <f>SJ3223H96!C13</f>
        <v>analítico</v>
      </c>
      <c r="D401" s="103" t="str">
        <f>SJ3223H96!D13</f>
        <v>temporal</v>
      </c>
      <c r="E401" s="103">
        <f>SJ3223H96!E13</f>
        <v>2</v>
      </c>
      <c r="F401" s="103">
        <f>SJ3223H96!F13</f>
        <v>0</v>
      </c>
      <c r="G401" s="103">
        <f>SJ3223H96!G13</f>
        <v>0</v>
      </c>
      <c r="H401" s="103">
        <f>SJ3223H96!H13</f>
        <v>0</v>
      </c>
      <c r="I401" s="103">
        <f>SJ3223H96!I13</f>
        <v>0</v>
      </c>
      <c r="J401" s="103">
        <f>SJ3223H96!J13</f>
        <v>1</v>
      </c>
      <c r="K401" s="103">
        <v>3</v>
      </c>
      <c r="L401" s="103" t="s">
        <v>696</v>
      </c>
    </row>
    <row r="402" spans="1:12" customFormat="1">
      <c r="A402" s="103" t="str">
        <f>SJ3223H96!A14</f>
        <v>SJ3223H96</v>
      </c>
      <c r="B402" s="103" t="str">
        <f>SJ3223H96!B14</f>
        <v>SJ3223H96/329-314  Entonces, pues la mamá le dijo:  “Váyase, váyase al, al a la tienda y cómprese dos yardas de tela que el voy a hacer unos pantaloncillos.”</v>
      </c>
      <c r="C402" s="103" t="str">
        <f>SJ3223H96!C14</f>
        <v>analítico</v>
      </c>
      <c r="D402" s="103" t="str">
        <f>SJ3223H96!D14</f>
        <v>temporal</v>
      </c>
      <c r="E402" s="103">
        <f>SJ3223H96!E14</f>
        <v>1</v>
      </c>
      <c r="F402" s="103">
        <f>SJ3223H96!F14</f>
        <v>0</v>
      </c>
      <c r="G402" s="103">
        <f>SJ3223H96!G14</f>
        <v>0</v>
      </c>
      <c r="H402" s="103">
        <f>SJ3223H96!H14</f>
        <v>0</v>
      </c>
      <c r="I402" s="103">
        <f>SJ3223H96!I14</f>
        <v>0</v>
      </c>
      <c r="J402" s="103">
        <f>SJ3223H96!J14</f>
        <v>0</v>
      </c>
      <c r="K402" s="103">
        <v>3</v>
      </c>
      <c r="L402" s="103" t="s">
        <v>696</v>
      </c>
    </row>
    <row r="403" spans="1:12" customFormat="1">
      <c r="A403" s="103" t="str">
        <f>SJ3223H96!A15</f>
        <v>SJ3223H96</v>
      </c>
      <c r="B403" s="103" t="str">
        <f>SJ3223H96!B15</f>
        <v>SJ3223H96/329-330 Entonces, pues viene, viene...el el... compadre y le dice a ...el.... esposo le dice a la mujer: “Esta noche viene el compadre me lo atiendes”  “Ah, no hay problema”.</v>
      </c>
      <c r="C403" s="103" t="str">
        <f>SJ3223H96!C15</f>
        <v>presente</v>
      </c>
      <c r="D403" s="103" t="str">
        <f>SJ3223H96!D15</f>
        <v>temporal</v>
      </c>
      <c r="E403" s="103">
        <f>SJ3223H96!E15</f>
        <v>3</v>
      </c>
      <c r="F403" s="103">
        <f>SJ3223H96!F15</f>
        <v>1</v>
      </c>
      <c r="G403" s="103">
        <f>SJ3223H96!G15</f>
        <v>0</v>
      </c>
      <c r="H403" s="103">
        <f>SJ3223H96!H15</f>
        <v>2</v>
      </c>
      <c r="I403" s="103">
        <f>SJ3223H96!I15</f>
        <v>0</v>
      </c>
      <c r="J403" s="103">
        <f>SJ3223H96!J15</f>
        <v>0</v>
      </c>
      <c r="K403" s="103">
        <v>3</v>
      </c>
      <c r="L403" s="103" t="s">
        <v>696</v>
      </c>
    </row>
    <row r="404" spans="1:12" customFormat="1">
      <c r="A404" s="103" t="str">
        <f>SJ3223H96!A16</f>
        <v>SJ3223H96</v>
      </c>
      <c r="B404" s="103" t="str">
        <f>SJ3223H96!B16</f>
        <v>SJ3223H96/330-332 Entonces cuando sale dice la cotorra: “Cotorrín si el compadre viene me lo velas”  “No hay problema, ----al compadre,---al compadre.”.</v>
      </c>
      <c r="C404" s="103" t="str">
        <f>SJ3223H96!C16</f>
        <v>presente</v>
      </c>
      <c r="D404" s="103" t="str">
        <f>SJ3223H96!D16</f>
        <v>temporal</v>
      </c>
      <c r="E404" s="103">
        <f>SJ3223H96!E16</f>
        <v>2</v>
      </c>
      <c r="F404" s="103">
        <f>SJ3223H96!F16</f>
        <v>0</v>
      </c>
      <c r="G404" s="103">
        <f>SJ3223H96!G16</f>
        <v>0</v>
      </c>
      <c r="H404" s="103">
        <f>SJ3223H96!H16</f>
        <v>2</v>
      </c>
      <c r="I404" s="103">
        <f>SJ3223H96!I16</f>
        <v>0</v>
      </c>
      <c r="J404" s="103">
        <f>SJ3223H96!J16</f>
        <v>0</v>
      </c>
      <c r="K404" s="103">
        <v>3</v>
      </c>
      <c r="L404" s="103" t="s">
        <v>696</v>
      </c>
    </row>
    <row r="405" spans="1:12" customFormat="1">
      <c r="A405" s="103" t="str">
        <f>SJ3223H96!A17</f>
        <v>SJ3223H96</v>
      </c>
      <c r="B405" s="103" t="str">
        <f>SJ3223H96!B17</f>
        <v xml:space="preserve">SJ3223H96/334-335 Por la noche el hombre el hombre trabaja otra vez: “Cotorrrín, --el compadre”.  “---el compadre, el compadre trae dulce”.  </v>
      </c>
      <c r="C405" s="103" t="str">
        <f>SJ3223H96!C17</f>
        <v>presente</v>
      </c>
      <c r="D405" s="103" t="str">
        <f>SJ3223H96!D17</f>
        <v>temporal</v>
      </c>
      <c r="E405" s="103">
        <f>SJ3223H96!E17</f>
        <v>3</v>
      </c>
      <c r="F405" s="103">
        <f>SJ3223H96!F17</f>
        <v>0</v>
      </c>
      <c r="G405" s="103">
        <f>SJ3223H96!G17</f>
        <v>0</v>
      </c>
      <c r="H405" s="103">
        <f>SJ3223H96!H17</f>
        <v>2</v>
      </c>
      <c r="I405" s="103">
        <f>SJ3223H96!I17</f>
        <v>0</v>
      </c>
      <c r="J405" s="103">
        <f>SJ3223H96!J17</f>
        <v>0</v>
      </c>
      <c r="K405" s="103">
        <v>3</v>
      </c>
      <c r="L405" s="103" t="s">
        <v>696</v>
      </c>
    </row>
    <row r="406" spans="1:12">
      <c r="A406" s="103" t="str">
        <f>SJ3223H96!A18</f>
        <v>SJ3223H96</v>
      </c>
      <c r="B406" s="103" t="str">
        <f>SJ3223H96!B18</f>
        <v xml:space="preserve">SJ3223H96/349-350A Y el hombre estaba caliente y le va a echar mano a la muchacha y cuando ella va a brincar ella brinca y ¡fua! cae en una esquina.  </v>
      </c>
      <c r="C406" s="103" t="str">
        <f>SJ3223H96!C18</f>
        <v>analítico</v>
      </c>
      <c r="D406" s="103" t="str">
        <f>SJ3223H96!D18</f>
        <v>temporal</v>
      </c>
      <c r="E406" s="103">
        <f>SJ3223H96!E18</f>
        <v>3</v>
      </c>
      <c r="F406" s="103">
        <f>SJ3223H96!F18</f>
        <v>0</v>
      </c>
      <c r="G406" s="103">
        <f>SJ3223H96!G18</f>
        <v>0</v>
      </c>
      <c r="H406" s="103">
        <f>SJ3223H96!H18</f>
        <v>0</v>
      </c>
      <c r="I406" s="103">
        <f>SJ3223H96!I18</f>
        <v>0</v>
      </c>
      <c r="J406" s="103">
        <f>SJ3223H96!J18</f>
        <v>0</v>
      </c>
      <c r="K406" s="103">
        <v>3</v>
      </c>
      <c r="L406" s="103" t="s">
        <v>696</v>
      </c>
    </row>
    <row r="407" spans="1:12" customFormat="1">
      <c r="A407" s="103" t="str">
        <f>SJ3223H96!A19</f>
        <v>SJ3223H96</v>
      </c>
      <c r="B407" s="103" t="str">
        <f>SJ3223H96!B19</f>
        <v xml:space="preserve">SJ3223H96/349-350B Y el hombre estaba caliente y le va a echar mano a la muchacha y cuando ella va a brincar ella brinca y ¡fua! cae en una esquina.  </v>
      </c>
      <c r="C407" s="103" t="str">
        <f>SJ3223H96!C19</f>
        <v>analítico</v>
      </c>
      <c r="D407" s="103" t="str">
        <f>SJ3223H96!D19</f>
        <v>temporal</v>
      </c>
      <c r="E407" s="103">
        <f>SJ3223H96!E19</f>
        <v>3</v>
      </c>
      <c r="F407" s="103">
        <f>SJ3223H96!F19</f>
        <v>0</v>
      </c>
      <c r="G407" s="103">
        <f>SJ3223H96!G19</f>
        <v>0</v>
      </c>
      <c r="H407" s="103">
        <f>SJ3223H96!H19</f>
        <v>0</v>
      </c>
      <c r="I407" s="103">
        <f>SJ3223H96!I19</f>
        <v>0</v>
      </c>
      <c r="J407" s="103">
        <f>SJ3223H96!J19</f>
        <v>0</v>
      </c>
      <c r="K407" s="103">
        <v>3</v>
      </c>
      <c r="L407" s="103" t="s">
        <v>696</v>
      </c>
    </row>
    <row r="408" spans="1:12" customFormat="1">
      <c r="A408" s="103" t="str">
        <f>SJ3223H96!A20</f>
        <v>SJ3223H96</v>
      </c>
      <c r="B408" s="103" t="str">
        <f>SJ3223H96!B20</f>
        <v>SJ3223H96/351-352A Y va a correr y ¡fua!, y cae en la otra esquina.  “Pero, negra ¿qué te pasa –vas a aplastar”  y la muchacha viene y cae en la otra esquina.</v>
      </c>
      <c r="C408" s="103" t="str">
        <f>SJ3223H96!C20</f>
        <v>analítico</v>
      </c>
      <c r="D408" s="103" t="str">
        <f>SJ3223H96!D20</f>
        <v>temporal</v>
      </c>
      <c r="E408" s="103">
        <f>SJ3223H96!E20</f>
        <v>3</v>
      </c>
      <c r="F408" s="103">
        <f>SJ3223H96!F20</f>
        <v>0</v>
      </c>
      <c r="G408" s="103">
        <f>SJ3223H96!G20</f>
        <v>0</v>
      </c>
      <c r="H408" s="103">
        <f>SJ3223H96!H20</f>
        <v>0</v>
      </c>
      <c r="I408" s="103">
        <f>SJ3223H96!I20</f>
        <v>0</v>
      </c>
      <c r="J408" s="103">
        <f>SJ3223H96!J20</f>
        <v>0</v>
      </c>
      <c r="K408" s="103">
        <v>3</v>
      </c>
      <c r="L408" s="103" t="s">
        <v>696</v>
      </c>
    </row>
    <row r="409" spans="1:12" customFormat="1">
      <c r="A409" s="103" t="str">
        <f>SJ3223H96!A21</f>
        <v>SJ3223H96</v>
      </c>
      <c r="B409" s="103" t="str">
        <f>SJ3223H96!B21</f>
        <v>SJ3223H96/351-352B Y va a correr y ¡fua!, y cae en la otra esquina.  “Pero, negra ¿qué te pasa –vas a aplastar”  y la muchacha viene y cae en la otra esquina.</v>
      </c>
      <c r="C409" s="103" t="str">
        <f>SJ3223H96!C21</f>
        <v>analítico</v>
      </c>
      <c r="D409" s="103" t="str">
        <f>SJ3223H96!D21</f>
        <v>temporal</v>
      </c>
      <c r="E409" s="103">
        <f>SJ3223H96!E21</f>
        <v>2</v>
      </c>
      <c r="F409" s="103">
        <f>SJ3223H96!F21</f>
        <v>0</v>
      </c>
      <c r="G409" s="103">
        <f>SJ3223H96!G21</f>
        <v>0</v>
      </c>
      <c r="H409" s="103">
        <f>SJ3223H96!H21</f>
        <v>0</v>
      </c>
      <c r="I409" s="103">
        <f>SJ3223H96!I21</f>
        <v>0</v>
      </c>
      <c r="J409" s="103">
        <f>SJ3223H96!J21</f>
        <v>0</v>
      </c>
      <c r="K409" s="103">
        <v>3</v>
      </c>
      <c r="L409" s="103" t="s">
        <v>696</v>
      </c>
    </row>
    <row r="410" spans="1:12" customFormat="1">
      <c r="A410" s="103" t="str">
        <f>SJ3223H96!A22</f>
        <v>SJ3223H96</v>
      </c>
      <c r="B410" s="103" t="str">
        <f>SJ3223H96!B22</f>
        <v xml:space="preserve">SJ3223H96/482-484A Cristo es el que dice a ti: “Ahora es que te vas.”, Cristo es que te dice:  “Ahora es que te quedas”, Cristo es el que te dice: “Ahora es que tú vasa sufrir”, “Ahora es que tú vas a llorar”, “Ahora es que vas a echar para arriba”.  </v>
      </c>
      <c r="C410" s="103" t="str">
        <f>SJ3223H96!C22</f>
        <v>presente</v>
      </c>
      <c r="D410" s="103" t="str">
        <f>SJ3223H96!D22</f>
        <v>temporal</v>
      </c>
      <c r="E410" s="103">
        <f>SJ3223H96!E22</f>
        <v>2</v>
      </c>
      <c r="F410" s="103">
        <f>SJ3223H96!F22</f>
        <v>1</v>
      </c>
      <c r="G410" s="103">
        <f>SJ3223H96!G22</f>
        <v>0</v>
      </c>
      <c r="H410" s="103">
        <f>SJ3223H96!H22</f>
        <v>0</v>
      </c>
      <c r="I410" s="103">
        <f>SJ3223H96!I22</f>
        <v>0</v>
      </c>
      <c r="J410" s="103">
        <f>SJ3223H96!J22</f>
        <v>0</v>
      </c>
      <c r="K410" s="103">
        <v>3</v>
      </c>
      <c r="L410" s="103" t="s">
        <v>696</v>
      </c>
    </row>
    <row r="411" spans="1:12" customFormat="1">
      <c r="A411" s="103" t="str">
        <f>SJ3223H96!A23</f>
        <v>SJ3223H96</v>
      </c>
      <c r="B411" s="103" t="str">
        <f>SJ3223H96!B23</f>
        <v xml:space="preserve">SJ3223H96/482-484B Cristo es el que dice a ti: “Ahora es que te vas.”, Cristo es que te dice:  “Ahora es que te quedas”, Cristo es el que te dice: “Ahora es que tú vasa sufrir”, “Ahora es que tú vas a llorar”, “Ahora es que vas a echar para arriba”.  </v>
      </c>
      <c r="C411" s="103" t="str">
        <f>SJ3223H96!C23</f>
        <v>presente</v>
      </c>
      <c r="D411" s="103" t="str">
        <f>SJ3223H96!D23</f>
        <v>temporal</v>
      </c>
      <c r="E411" s="103">
        <f>SJ3223H96!E23</f>
        <v>2</v>
      </c>
      <c r="F411" s="103">
        <f>SJ3223H96!F23</f>
        <v>1</v>
      </c>
      <c r="G411" s="103">
        <f>SJ3223H96!G23</f>
        <v>0</v>
      </c>
      <c r="H411" s="103">
        <f>SJ3223H96!H23</f>
        <v>0</v>
      </c>
      <c r="I411" s="103">
        <f>SJ3223H96!I23</f>
        <v>0</v>
      </c>
      <c r="J411" s="103">
        <f>SJ3223H96!J23</f>
        <v>0</v>
      </c>
      <c r="K411" s="103">
        <v>3</v>
      </c>
      <c r="L411" s="103" t="s">
        <v>696</v>
      </c>
    </row>
    <row r="412" spans="1:12" customFormat="1">
      <c r="A412" s="103" t="str">
        <f>SJ3223H96!A24</f>
        <v>SJ3223H96</v>
      </c>
      <c r="B412" s="103" t="str">
        <f>SJ3223H96!B24</f>
        <v xml:space="preserve">SJ3223H96/482-484C Cristo es el que dice a ti: “Ahora es que te vas.”, Cristo es que te dice:  “Ahora es que te quedas”, Cristo es el que te dice: “Ahora es que tú vasa sufrir”, “Ahora es que tú vas a llorar”, “Ahora es que vas a echar para arriba”.  </v>
      </c>
      <c r="C412" s="103" t="str">
        <f>SJ3223H96!C24</f>
        <v>analítico</v>
      </c>
      <c r="D412" s="103" t="str">
        <f>SJ3223H96!D24</f>
        <v>temporal</v>
      </c>
      <c r="E412" s="103">
        <f>SJ3223H96!E24</f>
        <v>2</v>
      </c>
      <c r="F412" s="103">
        <f>SJ3223H96!F24</f>
        <v>1</v>
      </c>
      <c r="G412" s="103">
        <f>SJ3223H96!G24</f>
        <v>0</v>
      </c>
      <c r="H412" s="103">
        <f>SJ3223H96!H24</f>
        <v>0</v>
      </c>
      <c r="I412" s="103">
        <f>SJ3223H96!I24</f>
        <v>0</v>
      </c>
      <c r="J412" s="103">
        <f>SJ3223H96!J24</f>
        <v>0</v>
      </c>
      <c r="K412" s="103">
        <v>3</v>
      </c>
      <c r="L412" s="103" t="s">
        <v>696</v>
      </c>
    </row>
    <row r="413" spans="1:12" customFormat="1">
      <c r="A413" s="103" t="str">
        <f>SJ3223H96!A25</f>
        <v>SJ3223H96</v>
      </c>
      <c r="B413" s="103" t="str">
        <f>SJ3223H96!B25</f>
        <v xml:space="preserve">SJ3223H96/482-484D Cristo es el que dice a ti: “Ahora es que te vas.”, Cristo es que te dice:  “Ahora es que te quedas”, Cristo es el que te dice: “Ahora es que tú vasa sufrir”, “Ahora es que tú vas a llorar”, “Ahora es que vas a echar para arriba”.  </v>
      </c>
      <c r="C413" s="103" t="str">
        <f>SJ3223H96!C25</f>
        <v>analítico</v>
      </c>
      <c r="D413" s="103" t="str">
        <f>SJ3223H96!D25</f>
        <v>temporal</v>
      </c>
      <c r="E413" s="103">
        <f>SJ3223H96!E25</f>
        <v>2</v>
      </c>
      <c r="F413" s="103">
        <f>SJ3223H96!F25</f>
        <v>1</v>
      </c>
      <c r="G413" s="103">
        <f>SJ3223H96!G25</f>
        <v>0</v>
      </c>
      <c r="H413" s="103">
        <f>SJ3223H96!H25</f>
        <v>0</v>
      </c>
      <c r="I413" s="103">
        <f>SJ3223H96!I25</f>
        <v>0</v>
      </c>
      <c r="J413" s="103">
        <f>SJ3223H96!J25</f>
        <v>0</v>
      </c>
      <c r="K413" s="103">
        <v>3</v>
      </c>
      <c r="L413" s="103" t="s">
        <v>696</v>
      </c>
    </row>
    <row r="414" spans="1:12" customFormat="1">
      <c r="A414" s="103" t="str">
        <f>SJ3223H96!A26</f>
        <v>SJ3223H96</v>
      </c>
      <c r="B414" s="103" t="str">
        <f>SJ3223H96!B26</f>
        <v xml:space="preserve">SJ3223H96/482-484E Cristo es el que dice a ti: “Ahora es que te vas.”, Cristo es que te dice:  “Ahora es que te quedas”, Cristo es el que te dice: “Ahora es que tú vasa sufrir”, “Ahora es que tú vas a llorar”, “Ahora es que vas a echar para arriba”.  </v>
      </c>
      <c r="C414" s="103" t="str">
        <f>SJ3223H96!C26</f>
        <v>analítico</v>
      </c>
      <c r="D414" s="103" t="str">
        <f>SJ3223H96!D26</f>
        <v>temporal</v>
      </c>
      <c r="E414" s="103">
        <f>SJ3223H96!E26</f>
        <v>2</v>
      </c>
      <c r="F414" s="103">
        <f>SJ3223H96!F26</f>
        <v>1</v>
      </c>
      <c r="G414" s="103">
        <f>SJ3223H96!G26</f>
        <v>0</v>
      </c>
      <c r="H414" s="103">
        <f>SJ3223H96!H26</f>
        <v>0</v>
      </c>
      <c r="I414" s="103">
        <f>SJ3223H96!I26</f>
        <v>0</v>
      </c>
      <c r="J414" s="103">
        <f>SJ3223H96!J26</f>
        <v>0</v>
      </c>
      <c r="K414" s="103">
        <v>3</v>
      </c>
      <c r="L414" s="103" t="s">
        <v>696</v>
      </c>
    </row>
    <row r="415" spans="1:12" customFormat="1">
      <c r="A415" s="103" t="str">
        <f>SJ3223H96!A27</f>
        <v>SJ3223H96</v>
      </c>
      <c r="B415" s="103" t="str">
        <f>SJ3223H96!B27</f>
        <v>SJ3223H96/484-486A Si no sabes soportar eso, mija, entonces…la facilidad es “no voy a matar, aunque que me maten.  ---cuando un es joven, uno tiene edad las experiencias que uno coge.</v>
      </c>
      <c r="C415" s="103" t="str">
        <f>SJ3223H96!C27</f>
        <v>analítico</v>
      </c>
      <c r="D415" s="103" t="str">
        <f>SJ3223H96!D27</f>
        <v>temporal</v>
      </c>
      <c r="E415" s="103">
        <f>SJ3223H96!E27</f>
        <v>1</v>
      </c>
      <c r="F415" s="103">
        <f>SJ3223H96!F27</f>
        <v>0</v>
      </c>
      <c r="G415" s="103">
        <f>SJ3223H96!G27</f>
        <v>1</v>
      </c>
      <c r="H415" s="103">
        <f>SJ3223H96!H27</f>
        <v>0</v>
      </c>
      <c r="I415" s="103">
        <f>SJ3223H96!I27</f>
        <v>1</v>
      </c>
      <c r="J415" s="103">
        <f>SJ3223H96!J27</f>
        <v>0</v>
      </c>
      <c r="K415" s="103">
        <v>3</v>
      </c>
      <c r="L415" s="103" t="s">
        <v>696</v>
      </c>
    </row>
    <row r="416" spans="1:12" customFormat="1">
      <c r="A416" t="str">
        <f>SJ3223H96!A28</f>
        <v>SJ3223H96</v>
      </c>
      <c r="B416" t="str">
        <f>SJ3223H96!B28</f>
        <v xml:space="preserve">SJ3223H96/501-503 Yo me imagino que la viejita sea la mamá, del señor y la señora está dicendo que ella no quiere comer, a ver qué podían hacer.  Me imagino que será meterla en un asilo o algo.  </v>
      </c>
      <c r="C416" t="str">
        <f>SJ3223H96!C28</f>
        <v>morfológico</v>
      </c>
      <c r="D416" t="str">
        <f>SJ3223H96!D28</f>
        <v>hipótesis</v>
      </c>
      <c r="E416">
        <f>SJ3223H96!E28</f>
        <v>3</v>
      </c>
      <c r="F416">
        <f>SJ3223H96!F28</f>
        <v>0</v>
      </c>
      <c r="G416">
        <f>SJ3223H96!G28</f>
        <v>0</v>
      </c>
      <c r="H416">
        <f>SJ3223H96!H28</f>
        <v>0</v>
      </c>
      <c r="I416">
        <f>SJ3223H96!I28</f>
        <v>1</v>
      </c>
      <c r="J416">
        <f>SJ3223H96!J28</f>
        <v>0</v>
      </c>
      <c r="K416">
        <v>3</v>
      </c>
      <c r="L416" t="s">
        <v>696</v>
      </c>
    </row>
    <row r="417" spans="1:12" customFormat="1">
      <c r="A417" t="str">
        <f>SJ3223H96!A29</f>
        <v>SJ3223H96</v>
      </c>
      <c r="B417" t="str">
        <f>SJ3223H96!B29</f>
        <v xml:space="preserve">SJ3223H96/509 Una gorda ahí pamplona---mira, no será familia tuya.  </v>
      </c>
      <c r="C417" t="str">
        <f>SJ3223H96!C29</f>
        <v>morfológico</v>
      </c>
      <c r="D417" t="str">
        <f>SJ3223H96!D29</f>
        <v>hipótesis</v>
      </c>
      <c r="E417">
        <f>SJ3223H96!E29</f>
        <v>3</v>
      </c>
      <c r="F417">
        <f>SJ3223H96!F29</f>
        <v>0</v>
      </c>
      <c r="G417">
        <f>SJ3223H96!G29</f>
        <v>1</v>
      </c>
      <c r="H417">
        <f>SJ3223H96!H29</f>
        <v>0</v>
      </c>
      <c r="I417">
        <f>SJ3223H96!I29</f>
        <v>0</v>
      </c>
      <c r="J417">
        <f>SJ3223H96!J29</f>
        <v>0</v>
      </c>
      <c r="K417">
        <v>3</v>
      </c>
      <c r="L417" t="s">
        <v>696</v>
      </c>
    </row>
    <row r="418" spans="1:12" customFormat="1">
      <c r="A418" s="103" t="str">
        <f>SJ03433H96!A2</f>
        <v>SJ03433H96</v>
      </c>
      <c r="B418" s="103" t="str">
        <f>SJ03433H96!B2</f>
        <v>SJ03433H96/209-215A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va a estar nunca en issue en unas elecciones, y que dependerá cualquier cambio que venga en el status político, dependerá del concenso que puedan lograr los líderes políticos puertorriqueños en cuanto al proceso para llegar a un acuerdo.</v>
      </c>
      <c r="C418" s="103" t="str">
        <f>SJ03433H96!C2</f>
        <v>analítico</v>
      </c>
      <c r="D418" s="103" t="str">
        <f>SJ03433H96!D2</f>
        <v>temporal</v>
      </c>
      <c r="E418" s="103">
        <f>SJ03433H96!E2</f>
        <v>3</v>
      </c>
      <c r="F418" s="103">
        <f>SJ03433H96!F2</f>
        <v>1</v>
      </c>
      <c r="G418" s="103">
        <f>SJ03433H96!G2</f>
        <v>1</v>
      </c>
      <c r="H418" s="103">
        <f>SJ03433H96!H2</f>
        <v>0</v>
      </c>
      <c r="I418" s="103">
        <f>SJ03433H96!I2</f>
        <v>1</v>
      </c>
      <c r="J418" s="103">
        <f>SJ03433H96!J2</f>
        <v>0</v>
      </c>
      <c r="K418" s="103">
        <v>3</v>
      </c>
      <c r="L418" s="103" t="s">
        <v>696</v>
      </c>
    </row>
    <row r="419" spans="1:12" customFormat="1">
      <c r="A419" s="103" t="str">
        <f>SJ03433H96!A3</f>
        <v>SJ03433H96</v>
      </c>
      <c r="B419" s="103" t="str">
        <f>SJ03433H96!B3</f>
        <v>SJ03433H96/209-215B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va a estar nunca en issue en unas elecciones, y que dependerá cualquier cambio que venga en el status político, dependerá del concenso que puedan lograr los líderes políticos puertorriqueños en cuanto al proceso para llegar a un acuerdo.</v>
      </c>
      <c r="C419" s="103" t="str">
        <f>SJ03433H96!C3</f>
        <v>morfológico</v>
      </c>
      <c r="D419" s="103" t="str">
        <f>SJ03433H96!D3</f>
        <v>temporal</v>
      </c>
      <c r="E419" s="103">
        <f>SJ03433H96!E3</f>
        <v>3</v>
      </c>
      <c r="F419" s="103">
        <f>SJ03433H96!F3</f>
        <v>0</v>
      </c>
      <c r="G419" s="103">
        <f>SJ03433H96!G3</f>
        <v>0</v>
      </c>
      <c r="H419" s="103">
        <f>SJ03433H96!H3</f>
        <v>1</v>
      </c>
      <c r="I419" s="103">
        <f>SJ03433H96!I3</f>
        <v>1</v>
      </c>
      <c r="J419" s="103">
        <f>SJ03433H96!J3</f>
        <v>0</v>
      </c>
      <c r="K419" s="103">
        <v>3</v>
      </c>
      <c r="L419" s="103" t="s">
        <v>696</v>
      </c>
    </row>
    <row r="420" spans="1:12" customFormat="1">
      <c r="A420" s="103" t="str">
        <f>SJ03433H96!A4</f>
        <v>SJ03433H96</v>
      </c>
      <c r="B420" s="103" t="str">
        <f>SJ03433H96!B4</f>
        <v>SJ03433H96/209-215C [C]reo que, que solamente hay dos partidos políticos que tienen oportunidad de, de ganar unas elecciones, el Partido Independentista, no creo que tenga oportunidad de salir victorioso en unas elecciones, por lo menos a corto plazo, y creo que el asunto del status, pues, es algo que realmente, realmente, no va a estar nunca en issue en unas elecciones, y que dependerá cualquier cambio que venga en el status político, dependerá del concenso que puedan lograr los líderes políticos puertorriqueños en cuanto al proceso para llegar a un acuerdo.</v>
      </c>
      <c r="C420" s="103" t="str">
        <f>SJ03433H96!C4</f>
        <v>morfológico</v>
      </c>
      <c r="D420" s="103" t="str">
        <f>SJ03433H96!D4</f>
        <v>temporal</v>
      </c>
      <c r="E420" s="103">
        <f>SJ03433H96!E4</f>
        <v>3</v>
      </c>
      <c r="F420" s="103">
        <f>SJ03433H96!F4</f>
        <v>0</v>
      </c>
      <c r="G420" s="103">
        <f>SJ03433H96!G4</f>
        <v>0</v>
      </c>
      <c r="H420" s="103">
        <f>SJ03433H96!H4</f>
        <v>1</v>
      </c>
      <c r="I420" s="103">
        <f>SJ03433H96!I4</f>
        <v>1</v>
      </c>
      <c r="J420" s="103">
        <f>SJ03433H96!J4</f>
        <v>0</v>
      </c>
      <c r="K420" s="103">
        <v>3</v>
      </c>
      <c r="L420" s="103" t="s">
        <v>696</v>
      </c>
    </row>
    <row r="421" spans="1:12" customFormat="1">
      <c r="A421" s="103" t="str">
        <f>SJ03433H96!A5</f>
        <v>SJ03433H96</v>
      </c>
      <c r="B421" s="103" t="str">
        <f>SJ03433H96!B5</f>
        <v>SJ03433H96/223-229 No sé, yo creo que hay muy buenos candidatos independientes, pero no, yo no creo que, que vaya a haber muchos cambios en la política puertorriqueña a corto y mediano plazo en términos de cómo se ha venido dando la política puertorriqueña, por lo menos yo no lo preveo, sí creo que la situación económica de los Estados Unidos es posible que lleve a una más pronta definición de la cuestión política en Puerto Rico, pero cómo eso habrá de darse, pues, me parece que eso todavía no está muy claro, y creo que lo hemos visto recientemente con lo que le ocurrió al proyecto Young, que no llegó ni a primera base.</v>
      </c>
      <c r="C421" s="103" t="str">
        <f>SJ03433H96!C5</f>
        <v>morfológico</v>
      </c>
      <c r="D421" s="103" t="str">
        <f>SJ03433H96!D5</f>
        <v>temporal</v>
      </c>
      <c r="E421" s="103">
        <f>SJ03433H96!E5</f>
        <v>3</v>
      </c>
      <c r="F421" s="103">
        <f>SJ03433H96!F5</f>
        <v>0</v>
      </c>
      <c r="G421" s="103">
        <f>SJ03433H96!G5</f>
        <v>0</v>
      </c>
      <c r="H421" s="103">
        <f>SJ03433H96!H5</f>
        <v>0</v>
      </c>
      <c r="I421" s="103">
        <f>SJ03433H96!I5</f>
        <v>1</v>
      </c>
      <c r="J421" s="103">
        <f>SJ03433H96!J5</f>
        <v>0</v>
      </c>
      <c r="K421" s="103">
        <v>3</v>
      </c>
      <c r="L421" s="103" t="s">
        <v>696</v>
      </c>
    </row>
    <row r="422" spans="1:12" customFormat="1">
      <c r="A422" s="103" t="str">
        <f>SJ03433H96!A6</f>
        <v>SJ03433H96</v>
      </c>
      <c r="B422" s="103" t="str">
        <f>SJ03433H96!B6</f>
        <v>SJ03433H96/233-236 Pues por eso, pero va a depender fundamentalmente, yo creo que, de que hayan unos concensos en términos, no de, del resultado final, en términos sustantivos, pero sí de que hayan unos concensos en cuanto al proceso que se va a seguir, en cuanto al procedimiento para tomar la decisión.</v>
      </c>
      <c r="C422" s="103" t="str">
        <f>SJ03433H96!C6</f>
        <v>analítico</v>
      </c>
      <c r="D422" s="103" t="str">
        <f>SJ03433H96!D6</f>
        <v>temporal</v>
      </c>
      <c r="E422" s="103">
        <f>SJ03433H96!E6</f>
        <v>3</v>
      </c>
      <c r="F422" s="103">
        <f>SJ03433H96!F6</f>
        <v>0</v>
      </c>
      <c r="G422" s="103">
        <f>SJ03433H96!G6</f>
        <v>0</v>
      </c>
      <c r="H422" s="103">
        <f>SJ03433H96!H6</f>
        <v>0</v>
      </c>
      <c r="I422" s="103">
        <f>SJ03433H96!I6</f>
        <v>1</v>
      </c>
      <c r="J422" s="103">
        <f>SJ03433H96!J6</f>
        <v>0</v>
      </c>
      <c r="K422" s="103">
        <v>3</v>
      </c>
      <c r="L422" s="103" t="s">
        <v>696</v>
      </c>
    </row>
    <row r="423" spans="1:12" customFormat="1">
      <c r="A423" s="103" t="str">
        <f>SJ03433H96!A7</f>
        <v>SJ03433H96</v>
      </c>
      <c r="B423" s="103" t="str">
        <f>SJ03433H96!B7</f>
        <v>SJ03433H96/233-236 Pues por eso, pero va a depender fundamentalmente, yo creo que, de que hayan unos concensos en términos, no de, del resultado final, en términos sustantivos, pero sí de que hayan unos concensos en cuanto al proceso que se va a seguir, en cuanto al procedimiento para tomar la decisión.</v>
      </c>
      <c r="C423" s="103" t="str">
        <f>SJ03433H96!C7</f>
        <v>analítico</v>
      </c>
      <c r="D423" s="103" t="str">
        <f>SJ03433H96!D7</f>
        <v>temporal</v>
      </c>
      <c r="E423" s="103">
        <f>SJ03433H96!E7</f>
        <v>3</v>
      </c>
      <c r="F423" s="103">
        <f>SJ03433H96!F7</f>
        <v>0</v>
      </c>
      <c r="G423" s="103">
        <f>SJ03433H96!G7</f>
        <v>0</v>
      </c>
      <c r="H423" s="103">
        <f>SJ03433H96!H7</f>
        <v>0</v>
      </c>
      <c r="I423" s="103">
        <f>SJ03433H96!I7</f>
        <v>0</v>
      </c>
      <c r="J423" s="103">
        <f>SJ03433H96!J7</f>
        <v>0</v>
      </c>
      <c r="K423" s="103">
        <v>3</v>
      </c>
      <c r="L423" s="103" t="s">
        <v>696</v>
      </c>
    </row>
    <row r="424" spans="1:12" customFormat="1">
      <c r="A424" s="103" t="str">
        <f>SJ03433H96!A8</f>
        <v>SJ03433H96</v>
      </c>
      <c r="B424" s="103" t="str">
        <f>SJ03433H96!B8</f>
        <v>SJ03433H96/246-247 Este, todo, todo va a depender de, mira, mira lo que ocurrió en la Unión Soviética, ¿quién esperaba que ocurriera algo como lo que ocurrió en la Unión Soviética?</v>
      </c>
      <c r="C424" s="103" t="str">
        <f>SJ03433H96!C8</f>
        <v>analítico</v>
      </c>
      <c r="D424" s="103" t="str">
        <f>SJ03433H96!D8</f>
        <v>temporal</v>
      </c>
      <c r="E424" s="103">
        <f>SJ03433H96!E8</f>
        <v>3</v>
      </c>
      <c r="F424" s="103">
        <f>SJ03433H96!F8</f>
        <v>0</v>
      </c>
      <c r="G424" s="103">
        <f>SJ03433H96!G8</f>
        <v>0</v>
      </c>
      <c r="H424" s="103">
        <f>SJ03433H96!H8</f>
        <v>0</v>
      </c>
      <c r="I424" s="103">
        <f>SJ03433H96!I8</f>
        <v>0</v>
      </c>
      <c r="J424" s="103">
        <f>SJ03433H96!J8</f>
        <v>0</v>
      </c>
      <c r="K424" s="103">
        <v>3</v>
      </c>
      <c r="L424" s="103" t="s">
        <v>696</v>
      </c>
    </row>
    <row r="425" spans="1:12" customFormat="1">
      <c r="A425" s="103" t="str">
        <f>SJ03433H96!A9</f>
        <v>SJ03433H96</v>
      </c>
      <c r="B425" s="103" t="str">
        <f>SJ03433H96!B9</f>
        <v>SJ03433H96/247-248 Pero eso no significa que los partidos políticos se van a eliminar.</v>
      </c>
      <c r="C425" s="103" t="str">
        <f>SJ03433H96!C9</f>
        <v>analítico</v>
      </c>
      <c r="D425" s="103" t="str">
        <f>SJ03433H96!D9</f>
        <v>temporal</v>
      </c>
      <c r="E425" s="103">
        <f>SJ03433H96!E9</f>
        <v>6</v>
      </c>
      <c r="F425" s="103">
        <f>SJ03433H96!F9</f>
        <v>0</v>
      </c>
      <c r="G425" s="103">
        <f>SJ03433H96!G9</f>
        <v>0</v>
      </c>
      <c r="H425" s="103">
        <f>SJ03433H96!H9</f>
        <v>0</v>
      </c>
      <c r="I425" s="103">
        <f>SJ03433H96!I9</f>
        <v>1</v>
      </c>
      <c r="J425" s="103">
        <f>SJ03433H96!J9</f>
        <v>0</v>
      </c>
      <c r="K425" s="103">
        <v>3</v>
      </c>
      <c r="L425" s="103" t="s">
        <v>696</v>
      </c>
    </row>
    <row r="426" spans="1:12" customFormat="1">
      <c r="A426" s="103" t="str">
        <f>SJ03433H96!A10</f>
        <v>SJ03433H96</v>
      </c>
      <c r="B426" s="103" t="str">
        <f>SJ03433H96!B10</f>
        <v>SJ03433H96/252-259A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26" s="103" t="str">
        <f>SJ03433H96!C10</f>
        <v>analítico</v>
      </c>
      <c r="D426" s="103" t="str">
        <f>SJ03433H96!D10</f>
        <v>temporal</v>
      </c>
      <c r="E426" s="103">
        <f>SJ03433H96!E10</f>
        <v>6</v>
      </c>
      <c r="F426" s="103">
        <f>SJ03433H96!F10</f>
        <v>0</v>
      </c>
      <c r="G426" s="103">
        <f>SJ03433H96!G10</f>
        <v>0</v>
      </c>
      <c r="H426" s="103">
        <f>SJ03433H96!H10</f>
        <v>0</v>
      </c>
      <c r="I426" s="103">
        <f>SJ03433H96!I10</f>
        <v>1</v>
      </c>
      <c r="J426" s="103">
        <f>SJ03433H96!J10</f>
        <v>0</v>
      </c>
      <c r="K426" s="103">
        <v>3</v>
      </c>
      <c r="L426" s="103" t="s">
        <v>696</v>
      </c>
    </row>
    <row r="427" spans="1:12" customFormat="1">
      <c r="A427" s="103" t="str">
        <f>SJ03433H96!A11</f>
        <v>SJ03433H96</v>
      </c>
      <c r="B427" s="103" t="str">
        <f>SJ03433H96!B11</f>
        <v>SJ03433H96/252-259B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27" s="103" t="str">
        <f>SJ03433H96!C11</f>
        <v>analítico</v>
      </c>
      <c r="D427" s="103" t="str">
        <f>SJ03433H96!D11</f>
        <v>temporal</v>
      </c>
      <c r="E427" s="103">
        <f>SJ03433H96!E11</f>
        <v>6</v>
      </c>
      <c r="F427" s="103">
        <f>SJ03433H96!F11</f>
        <v>0</v>
      </c>
      <c r="G427" s="103">
        <f>SJ03433H96!G11</f>
        <v>0</v>
      </c>
      <c r="H427" s="103">
        <f>SJ03433H96!H11</f>
        <v>0</v>
      </c>
      <c r="I427" s="103">
        <f>SJ03433H96!I11</f>
        <v>1</v>
      </c>
      <c r="J427" s="103">
        <f>SJ03433H96!J11</f>
        <v>0</v>
      </c>
      <c r="K427" s="103">
        <v>3</v>
      </c>
      <c r="L427" s="103" t="s">
        <v>696</v>
      </c>
    </row>
    <row r="428" spans="1:12" customFormat="1">
      <c r="A428" s="103" t="str">
        <f>SJ03433H96!A12</f>
        <v>SJ03433H96</v>
      </c>
      <c r="B428" s="103" t="str">
        <f>SJ03433H96!B12</f>
        <v>SJ03433H96/252-259C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28" s="103" t="str">
        <f>SJ03433H96!C12</f>
        <v>analítico</v>
      </c>
      <c r="D428" s="103" t="str">
        <f>SJ03433H96!D12</f>
        <v>temporal</v>
      </c>
      <c r="E428" s="103">
        <f>SJ03433H96!E12</f>
        <v>6</v>
      </c>
      <c r="F428" s="103">
        <f>SJ03433H96!F12</f>
        <v>0</v>
      </c>
      <c r="G428" s="103">
        <f>SJ03433H96!G12</f>
        <v>0</v>
      </c>
      <c r="H428" s="103">
        <f>SJ03433H96!H12</f>
        <v>0</v>
      </c>
      <c r="I428" s="103">
        <f>SJ03433H96!I12</f>
        <v>1</v>
      </c>
      <c r="J428" s="103">
        <f>SJ03433H96!J12</f>
        <v>0</v>
      </c>
      <c r="K428" s="103">
        <v>3</v>
      </c>
      <c r="L428" s="103" t="s">
        <v>696</v>
      </c>
    </row>
    <row r="429" spans="1:12" customFormat="1">
      <c r="A429" s="103" t="str">
        <f>SJ03433H96!A13</f>
        <v>SJ03433H96</v>
      </c>
      <c r="B429" s="103" t="str">
        <f>SJ03433H96!B13</f>
        <v>SJ03433H96/252-259D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29" s="103" t="str">
        <f>SJ03433H96!C13</f>
        <v>presente</v>
      </c>
      <c r="D429" s="103" t="str">
        <f>SJ03433H96!D13</f>
        <v>temporal</v>
      </c>
      <c r="E429" s="103">
        <f>SJ03433H96!E13</f>
        <v>3</v>
      </c>
      <c r="F429" s="103">
        <f>SJ03433H96!F13</f>
        <v>0</v>
      </c>
      <c r="G429" s="103">
        <f>SJ03433H96!G13</f>
        <v>0</v>
      </c>
      <c r="H429" s="103">
        <f>SJ03433H96!H13</f>
        <v>0</v>
      </c>
      <c r="I429" s="103">
        <f>SJ03433H96!I13</f>
        <v>1</v>
      </c>
      <c r="J429" s="103">
        <f>SJ03433H96!J13</f>
        <v>0</v>
      </c>
      <c r="K429" s="103">
        <v>3</v>
      </c>
      <c r="L429" s="103" t="s">
        <v>696</v>
      </c>
    </row>
    <row r="430" spans="1:12" customFormat="1">
      <c r="A430" s="103" t="str">
        <f>SJ03433H96!A14</f>
        <v>SJ03433H96</v>
      </c>
      <c r="B430" s="103" t="str">
        <f>SJ03433H96!B14</f>
        <v>SJ03433H96/252-259E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30" s="103" t="str">
        <f>SJ03433H96!C14</f>
        <v>morfológico</v>
      </c>
      <c r="D430" s="103" t="str">
        <f>SJ03433H96!D14</f>
        <v>temporal</v>
      </c>
      <c r="E430" s="103">
        <f>SJ03433H96!E14</f>
        <v>4</v>
      </c>
      <c r="F430" s="103">
        <f>SJ03433H96!F14</f>
        <v>0</v>
      </c>
      <c r="G430" s="103">
        <f>SJ03433H96!G14</f>
        <v>0</v>
      </c>
      <c r="H430" s="103">
        <f>SJ03433H96!H14</f>
        <v>0</v>
      </c>
      <c r="I430" s="103">
        <f>SJ03433H96!I14</f>
        <v>1</v>
      </c>
      <c r="J430" s="103">
        <f>SJ03433H96!J14</f>
        <v>0</v>
      </c>
      <c r="K430" s="103">
        <v>3</v>
      </c>
      <c r="L430" s="103" t="s">
        <v>696</v>
      </c>
    </row>
    <row r="431" spans="1:12" customFormat="1">
      <c r="A431" s="103" t="str">
        <f>SJ03433H96!A15</f>
        <v>SJ03433H96</v>
      </c>
      <c r="B431" s="103" t="str">
        <f>SJ03433H96!B15</f>
        <v>SJ03433H96/252-259F Todo depende, todo depende porque el hecho de que hayan cambios no significa que los políticos, los partidos políticos se van a ir, van a ir desapareciendo o van a perder fuerza permanentemente, o sea, yo creo que, que todo depende de cómo los partidos políticos se ajusten a las nuevas circunstancias, en la medida en que puedan hacer sus ajustes los patidos políticos tendremos partidos políticos para largo, siempre tartando de buscar el poder y siempre con los mismos problemas que tienen los partidos políticos que no pueden satisfacer las necesidades o las querencias de todos los miembros de una comunidad, porque siempre va a haber uno que es pansisita</v>
      </c>
      <c r="C431" s="103" t="str">
        <f>SJ03433H96!C15</f>
        <v>analítico</v>
      </c>
      <c r="D431" s="103" t="str">
        <f>SJ03433H96!D15</f>
        <v>temporal</v>
      </c>
      <c r="E431" s="103">
        <f>SJ03433H96!E15</f>
        <v>3</v>
      </c>
      <c r="F431" s="103">
        <f>SJ03433H96!F15</f>
        <v>1</v>
      </c>
      <c r="G431" s="103">
        <f>SJ03433H96!G15</f>
        <v>0</v>
      </c>
      <c r="H431" s="103">
        <f>SJ03433H96!H15</f>
        <v>0</v>
      </c>
      <c r="I431" s="103">
        <f>SJ03433H96!I15</f>
        <v>1</v>
      </c>
      <c r="J431" s="103">
        <f>SJ03433H96!J15</f>
        <v>0</v>
      </c>
      <c r="K431" s="103">
        <v>3</v>
      </c>
      <c r="L431" s="103" t="s">
        <v>696</v>
      </c>
    </row>
    <row r="432" spans="1:12" customFormat="1">
      <c r="A432" s="103" t="str">
        <f>SJ03433H96!A16</f>
        <v>SJ03433H96</v>
      </c>
      <c r="B432" s="103" t="str">
        <f>SJ03433H96!B16</f>
        <v>SJ03433H96/383-385 Pues yo creo que, que al igual que el aborto todo depende de las circunstancias, yo no tengo una visión absoluta sobre la pena capital o el aborto, en términos de que no se pueden hacer, yo creo que, o que se puedan hacer, creo que todo va a depender de cuáles sean las circunstancias.</v>
      </c>
      <c r="C432" s="103" t="str">
        <f>SJ03433H96!C16</f>
        <v>analítico</v>
      </c>
      <c r="D432" s="103" t="str">
        <f>SJ03433H96!D16</f>
        <v>temporal</v>
      </c>
      <c r="E432" s="103">
        <f>SJ03433H96!E16</f>
        <v>3</v>
      </c>
      <c r="F432" s="103">
        <f>SJ03433H96!F16</f>
        <v>0</v>
      </c>
      <c r="G432" s="103">
        <f>SJ03433H96!G16</f>
        <v>0</v>
      </c>
      <c r="H432" s="103">
        <f>SJ03433H96!H16</f>
        <v>0</v>
      </c>
      <c r="I432" s="103">
        <f>SJ03433H96!I16</f>
        <v>1</v>
      </c>
      <c r="J432" s="103">
        <f>SJ03433H96!J16</f>
        <v>0</v>
      </c>
      <c r="K432" s="103">
        <v>3</v>
      </c>
      <c r="L432" s="103" t="s">
        <v>696</v>
      </c>
    </row>
    <row r="433" spans="1:12" customFormat="1">
      <c r="A433" s="103" t="str">
        <f>SJ03433H96!A17</f>
        <v>SJ03433H96</v>
      </c>
      <c r="B433" s="103" t="str">
        <f>SJ03433H96!B17</f>
        <v>SJ03433H96/406-414 No pero la defensa legìtima se acepta, o sea, si alguien te va a matar a ti, y la ùnica forma que tù tienes de salvar tu vida es matando a esa persona, yo creo que eso tù lo aceptas, verdad, o lo aceptan, por lo menos, muchas de las personas que, que no aceptan la pena capital o que no estàn de acuerdo con la pena capital, y entonces lo que señalan es que, no, porque la vida es, es lo màs grande y eso, ellos jamàs estarìan en, a favor de algo que vaya en contra de la vida, pero esas son las mismas personas que aprueban el aborto bajo ciertas circunstancias, pues la muerte de un ser humano, tanto de un ser humano pequeñito, chiquitito, que se encuentra en el vientre, como la de un ser humano que sea un bambalàn, que sea un criminal consecuente, pues, dentro de ciertas circunstancias es legìtimo para mì el que se prive de la vida a un ser humano</v>
      </c>
      <c r="C433" s="103" t="str">
        <f>SJ03433H96!C17</f>
        <v>analítico</v>
      </c>
      <c r="D433" s="103" t="str">
        <f>SJ03433H96!D17</f>
        <v>temporal</v>
      </c>
      <c r="E433" s="103">
        <f>SJ03433H96!E17</f>
        <v>3</v>
      </c>
      <c r="F433" s="103">
        <f>SJ03433H96!F17</f>
        <v>0</v>
      </c>
      <c r="G433" s="103">
        <f>SJ03433H96!G17</f>
        <v>0</v>
      </c>
      <c r="H433" s="103">
        <f>SJ03433H96!H17</f>
        <v>0</v>
      </c>
      <c r="I433" s="103">
        <f>SJ03433H96!I17</f>
        <v>0</v>
      </c>
      <c r="J433" s="103">
        <f>SJ03433H96!J17</f>
        <v>1</v>
      </c>
      <c r="K433" s="103">
        <v>3</v>
      </c>
      <c r="L433" s="103" t="s">
        <v>696</v>
      </c>
    </row>
    <row r="434" spans="1:12" customFormat="1">
      <c r="A434" t="str">
        <f>SJ03433H96!A18</f>
        <v>SJ03433H96</v>
      </c>
      <c r="B434" t="str">
        <f>SJ03433H96!B18</f>
        <v>SJ03433H96/418 O sea, yo no creo, por ejemplo, vamos a coger un ejemplo: Bondy, Ted Bondy.</v>
      </c>
      <c r="C434" t="str">
        <f>SJ03433H96!C18</f>
        <v>analítico</v>
      </c>
      <c r="D434" t="str">
        <f>SJ03433H96!D18</f>
        <v>exhortación</v>
      </c>
      <c r="E434">
        <f>SJ03433H96!E18</f>
        <v>4</v>
      </c>
      <c r="F434">
        <f>SJ03433H96!F18</f>
        <v>0</v>
      </c>
      <c r="G434">
        <f>SJ03433H96!G18</f>
        <v>0</v>
      </c>
      <c r="H434">
        <f>SJ03433H96!H18</f>
        <v>0</v>
      </c>
      <c r="I434">
        <f>SJ03433H96!I18</f>
        <v>0</v>
      </c>
      <c r="J434">
        <f>SJ03433H96!J18</f>
        <v>0</v>
      </c>
      <c r="K434">
        <v>3</v>
      </c>
      <c r="L434" t="s">
        <v>696</v>
      </c>
    </row>
    <row r="435" spans="1:12" customFormat="1">
      <c r="A435" s="103" t="str">
        <f>SJ03433H96!A19</f>
        <v>SJ03433H96</v>
      </c>
      <c r="B435" s="103" t="str">
        <f>SJ03433H96!B19</f>
        <v>SJ03433H96/462-463 Si es de ìndole social que sea, que trascienda los lìmites de mi familia no me van a coger a mì para organizarlo porque yo no</v>
      </c>
      <c r="C435" s="103" t="str">
        <f>SJ03433H96!C19</f>
        <v>analítico</v>
      </c>
      <c r="D435" s="103" t="str">
        <f>SJ03433H96!D19</f>
        <v>temporal</v>
      </c>
      <c r="E435" s="103">
        <f>SJ03433H96!E19</f>
        <v>6</v>
      </c>
      <c r="F435" s="103">
        <f>SJ03433H96!F19</f>
        <v>0</v>
      </c>
      <c r="G435" s="103">
        <f>SJ03433H96!G19</f>
        <v>0</v>
      </c>
      <c r="H435" s="103">
        <f>SJ03433H96!H19</f>
        <v>0</v>
      </c>
      <c r="I435" s="103">
        <f>SJ03433H96!I19</f>
        <v>0</v>
      </c>
      <c r="J435" s="103">
        <f>SJ03433H96!J19</f>
        <v>1</v>
      </c>
      <c r="K435" s="103">
        <v>3</v>
      </c>
      <c r="L435" s="103" t="s">
        <v>696</v>
      </c>
    </row>
    <row r="436" spans="1:12" customFormat="1">
      <c r="A436" s="103" t="str">
        <f>SJ03433H96!A20</f>
        <v>SJ03433H96</v>
      </c>
      <c r="B436" s="103" t="str">
        <f>SJ03433H96!B20</f>
        <v>SJ03433H96/468-475A Bueno, lo que tenga que hacer, dependiendo de lo que sea, pues, planificarlo, no sé cuàl, cuál es la intenciòn de la pregunta, pero todo, todo, bueno todo lo que uno va a hacer en la vida hay que planificarlo, si, y uno lo planifica de acuerdo a lo que quiera, y lo que se desea o las normas que le hayan impuesto a uno, yo no tengo la menor duda de que si lo que se trata es de organizar algo asì, relacionado con un deporte o algo, pues, va a ser de acuerdo a las normas que me hayan impuesto y en aquellas àreas donde tengo un poco de flexibilidad pues, de acuerdo a como yo pues, lo prefiera, pero tendrìamos que concretarnos un poco màs pues, para yo poder abundar màs en la contestaciòn de esa pregunta</v>
      </c>
      <c r="C436" s="103" t="str">
        <f>SJ03433H96!C20</f>
        <v>analítico</v>
      </c>
      <c r="D436" s="103" t="str">
        <f>SJ03433H96!D20</f>
        <v>temporal</v>
      </c>
      <c r="E436" s="103">
        <f>SJ03433H96!E20</f>
        <v>3</v>
      </c>
      <c r="F436" s="103">
        <f>SJ03433H96!F20</f>
        <v>0</v>
      </c>
      <c r="G436" s="103">
        <f>SJ03433H96!G20</f>
        <v>0</v>
      </c>
      <c r="H436" s="103">
        <f>SJ03433H96!H20</f>
        <v>0</v>
      </c>
      <c r="I436" s="103">
        <f>SJ03433H96!I20</f>
        <v>0</v>
      </c>
      <c r="J436" s="103">
        <f>SJ03433H96!J20</f>
        <v>0</v>
      </c>
      <c r="K436" s="103">
        <v>3</v>
      </c>
      <c r="L436" s="103" t="s">
        <v>696</v>
      </c>
    </row>
    <row r="437" spans="1:12" customFormat="1">
      <c r="A437" s="103" t="str">
        <f>SJ03433H96!A21</f>
        <v>SJ03433H96</v>
      </c>
      <c r="B437" s="103" t="str">
        <f>SJ03433H96!B21</f>
        <v>SJ03433H96/468-475B Bueno, lo que tenga que hacer, dependiendo de lo que sea, pues, planificarlo, no sé cuàl, cuál es la intenciòn de la pregunta, pero todo, todo, bueno todo lo que uno va a hacer en la vida hay que planificarlo, si, y uno lo planifica de acuerdo a lo que quiera, y lo que se desea o las normas que le hayan impuesto a uno, yo no tengo la menor duda de que si lo que se trata es de organizar algo asì, relacionado con un deporte o algo, pues, va a ser de acuerdo a las normas que me hayan impuesto y en aquellas àreas donde tengo un poco de flexibilidad pues, de acuerdo a como yo pues, lo prefiera, pero tendrìamos que concretarnos un poco màs pues, para yo poder abundar màs en la contestaciòn de esa pregunta</v>
      </c>
      <c r="C437" s="103" t="str">
        <f>SJ03433H96!C21</f>
        <v>analítico</v>
      </c>
      <c r="D437" s="103" t="str">
        <f>SJ03433H96!D21</f>
        <v>temporal</v>
      </c>
      <c r="E437" s="103">
        <f>SJ03433H96!E21</f>
        <v>3</v>
      </c>
      <c r="F437" s="103">
        <f>SJ03433H96!F21</f>
        <v>0</v>
      </c>
      <c r="G437" s="103">
        <f>SJ03433H96!G21</f>
        <v>0</v>
      </c>
      <c r="H437" s="103">
        <f>SJ03433H96!H21</f>
        <v>0</v>
      </c>
      <c r="I437" s="103">
        <f>SJ03433H96!I21</f>
        <v>0</v>
      </c>
      <c r="J437" s="103">
        <f>SJ03433H96!J21</f>
        <v>0</v>
      </c>
      <c r="K437" s="103">
        <v>3</v>
      </c>
      <c r="L437" s="103" t="s">
        <v>696</v>
      </c>
    </row>
    <row r="438" spans="1:12" customFormat="1">
      <c r="A438" s="103" t="str">
        <f>SJ03433H96!A22</f>
        <v>SJ03433H96</v>
      </c>
      <c r="B438" s="103" t="str">
        <f>SJ03433H96!B22</f>
        <v>SJ03433H96/479-480A Me los estoy llevando para casa porque me voy a jubilar el 31 de marzo, y ya me llevé los, con los que yo normalmente, los que me gusta tener cerca, y estos son los que se van a quedar aquí</v>
      </c>
      <c r="C438" s="103" t="str">
        <f>SJ03433H96!C22</f>
        <v>analítico</v>
      </c>
      <c r="D438" s="103" t="str">
        <f>SJ03433H96!D22</f>
        <v>temporal</v>
      </c>
      <c r="E438" s="103">
        <f>SJ03433H96!E22</f>
        <v>1</v>
      </c>
      <c r="F438" s="103">
        <f>SJ03433H96!F22</f>
        <v>1</v>
      </c>
      <c r="G438" s="103">
        <f>SJ03433H96!G22</f>
        <v>0</v>
      </c>
      <c r="H438" s="103">
        <f>SJ03433H96!H22</f>
        <v>2</v>
      </c>
      <c r="I438" s="103">
        <f>SJ03433H96!I22</f>
        <v>0</v>
      </c>
      <c r="J438" s="103">
        <f>SJ03433H96!J22</f>
        <v>0</v>
      </c>
      <c r="K438" s="103">
        <v>3</v>
      </c>
      <c r="L438" s="103" t="s">
        <v>696</v>
      </c>
    </row>
    <row r="439" spans="1:12" customFormat="1">
      <c r="A439" s="103" t="str">
        <f>SJ03433H96!A23</f>
        <v>SJ03433H96</v>
      </c>
      <c r="B439" s="103" t="str">
        <f>SJ03433H96!B23</f>
        <v>SJ03433H96/479-480B Me los estoy llevando para casa porque me voy a jubilar el 31 de marzo, y ya me llevé los, con los que yo normalmente, los que me gusta tener cerca, y estos son los que se van a quedar aquì</v>
      </c>
      <c r="C439" s="103" t="str">
        <f>SJ03433H96!C23</f>
        <v>analítico</v>
      </c>
      <c r="D439" s="103" t="str">
        <f>SJ03433H96!D23</f>
        <v>temporal</v>
      </c>
      <c r="E439" s="103">
        <f>SJ03433H96!E23</f>
        <v>6</v>
      </c>
      <c r="F439" s="103">
        <f>SJ03433H96!F23</f>
        <v>1</v>
      </c>
      <c r="G439" s="103">
        <f>SJ03433H96!G23</f>
        <v>0</v>
      </c>
      <c r="H439" s="103">
        <f>SJ03433H96!H23</f>
        <v>2</v>
      </c>
      <c r="I439" s="103">
        <f>SJ03433H96!I23</f>
        <v>0</v>
      </c>
      <c r="J439" s="103">
        <f>SJ03433H96!J23</f>
        <v>0</v>
      </c>
      <c r="K439" s="103">
        <v>3</v>
      </c>
      <c r="L439" s="103" t="s">
        <v>696</v>
      </c>
    </row>
    <row r="440" spans="1:12" customFormat="1">
      <c r="A440" s="103" t="str">
        <f xml:space="preserve">
SJ03533H96!A2</f>
        <v>SJ03533H96</v>
      </c>
      <c r="B440" s="103" t="str">
        <f xml:space="preserve">
SJ03533H96!B2</f>
        <v>SJ03533H96/95 Unos esto, unos talleres, así, así y así,” nunca me olvidaré.</v>
      </c>
      <c r="C440" s="103" t="str">
        <f xml:space="preserve">
SJ03533H96!C2</f>
        <v>morfológico</v>
      </c>
      <c r="D440" s="103" t="str">
        <f xml:space="preserve">
SJ03533H96!D2</f>
        <v>temporal</v>
      </c>
      <c r="E440" s="103">
        <f xml:space="preserve">
SJ03533H96!E2</f>
        <v>1</v>
      </c>
      <c r="F440" s="103">
        <f xml:space="preserve">
SJ03533H96!F2</f>
        <v>1</v>
      </c>
      <c r="G440" s="103">
        <f xml:space="preserve">
SJ03533H96!G2</f>
        <v>1</v>
      </c>
      <c r="H440" s="103">
        <f xml:space="preserve">
SJ03533H96!H2</f>
        <v>0</v>
      </c>
      <c r="I440" s="103">
        <f xml:space="preserve">
SJ03533H96!I2</f>
        <v>1</v>
      </c>
      <c r="J440" s="103">
        <f xml:space="preserve">
SJ03533H96!J2</f>
        <v>0</v>
      </c>
      <c r="K440" s="103">
        <v>3</v>
      </c>
      <c r="L440" s="103" t="s">
        <v>696</v>
      </c>
    </row>
    <row r="441" spans="1:12" customFormat="1">
      <c r="A441" s="103" t="str">
        <f xml:space="preserve">
SJ03533H96!A3</f>
        <v>SJ03533H96</v>
      </c>
      <c r="B441" s="103" t="str">
        <f xml:space="preserve">
SJ03533H96!B3</f>
        <v>SJ03533H96/95-97A Yo le digo: “le aseguro que por lo menos la gente va a venir a la plaza y que cuando cesen en la, esta tipo de actividad, este tipo de festejo, la gente continuará viniendo a la plaza.</v>
      </c>
      <c r="C441" s="103" t="str">
        <f xml:space="preserve">
SJ03533H96!C3</f>
        <v>analítico</v>
      </c>
      <c r="D441" s="103" t="str">
        <f xml:space="preserve">
SJ03533H96!D3</f>
        <v>temporal</v>
      </c>
      <c r="E441" s="103">
        <f xml:space="preserve">
SJ03533H96!E3</f>
        <v>3</v>
      </c>
      <c r="F441" s="103">
        <f xml:space="preserve">
SJ03533H96!F3</f>
        <v>0</v>
      </c>
      <c r="G441" s="103">
        <f xml:space="preserve">
SJ03533H96!G3</f>
        <v>0</v>
      </c>
      <c r="H441" s="103">
        <f xml:space="preserve">
SJ03533H96!H3</f>
        <v>0</v>
      </c>
      <c r="I441" s="103">
        <f xml:space="preserve">
SJ03533H96!I3</f>
        <v>1</v>
      </c>
      <c r="J441" s="103">
        <f xml:space="preserve">
SJ03533H96!J3</f>
        <v>0</v>
      </c>
      <c r="K441" s="103">
        <v>3</v>
      </c>
      <c r="L441" s="103" t="s">
        <v>696</v>
      </c>
    </row>
    <row r="442" spans="1:12" customFormat="1">
      <c r="A442" s="103" t="str">
        <f xml:space="preserve">
SJ03533H96!A4</f>
        <v>SJ03533H96</v>
      </c>
      <c r="B442" s="103" t="str">
        <f xml:space="preserve">
SJ03533H96!B4</f>
        <v>SJ03533H96/95-97B Yo le digo: “le aseguro que por lo menos la gente va a venir a la plaza y que cuando cesen en la, esta tipo de actividad, este tipo de festejo, la gente continuará viniendo a la plaza.</v>
      </c>
      <c r="C442" s="103" t="str">
        <f xml:space="preserve">
SJ03533H96!C4</f>
        <v>morfológico</v>
      </c>
      <c r="D442" s="103" t="str">
        <f xml:space="preserve">
SJ03533H96!D4</f>
        <v>temporal</v>
      </c>
      <c r="E442" s="103">
        <f xml:space="preserve">
SJ03533H96!E4</f>
        <v>3</v>
      </c>
      <c r="F442" s="103">
        <f xml:space="preserve">
SJ03533H96!F4</f>
        <v>0</v>
      </c>
      <c r="G442" s="103">
        <f xml:space="preserve">
SJ03533H96!G4</f>
        <v>0</v>
      </c>
      <c r="H442" s="103">
        <f xml:space="preserve">
SJ03533H96!H4</f>
        <v>0</v>
      </c>
      <c r="I442" s="103">
        <f xml:space="preserve">
SJ03533H96!I4</f>
        <v>1</v>
      </c>
      <c r="J442" s="103">
        <f xml:space="preserve">
SJ03533H96!J4</f>
        <v>0</v>
      </c>
      <c r="K442" s="103">
        <v>3</v>
      </c>
      <c r="L442" s="103" t="s">
        <v>696</v>
      </c>
    </row>
    <row r="443" spans="1:12" customFormat="1">
      <c r="A443" s="103" t="str">
        <f xml:space="preserve">
SJ03533H96!A5</f>
        <v>SJ03533H96</v>
      </c>
      <c r="B443" s="103" t="str">
        <f xml:space="preserve">
SJ03533H96!B5</f>
        <v>SJ03533H96/222-226 Y cuando salió empezó a buscar el carro y busca y busca el carro. Bueno, la clase se reunía eh, eh, Moneda y Banca se reunía martes, jueves, martes y jueves, martes y jueves, sí, el próximo martes, él era un hombre alto, grande, fornido, el primer anuncio después de decir los buenos días en la clase dice: "yo le voy a dar una A al que sea el machito que me diga quien me movió y me escondió el carro.”</v>
      </c>
      <c r="C443" s="103" t="str">
        <f xml:space="preserve">
SJ03533H96!C5</f>
        <v>analítico</v>
      </c>
      <c r="D443" s="103" t="str">
        <f xml:space="preserve">
SJ03533H96!D5</f>
        <v>temporal</v>
      </c>
      <c r="E443" s="103">
        <f xml:space="preserve">
SJ03533H96!E5</f>
        <v>1</v>
      </c>
      <c r="F443" s="103">
        <f xml:space="preserve">
SJ03533H96!F5</f>
        <v>0</v>
      </c>
      <c r="G443" s="103">
        <f xml:space="preserve">
SJ03533H96!G5</f>
        <v>0</v>
      </c>
      <c r="H443" s="103">
        <f xml:space="preserve">
SJ03533H96!H5</f>
        <v>0</v>
      </c>
      <c r="I443" s="103">
        <f xml:space="preserve">
SJ03533H96!I5</f>
        <v>0</v>
      </c>
      <c r="J443" s="103">
        <f xml:space="preserve">
SJ03533H96!J5</f>
        <v>0</v>
      </c>
      <c r="K443" s="103">
        <v>3</v>
      </c>
      <c r="L443" s="103" t="s">
        <v>696</v>
      </c>
    </row>
    <row r="444" spans="1:12" customFormat="1">
      <c r="A444" s="103" t="str">
        <f xml:space="preserve">
SJ03533H96!A6</f>
        <v>SJ03533H96</v>
      </c>
      <c r="B444" s="103" t="str">
        <f xml:space="preserve">
SJ03533H96!B6</f>
        <v xml:space="preserve">SJ03533H96/230-234 Y dice: “carajo, yo sabía,  desearía saber quién fue, todavía, quién?  Entonces pego a reirme, y me dice: “¿fuiste tú hijo?”, “Sí, señor, allí en Siberia se lo pusimos”, “y, ¿por qué?”, “porque como yo era el único que sabía guiar supuestamente, vino fulano de tal y me dijo: ‘¿tú te atreves a guiar?,’ seguro, va, vamos a movérselo,” y como usted lo dejaba abierto con las llaves puestas allí.”  </v>
      </c>
      <c r="C444" s="103" t="str">
        <f xml:space="preserve">
SJ03533H96!C6</f>
        <v>analítico</v>
      </c>
      <c r="D444" s="103" t="str">
        <f xml:space="preserve">
SJ03533H96!D6</f>
        <v>temporal</v>
      </c>
      <c r="E444" s="103">
        <f xml:space="preserve">
SJ03533H96!E6</f>
        <v>4</v>
      </c>
      <c r="F444" s="103">
        <f xml:space="preserve">
SJ03533H96!F6</f>
        <v>0</v>
      </c>
      <c r="G444" s="103">
        <f xml:space="preserve">
SJ03533H96!G6</f>
        <v>0</v>
      </c>
      <c r="H444" s="103">
        <f xml:space="preserve">
SJ03533H96!H6</f>
        <v>0</v>
      </c>
      <c r="I444" s="103">
        <f xml:space="preserve">
SJ03533H96!I6</f>
        <v>1</v>
      </c>
      <c r="J444" s="103">
        <f xml:space="preserve">
SJ03533H96!J6</f>
        <v>0</v>
      </c>
      <c r="K444" s="103">
        <v>3</v>
      </c>
      <c r="L444" s="103" t="s">
        <v>696</v>
      </c>
    </row>
    <row r="445" spans="1:12" customFormat="1">
      <c r="A445" t="str">
        <f xml:space="preserve">
SJ03533H96!A7</f>
        <v>SJ03533H96</v>
      </c>
      <c r="B445" t="str">
        <f xml:space="preserve">
SJ03533H96!B7</f>
        <v>SJ03533H96/249-252 Habrá casos sus excepciones, pero yo creo que son son excepciones, excepcionales, entonces cuando uno, eh, le ofrece matrimonio a esa persona por primera vez en la vida de uno, que uno, y se cree que, que es todo miel sobre ruedas.</v>
      </c>
      <c r="C445" t="str">
        <f xml:space="preserve">
SJ03533H96!C7</f>
        <v>morfológico</v>
      </c>
      <c r="D445" t="str">
        <f xml:space="preserve">
SJ03533H96!D7</f>
        <v>hipótesis</v>
      </c>
      <c r="E445">
        <f xml:space="preserve">
SJ03533H96!E7</f>
        <v>3</v>
      </c>
      <c r="F445">
        <f xml:space="preserve">
SJ03533H96!F7</f>
        <v>0</v>
      </c>
      <c r="G445">
        <f xml:space="preserve">
SJ03533H96!G7</f>
        <v>0</v>
      </c>
      <c r="H445">
        <f xml:space="preserve">
SJ03533H96!H7</f>
        <v>0</v>
      </c>
      <c r="I445">
        <f xml:space="preserve">
SJ03533H96!I7</f>
        <v>0</v>
      </c>
      <c r="J445">
        <f xml:space="preserve">
SJ03533H96!J7</f>
        <v>0</v>
      </c>
      <c r="K445">
        <v>3</v>
      </c>
      <c r="L445" t="s">
        <v>696</v>
      </c>
    </row>
    <row r="446" spans="1:12" customFormat="1">
      <c r="A446" s="103" t="str">
        <f xml:space="preserve">
SJ03533H96!A8</f>
        <v>SJ03533H96</v>
      </c>
      <c r="B446" s="103" t="str">
        <f xml:space="preserve">
SJ03533H96!B8</f>
        <v>SJ03533H96/252-254A La falta de preparación, la falta de madurez, la falta de, de conocimiento a nivel de, eh, eh, yo diría eh, eh, personal en el sentido que yo no te voy a cambiar a ti, ni tú me vas a cambiar a mí.</v>
      </c>
      <c r="C446" s="103" t="str">
        <f xml:space="preserve">
SJ03533H96!C8</f>
        <v>analítico</v>
      </c>
      <c r="D446" s="103" t="str">
        <f xml:space="preserve">
SJ03533H96!D8</f>
        <v>temporal</v>
      </c>
      <c r="E446" s="103">
        <f xml:space="preserve">
SJ03533H96!E8</f>
        <v>1</v>
      </c>
      <c r="F446" s="103">
        <f xml:space="preserve">
SJ03533H96!F8</f>
        <v>0</v>
      </c>
      <c r="G446" s="103">
        <f xml:space="preserve">
SJ03533H96!G8</f>
        <v>1</v>
      </c>
      <c r="H446" s="103">
        <f xml:space="preserve">
SJ03533H96!H8</f>
        <v>0</v>
      </c>
      <c r="I446" s="103">
        <f xml:space="preserve">
SJ03533H96!I8</f>
        <v>0</v>
      </c>
      <c r="J446" s="103">
        <f xml:space="preserve">
SJ03533H96!J8</f>
        <v>0</v>
      </c>
      <c r="K446" s="103">
        <v>3</v>
      </c>
      <c r="L446" s="103" t="s">
        <v>696</v>
      </c>
    </row>
    <row r="447" spans="1:12" customFormat="1">
      <c r="A447" s="103" t="str">
        <f xml:space="preserve">
SJ03533H96!A9</f>
        <v>SJ03533H96</v>
      </c>
      <c r="B447" s="103" t="str">
        <f xml:space="preserve">
SJ03533H96!B9</f>
        <v>SJ03533H96/252-254 La falta de preparación, la falta de madurez, la falta de, de conocimiento a nivel de, eh, eh, yo diría eh, eh, personal en el sentido que yo no te voy a cambiar a ti, ni tú me vas a cambiar a mí.</v>
      </c>
      <c r="C447" s="103" t="str">
        <f xml:space="preserve">
SJ03533H96!C9</f>
        <v>analítico</v>
      </c>
      <c r="D447" s="103" t="str">
        <f xml:space="preserve">
SJ03533H96!D9</f>
        <v>temporal</v>
      </c>
      <c r="E447" s="103">
        <f xml:space="preserve">
SJ03533H96!E9</f>
        <v>2</v>
      </c>
      <c r="F447" s="103">
        <f xml:space="preserve">
SJ03533H96!F9</f>
        <v>0</v>
      </c>
      <c r="G447" s="103">
        <f xml:space="preserve">
SJ03533H96!G9</f>
        <v>1</v>
      </c>
      <c r="H447" s="103">
        <f xml:space="preserve">
SJ03533H96!H9</f>
        <v>0</v>
      </c>
      <c r="I447" s="103">
        <f xml:space="preserve">
SJ03533H96!I9</f>
        <v>0</v>
      </c>
      <c r="J447" s="103">
        <f xml:space="preserve">
SJ03533H96!J9</f>
        <v>0</v>
      </c>
      <c r="K447" s="103">
        <v>3</v>
      </c>
      <c r="L447" s="103" t="s">
        <v>696</v>
      </c>
    </row>
    <row r="448" spans="1:12" customFormat="1">
      <c r="A448" s="103" t="str">
        <f xml:space="preserve">
SJ03533H96!A10</f>
        <v>SJ03533H96</v>
      </c>
      <c r="B448" s="103" t="str">
        <f xml:space="preserve">
SJ03533H96!B10</f>
        <v>SJ03533H96/254-256 Que yo te tengo que aceptar, no que te debo sino que te tengo que aceptar a ti como tú eres, si queremos sobrellevar y, y, y conducir la nave a puerto seguro, y vice versa, si tú me conociste a mí eh, eh tocando guitarra yo dificil, difícilmente voy a dejar la guitarra</v>
      </c>
      <c r="C448" s="103" t="str">
        <f xml:space="preserve">
SJ03533H96!C10</f>
        <v>analítico</v>
      </c>
      <c r="D448" s="103" t="str">
        <f xml:space="preserve">
SJ03533H96!D10</f>
        <v>temporal</v>
      </c>
      <c r="E448" s="103">
        <f xml:space="preserve">
SJ03533H96!E10</f>
        <v>1</v>
      </c>
      <c r="F448" s="103">
        <f xml:space="preserve">
SJ03533H96!F10</f>
        <v>0</v>
      </c>
      <c r="G448" s="103">
        <f xml:space="preserve">
SJ03533H96!G10</f>
        <v>0</v>
      </c>
      <c r="H448" s="103">
        <f xml:space="preserve">
SJ03533H96!H10</f>
        <v>0</v>
      </c>
      <c r="I448" s="103">
        <f xml:space="preserve">
SJ03533H96!I10</f>
        <v>0</v>
      </c>
      <c r="J448" s="103">
        <f xml:space="preserve">
SJ03533H96!J10</f>
        <v>1</v>
      </c>
      <c r="K448" s="103">
        <v>3</v>
      </c>
      <c r="L448" s="103" t="s">
        <v>696</v>
      </c>
    </row>
    <row r="449" spans="1:12" customFormat="1">
      <c r="A449" s="103" t="str">
        <f xml:space="preserve">
SJ03533H96!A11</f>
        <v>SJ03533H96</v>
      </c>
      <c r="B449" s="103" t="str">
        <f xml:space="preserve">
SJ03533H96!B11</f>
        <v>SJ03533H96/256-259A Si tú me conociste a mi amigo eh, de comer carne de cerdo, a menos que no sea que tenga que por cuestión de vida o muerte, voy a buscar la manera por lo menos una vez en la semana de comer carne cerdo.</v>
      </c>
      <c r="C449" s="103" t="str">
        <f xml:space="preserve">
SJ03533H96!C11</f>
        <v>analítico</v>
      </c>
      <c r="D449" s="103" t="str">
        <f xml:space="preserve">
SJ03533H96!D11</f>
        <v>temporal</v>
      </c>
      <c r="E449" s="103">
        <f xml:space="preserve">
SJ03533H96!E11</f>
        <v>1</v>
      </c>
      <c r="F449" s="103">
        <f xml:space="preserve">
SJ03533H96!F11</f>
        <v>0</v>
      </c>
      <c r="G449" s="103">
        <f xml:space="preserve">
SJ03533H96!G11</f>
        <v>0</v>
      </c>
      <c r="H449" s="103">
        <f xml:space="preserve">
SJ03533H96!H11</f>
        <v>0</v>
      </c>
      <c r="I449" s="103">
        <f xml:space="preserve">
SJ03533H96!I11</f>
        <v>0</v>
      </c>
      <c r="J449" s="103">
        <f xml:space="preserve">
SJ03533H96!J11</f>
        <v>0</v>
      </c>
      <c r="K449" s="103">
        <v>3</v>
      </c>
      <c r="L449" s="103" t="s">
        <v>696</v>
      </c>
    </row>
    <row r="450" spans="1:12" customFormat="1">
      <c r="A450" s="103" t="str">
        <f xml:space="preserve">
SJ03533H96!A12</f>
        <v>SJ03533H96</v>
      </c>
      <c r="B450" s="103" t="str">
        <f xml:space="preserve">
SJ03533H96!B12</f>
        <v>SJ03533H96/259-260 O vice versa, si yo te conocí a ti que te gusta el baile, te gusta el arte o te gusta pintar, tú va a seguir con, gustándote el arte, pintar o bailar, lo que sea.</v>
      </c>
      <c r="C450" s="103" t="str">
        <f xml:space="preserve">
SJ03533H96!C12</f>
        <v>analítico</v>
      </c>
      <c r="D450" s="103" t="str">
        <f xml:space="preserve">
SJ03533H96!D12</f>
        <v>temporal</v>
      </c>
      <c r="E450" s="103">
        <f xml:space="preserve">
SJ03533H96!E12</f>
        <v>3</v>
      </c>
      <c r="F450" s="103">
        <f xml:space="preserve">
SJ03533H96!F12</f>
        <v>0</v>
      </c>
      <c r="G450" s="103">
        <f xml:space="preserve">
SJ03533H96!G12</f>
        <v>0</v>
      </c>
      <c r="H450" s="103">
        <f xml:space="preserve">
SJ03533H96!H12</f>
        <v>0</v>
      </c>
      <c r="I450" s="103">
        <f xml:space="preserve">
SJ03533H96!I12</f>
        <v>0</v>
      </c>
      <c r="J450" s="103">
        <f xml:space="preserve">
SJ03533H96!J12</f>
        <v>1</v>
      </c>
      <c r="K450" s="103">
        <v>3</v>
      </c>
      <c r="L450" s="103" t="s">
        <v>696</v>
      </c>
    </row>
    <row r="451" spans="1:12" customFormat="1">
      <c r="A451" s="103" t="str">
        <f xml:space="preserve">
SJ03533H96!A13</f>
        <v>SJ03533H96</v>
      </c>
      <c r="B451" s="103" t="str">
        <f xml:space="preserve">
SJ03533H96!B13</f>
        <v>SJ03533H96/272-278 Y yo creo que si nosotros nos concientizáramos de eso, el dolor que acarrea un divorcio, especialmente cuando hay hijos, y yo por desgracia pasé por eso, fue dolorosísimo, le agradeceré a Doña Sylvia Bunker que mora en la eternidad lo, la ayuda que me dio, pero no, no me divorcié de mis hijos siempre los, continuamente, casi diariamente iba a verlos a Villa Nevárez, y a Dios gracias, pues, eh, sufrirían ellos, y de eso estoy conciente, verdad, cada día le pido perdón al Señor y les pido perdón a ellos porque es como una continua lucha.</v>
      </c>
      <c r="C451" s="103" t="str">
        <f xml:space="preserve">
SJ03533H96!C13</f>
        <v>morfológico</v>
      </c>
      <c r="D451" s="103" t="str">
        <f xml:space="preserve">
SJ03533H96!D13</f>
        <v>temporal</v>
      </c>
      <c r="E451" s="103">
        <f xml:space="preserve">
SJ03533H96!E13</f>
        <v>1</v>
      </c>
      <c r="F451" s="103">
        <f xml:space="preserve">
SJ03533H96!F13</f>
        <v>0</v>
      </c>
      <c r="G451" s="103">
        <f xml:space="preserve">
SJ03533H96!G13</f>
        <v>0</v>
      </c>
      <c r="H451" s="103">
        <f xml:space="preserve">
SJ03533H96!H13</f>
        <v>1</v>
      </c>
      <c r="I451" s="103">
        <f xml:space="preserve">
SJ03533H96!I13</f>
        <v>1</v>
      </c>
      <c r="J451" s="103">
        <f xml:space="preserve">
SJ03533H96!J13</f>
        <v>0</v>
      </c>
      <c r="K451" s="103">
        <v>3</v>
      </c>
      <c r="L451" s="103" t="s">
        <v>696</v>
      </c>
    </row>
    <row r="452" spans="1:12" customFormat="1">
      <c r="A452" s="103" t="str">
        <f xml:space="preserve">
SJ03533H96!A14</f>
        <v>SJ03533H96</v>
      </c>
      <c r="B452" s="103" t="str">
        <f xml:space="preserve">
SJ03533H96!B14</f>
        <v>SJ03533H96/301-302 [E]h, qué vamos a dar, si... en casa pues nos cuidamos de la dieta, decir mi casa pues me refiero a mis otros dos hermanos y a mí.</v>
      </c>
      <c r="C452" s="103" t="str">
        <f xml:space="preserve">
SJ03533H96!C14</f>
        <v>analítico</v>
      </c>
      <c r="D452" s="103" t="str">
        <f xml:space="preserve">
SJ03533H96!D14</f>
        <v>temporal</v>
      </c>
      <c r="E452" s="103">
        <f xml:space="preserve">
SJ03533H96!E14</f>
        <v>4</v>
      </c>
      <c r="F452" s="103">
        <f xml:space="preserve">
SJ03533H96!F14</f>
        <v>0</v>
      </c>
      <c r="G452" s="103">
        <f xml:space="preserve">
SJ03533H96!G14</f>
        <v>0</v>
      </c>
      <c r="H452" s="103">
        <f xml:space="preserve">
SJ03533H96!H14</f>
        <v>0</v>
      </c>
      <c r="I452" s="103">
        <f xml:space="preserve">
SJ03533H96!I14</f>
        <v>0</v>
      </c>
      <c r="J452" s="103">
        <f xml:space="preserve">
SJ03533H96!J14</f>
        <v>0</v>
      </c>
      <c r="K452" s="103">
        <v>3</v>
      </c>
      <c r="L452" s="103" t="s">
        <v>696</v>
      </c>
    </row>
    <row r="453" spans="1:12" customFormat="1">
      <c r="A453" s="103" t="str">
        <f xml:space="preserve">
SJ03533H96!A15</f>
        <v>SJ03533H96</v>
      </c>
      <c r="B453" s="103" t="str">
        <f xml:space="preserve">
SJ03533H96!B15</f>
        <v>SJ03533H96/332-334 Eh, las actividades allá cuando hacemos estas rifas, los bingos, este, pues yo me siento con Sor Carmen Gloria para, número uno, determinar con qué recursos humanos vamos a contar, ves.</v>
      </c>
      <c r="C453" s="103" t="str">
        <f xml:space="preserve">
SJ03533H96!C15</f>
        <v>analítico</v>
      </c>
      <c r="D453" s="103" t="str">
        <f xml:space="preserve">
SJ03533H96!D15</f>
        <v>temporal</v>
      </c>
      <c r="E453" s="103">
        <f xml:space="preserve">
SJ03533H96!E15</f>
        <v>4</v>
      </c>
      <c r="F453" s="103">
        <f xml:space="preserve">
SJ03533H96!F15</f>
        <v>0</v>
      </c>
      <c r="G453" s="103">
        <f xml:space="preserve">
SJ03533H96!G15</f>
        <v>0</v>
      </c>
      <c r="H453" s="103">
        <f xml:space="preserve">
SJ03533H96!H15</f>
        <v>0</v>
      </c>
      <c r="I453" s="103">
        <f xml:space="preserve">
SJ03533H96!I15</f>
        <v>0</v>
      </c>
      <c r="J453" s="103">
        <f xml:space="preserve">
SJ03533H96!J15</f>
        <v>0</v>
      </c>
      <c r="K453" s="103">
        <v>3</v>
      </c>
      <c r="L453" s="103" t="s">
        <v>696</v>
      </c>
    </row>
    <row r="454" spans="1:12" customFormat="1">
      <c r="A454" s="103" t="str">
        <f xml:space="preserve">
SJ03533H96!A16</f>
        <v>SJ03533H96</v>
      </c>
      <c r="B454" s="103" t="str">
        <f xml:space="preserve">
SJ03533H96!B16</f>
        <v>SJ03533H96/334-336 No obstante, la gente de Loíza igual que la gente de todos los pueblos tienen su propia idiosincracia y a veces pues, no les gusta que venga uno de afuera que es de Barranquitas a decirle mira vamos a hacer esto porque es esto, ves.</v>
      </c>
      <c r="C454" s="103" t="str">
        <f xml:space="preserve">
SJ03533H96!C16</f>
        <v>analítico</v>
      </c>
      <c r="D454" s="103" t="str">
        <f xml:space="preserve">
SJ03533H96!D16</f>
        <v>temporal</v>
      </c>
      <c r="E454" s="103">
        <f xml:space="preserve">
SJ03533H96!E16</f>
        <v>4</v>
      </c>
      <c r="F454" s="103">
        <f xml:space="preserve">
SJ03533H96!F16</f>
        <v>0</v>
      </c>
      <c r="G454" s="103">
        <f xml:space="preserve">
SJ03533H96!G16</f>
        <v>0</v>
      </c>
      <c r="H454" s="103">
        <f xml:space="preserve">
SJ03533H96!H16</f>
        <v>0</v>
      </c>
      <c r="I454" s="103">
        <f xml:space="preserve">
SJ03533H96!I16</f>
        <v>0</v>
      </c>
      <c r="J454" s="103">
        <f xml:space="preserve">
SJ03533H96!J16</f>
        <v>0</v>
      </c>
      <c r="K454" s="103">
        <v>3</v>
      </c>
      <c r="L454" s="103" t="s">
        <v>696</v>
      </c>
    </row>
    <row r="455" spans="1:12" customFormat="1">
      <c r="A455" s="103" t="str">
        <f xml:space="preserve">
SJ03533H96!A17</f>
        <v>SJ03533H96</v>
      </c>
      <c r="B455" s="103" t="str">
        <f xml:space="preserve">
SJ03533H96!B17</f>
        <v>SJ03533H96/352-353A Nos está consiguiendo una información críticamente importante para ver si obtenemos unos fondos en fundaciones norteamericanas.</v>
      </c>
      <c r="C455" s="103" t="str">
        <f xml:space="preserve">
SJ03533H96!C17</f>
        <v>presente</v>
      </c>
      <c r="D455" s="103" t="str">
        <f xml:space="preserve">
SJ03533H96!D17</f>
        <v>temporal</v>
      </c>
      <c r="E455" s="103">
        <f xml:space="preserve">
SJ03533H96!E17</f>
        <v>4</v>
      </c>
      <c r="F455" s="103">
        <f xml:space="preserve">
SJ03533H96!F17</f>
        <v>0</v>
      </c>
      <c r="G455" s="103">
        <f xml:space="preserve">
SJ03533H96!G17</f>
        <v>0</v>
      </c>
      <c r="H455" s="103">
        <f xml:space="preserve">
SJ03533H96!H17</f>
        <v>0</v>
      </c>
      <c r="I455" s="103">
        <f xml:space="preserve">
SJ03533H96!I17</f>
        <v>0</v>
      </c>
      <c r="J455" s="103">
        <f xml:space="preserve">
SJ03533H96!J17</f>
        <v>0</v>
      </c>
      <c r="K455" s="103">
        <v>3</v>
      </c>
      <c r="L455" s="103" t="s">
        <v>696</v>
      </c>
    </row>
    <row r="456" spans="1:12" customFormat="1">
      <c r="A456" s="103" t="str">
        <f xml:space="preserve">
SJ03533H96!A18</f>
        <v>SJ03533H96</v>
      </c>
      <c r="B456" s="103" t="str">
        <f xml:space="preserve">
SJ03533H96!B18</f>
        <v>SJ03533H96/373-375 Depende eh, eh Madelin básicamente de, del, ah,  una cosa que tratamos de hacer es averiguar lo que, lo más que podamos sobre esa persona, la persona a quien nos vamos a, a dirigir.</v>
      </c>
      <c r="C456" s="103" t="str">
        <f xml:space="preserve">
SJ03533H96!C18</f>
        <v>analítico</v>
      </c>
      <c r="D456" s="103" t="str">
        <f xml:space="preserve">
SJ03533H96!D18</f>
        <v>temporal</v>
      </c>
      <c r="E456" s="103">
        <f xml:space="preserve">
SJ03533H96!E18</f>
        <v>4</v>
      </c>
      <c r="F456" s="103">
        <f xml:space="preserve">
SJ03533H96!F18</f>
        <v>0</v>
      </c>
      <c r="G456" s="103">
        <f xml:space="preserve">
SJ03533H96!G18</f>
        <v>0</v>
      </c>
      <c r="H456" s="103">
        <f xml:space="preserve">
SJ03533H96!H18</f>
        <v>0</v>
      </c>
      <c r="I456" s="103">
        <f xml:space="preserve">
SJ03533H96!I18</f>
        <v>0</v>
      </c>
      <c r="J456" s="103">
        <f xml:space="preserve">
SJ03533H96!J18</f>
        <v>0</v>
      </c>
      <c r="K456" s="103">
        <v>3</v>
      </c>
      <c r="L456" s="103" t="s">
        <v>696</v>
      </c>
    </row>
    <row r="457" spans="1:12" customFormat="1">
      <c r="A457" t="str">
        <f xml:space="preserve">
SJ03533H96!A19</f>
        <v>SJ03533H96</v>
      </c>
      <c r="B457" t="str">
        <f xml:space="preserve">
SJ03533H96!B19</f>
        <v>SJ03533H96/422-423 Una cosa ahí redonda, ve aquí, yo no se que serán esas cosas.</v>
      </c>
      <c r="C457" t="str">
        <f xml:space="preserve">
SJ03533H96!C19</f>
        <v>morfológico</v>
      </c>
      <c r="D457" t="str">
        <f xml:space="preserve">
SJ03533H96!D19</f>
        <v>duda</v>
      </c>
      <c r="E457">
        <f xml:space="preserve">
SJ03533H96!E19</f>
        <v>6</v>
      </c>
      <c r="F457">
        <f xml:space="preserve">
SJ03533H96!F19</f>
        <v>0</v>
      </c>
      <c r="G457">
        <f xml:space="preserve">
SJ03533H96!G19</f>
        <v>0</v>
      </c>
      <c r="H457">
        <f xml:space="preserve">
SJ03533H96!H19</f>
        <v>0</v>
      </c>
      <c r="I457">
        <f xml:space="preserve">
SJ03533H96!I19</f>
        <v>0</v>
      </c>
      <c r="J457">
        <f xml:space="preserve">
SJ03533H96!J19</f>
        <v>0</v>
      </c>
      <c r="K457">
        <v>3</v>
      </c>
      <c r="L457" t="s">
        <v>696</v>
      </c>
    </row>
    <row r="458" spans="1:12" customFormat="1">
      <c r="A458" t="str">
        <f>SJ0313M96!A2</f>
        <v>SJ0313M96</v>
      </c>
      <c r="B458" t="str">
        <f>SJ0313M96!B2</f>
        <v>SJ0313M96/262-263 “¡Dios mío, y ese carro ahí, y ese carro ahí de quién será y dónde está ese dueño de ese carro!”</v>
      </c>
      <c r="C458" t="str">
        <f>SJ0313M96!C2</f>
        <v>morfológico</v>
      </c>
      <c r="D458" t="str">
        <f>SJ0313M96!D2</f>
        <v>hipótesis</v>
      </c>
      <c r="E458">
        <f>SJ0313M96!E2</f>
        <v>3</v>
      </c>
      <c r="F458">
        <f>SJ0313M96!F2</f>
        <v>0</v>
      </c>
      <c r="G458">
        <f>SJ0313M96!G2</f>
        <v>0</v>
      </c>
      <c r="H458">
        <f>SJ0313M96!H2</f>
        <v>0</v>
      </c>
      <c r="I458">
        <f>SJ0313M96!I2</f>
        <v>0</v>
      </c>
      <c r="J458">
        <f>SJ0313M96!J2</f>
        <v>0</v>
      </c>
      <c r="K458">
        <v>3</v>
      </c>
      <c r="L458" t="s">
        <v>697</v>
      </c>
    </row>
    <row r="459" spans="1:12" customFormat="1">
      <c r="A459" s="103" t="str">
        <f>SJ0313M96!A3</f>
        <v>SJ0313M96</v>
      </c>
      <c r="B459" s="103" t="str">
        <f>SJ0313M96!B3</f>
        <v>SJ0313M96/399-400A Qué yo haré, pues bueno, qué yo haré si ganare mi partido, alegrarme mucho porque ahora mismo, como estamos, yo estoy viendo que nos estamos hundiendo.</v>
      </c>
      <c r="C459" s="103" t="str">
        <f>SJ0313M96!C3</f>
        <v>morfológico</v>
      </c>
      <c r="D459" s="103" t="str">
        <f>SJ0313M96!D3</f>
        <v>temporal</v>
      </c>
      <c r="E459" s="103">
        <f>SJ0313M96!E3</f>
        <v>1</v>
      </c>
      <c r="F459" s="103">
        <f>SJ0313M96!F3</f>
        <v>0</v>
      </c>
      <c r="G459" s="103">
        <f>SJ0313M96!G3</f>
        <v>0</v>
      </c>
      <c r="H459" s="103">
        <f>SJ0313M96!H3</f>
        <v>0</v>
      </c>
      <c r="I459" s="103">
        <f>SJ0313M96!I3</f>
        <v>0</v>
      </c>
      <c r="J459" s="103">
        <f>SJ0313M96!J3</f>
        <v>1</v>
      </c>
      <c r="K459" s="103">
        <v>3</v>
      </c>
      <c r="L459" s="103" t="s">
        <v>697</v>
      </c>
    </row>
    <row r="460" spans="1:12" customFormat="1">
      <c r="A460" s="103" t="str">
        <f>SJ0313M96!A4</f>
        <v>SJ0313M96</v>
      </c>
      <c r="B460" s="103" t="str">
        <f>SJ0313M96!B4</f>
        <v>SJ0313M96/399-400B Qué yo haré, pues bueno, qué yo haré si ganare mi partido, alegrarme mucho porque ahora mismo, como estamos, yo estoy viendo que nos estamos hundiendo.</v>
      </c>
      <c r="C460" s="103" t="str">
        <f>SJ0313M96!C4</f>
        <v>morfológico</v>
      </c>
      <c r="D460" s="103" t="str">
        <f>SJ0313M96!D4</f>
        <v>temporal</v>
      </c>
      <c r="E460" s="103">
        <f>SJ0313M96!E4</f>
        <v>1</v>
      </c>
      <c r="F460" s="103">
        <f>SJ0313M96!F4</f>
        <v>0</v>
      </c>
      <c r="G460" s="103">
        <f>SJ0313M96!G4</f>
        <v>0</v>
      </c>
      <c r="H460" s="103">
        <f>SJ0313M96!H4</f>
        <v>0</v>
      </c>
      <c r="I460" s="103">
        <f>SJ0313M96!I4</f>
        <v>0</v>
      </c>
      <c r="J460" s="103">
        <f>SJ0313M96!J4</f>
        <v>1</v>
      </c>
      <c r="K460" s="103">
        <v>3</v>
      </c>
      <c r="L460" s="103" t="s">
        <v>697</v>
      </c>
    </row>
    <row r="461" spans="1:12" customFormat="1">
      <c r="A461" s="103" t="str">
        <f>SJ0313M96!A5</f>
        <v>SJ0313M96</v>
      </c>
      <c r="B461" s="103" t="str">
        <f>SJ0313M96!B5</f>
        <v>SJ0313M96/425-430A Aunque uno no hiciera nada, para mi abuela uno hacía, si uno miraba un hombre, ya uno lo estaba mirando con picardía y ya era “te voy a coger”, ya amenazaba a uno, le buscaba... no podía venir visita y uno sentarse allí y si era un hombre yo no podía ni mirarlo porque ya estabas mirándolo con picardía, “cuando se vaya te voy a coger” y siempre la amenaza era “y te voy a dar una pela”, que va, ella no decía apestar a chivo, ajiede a chivo.</v>
      </c>
      <c r="C461" s="103" t="str">
        <f>SJ0313M96!C5</f>
        <v>analítico</v>
      </c>
      <c r="D461" s="103" t="str">
        <f>SJ0313M96!D5</f>
        <v>temporal</v>
      </c>
      <c r="E461" s="103">
        <f>SJ0313M96!E5</f>
        <v>1</v>
      </c>
      <c r="F461" s="103">
        <f>SJ0313M96!F5</f>
        <v>0</v>
      </c>
      <c r="G461" s="103">
        <f>SJ0313M96!G5</f>
        <v>0</v>
      </c>
      <c r="H461" s="103">
        <f>SJ0313M96!H5</f>
        <v>2</v>
      </c>
      <c r="I461" s="103">
        <f>SJ0313M96!I5</f>
        <v>0</v>
      </c>
      <c r="J461" s="103">
        <f>SJ0313M96!J5</f>
        <v>0</v>
      </c>
      <c r="K461" s="103">
        <v>3</v>
      </c>
      <c r="L461" s="103" t="s">
        <v>697</v>
      </c>
    </row>
    <row r="462" spans="1:12" customFormat="1">
      <c r="A462" s="103" t="str">
        <f>SJ0313M96!A6</f>
        <v>SJ0313M96</v>
      </c>
      <c r="B462" s="103" t="str">
        <f>SJ0313M96!B6</f>
        <v>SJ0313M96/425-430B Aunque uno no hiciera nada, para mi abuela uno hacía, si uno miraba un hombre, ya uno lo estaba mirando con picardía y ya era “te voy a coger”, ya amenazaba a uno, le buscaba... no podía venir visita y uno sentarse allí y si era un hombre yo no podía ni mirarlo porque ya estabas mirándolo con picardía, “cuando se vaya te voy a coger” y siempre la amenaza era “y te voy a dar una pela”, que va, ella no decía apestar a chivo, ajiede a chivo.</v>
      </c>
      <c r="C462" s="103" t="str">
        <f>SJ0313M96!C6</f>
        <v>analítico</v>
      </c>
      <c r="D462" s="103" t="str">
        <f>SJ0313M96!D6</f>
        <v>temporal</v>
      </c>
      <c r="E462" s="103">
        <f>SJ0313M96!E6</f>
        <v>1</v>
      </c>
      <c r="F462" s="103">
        <f>SJ0313M96!F6</f>
        <v>1</v>
      </c>
      <c r="G462" s="103">
        <f>SJ0313M96!G6</f>
        <v>0</v>
      </c>
      <c r="H462" s="103">
        <f>SJ0313M96!H6</f>
        <v>2</v>
      </c>
      <c r="I462" s="103">
        <f>SJ0313M96!I6</f>
        <v>0</v>
      </c>
      <c r="J462" s="103">
        <f>SJ0313M96!J6</f>
        <v>0</v>
      </c>
      <c r="K462" s="103">
        <v>3</v>
      </c>
      <c r="L462" s="103" t="s">
        <v>697</v>
      </c>
    </row>
    <row r="463" spans="1:12" customFormat="1">
      <c r="A463" s="103" t="str">
        <f>SJ0313M96!A7</f>
        <v>SJ0313M96</v>
      </c>
      <c r="B463" s="103" t="str">
        <f>SJ0313M96!B7</f>
        <v>SJ0313M96/425-430C Aunque uno no hiciera nada, para mi abuela uno hacía, si uno miraba un hombre, ya uno lo estaba mirando con picardía y ya era “te voy a coger”, ya amenazaba a uno, le buscaba... no podía venir visita y uno sentarse allí y si era un hombre yo no podía ni mirarlo porque ya estabas mirándolo con picardía, “cuando se vaya te voy a coger” y siempre la amenaza era “y te voy a dar una pela”, que va, ella no decía apestar a chivo, ajiede a chivo.</v>
      </c>
      <c r="C463" s="103" t="str">
        <f>SJ0313M96!C7</f>
        <v>analítico</v>
      </c>
      <c r="D463" s="103" t="str">
        <f>SJ0313M96!D7</f>
        <v>temporal</v>
      </c>
      <c r="E463" s="103">
        <f>SJ0313M96!E7</f>
        <v>1</v>
      </c>
      <c r="F463" s="103">
        <f>SJ0313M96!F7</f>
        <v>1</v>
      </c>
      <c r="G463" s="103">
        <f>SJ0313M96!G7</f>
        <v>0</v>
      </c>
      <c r="H463" s="103">
        <f>SJ0313M96!H7</f>
        <v>2</v>
      </c>
      <c r="I463" s="103">
        <f>SJ0313M96!I7</f>
        <v>0</v>
      </c>
      <c r="J463" s="103">
        <f>SJ0313M96!J7</f>
        <v>0</v>
      </c>
      <c r="K463" s="103">
        <v>3</v>
      </c>
      <c r="L463" s="103" t="s">
        <v>697</v>
      </c>
    </row>
    <row r="464" spans="1:12" customFormat="1">
      <c r="A464" s="103" t="str">
        <f>SJ0313M96!A8</f>
        <v>SJ0313M96</v>
      </c>
      <c r="B464" s="103" t="str">
        <f>SJ0313M96!B8</f>
        <v>SJ0313M96/459-466A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4" s="103" t="str">
        <f>SJ0313M96!C8</f>
        <v>analítico</v>
      </c>
      <c r="D464" s="103" t="str">
        <f>SJ0313M96!D8</f>
        <v>temporal</v>
      </c>
      <c r="E464" s="103">
        <f>SJ0313M96!E8</f>
        <v>1</v>
      </c>
      <c r="F464" s="103">
        <f>SJ0313M96!F8</f>
        <v>0</v>
      </c>
      <c r="G464" s="103">
        <f>SJ0313M96!G8</f>
        <v>0</v>
      </c>
      <c r="H464" s="103">
        <f>SJ0313M96!H8</f>
        <v>2</v>
      </c>
      <c r="I464" s="103">
        <f>SJ0313M96!I8</f>
        <v>0</v>
      </c>
      <c r="J464" s="103">
        <f>SJ0313M96!J8</f>
        <v>0</v>
      </c>
      <c r="K464" s="103">
        <v>3</v>
      </c>
      <c r="L464" s="103" t="s">
        <v>697</v>
      </c>
    </row>
    <row r="465" spans="1:12" customFormat="1">
      <c r="A465" s="103" t="str">
        <f>SJ0313M96!A9</f>
        <v>SJ0313M96</v>
      </c>
      <c r="B465" s="103" t="str">
        <f>SJ0313M96!B9</f>
        <v>SJ0313M96/459-466B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5" s="103" t="str">
        <f>SJ0313M96!C9</f>
        <v>analítico</v>
      </c>
      <c r="D465" s="103" t="str">
        <f>SJ0313M96!D9</f>
        <v>temporal</v>
      </c>
      <c r="E465" s="103">
        <f>SJ0313M96!E9</f>
        <v>1</v>
      </c>
      <c r="F465" s="103">
        <f>SJ0313M96!F9</f>
        <v>0</v>
      </c>
      <c r="G465" s="103">
        <f>SJ0313M96!G9</f>
        <v>0</v>
      </c>
      <c r="H465" s="103">
        <f>SJ0313M96!H9</f>
        <v>2</v>
      </c>
      <c r="I465" s="103">
        <f>SJ0313M96!I9</f>
        <v>0</v>
      </c>
      <c r="J465" s="103">
        <f>SJ0313M96!J9</f>
        <v>0</v>
      </c>
      <c r="K465" s="103">
        <v>3</v>
      </c>
      <c r="L465" s="103" t="s">
        <v>697</v>
      </c>
    </row>
    <row r="466" spans="1:12" customFormat="1">
      <c r="A466" s="103" t="str">
        <f>SJ0313M96!A10</f>
        <v>SJ0313M96</v>
      </c>
      <c r="B466" s="103" t="str">
        <f>SJ0313M96!B10</f>
        <v>SJ0313M96/459-466C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6" s="103" t="str">
        <f>SJ0313M96!C10</f>
        <v>analítico</v>
      </c>
      <c r="D466" s="103" t="str">
        <f>SJ0313M96!D10</f>
        <v>temporal</v>
      </c>
      <c r="E466" s="103">
        <f>SJ0313M96!E10</f>
        <v>1</v>
      </c>
      <c r="F466" s="103">
        <f>SJ0313M96!F10</f>
        <v>0</v>
      </c>
      <c r="G466" s="103">
        <f>SJ0313M96!G10</f>
        <v>1</v>
      </c>
      <c r="H466" s="103">
        <f>SJ0313M96!H10</f>
        <v>2</v>
      </c>
      <c r="I466" s="103">
        <f>SJ0313M96!I10</f>
        <v>1</v>
      </c>
      <c r="J466" s="103">
        <f>SJ0313M96!J10</f>
        <v>0</v>
      </c>
      <c r="K466" s="103">
        <v>3</v>
      </c>
      <c r="L466" s="103" t="s">
        <v>697</v>
      </c>
    </row>
    <row r="467" spans="1:12" customFormat="1">
      <c r="A467" s="103" t="str">
        <f>SJ0313M96!A11</f>
        <v>SJ0313M96</v>
      </c>
      <c r="B467" s="103" t="str">
        <f>SJ0313M96!B11</f>
        <v>SJ0313M96/459-466D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7" s="103" t="str">
        <f>SJ0313M96!C11</f>
        <v>presente</v>
      </c>
      <c r="D467" s="103" t="str">
        <f>SJ0313M96!D11</f>
        <v>temporal</v>
      </c>
      <c r="E467" s="103">
        <f>SJ0313M96!E11</f>
        <v>3</v>
      </c>
      <c r="F467" s="103">
        <f>SJ0313M96!F11</f>
        <v>1</v>
      </c>
      <c r="G467" s="103">
        <f>SJ0313M96!G11</f>
        <v>0</v>
      </c>
      <c r="H467" s="103">
        <f>SJ0313M96!H11</f>
        <v>2</v>
      </c>
      <c r="I467" s="103">
        <f>SJ0313M96!I11</f>
        <v>1</v>
      </c>
      <c r="J467" s="103">
        <f>SJ0313M96!J11</f>
        <v>0</v>
      </c>
      <c r="K467" s="103">
        <v>3</v>
      </c>
      <c r="L467" s="103" t="s">
        <v>697</v>
      </c>
    </row>
    <row r="468" spans="1:12" customFormat="1">
      <c r="A468" s="103" t="str">
        <f>SJ0313M96!A12</f>
        <v>SJ0313M96</v>
      </c>
      <c r="B468" s="103" t="str">
        <f>SJ0313M96!B12</f>
        <v>SJ0313M96/459-466E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8" s="103" t="str">
        <f>SJ0313M96!C12</f>
        <v>presente</v>
      </c>
      <c r="D468" s="103" t="str">
        <f>SJ0313M96!D12</f>
        <v>temporal</v>
      </c>
      <c r="E468" s="103">
        <f>SJ0313M96!E12</f>
        <v>3</v>
      </c>
      <c r="F468" s="103">
        <f>SJ0313M96!F12</f>
        <v>1</v>
      </c>
      <c r="G468" s="103">
        <f>SJ0313M96!G12</f>
        <v>1</v>
      </c>
      <c r="H468" s="103">
        <f>SJ0313M96!H12</f>
        <v>2</v>
      </c>
      <c r="I468" s="103">
        <f>SJ0313M96!I12</f>
        <v>1</v>
      </c>
      <c r="J468" s="103">
        <f>SJ0313M96!J12</f>
        <v>0</v>
      </c>
      <c r="K468" s="103">
        <v>3</v>
      </c>
      <c r="L468" s="103" t="s">
        <v>697</v>
      </c>
    </row>
    <row r="469" spans="1:12" customFormat="1">
      <c r="A469" s="103" t="str">
        <f>SJ0313M96!A13</f>
        <v>SJ0313M96</v>
      </c>
      <c r="B469" s="103" t="str">
        <f>SJ0313M96!B13</f>
        <v>SJ0313M96/459-466F Mira, Jonás... el Señor mandó a Jonás una encomienda donde le dijo: “ve y adviértele a este pueblo de Nínive que en tres días por la maldad de ellos ha subido tan y tan alto a los cielos, manda a decirles que yo lo voy a destruir”, y Jonás entonces cogió, Jonás y dijo: “qué yo voy a dar esa, esa encomienda a esta gente, no les voy a avisar nada, porque yo sé que Dios después que yo les avise, después que yo les avise Dios se arrepiente y si ellos se arrepienten entonces Dios también se arrepiente, los perdona, y entonces no les hace lo que, lo que, lo que les debía de hacer y entonces yo que mal por mal profeta porque entonces van a creer que yo, que yo no estoy diciendo la verdad”.</v>
      </c>
      <c r="C469" s="103" t="str">
        <f>SJ0313M96!C13</f>
        <v>analítico</v>
      </c>
      <c r="D469" s="103" t="str">
        <f>SJ0313M96!D13</f>
        <v>temporal</v>
      </c>
      <c r="E469" s="103">
        <f>SJ0313M96!E13</f>
        <v>6</v>
      </c>
      <c r="F469" s="103">
        <f>SJ0313M96!F13</f>
        <v>1</v>
      </c>
      <c r="G469" s="103">
        <f>SJ0313M96!G13</f>
        <v>0</v>
      </c>
      <c r="H469" s="103">
        <f>SJ0313M96!H13</f>
        <v>2</v>
      </c>
      <c r="I469" s="103">
        <f>SJ0313M96!I13</f>
        <v>0</v>
      </c>
      <c r="J469" s="103">
        <f>SJ0313M96!J13</f>
        <v>0</v>
      </c>
      <c r="K469" s="103">
        <v>3</v>
      </c>
      <c r="L469" s="103" t="s">
        <v>697</v>
      </c>
    </row>
    <row r="470" spans="1:12" customFormat="1">
      <c r="A470" s="103" t="str">
        <f>SJ07433M96!A2</f>
        <v>SJ07433M96</v>
      </c>
      <c r="B470" s="103" t="str">
        <f>SJ07433M96!B2</f>
        <v>SJ07433M96/51-56A O sea, fue una vida bien difícil, que si no hubiera tenido al Señor en ese, en ese momento yo hubiera sucumbido, porque realmente yo, en mi interior decía, yo, yo me voy a morir, yo no voy a poder criar a estos muchachos de tanto que sufría y, pero tengo sesenta años hoy, y estoy en victoria, este, ya mi hija, mi hija y mis hijos se casaron, tengo seis nietos, mis hijos, son hijos maravillosos, bien buenos, y Dios me ha bendecido con ellos y con, y con los nietos.</v>
      </c>
      <c r="C470" s="103" t="str">
        <f>SJ07433M96!C2</f>
        <v>analítico</v>
      </c>
      <c r="D470" s="103" t="str">
        <f>SJ07433M96!D2</f>
        <v>temporal</v>
      </c>
      <c r="E470" s="103">
        <f>SJ07433M96!E2</f>
        <v>1</v>
      </c>
      <c r="F470" s="103">
        <f>SJ07433M96!F2</f>
        <v>1</v>
      </c>
      <c r="G470" s="103">
        <f>SJ07433M96!G2</f>
        <v>0</v>
      </c>
      <c r="H470" s="103">
        <f>SJ07433M96!H2</f>
        <v>0</v>
      </c>
      <c r="I470" s="103">
        <f>SJ07433M96!I2</f>
        <v>1</v>
      </c>
      <c r="J470" s="103">
        <f>SJ07433M96!J2</f>
        <v>0</v>
      </c>
      <c r="K470" s="103">
        <v>3</v>
      </c>
      <c r="L470" s="103" t="s">
        <v>697</v>
      </c>
    </row>
    <row r="471" spans="1:12" customFormat="1">
      <c r="A471" s="103" t="str">
        <f>SJ07433M96!A3</f>
        <v>SJ07433M96</v>
      </c>
      <c r="B471" s="103" t="str">
        <f>SJ07433M96!B3</f>
        <v>SJ07433M96/51-56 O sea, fue una vida bien difícil, que si no hubiera tenido al Señor en ese, en ese momento yo hubiera sucumbido, porque realmente yo, en mi interior decía, yo, yo me voy a morir, yo no voy a poder criar a estos muchachos de tanto que sufría y, pero tengo sesenta años hoy, y estoy en victoria, este, ya mi hija, mi hija y mis hijos se casaron, tengo seis nietos, mis hijos, son hijos maravillosos, bien buenos, y Dios me ha bendecido con ellos y con, y con los nietos.</v>
      </c>
      <c r="C471" s="103" t="str">
        <f>SJ07433M96!C3</f>
        <v>analítico</v>
      </c>
      <c r="D471" s="103" t="str">
        <f>SJ07433M96!D3</f>
        <v>temporal</v>
      </c>
      <c r="E471" s="103">
        <f>SJ07433M96!E3</f>
        <v>1</v>
      </c>
      <c r="F471" s="103">
        <f>SJ07433M96!F3</f>
        <v>0</v>
      </c>
      <c r="G471" s="103">
        <f>SJ07433M96!G3</f>
        <v>1</v>
      </c>
      <c r="H471" s="103">
        <f>SJ07433M96!H3</f>
        <v>0</v>
      </c>
      <c r="I471" s="103">
        <f>SJ07433M96!I3</f>
        <v>1</v>
      </c>
      <c r="J471" s="103">
        <f>SJ07433M96!J3</f>
        <v>0</v>
      </c>
      <c r="K471" s="103">
        <v>3</v>
      </c>
      <c r="L471" s="103" t="s">
        <v>697</v>
      </c>
    </row>
    <row r="472" spans="1:12" customFormat="1">
      <c r="A472" s="103" t="str">
        <f>SJ07433M96!A4</f>
        <v>SJ07433M96</v>
      </c>
      <c r="B472" s="103" t="str">
        <f>SJ07433M96!B4</f>
        <v>SJ07433M96/73-77 [E]so me crea un estrés y yo quisiera poder hacerlo todo, verdad, porque tú dices, coge gente, pero, cogen gente, que no saben lo que van a hacer, el tiempo que tú vas a perder en enseñarlos, pues mira, es tiempo que pierdo, y, y, y, y en este tiempo que tuvimos de mucho estrés y de mucho trabajo, se cogió mucho personal, temporero, y unos salieron buenos, pero otros salieron malísimos […]</v>
      </c>
      <c r="C472" s="103" t="str">
        <f>SJ07433M96!C4</f>
        <v>analítico</v>
      </c>
      <c r="D472" s="103" t="str">
        <f>SJ07433M96!D4</f>
        <v>temporal</v>
      </c>
      <c r="E472" s="103">
        <f>SJ07433M96!E4</f>
        <v>6</v>
      </c>
      <c r="F472" s="103">
        <f>SJ07433M96!F4</f>
        <v>0</v>
      </c>
      <c r="G472" s="103">
        <f>SJ07433M96!G4</f>
        <v>0</v>
      </c>
      <c r="H472" s="103">
        <f>SJ07433M96!H4</f>
        <v>0</v>
      </c>
      <c r="I472" s="103">
        <f>SJ07433M96!I4</f>
        <v>0</v>
      </c>
      <c r="J472" s="103">
        <f>SJ07433M96!J4</f>
        <v>0</v>
      </c>
      <c r="K472" s="103">
        <v>3</v>
      </c>
      <c r="L472" s="103" t="s">
        <v>697</v>
      </c>
    </row>
    <row r="473" spans="1:12" customFormat="1">
      <c r="A473" s="103" t="str">
        <f>SJ07433M96!A5</f>
        <v>SJ07433M96</v>
      </c>
      <c r="B473" s="103" t="str">
        <f>SJ07433M96!B5</f>
        <v>SJ07433M96/73-77 [E]so me crea un estrés y yo quisiera poder hacerlo todo, verdad, porque tú dices, coge gente, pero, cogen gente, que no saben lo que van a hacer, el tiempo que tú vas a perder en enseñarlos, pues mira, es tiempo que pierdo, y, y, y, y en este tiempo que tuvimos de mucho estrés y de mucho trabajo, se cogió mucho personal, temporero, y unos salieron buenos, pero otros salieron malísimos […]</v>
      </c>
      <c r="C473" s="103" t="str">
        <f>SJ07433M96!C5</f>
        <v>analítico</v>
      </c>
      <c r="D473" s="103" t="str">
        <f>SJ07433M96!D5</f>
        <v>temporal</v>
      </c>
      <c r="E473" s="103">
        <f>SJ07433M96!E5</f>
        <v>2</v>
      </c>
      <c r="F473" s="103">
        <f>SJ07433M96!F5</f>
        <v>0</v>
      </c>
      <c r="G473" s="103">
        <f>SJ07433M96!G5</f>
        <v>0</v>
      </c>
      <c r="H473" s="103">
        <f>SJ07433M96!H5</f>
        <v>0</v>
      </c>
      <c r="I473" s="103">
        <f>SJ07433M96!I5</f>
        <v>0</v>
      </c>
      <c r="J473" s="103">
        <f>SJ07433M96!J5</f>
        <v>0</v>
      </c>
      <c r="K473" s="103">
        <v>3</v>
      </c>
      <c r="L473" s="103" t="s">
        <v>697</v>
      </c>
    </row>
    <row r="474" spans="1:12" customFormat="1">
      <c r="A474" s="103" t="str">
        <f>SJ07433M96!A6</f>
        <v>SJ07433M96</v>
      </c>
      <c r="B474" s="103" t="str">
        <f>SJ07433M96!B6</f>
        <v>SJ07433M96/169-170 [Y]o creo que hay esperanza para este mundo, para mi país y para el mundo, porque Dios siempre ha existido y nunca dejará de existir.</v>
      </c>
      <c r="C474" s="103" t="str">
        <f>SJ07433M96!C6</f>
        <v>morfológico</v>
      </c>
      <c r="D474" s="103" t="str">
        <f>SJ07433M96!D6</f>
        <v>temporal</v>
      </c>
      <c r="E474" s="103">
        <f>SJ07433M96!E6</f>
        <v>3</v>
      </c>
      <c r="F474" s="103">
        <f>SJ07433M96!F6</f>
        <v>1</v>
      </c>
      <c r="G474" s="103">
        <f>SJ07433M96!G6</f>
        <v>1</v>
      </c>
      <c r="H474" s="103">
        <f>SJ07433M96!H6</f>
        <v>1</v>
      </c>
      <c r="I474" s="103">
        <f>SJ07433M96!I6</f>
        <v>1</v>
      </c>
      <c r="J474" s="103">
        <f>SJ07433M96!J6</f>
        <v>0</v>
      </c>
      <c r="K474" s="103">
        <v>3</v>
      </c>
      <c r="L474" s="103" t="s">
        <v>697</v>
      </c>
    </row>
    <row r="475" spans="1:12" customFormat="1">
      <c r="A475" s="103" t="str">
        <f>SJ07433M96!A7</f>
        <v>SJ07433M96</v>
      </c>
      <c r="B475" s="103" t="str">
        <f>SJ07433M96!B7</f>
        <v>SJ07433M96/245-246 [Y]o le dije a mi hija, no voy más pa’ Nueva York, voy a pasear, y me dice, no, pues vente pa’acá nos vamos a pasear.</v>
      </c>
      <c r="C475" s="103" t="str">
        <f>SJ07433M96!C7</f>
        <v>analítico</v>
      </c>
      <c r="D475" s="103" t="str">
        <f>SJ07433M96!D7</f>
        <v>temporal</v>
      </c>
      <c r="E475" s="103">
        <f>SJ07433M96!E7</f>
        <v>1</v>
      </c>
      <c r="F475" s="103">
        <f>SJ07433M96!F7</f>
        <v>0</v>
      </c>
      <c r="G475" s="103">
        <f>SJ07433M96!G7</f>
        <v>0</v>
      </c>
      <c r="H475" s="103">
        <f>SJ07433M96!H7</f>
        <v>0</v>
      </c>
      <c r="I475" s="103">
        <f>SJ07433M96!I7</f>
        <v>0</v>
      </c>
      <c r="J475" s="103">
        <f>SJ07433M96!J7</f>
        <v>0</v>
      </c>
      <c r="K475" s="103">
        <v>3</v>
      </c>
      <c r="L475" s="103" t="s">
        <v>697</v>
      </c>
    </row>
    <row r="476" spans="1:12" customFormat="1">
      <c r="A476" s="103" t="str">
        <f>SJ07433M96!A8</f>
        <v>SJ07433M96</v>
      </c>
      <c r="B476" s="103" t="str">
        <f>SJ07433M96!B8</f>
        <v>SJ07433M96/245-246 [Y]o le dije a mi hija, no voy más pa’ Nueva York, voy a pasear, y me dice, no, pues vente pa’acá nos vamos a pasear.</v>
      </c>
      <c r="C476" s="103" t="str">
        <f>SJ07433M96!C8</f>
        <v>analítico</v>
      </c>
      <c r="D476" s="103" t="str">
        <f>SJ07433M96!D8</f>
        <v>temporal</v>
      </c>
      <c r="E476" s="103">
        <f>SJ07433M96!E8</f>
        <v>4</v>
      </c>
      <c r="F476" s="103">
        <f>SJ07433M96!F8</f>
        <v>0</v>
      </c>
      <c r="G476" s="103">
        <f>SJ07433M96!G8</f>
        <v>0</v>
      </c>
      <c r="H476" s="103">
        <f>SJ07433M96!H8</f>
        <v>0</v>
      </c>
      <c r="I476" s="103">
        <f>SJ07433M96!I8</f>
        <v>0</v>
      </c>
      <c r="J476" s="103">
        <f>SJ07433M96!J8</f>
        <v>0</v>
      </c>
      <c r="K476" s="103">
        <v>3</v>
      </c>
      <c r="L476" s="103" t="s">
        <v>697</v>
      </c>
    </row>
    <row r="477" spans="1:12" customFormat="1">
      <c r="A477" s="103" t="str">
        <f>SJ07433M96!A9</f>
        <v>SJ07433M96</v>
      </c>
      <c r="B477" s="103" t="str">
        <f>SJ07433M96!B9</f>
        <v>SJ07433M96/305-310 [E]l matrimonio debe estar basado en amor y respeto mutuo y, y una relación buena, feliz, pues, esos hijos van a criarse con un buen ejemplo, y pueden criarse sanos, pero una, una relación enfermiza va a traer hijos enfermos emocionalmente, por eso es que estamos como estamos, porque la mujer tenía que ser sometida tenía que aguantar todo lo que el marido hiciera, todas las pocasvergüenzas había que aguantárselas y el marido en la calle y la mujer en la casa, y eso no es así[…]</v>
      </c>
      <c r="C477" s="103" t="str">
        <f>SJ07433M96!C9</f>
        <v>analítico</v>
      </c>
      <c r="D477" s="103" t="str">
        <f>SJ07433M96!D9</f>
        <v>temporal</v>
      </c>
      <c r="E477" s="103">
        <f>SJ07433M96!E9</f>
        <v>6</v>
      </c>
      <c r="F477" s="103">
        <f>SJ07433M96!F9</f>
        <v>0</v>
      </c>
      <c r="G477" s="103">
        <f>SJ07433M96!G9</f>
        <v>0</v>
      </c>
      <c r="H477" s="103">
        <f>SJ07433M96!H9</f>
        <v>0</v>
      </c>
      <c r="I477" s="103">
        <f>SJ07433M96!I9</f>
        <v>0</v>
      </c>
      <c r="J477" s="103">
        <f>SJ07433M96!J9</f>
        <v>0</v>
      </c>
      <c r="K477" s="103">
        <v>3</v>
      </c>
      <c r="L477" s="103" t="s">
        <v>697</v>
      </c>
    </row>
    <row r="478" spans="1:12" customFormat="1">
      <c r="A478" s="103" t="str">
        <f>SJ07433M96!A10</f>
        <v>SJ07433M96</v>
      </c>
      <c r="B478" s="103" t="str">
        <f>SJ07433M96!B10</f>
        <v>SJ07433M96/305-310 [E]l matrimonio debe estar basado en amor y respeto mutuo y, y una relación buena, feliz, pues, esos hijos van a criarse con un buen ejemplo, y pueden criarse sanos, pero una, una relación enfermiza va a traer hijos enfermos emocionalmente, por eso es que estamos como estamos, porque la mujer tenía que ser sometida tenía que aguantar todo lo que el marido hiciera, todas las pocasvergüenzas había que aguantárselas y el marido en la calle y la mujer en la casa, y eso no es así[…]</v>
      </c>
      <c r="C478" s="103" t="str">
        <f>SJ07433M96!C10</f>
        <v>analítico</v>
      </c>
      <c r="D478" s="103" t="str">
        <f>SJ07433M96!D10</f>
        <v>temporal</v>
      </c>
      <c r="E478" s="103">
        <f>SJ07433M96!E10</f>
        <v>3</v>
      </c>
      <c r="F478" s="103">
        <f>SJ07433M96!F10</f>
        <v>0</v>
      </c>
      <c r="G478" s="103">
        <f>SJ07433M96!G10</f>
        <v>0</v>
      </c>
      <c r="H478" s="103">
        <f>SJ07433M96!H10</f>
        <v>0</v>
      </c>
      <c r="I478" s="103">
        <f>SJ07433M96!I10</f>
        <v>0</v>
      </c>
      <c r="J478" s="103">
        <f>SJ07433M96!J10</f>
        <v>0</v>
      </c>
      <c r="K478" s="103">
        <v>3</v>
      </c>
      <c r="L478" s="103" t="s">
        <v>697</v>
      </c>
    </row>
    <row r="479" spans="1:12" customFormat="1">
      <c r="A479" t="str">
        <f>SJ07433M96!A11</f>
        <v>SJ07433M96</v>
      </c>
      <c r="B479" t="str">
        <f>SJ07433M96!B11</f>
        <v>SJ07433M96/312-315  [S]i vamos a ver, porque el Señor nos dio unos dones mayores aun que al hombre, y, y siempre hemos estado sometidas y, y pisadas y, y eso, pues, lo que ha traído esta so..., este, este de, des, desbarajuste en la, en la familia y en la sociedad porque si, si, si el hijo ve que el marido le da a la mujer, ¿qué ejemplo tiene?</v>
      </c>
      <c r="C479" t="str">
        <f>SJ07433M96!C11</f>
        <v>analítico</v>
      </c>
      <c r="D479" t="str">
        <f>SJ07433M96!D11</f>
        <v>exhortación</v>
      </c>
      <c r="E479">
        <f>SJ07433M96!E11</f>
        <v>4</v>
      </c>
      <c r="F479">
        <f>SJ07433M96!F11</f>
        <v>0</v>
      </c>
      <c r="G479">
        <f>SJ07433M96!G11</f>
        <v>0</v>
      </c>
      <c r="H479">
        <f>SJ07433M96!H11</f>
        <v>0</v>
      </c>
      <c r="I479">
        <f>SJ07433M96!I11</f>
        <v>0</v>
      </c>
      <c r="J479">
        <f>SJ07433M96!J11</f>
        <v>0</v>
      </c>
      <c r="K479">
        <v>3</v>
      </c>
      <c r="L479" t="s">
        <v>697</v>
      </c>
    </row>
    <row r="480" spans="1:12" customFormat="1">
      <c r="A480" s="103" t="str">
        <f>SJ07433M96!A12</f>
        <v>SJ07433M96</v>
      </c>
      <c r="B480" s="103" t="str">
        <f>SJ07433M96!B12</f>
        <v>SJ07433M96/315-318A [El hijo] va a ser uno que cuando se case va  a hacer lo mismo, va a darle a la mujer, porque eso fue lo que aprendió, captó, el muchacho lo que ve es lo que aprende, si tú le, si tú le tienes un hogar feliz y tú te sientas con tus hijos[…]</v>
      </c>
      <c r="C480" s="103" t="str">
        <f>SJ07433M96!C12</f>
        <v>analítico</v>
      </c>
      <c r="D480" s="103" t="str">
        <f>SJ07433M96!D12</f>
        <v>temporal</v>
      </c>
      <c r="E480" s="103">
        <f>SJ07433M96!E12</f>
        <v>3</v>
      </c>
      <c r="F480" s="103">
        <f>SJ07433M96!F12</f>
        <v>1</v>
      </c>
      <c r="G480" s="103">
        <f>SJ07433M96!G12</f>
        <v>0</v>
      </c>
      <c r="H480" s="103">
        <f>SJ07433M96!H12</f>
        <v>1</v>
      </c>
      <c r="I480" s="103">
        <f>SJ07433M96!I12</f>
        <v>0</v>
      </c>
      <c r="J480" s="103">
        <f>SJ07433M96!J12</f>
        <v>0</v>
      </c>
      <c r="K480" s="103">
        <v>3</v>
      </c>
      <c r="L480" s="103" t="s">
        <v>697</v>
      </c>
    </row>
    <row r="481" spans="1:12" customFormat="1">
      <c r="A481" s="103" t="str">
        <f>SJ07433M96!A13</f>
        <v>SJ07433M96</v>
      </c>
      <c r="B481" s="103" t="str">
        <f>SJ07433M96!B13</f>
        <v>SJ07433M96/315-318B [El hijo] va a ser uno que cuando se case va  a hacer lo mismo, va a darle a la mujer, porque eso fue lo que aprendió, captó, el muchacho lo que ve es lo que aprende, si tú le, si tú le tienes un hogar feliz y tú te sientas con tus hijos[…]</v>
      </c>
      <c r="C481" s="103" t="str">
        <f>SJ07433M96!C13</f>
        <v>analítico</v>
      </c>
      <c r="D481" s="103" t="str">
        <f>SJ07433M96!D13</f>
        <v>temporal</v>
      </c>
      <c r="E481" s="103">
        <f>SJ07433M96!E13</f>
        <v>3</v>
      </c>
      <c r="F481" s="103">
        <f>SJ07433M96!F13</f>
        <v>1</v>
      </c>
      <c r="G481" s="103">
        <f>SJ07433M96!G13</f>
        <v>0</v>
      </c>
      <c r="H481" s="103">
        <f>SJ07433M96!H13</f>
        <v>1</v>
      </c>
      <c r="I481" s="103">
        <f>SJ07433M96!I13</f>
        <v>0</v>
      </c>
      <c r="J481" s="103">
        <f>SJ07433M96!J13</f>
        <v>0</v>
      </c>
      <c r="K481" s="103">
        <v>3</v>
      </c>
      <c r="L481" s="103" t="s">
        <v>697</v>
      </c>
    </row>
    <row r="482" spans="1:12" customFormat="1">
      <c r="A482" s="103" t="str">
        <f>SJ07433M96!A14</f>
        <v>SJ07433M96</v>
      </c>
      <c r="B482" s="103" t="str">
        <f>SJ07433M96!B14</f>
        <v>SJ07433M96/321-323 [U]n muchacho, se va a rebelar, de una forma o de otra se va rebelar, por eso es que la juventud es rebelde porque el niño capta todos los problemas que hay y aunque no los digan, pero los captan[…]</v>
      </c>
      <c r="C482" s="103" t="str">
        <f>SJ07433M96!C14</f>
        <v>analítico</v>
      </c>
      <c r="D482" s="103" t="str">
        <f>SJ07433M96!D14</f>
        <v>temporal</v>
      </c>
      <c r="E482" s="103">
        <f>SJ07433M96!E14</f>
        <v>3</v>
      </c>
      <c r="F482" s="103">
        <f>SJ07433M96!F14</f>
        <v>0</v>
      </c>
      <c r="G482" s="103">
        <f>SJ07433M96!G14</f>
        <v>0</v>
      </c>
      <c r="H482" s="103">
        <f>SJ07433M96!H14</f>
        <v>0</v>
      </c>
      <c r="I482" s="103">
        <f>SJ07433M96!I14</f>
        <v>0</v>
      </c>
      <c r="J482" s="103">
        <f>SJ07433M96!J14</f>
        <v>0</v>
      </c>
      <c r="K482" s="103">
        <v>3</v>
      </c>
      <c r="L482" s="103" t="s">
        <v>697</v>
      </c>
    </row>
    <row r="483" spans="1:12" customFormat="1">
      <c r="A483" s="103" t="str">
        <f>SJ07433M96!A15</f>
        <v>SJ07433M96</v>
      </c>
      <c r="B483" s="103" t="str">
        <f>SJ07433M96!B15</f>
        <v>SJ07433M96/321-323 [U]n muchacho, se va a rebelar, de una forma o de otra se va [a] rebelar, por eso es que la juventud es rebelde porque el niño capta todos los problemas que hay y aunque no los digan, pero los captan[…]</v>
      </c>
      <c r="C483" s="103" t="str">
        <f>SJ07433M96!C15</f>
        <v>analítico</v>
      </c>
      <c r="D483" s="103" t="str">
        <f>SJ07433M96!D15</f>
        <v>temporal</v>
      </c>
      <c r="E483" s="103">
        <f>SJ07433M96!E15</f>
        <v>3</v>
      </c>
      <c r="F483" s="103">
        <f>SJ07433M96!F15</f>
        <v>0</v>
      </c>
      <c r="G483" s="103">
        <f>SJ07433M96!G15</f>
        <v>0</v>
      </c>
      <c r="H483" s="103">
        <f>SJ07433M96!H15</f>
        <v>0</v>
      </c>
      <c r="I483" s="103">
        <f>SJ07433M96!I15</f>
        <v>0</v>
      </c>
      <c r="J483" s="103">
        <f>SJ07433M96!J15</f>
        <v>0</v>
      </c>
      <c r="K483" s="103">
        <v>3</v>
      </c>
      <c r="L483" s="103" t="s">
        <v>697</v>
      </c>
    </row>
    <row r="484" spans="1:12" customFormat="1">
      <c r="A484" s="103" t="str">
        <f>SJ07433M96!A16</f>
        <v>SJ07433M96</v>
      </c>
      <c r="B484" s="103" t="str">
        <f>SJ07433M96!B16</f>
        <v>SJ07433M96/324-325 [L]os niños son inteligentes, y lo ven y mira, como trata mami a papi, o papi a mami, o como lo tratan a él, y eso es lo que va a hacer[…]</v>
      </c>
      <c r="C484" s="103" t="str">
        <f>SJ07433M96!C16</f>
        <v>analítico</v>
      </c>
      <c r="D484" s="103" t="str">
        <f>SJ07433M96!D16</f>
        <v>temporal</v>
      </c>
      <c r="E484" s="103">
        <f>SJ07433M96!E16</f>
        <v>3</v>
      </c>
      <c r="F484" s="103">
        <f>SJ07433M96!F16</f>
        <v>0</v>
      </c>
      <c r="G484" s="103">
        <f>SJ07433M96!G16</f>
        <v>0</v>
      </c>
      <c r="H484" s="103">
        <f>SJ07433M96!H16</f>
        <v>0</v>
      </c>
      <c r="I484" s="103">
        <f>SJ07433M96!I16</f>
        <v>0</v>
      </c>
      <c r="J484" s="103">
        <f>SJ07433M96!J16</f>
        <v>0</v>
      </c>
      <c r="K484" s="103">
        <v>3</v>
      </c>
      <c r="L484" s="103" t="s">
        <v>697</v>
      </c>
    </row>
    <row r="485" spans="1:12" customFormat="1">
      <c r="A485" s="103" t="str">
        <f>SJ07433M96!A17</f>
        <v>SJ07433M96</v>
      </c>
      <c r="B485" s="103" t="str">
        <f>SJ07433M96!B17</f>
        <v>SJ07433M96/344-347A [F]ue una cosa tan terrible que llegó un momento que yo le pedí al Señor, y dije, Señor si este, mi hijo va a nacer enfermo, anormal, ok, era tanto el sufrimiento que yo tenía, que yo decía esa criatura lo está percibiendo todo, si ese niño no va a nacer sano, si ese niño no va a tener una vida feliz, llévatelo[…]</v>
      </c>
      <c r="C485" s="103" t="str">
        <f>SJ07433M96!C17</f>
        <v>analítico</v>
      </c>
      <c r="D485" s="103" t="str">
        <f>SJ07433M96!D17</f>
        <v>temporal</v>
      </c>
      <c r="E485" s="103">
        <f>SJ07433M96!E17</f>
        <v>3</v>
      </c>
      <c r="F485" s="103">
        <f>SJ07433M96!F17</f>
        <v>0</v>
      </c>
      <c r="G485" s="103">
        <f>SJ07433M96!G17</f>
        <v>0</v>
      </c>
      <c r="H485" s="103">
        <f>SJ07433M96!H17</f>
        <v>0</v>
      </c>
      <c r="I485" s="103">
        <f>SJ07433M96!I17</f>
        <v>0</v>
      </c>
      <c r="J485" s="103">
        <f>SJ07433M96!J17</f>
        <v>1</v>
      </c>
      <c r="K485" s="103">
        <v>3</v>
      </c>
      <c r="L485" s="103" t="s">
        <v>697</v>
      </c>
    </row>
    <row r="486" spans="1:12" customFormat="1">
      <c r="A486" s="103" t="str">
        <f>SJ07433M96!A18</f>
        <v>SJ07433M96</v>
      </c>
      <c r="B486" s="103" t="str">
        <f>SJ07433M96!B18</f>
        <v>SJ07433M96/344-347B [F]ue una cosa tan terrible que llegó un momento que yo le pedí al Señor, y dije, Señor si este, mi hijo va a nacer enfermo, anormal, ok, era tanto el sufrimiento que yo tenía, que yo decía esa criatura lo está percibiendo todo, si ese niño no va a nacer sano, si ese niño no va a tener una vida feliz, llévatelo[…]</v>
      </c>
      <c r="C486" s="103" t="str">
        <f>SJ07433M96!C18</f>
        <v>analítico</v>
      </c>
      <c r="D486" s="103" t="str">
        <f>SJ07433M96!D18</f>
        <v>temporal</v>
      </c>
      <c r="E486" s="103">
        <f>SJ07433M96!E18</f>
        <v>3</v>
      </c>
      <c r="F486" s="103">
        <f>SJ07433M96!F18</f>
        <v>0</v>
      </c>
      <c r="G486" s="103">
        <f>SJ07433M96!G18</f>
        <v>1</v>
      </c>
      <c r="H486" s="103">
        <f>SJ07433M96!H18</f>
        <v>0</v>
      </c>
      <c r="I486" s="103">
        <f>SJ07433M96!I18</f>
        <v>0</v>
      </c>
      <c r="J486" s="103">
        <f>SJ07433M96!J18</f>
        <v>1</v>
      </c>
      <c r="K486" s="103">
        <v>3</v>
      </c>
      <c r="L486" s="103" t="s">
        <v>697</v>
      </c>
    </row>
    <row r="487" spans="1:12" customFormat="1">
      <c r="A487" s="103" t="str">
        <f>SJ07433M96!A19</f>
        <v>SJ07433M96</v>
      </c>
      <c r="B487" s="103" t="str">
        <f>SJ07433M96!B19</f>
        <v>SJ07433M96/344-347C [F]ue una cosa tan terrible que llegó un momento que yo le pedí al Señor, y dije, Señor si este, mi hijo va a nacer enfermo, anormal, ok, era tanto el sufrimiento que yo tenía, que yo decía esa criatura lo está percibiendo todo, si ese niño no va a nacer sano, si ese niño no va a tener una vida feliz, llévatelo[…]</v>
      </c>
      <c r="C487" s="103" t="str">
        <f>SJ07433M96!C19</f>
        <v>analítico</v>
      </c>
      <c r="D487" s="103" t="str">
        <f>SJ07433M96!D19</f>
        <v>temporal</v>
      </c>
      <c r="E487" s="103">
        <f>SJ07433M96!E19</f>
        <v>3</v>
      </c>
      <c r="F487" s="103">
        <f>SJ07433M96!F19</f>
        <v>0</v>
      </c>
      <c r="G487" s="103">
        <f>SJ07433M96!G19</f>
        <v>1</v>
      </c>
      <c r="H487" s="103">
        <f>SJ07433M96!H19</f>
        <v>0</v>
      </c>
      <c r="I487" s="103">
        <f>SJ07433M96!I19</f>
        <v>0</v>
      </c>
      <c r="J487" s="103">
        <f>SJ07433M96!J19</f>
        <v>1</v>
      </c>
      <c r="K487" s="103">
        <v>3</v>
      </c>
      <c r="L487" s="103" t="s">
        <v>697</v>
      </c>
    </row>
    <row r="488" spans="1:12" customFormat="1">
      <c r="A488" s="103" t="str">
        <f>SJ07433M96!A20</f>
        <v>SJ07433M96</v>
      </c>
      <c r="B488" s="103" t="str">
        <f>SJ07433M96!B20</f>
        <v>SJ07433M96/362-363 [C]omo yo no soy Dios, y yo no sé lo que, mientras esa, esa, esa persona tenga vida, pues hay esperanza de que, de que se convierta</v>
      </c>
      <c r="C488" s="103" t="str">
        <f>SJ07433M96!C20</f>
        <v>presente</v>
      </c>
      <c r="D488" s="103" t="str">
        <f>SJ07433M96!D20</f>
        <v>temporal</v>
      </c>
      <c r="E488" s="103">
        <f>SJ07433M96!E20</f>
        <v>3</v>
      </c>
      <c r="F488" s="103">
        <f>SJ07433M96!F20</f>
        <v>1</v>
      </c>
      <c r="G488" s="103">
        <f>SJ07433M96!G20</f>
        <v>0</v>
      </c>
      <c r="H488" s="103">
        <f>SJ07433M96!H20</f>
        <v>0</v>
      </c>
      <c r="I488" s="103">
        <f>SJ07433M96!I20</f>
        <v>1</v>
      </c>
      <c r="J488" s="103">
        <f>SJ07433M96!J20</f>
        <v>0</v>
      </c>
      <c r="K488" s="103">
        <v>3</v>
      </c>
      <c r="L488" s="103" t="s">
        <v>697</v>
      </c>
    </row>
    <row r="489" spans="1:12" customFormat="1">
      <c r="A489" s="103" t="str">
        <f>SJ07433M96!A21</f>
        <v>SJ07433M96</v>
      </c>
      <c r="B489" s="103" t="str">
        <f>SJ07433M96!B21</f>
        <v>SJ07433M96/364-366 [S]i me fueran a decir que si voy a votar por eso, pues no, no votaría a favor, porque no, me estaría convirtiendo en juez y yo no soy juez.</v>
      </c>
      <c r="C489" s="103" t="str">
        <f>SJ07433M96!C21</f>
        <v>analítico</v>
      </c>
      <c r="D489" s="103" t="str">
        <f>SJ07433M96!D21</f>
        <v>temporal</v>
      </c>
      <c r="E489" s="103">
        <f>SJ07433M96!E21</f>
        <v>1</v>
      </c>
      <c r="F489" s="103">
        <f>SJ07433M96!F21</f>
        <v>0</v>
      </c>
      <c r="G489" s="103">
        <f>SJ07433M96!G21</f>
        <v>0</v>
      </c>
      <c r="H489" s="103">
        <f>SJ07433M96!H21</f>
        <v>0</v>
      </c>
      <c r="I489" s="103">
        <f>SJ07433M96!I21</f>
        <v>0</v>
      </c>
      <c r="J489" s="103">
        <f>SJ07433M96!J21</f>
        <v>1</v>
      </c>
      <c r="K489" s="103">
        <v>3</v>
      </c>
      <c r="L489" s="103" t="s">
        <v>697</v>
      </c>
    </row>
    <row r="490" spans="1:12" customFormat="1">
      <c r="A490" s="103" t="str">
        <f>SJ07433M96!A22</f>
        <v>SJ07433M96</v>
      </c>
      <c r="B490" s="103" t="str">
        <f>SJ07433M96!B22</f>
        <v>SJ07433M96/371-373 [S]i ellos no lo hacen, qué va a ser el mundo secular, fuete, castigo, lo mismo que han recibido toda su vida, que se pongan más rebeldes.</v>
      </c>
      <c r="C490" s="103" t="str">
        <f>SJ07433M96!C22</f>
        <v>analítico</v>
      </c>
      <c r="D490" s="103" t="str">
        <f>SJ07433M96!D22</f>
        <v>temporal</v>
      </c>
      <c r="E490" s="103">
        <f>SJ07433M96!E22</f>
        <v>3</v>
      </c>
      <c r="F490" s="103">
        <f>SJ07433M96!F22</f>
        <v>0</v>
      </c>
      <c r="G490" s="103">
        <f>SJ07433M96!G22</f>
        <v>0</v>
      </c>
      <c r="H490" s="103">
        <f>SJ07433M96!H22</f>
        <v>0</v>
      </c>
      <c r="I490" s="103">
        <f>SJ07433M96!I22</f>
        <v>0</v>
      </c>
      <c r="J490" s="103">
        <f>SJ07433M96!J22</f>
        <v>1</v>
      </c>
      <c r="K490" s="103">
        <v>3</v>
      </c>
      <c r="L490" s="103" t="s">
        <v>697</v>
      </c>
    </row>
    <row r="491" spans="1:12" customFormat="1">
      <c r="A491" s="103" t="str">
        <f>SJ07433M96!A23</f>
        <v>SJ07433M96</v>
      </c>
      <c r="B491" s="103" t="str">
        <f>SJ07433M96!B23</f>
        <v>SJ07433M96/397-403A [C]uando tú andas con la verdad, con la justicia, con las cosas bien, pues, mira, la, lo otro va a salir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va a hacer, que lleva veintipico de años haciendo ese trabajo, ella no va, no va a conseguir, por lo que está ganando.</v>
      </c>
      <c r="C491" s="103" t="str">
        <f>SJ07433M96!C23</f>
        <v>analítico</v>
      </c>
      <c r="D491" s="103" t="str">
        <f>SJ07433M96!D23</f>
        <v>temporal</v>
      </c>
      <c r="E491" s="103">
        <f>SJ07433M96!E23</f>
        <v>3</v>
      </c>
      <c r="F491" s="103">
        <f>SJ07433M96!F23</f>
        <v>0</v>
      </c>
      <c r="G491" s="103">
        <f>SJ07433M96!G23</f>
        <v>0</v>
      </c>
      <c r="H491" s="103">
        <f>SJ07433M96!H23</f>
        <v>0</v>
      </c>
      <c r="I491" s="103">
        <f>SJ07433M96!I23</f>
        <v>0</v>
      </c>
      <c r="J491" s="103">
        <f>SJ07433M96!J23</f>
        <v>0</v>
      </c>
      <c r="K491" s="103">
        <v>3</v>
      </c>
      <c r="L491" s="103" t="s">
        <v>697</v>
      </c>
    </row>
    <row r="492" spans="1:12" customFormat="1">
      <c r="A492" s="103" t="str">
        <f>SJ07433M96!A24</f>
        <v>SJ07433M96</v>
      </c>
      <c r="B492" s="103" t="str">
        <f>SJ07433M96!B24</f>
        <v>SJ07433M96/397-403B [C]uando tú andas con la verdad, con la justicia, con las cosas bien, pues, mira, la, lo otro va a salir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va a hacer, que lleva veintipico de años haciendo ese trabajo, ella no va, no va a conseguir, por lo que está ganando.</v>
      </c>
      <c r="C492" s="103" t="str">
        <f>SJ07433M96!C24</f>
        <v>analítico</v>
      </c>
      <c r="D492" s="103" t="str">
        <f>SJ07433M96!D24</f>
        <v>temporal</v>
      </c>
      <c r="E492" s="103">
        <f>SJ07433M96!E24</f>
        <v>3</v>
      </c>
      <c r="F492" s="103">
        <f>SJ07433M96!F24</f>
        <v>0</v>
      </c>
      <c r="G492" s="103">
        <f>SJ07433M96!G24</f>
        <v>0</v>
      </c>
      <c r="H492" s="103">
        <f>SJ07433M96!H24</f>
        <v>0</v>
      </c>
      <c r="I492" s="103">
        <f>SJ07433M96!I24</f>
        <v>0</v>
      </c>
      <c r="J492" s="103">
        <f>SJ07433M96!J24</f>
        <v>0</v>
      </c>
      <c r="K492" s="103">
        <v>3</v>
      </c>
      <c r="L492" s="103" t="s">
        <v>697</v>
      </c>
    </row>
    <row r="493" spans="1:12" customFormat="1">
      <c r="A493" s="103" t="str">
        <f>SJ07433M96!A25</f>
        <v>SJ07433M96</v>
      </c>
      <c r="B493" s="103" t="str">
        <f>SJ07433M96!B25</f>
        <v>SJ07433M96/397-403C [C]uando tú andas con la verdad, con la justicia, con las cosas bien, pues, mira, la, lo otro va a salir a la luz, lo que está mal, pero siguen tratando, tú sabes, siguen, y salen de una y siguen tratando de hacer y de hacer daño, y de hacer daño y de hacer daño, y yo le digo, Señor, lo que le pido es, Señor, mira, consíguele un trabajo bueno, que le paguen más, lo que pasa es que la persona no puede, porque no sirve, o sea, la persona no, de, del trabajo que, que va a hacer, que lleva veintipico de años haciendo ese trabajo, ella no va, no va a conseguir, por lo que está ganando.</v>
      </c>
      <c r="C493" s="103" t="str">
        <f>SJ07433M96!C25</f>
        <v>analítico</v>
      </c>
      <c r="D493" s="103" t="str">
        <f>SJ07433M96!D25</f>
        <v>temporal</v>
      </c>
      <c r="E493" s="103">
        <f>SJ07433M96!E25</f>
        <v>3</v>
      </c>
      <c r="F493" s="103">
        <f>SJ07433M96!F25</f>
        <v>0</v>
      </c>
      <c r="G493" s="103">
        <f>SJ07433M96!G25</f>
        <v>1</v>
      </c>
      <c r="H493" s="103">
        <f>SJ07433M96!H25</f>
        <v>0</v>
      </c>
      <c r="I493" s="103">
        <f>SJ07433M96!I25</f>
        <v>0</v>
      </c>
      <c r="J493" s="103">
        <f>SJ07433M96!J25</f>
        <v>0</v>
      </c>
      <c r="K493" s="103">
        <v>3</v>
      </c>
      <c r="L493" s="103" t="s">
        <v>697</v>
      </c>
    </row>
    <row r="494" spans="1:12" customFormat="1">
      <c r="A494" s="103" t="str">
        <f>SJ07433M96!A26</f>
        <v>SJ07433M96</v>
      </c>
      <c r="B494" s="103" t="str">
        <f>SJ07433M96!B26</f>
        <v>SJ07433M96/406­-409 No, no tiene ningunas destrezas y no es una persona super inteligente, tú sabes, pues, no se le va a hacer difícil, pero, para mi Dios no hay nada difícil, ni nada imposible, digo, Señor, consígule un trabajo y llévatela, yo no le deseo nada malo, sencillamente que, mira, que consiga que le paguen dos veces lo que se está ganando.</v>
      </c>
      <c r="C494" s="103" t="str">
        <f>SJ07433M96!C26</f>
        <v>analítico</v>
      </c>
      <c r="D494" s="103" t="str">
        <f>SJ07433M96!D26</f>
        <v>temporal</v>
      </c>
      <c r="E494" s="103">
        <f>SJ07433M96!E26</f>
        <v>3</v>
      </c>
      <c r="F494" s="103">
        <f>SJ07433M96!F26</f>
        <v>0</v>
      </c>
      <c r="G494" s="103">
        <f>SJ07433M96!G26</f>
        <v>1</v>
      </c>
      <c r="H494" s="103">
        <f>SJ07433M96!H26</f>
        <v>0</v>
      </c>
      <c r="I494" s="103">
        <f>SJ07433M96!I26</f>
        <v>0</v>
      </c>
      <c r="J494" s="103">
        <f>SJ07433M96!J26</f>
        <v>0</v>
      </c>
      <c r="K494" s="103">
        <v>3</v>
      </c>
      <c r="L494" s="103" t="s">
        <v>697</v>
      </c>
    </row>
    <row r="495" spans="1:12" customFormat="1">
      <c r="A495" s="103" t="str">
        <f>SJ07433M96!A27</f>
        <v>SJ07433M96</v>
      </c>
      <c r="B495" s="103" t="str">
        <f>SJ07433M96!B27</f>
        <v>SJ07433M96/430-434A [C]uando echamos para afuera estas cosas y hablamos y nos conocemos, pues, entonces, ya tú no, tú no vas a ver mis defectos exteriores sino que tú vas a ver a un ser, pues, mira que, llena de amor, de cariño, que, pues, que ha sufrido y que quizás, pues, por eso mismo no ha podido superarse en otras áreas.</v>
      </c>
      <c r="C495" s="103" t="str">
        <f>SJ07433M96!C27</f>
        <v>analítico</v>
      </c>
      <c r="D495" s="103" t="str">
        <f>SJ07433M96!D27</f>
        <v>temporal</v>
      </c>
      <c r="E495" s="103">
        <f>SJ07433M96!E27</f>
        <v>2</v>
      </c>
      <c r="F495" s="103">
        <f>SJ07433M96!F27</f>
        <v>1</v>
      </c>
      <c r="G495" s="103">
        <f>SJ07433M96!G27</f>
        <v>1</v>
      </c>
      <c r="H495" s="103">
        <f>SJ07433M96!H27</f>
        <v>1</v>
      </c>
      <c r="I495" s="103">
        <f>SJ07433M96!I27</f>
        <v>0</v>
      </c>
      <c r="J495" s="103">
        <f>SJ07433M96!J27</f>
        <v>0</v>
      </c>
      <c r="K495" s="103">
        <v>3</v>
      </c>
      <c r="L495" s="103" t="s">
        <v>697</v>
      </c>
    </row>
    <row r="496" spans="1:12" customFormat="1">
      <c r="A496" s="103" t="str">
        <f>SJ07433M96!A28</f>
        <v>SJ07433M96</v>
      </c>
      <c r="B496" s="103" t="str">
        <f>SJ07433M96!B28</f>
        <v>SJ07433M96/430-434B [C]uando echamos para afuera estas cosas y hablamos y nos conocemos, pues, entonces, ya tú no, tú no vas a ver mis defectos exteriores sino que tú vas a ver a un ser, pues, mira que, llena de amor, de cariño, que, pues, que ha sufrido y que quizás, pues, por eso mismo no ha podido superarse en otras áreas.</v>
      </c>
      <c r="C496" s="103" t="str">
        <f>SJ07433M96!C28</f>
        <v>analítico</v>
      </c>
      <c r="D496" s="103" t="str">
        <f>SJ07433M96!D28</f>
        <v>temporal</v>
      </c>
      <c r="E496" s="103">
        <f>SJ07433M96!E28</f>
        <v>2</v>
      </c>
      <c r="F496" s="103">
        <f>SJ07433M96!F28</f>
        <v>1</v>
      </c>
      <c r="G496" s="103">
        <f>SJ07433M96!G28</f>
        <v>0</v>
      </c>
      <c r="H496" s="103">
        <f>SJ07433M96!H28</f>
        <v>1</v>
      </c>
      <c r="I496" s="103">
        <f>SJ07433M96!I28</f>
        <v>0</v>
      </c>
      <c r="J496" s="103">
        <f>SJ07433M96!J28</f>
        <v>0</v>
      </c>
      <c r="K496" s="103">
        <v>3</v>
      </c>
      <c r="L496" s="103" t="s">
        <v>697</v>
      </c>
    </row>
    <row r="497" spans="1:12" customFormat="1">
      <c r="A497" t="str">
        <f xml:space="preserve">
SJ07233M96!A2</f>
        <v>SJ07233M96</v>
      </c>
      <c r="B497" t="str">
        <f xml:space="preserve">
SJ07233M96!B2</f>
        <v>SJ07233M96/242-245 Nos traían comida, la, la atendían, se turnaban de día, de noche, y, el cambio, según te puedo decir que ha sido el cambio favorable, vamos a decir, en, en las edificaciones, en el urbanismo, en todo eso, ha sido desfavorable en las actitudes y, y en la forma de conducirse de la gente</v>
      </c>
      <c r="C497" t="str">
        <f xml:space="preserve">
SJ07233M96!C2</f>
        <v>analítico</v>
      </c>
      <c r="D497" t="str">
        <f xml:space="preserve">
SJ07233M96!D2</f>
        <v>exhortación</v>
      </c>
      <c r="E497">
        <f xml:space="preserve">
SJ07233M96!E2</f>
        <v>4</v>
      </c>
      <c r="F497">
        <f xml:space="preserve">
SJ07233M96!F2</f>
        <v>0</v>
      </c>
      <c r="G497">
        <f xml:space="preserve">
SJ07233M96!G2</f>
        <v>0</v>
      </c>
      <c r="H497">
        <f xml:space="preserve">
SJ07233M96!H2</f>
        <v>0</v>
      </c>
      <c r="I497">
        <f xml:space="preserve">
SJ07233M96!I2</f>
        <v>0</v>
      </c>
      <c r="J497">
        <f xml:space="preserve">
SJ07233M96!J2</f>
        <v>0</v>
      </c>
      <c r="K497">
        <v>3</v>
      </c>
      <c r="L497" t="s">
        <v>697</v>
      </c>
    </row>
    <row r="498" spans="1:12" customFormat="1">
      <c r="A498" s="103" t="str">
        <f xml:space="preserve">
SJ07233M96!A3</f>
        <v>SJ07233M96</v>
      </c>
      <c r="B498" s="103" t="str">
        <f xml:space="preserve">
SJ07233M96!B3</f>
        <v xml:space="preserve">SJ07233M96/363 Vamos a vivir en Gainesville.  Ya tenemos allí una casa, ya comprada. </v>
      </c>
      <c r="C498" s="103" t="str">
        <f xml:space="preserve">
SJ07233M96!C3</f>
        <v>analítico</v>
      </c>
      <c r="D498" s="103" t="str">
        <f xml:space="preserve">
SJ07233M96!D3</f>
        <v>temporal</v>
      </c>
      <c r="E498" s="103">
        <f xml:space="preserve">
SJ07233M96!E3</f>
        <v>4</v>
      </c>
      <c r="F498" s="103">
        <f xml:space="preserve">
SJ07233M96!F3</f>
        <v>0</v>
      </c>
      <c r="G498" s="103">
        <f xml:space="preserve">
SJ07233M96!G3</f>
        <v>0</v>
      </c>
      <c r="H498" s="103">
        <f xml:space="preserve">
SJ07233M96!H3</f>
        <v>0</v>
      </c>
      <c r="I498" s="103">
        <f xml:space="preserve">
SJ07233M96!I3</f>
        <v>1</v>
      </c>
      <c r="J498" s="103">
        <f xml:space="preserve">
SJ07233M96!J3</f>
        <v>0</v>
      </c>
      <c r="K498" s="103">
        <v>3</v>
      </c>
      <c r="L498" s="103" t="s">
        <v>697</v>
      </c>
    </row>
    <row r="499" spans="1:12" customFormat="1">
      <c r="A499" s="103" t="str">
        <f xml:space="preserve">
SJ07233M96!A4</f>
        <v>SJ07233M96</v>
      </c>
      <c r="B499" s="103" t="str">
        <f xml:space="preserve">
SJ07233M96!B4</f>
        <v xml:space="preserve">SJ07233M96/367 Que va a estar a la orden de todos ustedes. </v>
      </c>
      <c r="C499" s="103" t="str">
        <f xml:space="preserve">
SJ07233M96!C4</f>
        <v>analítico</v>
      </c>
      <c r="D499" s="103" t="str">
        <f xml:space="preserve">
SJ07233M96!D4</f>
        <v>temporal</v>
      </c>
      <c r="E499" s="103">
        <f xml:space="preserve">
SJ07233M96!E4</f>
        <v>3</v>
      </c>
      <c r="F499" s="103">
        <f xml:space="preserve">
SJ07233M96!F4</f>
        <v>0</v>
      </c>
      <c r="G499" s="103">
        <f xml:space="preserve">
SJ07233M96!G4</f>
        <v>0</v>
      </c>
      <c r="H499" s="103">
        <f xml:space="preserve">
SJ07233M96!H4</f>
        <v>0</v>
      </c>
      <c r="I499" s="103">
        <f xml:space="preserve">
SJ07233M96!I4</f>
        <v>1</v>
      </c>
      <c r="J499" s="103">
        <f xml:space="preserve">
SJ07233M96!J4</f>
        <v>0</v>
      </c>
      <c r="K499" s="103">
        <v>3</v>
      </c>
      <c r="L499" s="103" t="s">
        <v>697</v>
      </c>
    </row>
    <row r="500" spans="1:12" customFormat="1">
      <c r="A500" s="103" t="str">
        <f xml:space="preserve">
SJ07233M96!A5</f>
        <v>SJ07233M96</v>
      </c>
      <c r="B500" s="103" t="str">
        <f xml:space="preserve">
SJ07233M96!B5</f>
        <v>SJ07233M96/379 Yo creo que si el hombre se retira es, vamos entonces a hacer lo que verdaderamente yo, me he imaginado que siempre, que es un matrimonio: el compartir ciento por ciento todo, en la casa.</v>
      </c>
      <c r="C500" s="103" t="str">
        <f xml:space="preserve">
SJ07233M96!C5</f>
        <v>analítico</v>
      </c>
      <c r="D500" s="103" t="str">
        <f xml:space="preserve">
SJ07233M96!D5</f>
        <v>temporal</v>
      </c>
      <c r="E500" s="103">
        <f xml:space="preserve">
SJ07233M96!E5</f>
        <v>4</v>
      </c>
      <c r="F500" s="103">
        <f xml:space="preserve">
SJ07233M96!F5</f>
        <v>1</v>
      </c>
      <c r="G500" s="103">
        <f xml:space="preserve">
SJ07233M96!G5</f>
        <v>0</v>
      </c>
      <c r="H500" s="103">
        <f xml:space="preserve">
SJ07233M96!H5</f>
        <v>2</v>
      </c>
      <c r="I500" s="103">
        <f xml:space="preserve">
SJ07233M96!I5</f>
        <v>0</v>
      </c>
      <c r="J500" s="103">
        <f xml:space="preserve">
SJ07233M96!J5</f>
        <v>0</v>
      </c>
      <c r="K500" s="103">
        <v>3</v>
      </c>
      <c r="L500" s="103" t="s">
        <v>697</v>
      </c>
    </row>
    <row r="501" spans="1:12" customFormat="1">
      <c r="A501" s="103" t="str">
        <f xml:space="preserve">
SJ07233M96!A6</f>
        <v>SJ07233M96</v>
      </c>
      <c r="B501" s="103" t="str">
        <f xml:space="preserve">
SJ07233M96!B6</f>
        <v>SJ07233M96/380-386A Y si él ahora va a estar,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v>
      </c>
      <c r="C501" s="103" t="str">
        <f xml:space="preserve">
SJ07233M96!C6</f>
        <v>analítico</v>
      </c>
      <c r="D501" s="103" t="str">
        <f xml:space="preserve">
SJ07233M96!D6</f>
        <v>temporal</v>
      </c>
      <c r="E501" s="103">
        <f xml:space="preserve">
SJ07233M96!E6</f>
        <v>3</v>
      </c>
      <c r="F501" s="103">
        <f xml:space="preserve">
SJ07233M96!F6</f>
        <v>1</v>
      </c>
      <c r="G501" s="103">
        <f xml:space="preserve">
SJ07233M96!G6</f>
        <v>0</v>
      </c>
      <c r="H501" s="103">
        <f xml:space="preserve">
SJ07233M96!H6</f>
        <v>2</v>
      </c>
      <c r="I501" s="103">
        <f xml:space="preserve">
SJ07233M96!I6</f>
        <v>0</v>
      </c>
      <c r="J501" s="103">
        <f xml:space="preserve">
SJ07233M96!J6</f>
        <v>1</v>
      </c>
      <c r="K501" s="103">
        <v>3</v>
      </c>
      <c r="L501" s="103" t="s">
        <v>697</v>
      </c>
    </row>
    <row r="502" spans="1:12" customFormat="1">
      <c r="A502" s="103" t="str">
        <f xml:space="preserve">
SJ07233M96!A7</f>
        <v>SJ07233M96</v>
      </c>
      <c r="B502" s="103" t="str">
        <f xml:space="preserve">
SJ07233M96!B7</f>
        <v>SJ07233M96/380-386B Y si él ahora va a estar,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v>
      </c>
      <c r="C502" s="103" t="str">
        <f xml:space="preserve">
SJ07233M96!C7</f>
        <v>analítico</v>
      </c>
      <c r="D502" s="103" t="str">
        <f xml:space="preserve">
SJ07233M96!D7</f>
        <v>temporal</v>
      </c>
      <c r="E502" s="103">
        <f xml:space="preserve">
SJ07233M96!E7</f>
        <v>3</v>
      </c>
      <c r="F502" s="103">
        <f xml:space="preserve">
SJ07233M96!F7</f>
        <v>1</v>
      </c>
      <c r="G502" s="103">
        <f xml:space="preserve">
SJ07233M96!G7</f>
        <v>1</v>
      </c>
      <c r="H502" s="103">
        <f xml:space="preserve">
SJ07233M96!H7</f>
        <v>2</v>
      </c>
      <c r="I502" s="103">
        <f xml:space="preserve">
SJ07233M96!I7</f>
        <v>0</v>
      </c>
      <c r="J502" s="103">
        <f xml:space="preserve">
SJ07233M96!J7</f>
        <v>1</v>
      </c>
      <c r="K502" s="103">
        <v>3</v>
      </c>
      <c r="L502" s="103" t="s">
        <v>697</v>
      </c>
    </row>
    <row r="503" spans="1:12" customFormat="1">
      <c r="A503" s="103" t="str">
        <f xml:space="preserve">
SJ07233M96!A8</f>
        <v>SJ07233M96</v>
      </c>
      <c r="B503" s="103" t="str">
        <f xml:space="preserve">
SJ07233M96!B8</f>
        <v>SJ07233M96/380-386C Y si él ahora va a estar,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v>
      </c>
      <c r="C503" s="103" t="str">
        <f xml:space="preserve">
SJ07233M96!C8</f>
        <v>analítico</v>
      </c>
      <c r="D503" s="103" t="str">
        <f xml:space="preserve">
SJ07233M96!D8</f>
        <v>temporal</v>
      </c>
      <c r="E503" s="103">
        <f xml:space="preserve">
SJ07233M96!E8</f>
        <v>4</v>
      </c>
      <c r="F503" s="103">
        <f xml:space="preserve">
SJ07233M96!F8</f>
        <v>1</v>
      </c>
      <c r="G503" s="103">
        <f xml:space="preserve">
SJ07233M96!G8</f>
        <v>0</v>
      </c>
      <c r="H503" s="103">
        <f xml:space="preserve">
SJ07233M96!H8</f>
        <v>2</v>
      </c>
      <c r="I503" s="103">
        <f xml:space="preserve">
SJ07233M96!I8</f>
        <v>1</v>
      </c>
      <c r="J503" s="103">
        <f xml:space="preserve">
SJ07233M96!J8</f>
        <v>1</v>
      </c>
      <c r="K503" s="103">
        <v>3</v>
      </c>
      <c r="L503" s="103" t="s">
        <v>697</v>
      </c>
    </row>
    <row r="504" spans="1:12" customFormat="1">
      <c r="A504" s="103" t="str">
        <f xml:space="preserve">
SJ07233M96!A9</f>
        <v>SJ07233M96</v>
      </c>
      <c r="B504" s="103" t="str">
        <f xml:space="preserve">
SJ07233M96!B9</f>
        <v>SJ07233M96/380-386D Y si él ahora va a estar,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v>
      </c>
      <c r="C504" s="103" t="str">
        <f xml:space="preserve">
SJ07233M96!C9</f>
        <v>presente</v>
      </c>
      <c r="D504" s="103" t="str">
        <f xml:space="preserve">
SJ07233M96!D9</f>
        <v>temporal</v>
      </c>
      <c r="E504" s="103">
        <f xml:space="preserve">
SJ07233M96!E9</f>
        <v>4</v>
      </c>
      <c r="F504" s="103">
        <f xml:space="preserve">
SJ07233M96!F9</f>
        <v>1</v>
      </c>
      <c r="G504" s="103">
        <f xml:space="preserve">
SJ07233M96!G9</f>
        <v>0</v>
      </c>
      <c r="H504" s="103">
        <f xml:space="preserve">
SJ07233M96!H9</f>
        <v>2</v>
      </c>
      <c r="I504" s="103">
        <f xml:space="preserve">
SJ07233M96!I9</f>
        <v>1</v>
      </c>
      <c r="J504" s="103">
        <f xml:space="preserve">
SJ07233M96!J9</f>
        <v>1</v>
      </c>
      <c r="K504" s="103">
        <v>3</v>
      </c>
      <c r="L504" s="103" t="s">
        <v>697</v>
      </c>
    </row>
    <row r="505" spans="1:12" customFormat="1">
      <c r="A505" s="103" t="str">
        <f xml:space="preserve">
SJ07233M96!A10</f>
        <v>SJ07233M96</v>
      </c>
      <c r="B505" s="103" t="str">
        <f xml:space="preserve">
SJ07233M96!B10</f>
        <v>SJ07233M96/380-386E Y si él ahora va a estar, no va a estar  trabajando, pues mira ya lo tenemos todo planeado, vamos a hacerlo  todo junto: la limpieza de la casa juntos, todo juntos, vamos al colmado juntos, para nosotros va a ser una nueva  experiencia porque yo he tenido que desenvolverme sola todo el tiempo, cuando mi esposo no era oftalmólogo, que era generalista en Sábana Grande, y en San Germán, yo me pasaba el día y la novhe entera sola, a las doce de la noche lo llamaban para una energencia y ya yo estaba completamente sola, yo no sabía a qué hora llegaba mi marido.</v>
      </c>
      <c r="C505" s="103" t="str">
        <f xml:space="preserve">
SJ07233M96!C10</f>
        <v>analítico</v>
      </c>
      <c r="D505" s="103" t="str">
        <f xml:space="preserve">
SJ07233M96!D10</f>
        <v>temporal</v>
      </c>
      <c r="E505" s="103">
        <f xml:space="preserve">
SJ07233M96!E10</f>
        <v>3</v>
      </c>
      <c r="F505" s="103">
        <f xml:space="preserve">
SJ07233M96!F10</f>
        <v>1</v>
      </c>
      <c r="G505" s="103">
        <f xml:space="preserve">
SJ07233M96!G10</f>
        <v>0</v>
      </c>
      <c r="H505" s="103">
        <f xml:space="preserve">
SJ07233M96!H10</f>
        <v>2</v>
      </c>
      <c r="I505" s="103">
        <f xml:space="preserve">
SJ07233M96!I10</f>
        <v>1</v>
      </c>
      <c r="J505" s="103">
        <f xml:space="preserve">
SJ07233M96!J10</f>
        <v>0</v>
      </c>
      <c r="K505" s="103">
        <v>3</v>
      </c>
      <c r="L505" s="103" t="s">
        <v>697</v>
      </c>
    </row>
    <row r="506" spans="1:12" customFormat="1">
      <c r="A506" s="103" t="str">
        <f xml:space="preserve">
SJ07233M96!A11</f>
        <v>SJ07233M96</v>
      </c>
      <c r="B506" s="103" t="str">
        <f xml:space="preserve">
SJ07233M96!B11</f>
        <v>SJ07233M96/391-392 Pues, yo ahora yo digo, pues, que ahora vamos a compartir, o a empezar una vida, que yo siempre la anhelé y la soñé y que nunca pude tener</v>
      </c>
      <c r="C506" s="103" t="str">
        <f xml:space="preserve">
SJ07233M96!C11</f>
        <v>analítico</v>
      </c>
      <c r="D506" s="103" t="str">
        <f xml:space="preserve">
SJ07233M96!D11</f>
        <v>temporal</v>
      </c>
      <c r="E506" s="103">
        <f xml:space="preserve">
SJ07233M96!E11</f>
        <v>4</v>
      </c>
      <c r="F506" s="103">
        <f xml:space="preserve">
SJ07233M96!F11</f>
        <v>1</v>
      </c>
      <c r="G506" s="103">
        <f xml:space="preserve">
SJ07233M96!G11</f>
        <v>0</v>
      </c>
      <c r="H506" s="103">
        <f xml:space="preserve">
SJ07233M96!H11</f>
        <v>2</v>
      </c>
      <c r="I506" s="103">
        <f xml:space="preserve">
SJ07233M96!I11</f>
        <v>0</v>
      </c>
      <c r="J506" s="103">
        <f xml:space="preserve">
SJ07233M96!J11</f>
        <v>0</v>
      </c>
      <c r="K506" s="103">
        <v>3</v>
      </c>
      <c r="L506" s="103" t="s">
        <v>697</v>
      </c>
    </row>
    <row r="507" spans="1:12" customFormat="1">
      <c r="A507" s="103" t="str">
        <f xml:space="preserve">
SJ07233M96!A12</f>
        <v>SJ07233M96</v>
      </c>
      <c r="B507" s="103" t="str">
        <f xml:space="preserve">
SJ07233M96!B12</f>
        <v>SJ07233M96/465-466 Ahora, no uno llevar la vida entera con ese problema, y ya llegar a los tantos años de, de matrimonio para decir: "Ahora me voy a divorciar."</v>
      </c>
      <c r="C507" s="103" t="str">
        <f xml:space="preserve">
SJ07233M96!C12</f>
        <v>analítico</v>
      </c>
      <c r="D507" s="103" t="str">
        <f xml:space="preserve">
SJ07233M96!D12</f>
        <v>temporal</v>
      </c>
      <c r="E507" s="103">
        <f xml:space="preserve">
SJ07233M96!E12</f>
        <v>1</v>
      </c>
      <c r="F507" s="103">
        <f xml:space="preserve">
SJ07233M96!F12</f>
        <v>1</v>
      </c>
      <c r="G507" s="103">
        <f xml:space="preserve">
SJ07233M96!G12</f>
        <v>0</v>
      </c>
      <c r="H507" s="103">
        <f xml:space="preserve">
SJ07233M96!H12</f>
        <v>2</v>
      </c>
      <c r="I507" s="103">
        <f xml:space="preserve">
SJ07233M96!I12</f>
        <v>0</v>
      </c>
      <c r="J507" s="103">
        <f xml:space="preserve">
SJ07233M96!J12</f>
        <v>0</v>
      </c>
      <c r="K507" s="103">
        <v>3</v>
      </c>
      <c r="L507" s="103" t="s">
        <v>697</v>
      </c>
    </row>
    <row r="508" spans="1:12" customFormat="1">
      <c r="A508" s="103" t="str">
        <f xml:space="preserve">
SJ07233M96!A13</f>
        <v>SJ07233M96</v>
      </c>
      <c r="B508" s="103" t="str">
        <f xml:space="preserve">
SJ07233M96!B13</f>
        <v>SJ07233M96/486-489 Esa película es prácticamente una predicción de lo que podría pasar en la Tierra, con la sobrepoblación tan tremenda que hay, con la escasez de alimentos que va a haber, etcétera, etcéteta, donde, eh, había, la autanasia no era, o sea, era voluntaria, pero, se aceptaba como un medio de vida</v>
      </c>
      <c r="C508" s="103" t="str">
        <f xml:space="preserve">
SJ07233M96!C13</f>
        <v>analítico</v>
      </c>
      <c r="D508" s="103" t="str">
        <f xml:space="preserve">
SJ07233M96!D13</f>
        <v>temporal</v>
      </c>
      <c r="E508" s="103">
        <f xml:space="preserve">
SJ07233M96!E13</f>
        <v>1</v>
      </c>
      <c r="F508" s="103">
        <f xml:space="preserve">
SJ07233M96!F13</f>
        <v>0</v>
      </c>
      <c r="G508" s="103">
        <f xml:space="preserve">
SJ07233M96!G13</f>
        <v>0</v>
      </c>
      <c r="H508" s="103">
        <f xml:space="preserve">
SJ07233M96!H13</f>
        <v>1</v>
      </c>
      <c r="I508" s="103">
        <f xml:space="preserve">
SJ07233M96!I13</f>
        <v>0</v>
      </c>
      <c r="J508" s="103">
        <f xml:space="preserve">
SJ07233M96!J13</f>
        <v>0</v>
      </c>
      <c r="K508" s="103">
        <v>3</v>
      </c>
      <c r="L508" s="103" t="s">
        <v>697</v>
      </c>
    </row>
    <row r="509" spans="1:12" customFormat="1">
      <c r="A509" t="str">
        <f xml:space="preserve">
SJ07233M96!A14</f>
        <v>SJ07233M96</v>
      </c>
      <c r="B509" t="str">
        <f xml:space="preserve">
SJ07233M96!B14</f>
        <v>SJ07233M96/506-507 Una cosa es eutanasia y otra cosa es obedecer, por ejemplo, los sentimientos de mi esposo, vamos a decir.</v>
      </c>
      <c r="C509" t="str">
        <f xml:space="preserve">
SJ07233M96!C14</f>
        <v>analítico</v>
      </c>
      <c r="D509" t="str">
        <f xml:space="preserve">
SJ07233M96!D14</f>
        <v>exhortación</v>
      </c>
      <c r="E509">
        <f xml:space="preserve">
SJ07233M96!E14</f>
        <v>4</v>
      </c>
      <c r="F509">
        <f xml:space="preserve">
SJ07233M96!F14</f>
        <v>0</v>
      </c>
      <c r="G509">
        <f xml:space="preserve">
SJ07233M96!G14</f>
        <v>0</v>
      </c>
      <c r="H509">
        <f xml:space="preserve">
SJ07233M96!H14</f>
        <v>0</v>
      </c>
      <c r="I509">
        <f xml:space="preserve">
SJ07233M96!I14</f>
        <v>0</v>
      </c>
      <c r="J509">
        <f xml:space="preserve">
SJ07233M96!J14</f>
        <v>0</v>
      </c>
      <c r="K509">
        <v>3</v>
      </c>
      <c r="L509" t="s">
        <v>697</v>
      </c>
    </row>
    <row r="510" spans="1:12" customFormat="1">
      <c r="A510" s="103" t="str">
        <f xml:space="preserve">
SJ07233M96!A15</f>
        <v>SJ07233M96</v>
      </c>
      <c r="B510" s="103" t="str">
        <f xml:space="preserve">
SJ07233M96!B15</f>
        <v>SJ07233M96/519-520A Donde si la persona tiene dinero para comprar los abogados, los testigos, lo que sea, pues no va [a llegar], aunque necesite la pena de muerte no llega a, a, a esa sentencia.</v>
      </c>
      <c r="C510" s="103" t="str">
        <f xml:space="preserve">
SJ07233M96!C15</f>
        <v>presente</v>
      </c>
      <c r="D510" s="103" t="str">
        <f xml:space="preserve">
SJ07233M96!D15</f>
        <v>temporal</v>
      </c>
      <c r="E510" s="103">
        <f xml:space="preserve">
SJ07233M96!E15</f>
        <v>3</v>
      </c>
      <c r="F510" s="103">
        <f xml:space="preserve">
SJ07233M96!F15</f>
        <v>0</v>
      </c>
      <c r="G510" s="103">
        <f xml:space="preserve">
SJ07233M96!G15</f>
        <v>1</v>
      </c>
      <c r="H510" s="103">
        <f xml:space="preserve">
SJ07233M96!H15</f>
        <v>0</v>
      </c>
      <c r="I510" s="103">
        <f xml:space="preserve">
SJ07233M96!I15</f>
        <v>0</v>
      </c>
      <c r="J510" s="103">
        <f xml:space="preserve">
SJ07233M96!J15</f>
        <v>1</v>
      </c>
      <c r="K510" s="103">
        <v>3</v>
      </c>
      <c r="L510" s="103" t="s">
        <v>697</v>
      </c>
    </row>
    <row r="511" spans="1:12" customFormat="1">
      <c r="A511" s="103" t="str">
        <f xml:space="preserve">
SJ07233M96!A16</f>
        <v>SJ07233M96</v>
      </c>
      <c r="B511" s="103" t="str">
        <f xml:space="preserve">
SJ07233M96!B16</f>
        <v>SJ07233M96/519-520B Donde si la persona tiene dinero para comprar los abogados, los testigos, lo que sea, pues no va, aunque necesite la pena de muerte no llega a, a, a esa sentencia.</v>
      </c>
      <c r="C511" s="103" t="str">
        <f xml:space="preserve">
SJ07233M96!C16</f>
        <v>presente</v>
      </c>
      <c r="D511" s="103" t="str">
        <f xml:space="preserve">
SJ07233M96!D16</f>
        <v>temporal</v>
      </c>
      <c r="E511" s="103">
        <f xml:space="preserve">
SJ07233M96!E16</f>
        <v>3</v>
      </c>
      <c r="F511" s="103">
        <f xml:space="preserve">
SJ07233M96!F16</f>
        <v>0</v>
      </c>
      <c r="G511" s="103">
        <f xml:space="preserve">
SJ07233M96!G16</f>
        <v>1</v>
      </c>
      <c r="H511" s="103">
        <f xml:space="preserve">
SJ07233M96!H16</f>
        <v>0</v>
      </c>
      <c r="I511" s="103">
        <f xml:space="preserve">
SJ07233M96!I16</f>
        <v>0</v>
      </c>
      <c r="J511" s="103">
        <f xml:space="preserve">
SJ07233M96!J16</f>
        <v>1</v>
      </c>
      <c r="K511" s="103">
        <v>3</v>
      </c>
      <c r="L511" s="103" t="s">
        <v>697</v>
      </c>
    </row>
    <row r="512" spans="1:12" customFormat="1">
      <c r="A512" s="103" t="str">
        <f xml:space="preserve">
SJ07233M96!A17</f>
        <v>SJ07233M96</v>
      </c>
      <c r="B512" s="103" t="str">
        <f xml:space="preserve">
SJ07233M96!B17</f>
        <v>SJ07233M96/531-534 [P]ara mí, la pena de muerte es un asesinato en primer grado, porque es, tiene tanta, eh, tanta, o sea, asesinato en primer grado es, algo que se planea verdad, que ya tú lo estás planeando con anticipación: "Yo voy a hacer tal o cual cosa,” y matas a esa persona porque ya estaba planeado.</v>
      </c>
      <c r="C512" s="103" t="str">
        <f xml:space="preserve">
SJ07233M96!C17</f>
        <v>analítico</v>
      </c>
      <c r="D512" s="103" t="str">
        <f xml:space="preserve">
SJ07233M96!D17</f>
        <v>temporal</v>
      </c>
      <c r="E512" s="103">
        <f xml:space="preserve">
SJ07233M96!E17</f>
        <v>1</v>
      </c>
      <c r="F512" s="103">
        <f xml:space="preserve">
SJ07233M96!F17</f>
        <v>0</v>
      </c>
      <c r="G512" s="103">
        <f xml:space="preserve">
SJ07233M96!G17</f>
        <v>0</v>
      </c>
      <c r="H512" s="103">
        <f xml:space="preserve">
SJ07233M96!H17</f>
        <v>0</v>
      </c>
      <c r="I512" s="103">
        <f xml:space="preserve">
SJ07233M96!I17</f>
        <v>1</v>
      </c>
      <c r="J512" s="103">
        <f xml:space="preserve">
SJ07233M96!J17</f>
        <v>0</v>
      </c>
      <c r="K512" s="103">
        <v>3</v>
      </c>
      <c r="L512" s="103" t="s">
        <v>697</v>
      </c>
    </row>
    <row r="513" spans="1:12" customFormat="1">
      <c r="A513" s="103" t="str">
        <f xml:space="preserve">
SJ07233M96!A18</f>
        <v>SJ07233M96</v>
      </c>
      <c r="B513" s="103" t="str">
        <f xml:space="preserve">
SJ07233M96!B18</f>
        <v>SJ07233M96/710-713A Además, nuestro segundo nieto va a vivir con nosotros, porque él está estudiando en la universidad, este, y, y lo llevamos: "Tú escoge el cuarto que tú quieras," y él está encantado de la casa, él es quien nos la está cuidando allá ahora, este, nos cuida la grama, nos recoge la correspondencia.  Así que, eso para nosotros va a ser una cosa, bien buena. _x000D__x000D_</v>
      </c>
      <c r="C513" s="103" t="str">
        <f xml:space="preserve">
SJ07233M96!C18</f>
        <v>analítico</v>
      </c>
      <c r="D513" s="103" t="str">
        <f xml:space="preserve">
SJ07233M96!D18</f>
        <v>temporal</v>
      </c>
      <c r="E513" s="103">
        <f xml:space="preserve">
SJ07233M96!E18</f>
        <v>3</v>
      </c>
      <c r="F513" s="103">
        <f xml:space="preserve">
SJ07233M96!F18</f>
        <v>0</v>
      </c>
      <c r="G513" s="103">
        <f xml:space="preserve">
SJ07233M96!G18</f>
        <v>0</v>
      </c>
      <c r="H513" s="103">
        <f xml:space="preserve">
SJ07233M96!H18</f>
        <v>0</v>
      </c>
      <c r="I513" s="103">
        <f xml:space="preserve">
SJ07233M96!I18</f>
        <v>1</v>
      </c>
      <c r="J513" s="103">
        <f xml:space="preserve">
SJ07233M96!J18</f>
        <v>0</v>
      </c>
      <c r="K513" s="103">
        <v>3</v>
      </c>
      <c r="L513" s="103" t="s">
        <v>697</v>
      </c>
    </row>
    <row r="514" spans="1:12" customFormat="1">
      <c r="A514" s="103" t="str">
        <f xml:space="preserve">
SJ07233M96!A19</f>
        <v>SJ07233M96</v>
      </c>
      <c r="B514" s="103" t="str">
        <f xml:space="preserve">
SJ07233M96!B19</f>
        <v>SJ07233M96/710-713B Además, nuestro segundo nieto va a vivir con nosotros, porque él está estudiando en la universidad, este, y, y lo llevamos: "Tú escoge el cuarto que tú quieras," y él está encantado de la casa, él es quien nos la está cuidando allá ahora, este, nos cuida la grama, nos recoge la correspondencia.  Así que, eso para nosotros va a ser una cosa, bien buena. _x000D__x000D_</v>
      </c>
      <c r="C514" s="103" t="str">
        <f xml:space="preserve">
SJ07233M96!C19</f>
        <v>analítico</v>
      </c>
      <c r="D514" s="103" t="str">
        <f xml:space="preserve">
SJ07233M96!D19</f>
        <v>temporal</v>
      </c>
      <c r="E514" s="103">
        <f xml:space="preserve">
SJ07233M96!E19</f>
        <v>4</v>
      </c>
      <c r="F514" s="103">
        <f xml:space="preserve">
SJ07233M96!F19</f>
        <v>1</v>
      </c>
      <c r="G514" s="103">
        <f xml:space="preserve">
SJ07233M96!G19</f>
        <v>1</v>
      </c>
      <c r="H514" s="103">
        <f xml:space="preserve">
SJ07233M96!H19</f>
        <v>2</v>
      </c>
      <c r="I514" s="103">
        <f xml:space="preserve">
SJ07233M96!I19</f>
        <v>1</v>
      </c>
      <c r="J514" s="103">
        <f xml:space="preserve">
SJ07233M96!J19</f>
        <v>0</v>
      </c>
      <c r="K514" s="103">
        <v>3</v>
      </c>
      <c r="L514" s="103" t="s">
        <v>697</v>
      </c>
    </row>
    <row r="515" spans="1:12" customFormat="1">
      <c r="A515" s="103" t="str">
        <f xml:space="preserve">
SJ07233M96!A20</f>
        <v>SJ07233M96</v>
      </c>
      <c r="B515" s="103" t="str">
        <f xml:space="preserve">
SJ07233M96!B20</f>
        <v xml:space="preserve">SJ07233M96/717(¿Y sus hijos viven allá también?) Los dos viven allá y no regresarán. </v>
      </c>
      <c r="C515" s="103" t="str">
        <f xml:space="preserve">
SJ07233M96!C20</f>
        <v>morfológico</v>
      </c>
      <c r="D515" s="103" t="str">
        <f xml:space="preserve">
SJ07233M96!D20</f>
        <v>temporal</v>
      </c>
      <c r="E515" s="103">
        <f xml:space="preserve">
SJ07233M96!E20</f>
        <v>6</v>
      </c>
      <c r="F515" s="103">
        <f xml:space="preserve">
SJ07233M96!F20</f>
        <v>0</v>
      </c>
      <c r="G515" s="103">
        <f xml:space="preserve">
SJ07233M96!G20</f>
        <v>1</v>
      </c>
      <c r="H515" s="103">
        <f xml:space="preserve">
SJ07233M96!H20</f>
        <v>1</v>
      </c>
      <c r="I515" s="103">
        <f xml:space="preserve">
SJ07233M96!I20</f>
        <v>0</v>
      </c>
      <c r="J515" s="103">
        <f xml:space="preserve">
SJ07233M96!J20</f>
        <v>0</v>
      </c>
      <c r="K515" s="103">
        <v>3</v>
      </c>
      <c r="L515" s="103" t="s">
        <v>697</v>
      </c>
    </row>
    <row r="516" spans="1:12">
      <c r="A516" t="str">
        <f>SJ020012M96!A2</f>
        <v>SJ020012M96</v>
      </c>
      <c r="B516" t="str">
        <f>SJ020012M96!B2</f>
        <v>SJ020012M96/462-463 Porque ellos me aconsejaron adonde fuera y fui, llené solicitudes y, pues, me consideraron, vamos a decirlo así, porque hay tanta gente, verdad, esperando.</v>
      </c>
      <c r="C516" t="str">
        <f>SJ020012M96!C2</f>
        <v>analítico</v>
      </c>
      <c r="D516" t="str">
        <f>SJ020012M96!D2</f>
        <v>exhortación</v>
      </c>
      <c r="E516">
        <f>SJ020012M96!E2</f>
        <v>4</v>
      </c>
      <c r="F516">
        <f>SJ020012M96!F2</f>
        <v>0</v>
      </c>
      <c r="G516">
        <f>SJ020012M96!G2</f>
        <v>0</v>
      </c>
      <c r="H516">
        <f>SJ020012M96!H2</f>
        <v>0</v>
      </c>
      <c r="I516">
        <f>SJ020012M96!I2</f>
        <v>0</v>
      </c>
      <c r="J516">
        <f>SJ020012M96!J2</f>
        <v>0</v>
      </c>
      <c r="K516" s="8">
        <v>2</v>
      </c>
      <c r="L516" t="s">
        <v>697</v>
      </c>
    </row>
    <row r="517" spans="1:12">
      <c r="A517" t="str">
        <f>SJ020012M96!A3</f>
        <v>SJ020012M96</v>
      </c>
      <c r="B517" t="str">
        <f>SJ020012M96!B3</f>
        <v>SJ020012M96/470-471 O se arreglaron, o pasaron, pues, estoy bien. Me siento bien por ahora, sí, porque me gusta la juventud. Ser, digo, será por eso.</v>
      </c>
      <c r="C517" t="str">
        <f>SJ020012M96!C3</f>
        <v>morfológico</v>
      </c>
      <c r="D517" t="str">
        <f>SJ020012M96!D3</f>
        <v>hipótesis</v>
      </c>
      <c r="E517">
        <f>SJ020012M96!E3</f>
        <v>3</v>
      </c>
      <c r="F517">
        <f>SJ020012M96!F3</f>
        <v>0</v>
      </c>
      <c r="G517">
        <f>SJ020012M96!G3</f>
        <v>0</v>
      </c>
      <c r="H517">
        <f>SJ020012M96!H3</f>
        <v>0</v>
      </c>
      <c r="I517">
        <f>SJ020012M96!I3</f>
        <v>0</v>
      </c>
      <c r="J517">
        <f>SJ020012M96!J3</f>
        <v>0</v>
      </c>
      <c r="K517" s="8">
        <v>2</v>
      </c>
      <c r="L517" t="s">
        <v>697</v>
      </c>
    </row>
    <row r="518" spans="1:12">
      <c r="A518" t="str">
        <f>SJ020012M96!A4</f>
        <v>SJ020012M96</v>
      </c>
      <c r="B518" t="str">
        <f>SJ020012M96!B4</f>
        <v>SJ020012M96/506-507 [P]ues las cosas no son como uno quisiera, vamos a decirlo así;</v>
      </c>
      <c r="C518" t="str">
        <f>SJ020012M96!C4</f>
        <v>analítico</v>
      </c>
      <c r="D518" t="str">
        <f>SJ020012M96!D4</f>
        <v>exhortación</v>
      </c>
      <c r="E518">
        <f>SJ020012M96!E4</f>
        <v>4</v>
      </c>
      <c r="F518">
        <f>SJ020012M96!F4</f>
        <v>0</v>
      </c>
      <c r="G518">
        <f>SJ020012M96!G4</f>
        <v>0</v>
      </c>
      <c r="H518">
        <f>SJ020012M96!H4</f>
        <v>0</v>
      </c>
      <c r="I518">
        <f>SJ020012M96!I4</f>
        <v>0</v>
      </c>
      <c r="J518">
        <f>SJ020012M96!J4</f>
        <v>0</v>
      </c>
      <c r="K518" s="8">
        <v>2</v>
      </c>
      <c r="L518" t="s">
        <v>697</v>
      </c>
    </row>
    <row r="519" spans="1:12">
      <c r="A519" s="103" t="str">
        <f>SJ020012M96!A5</f>
        <v>SJ020012M96</v>
      </c>
      <c r="B519" s="103" t="str">
        <f>SJ020012M96!B5</f>
        <v>SJ020012M96/523 Bueno, sí, porque no voy a decir que no, ¿verdad?</v>
      </c>
      <c r="C519" s="103" t="str">
        <f>SJ020012M96!C5</f>
        <v>analítico</v>
      </c>
      <c r="D519" s="103" t="str">
        <f>SJ020012M96!D5</f>
        <v>temporal</v>
      </c>
      <c r="E519" s="103">
        <f>SJ020012M96!E5</f>
        <v>1</v>
      </c>
      <c r="F519" s="103">
        <f>SJ020012M96!F5</f>
        <v>0</v>
      </c>
      <c r="G519" s="103">
        <f>SJ020012M96!G5</f>
        <v>1</v>
      </c>
      <c r="H519" s="103">
        <f>SJ020012M96!H5</f>
        <v>0</v>
      </c>
      <c r="I519" s="103">
        <f>SJ020012M96!I5</f>
        <v>0</v>
      </c>
      <c r="J519" s="103">
        <f>SJ020012M96!J5</f>
        <v>0</v>
      </c>
      <c r="K519" s="37">
        <v>2</v>
      </c>
      <c r="L519" s="103" t="s">
        <v>697</v>
      </c>
    </row>
    <row r="520" spans="1:12">
      <c r="A520" s="103" t="str">
        <f>SJ020012M96!A6</f>
        <v>SJ020012M96</v>
      </c>
      <c r="B520" s="103" t="str">
        <f>SJ020012M96!B6</f>
        <v>SJ020012M96/529-532 [S]i la persona decide en un divorcio y cree que se siente mejor así o porque las cosas van a, pues, yo creo que, que es una decisión, verdad de la persona vamos a decir, porque uno no puede, no puede suplicarle a una persona que no lo haga sabiendo que no va a ser feliz, ¿verdad? Estando con esa persona ¿entiende?</v>
      </c>
      <c r="C520" s="103" t="str">
        <f>SJ020012M96!C6</f>
        <v>presente</v>
      </c>
      <c r="D520" s="103" t="str">
        <f>SJ020012M96!D6</f>
        <v>temporal</v>
      </c>
      <c r="E520" s="103">
        <f>SJ020012M96!E6</f>
        <v>3</v>
      </c>
      <c r="F520" s="103">
        <f>SJ020012M96!F6</f>
        <v>0</v>
      </c>
      <c r="G520" s="103">
        <f>SJ020012M96!G6</f>
        <v>0</v>
      </c>
      <c r="H520" s="103">
        <f>SJ020012M96!H6</f>
        <v>0</v>
      </c>
      <c r="I520" s="103">
        <f>SJ020012M96!I6</f>
        <v>0</v>
      </c>
      <c r="J520" s="103">
        <f>SJ020012M96!J6</f>
        <v>0</v>
      </c>
      <c r="K520" s="37">
        <v>2</v>
      </c>
      <c r="L520" s="103" t="s">
        <v>697</v>
      </c>
    </row>
    <row r="521" spans="1:12">
      <c r="A521" t="str">
        <f>SJ020012M96!A7</f>
        <v>SJ020012M96</v>
      </c>
      <c r="B521" t="str">
        <f>SJ020012M96!B7</f>
        <v>SJ020012M96/529-532 [S]i la persona decide en un divorcio y cree que se siente mejor así o porque las cosas van a, pues, yo creo que, que es una decisión, verdad de la persona vamos a decir, porque uno no puede, no puede suplicarle a una persona que no lo haga sabiendo que no va a ser feliz, ¿verdad? Estando con esa persona ¿entiende?</v>
      </c>
      <c r="C521" t="str">
        <f>SJ020012M96!C7</f>
        <v>analítico</v>
      </c>
      <c r="D521" t="str">
        <f>SJ020012M96!D7</f>
        <v>exhortación</v>
      </c>
      <c r="E521">
        <f>SJ020012M96!E7</f>
        <v>4</v>
      </c>
      <c r="F521">
        <f>SJ020012M96!F7</f>
        <v>0</v>
      </c>
      <c r="G521">
        <f>SJ020012M96!G7</f>
        <v>0</v>
      </c>
      <c r="H521">
        <f>SJ020012M96!H7</f>
        <v>0</v>
      </c>
      <c r="I521">
        <f>SJ020012M96!I7</f>
        <v>0</v>
      </c>
      <c r="J521">
        <f>SJ020012M96!J7</f>
        <v>0</v>
      </c>
      <c r="K521" s="8">
        <v>2</v>
      </c>
      <c r="L521" t="s">
        <v>697</v>
      </c>
    </row>
    <row r="522" spans="1:12">
      <c r="A522" s="103" t="str">
        <f>SJ020012M96!A8</f>
        <v>SJ020012M96</v>
      </c>
      <c r="B522" s="103" t="str">
        <f>SJ020012M96!B8</f>
        <v>SJ020012M96/529-532 [S]i la persona decide en un divorcio y cree que se siente mejor así o porque las cosas van a, pues, yo creo que, que es una decisión, verdad de la persona vamos a decir, porque uno no puede, no puede suplicarle a una persona que no lo haga sabiendo que no va a ser feliz, ¿verdad? Estando con esa persona ¿entiende?</v>
      </c>
      <c r="C522" s="103" t="str">
        <f>SJ020012M96!C8</f>
        <v>analítico</v>
      </c>
      <c r="D522" s="103" t="str">
        <f>SJ020012M96!D8</f>
        <v>temporal</v>
      </c>
      <c r="E522" s="103">
        <f>SJ020012M96!E8</f>
        <v>3</v>
      </c>
      <c r="F522" s="103">
        <f>SJ020012M96!F8</f>
        <v>0</v>
      </c>
      <c r="G522" s="103">
        <f>SJ020012M96!G8</f>
        <v>1</v>
      </c>
      <c r="H522" s="103">
        <f>SJ020012M96!H8</f>
        <v>0</v>
      </c>
      <c r="I522" s="103">
        <f>SJ020012M96!I8</f>
        <v>0</v>
      </c>
      <c r="J522" s="103">
        <f>SJ020012M96!J8</f>
        <v>0</v>
      </c>
      <c r="K522" s="37">
        <v>2</v>
      </c>
      <c r="L522" s="103" t="s">
        <v>697</v>
      </c>
    </row>
    <row r="523" spans="1:12">
      <c r="A523"/>
      <c r="B523"/>
      <c r="C523"/>
      <c r="D523"/>
      <c r="E523"/>
      <c r="F523"/>
      <c r="G523"/>
      <c r="H523"/>
      <c r="I523"/>
      <c r="J523"/>
    </row>
    <row r="524" spans="1:12">
      <c r="A524"/>
      <c r="B524"/>
      <c r="C524"/>
      <c r="D524"/>
      <c r="E524"/>
      <c r="F524"/>
      <c r="G524"/>
      <c r="H524"/>
      <c r="I524"/>
      <c r="J524"/>
    </row>
    <row r="525" spans="1:12">
      <c r="A525"/>
      <c r="B525"/>
      <c r="C525"/>
      <c r="D525"/>
      <c r="E525"/>
      <c r="F525"/>
      <c r="G525"/>
      <c r="H525"/>
      <c r="I525"/>
      <c r="J525"/>
    </row>
    <row r="526" spans="1:12">
      <c r="A526"/>
      <c r="B526"/>
      <c r="C526"/>
      <c r="D526"/>
      <c r="E526"/>
      <c r="F526"/>
      <c r="G526"/>
      <c r="H526"/>
      <c r="I526"/>
      <c r="J526"/>
    </row>
    <row r="527" spans="1:12">
      <c r="A527"/>
      <c r="B527"/>
      <c r="C527"/>
      <c r="D527"/>
      <c r="E527"/>
      <c r="F527"/>
      <c r="G527"/>
      <c r="H527"/>
      <c r="I527"/>
      <c r="J527"/>
    </row>
    <row r="528" spans="1:12">
      <c r="A528"/>
      <c r="B528"/>
      <c r="C528"/>
      <c r="D528"/>
      <c r="E528"/>
      <c r="F528"/>
      <c r="G528"/>
      <c r="H528"/>
      <c r="I528"/>
      <c r="J528"/>
    </row>
    <row r="529" spans="1:10">
      <c r="A529"/>
      <c r="B529"/>
      <c r="C529"/>
      <c r="D529"/>
      <c r="E529"/>
      <c r="F529"/>
      <c r="G529"/>
      <c r="H529"/>
      <c r="I529"/>
      <c r="J529"/>
    </row>
    <row r="530" spans="1:10">
      <c r="A530"/>
      <c r="B530"/>
      <c r="C530"/>
      <c r="D530"/>
      <c r="E530"/>
      <c r="F530"/>
      <c r="G530"/>
      <c r="H530"/>
      <c r="I530"/>
      <c r="J530"/>
    </row>
    <row r="531" spans="1:10">
      <c r="A531"/>
      <c r="B531"/>
      <c r="C531"/>
      <c r="D531"/>
      <c r="E531"/>
      <c r="F531"/>
      <c r="G531"/>
      <c r="H531"/>
      <c r="I531"/>
      <c r="J531"/>
    </row>
    <row r="532" spans="1:10">
      <c r="A532"/>
      <c r="B532"/>
      <c r="C532"/>
      <c r="D532"/>
      <c r="E532"/>
      <c r="F532"/>
      <c r="G532"/>
      <c r="H532"/>
      <c r="I532"/>
      <c r="J532"/>
    </row>
    <row r="533" spans="1:10">
      <c r="A533"/>
      <c r="B533"/>
      <c r="C533"/>
      <c r="D533"/>
      <c r="E533"/>
      <c r="F533"/>
      <c r="G533"/>
      <c r="H533"/>
      <c r="I533"/>
      <c r="J533"/>
    </row>
    <row r="534" spans="1:10">
      <c r="A534"/>
      <c r="B534"/>
      <c r="C534"/>
      <c r="D534"/>
      <c r="E534"/>
      <c r="F534"/>
      <c r="G534"/>
      <c r="H534"/>
      <c r="I534"/>
      <c r="J534"/>
    </row>
    <row r="535" spans="1:10">
      <c r="A535"/>
      <c r="B535"/>
      <c r="C535"/>
      <c r="D535"/>
      <c r="E535"/>
      <c r="F535"/>
      <c r="G535"/>
      <c r="H535"/>
      <c r="I535"/>
      <c r="J535"/>
    </row>
    <row r="536" spans="1:10">
      <c r="A536"/>
      <c r="B536"/>
      <c r="C536"/>
      <c r="D536"/>
      <c r="E536"/>
      <c r="F536"/>
      <c r="G536"/>
      <c r="H536"/>
      <c r="I536"/>
      <c r="J536"/>
    </row>
    <row r="537" spans="1:10">
      <c r="A537"/>
      <c r="B537"/>
      <c r="C537"/>
      <c r="D537"/>
      <c r="E537"/>
      <c r="F537"/>
      <c r="G537"/>
      <c r="H537"/>
      <c r="I537"/>
      <c r="J537"/>
    </row>
    <row r="538" spans="1:10">
      <c r="A538"/>
      <c r="B538"/>
      <c r="C538"/>
      <c r="D538"/>
      <c r="E538"/>
      <c r="F538"/>
      <c r="G538"/>
      <c r="H538"/>
      <c r="I538"/>
      <c r="J538"/>
    </row>
    <row r="539" spans="1:10">
      <c r="A539"/>
      <c r="B539"/>
      <c r="C539"/>
      <c r="D539"/>
      <c r="E539"/>
      <c r="F539"/>
      <c r="G539"/>
      <c r="H539"/>
      <c r="I539"/>
      <c r="J539"/>
    </row>
    <row r="540" spans="1:10">
      <c r="A540"/>
      <c r="B540"/>
      <c r="C540"/>
      <c r="D540"/>
      <c r="E540"/>
      <c r="F540"/>
      <c r="G540"/>
      <c r="H540"/>
      <c r="I540"/>
      <c r="J540"/>
    </row>
    <row r="541" spans="1:10">
      <c r="A541"/>
      <c r="B541"/>
      <c r="C541"/>
      <c r="D541"/>
      <c r="E541"/>
      <c r="F541"/>
      <c r="G541"/>
      <c r="H541"/>
      <c r="I541"/>
      <c r="J541"/>
    </row>
    <row r="542" spans="1:10">
      <c r="A542"/>
      <c r="B542"/>
      <c r="C542"/>
      <c r="D542"/>
      <c r="E542"/>
      <c r="F542"/>
      <c r="G542"/>
      <c r="H542"/>
      <c r="I542"/>
      <c r="J542"/>
    </row>
    <row r="543" spans="1:10">
      <c r="A543"/>
      <c r="B543"/>
      <c r="C543"/>
      <c r="D543"/>
      <c r="E543"/>
      <c r="F543"/>
      <c r="G543"/>
      <c r="H543"/>
      <c r="I543"/>
      <c r="J543"/>
    </row>
    <row r="544" spans="1:10">
      <c r="A544"/>
      <c r="B544"/>
      <c r="C544"/>
      <c r="D544"/>
      <c r="E544"/>
      <c r="F544"/>
      <c r="G544"/>
      <c r="H544"/>
      <c r="I544"/>
      <c r="J544"/>
    </row>
  </sheetData>
  <autoFilter ref="A1:L52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H42" sqref="H42"/>
    </sheetView>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0" workbookViewId="0">
      <selection activeCell="L36" sqref="L36"/>
    </sheetView>
  </sheetViews>
  <sheetFormatPr baseColWidth="10" defaultRowHeight="14" x14ac:dyDescent="0"/>
  <sheetData>
    <row r="1" spans="1:4">
      <c r="B1" t="s">
        <v>88</v>
      </c>
    </row>
    <row r="2" spans="1:4">
      <c r="B2" t="s">
        <v>702</v>
      </c>
      <c r="C2" t="s">
        <v>703</v>
      </c>
      <c r="D2" t="s">
        <v>704</v>
      </c>
    </row>
    <row r="3" spans="1:4">
      <c r="A3" s="21" t="s">
        <v>76</v>
      </c>
      <c r="B3" s="14">
        <f>COUNTIFS(totales!$C$2:$C$831,"morfológico",totales!$K$2:$K$831,1,totales!$D$2:$D$831,"temporal")</f>
        <v>12</v>
      </c>
      <c r="C3" s="14">
        <f>COUNTIFS(totales!$C$2:$C$831,"morfológico",totales!$K$2:$K$831,2,totales!$D$2:$D$831,"temporal")</f>
        <v>7</v>
      </c>
      <c r="D3" s="14">
        <f>COUNTIFS(totales!$C$2:$C$831,"morfológico",totales!$K$2:$K$831,3,totales!$D$2:$D$831,"temporal")</f>
        <v>15</v>
      </c>
    </row>
    <row r="4" spans="1:4">
      <c r="A4" s="21" t="s">
        <v>77</v>
      </c>
      <c r="B4" s="14">
        <f>COUNTIFS(totales!$C$2:$C$831,"analítico",totales!$K$2:$K$831,1,totales!$D$2:$D$831,"temporal")</f>
        <v>98</v>
      </c>
      <c r="C4" s="14">
        <f>COUNTIFS(totales!$C$2:$C$831,"analítico",totales!$K$2:$K$831,2,totales!$D$2:$D$831,"temporal")</f>
        <v>111</v>
      </c>
      <c r="D4" s="14">
        <f>COUNTIFS(totales!$C$2:$C$831,"analítico",totales!$K$2:$K$831,3,totales!$D$2:$D$831,"temporal")</f>
        <v>123</v>
      </c>
    </row>
    <row r="5" spans="1:4">
      <c r="A5" s="21" t="s">
        <v>78</v>
      </c>
      <c r="B5" s="14">
        <f>COUNTIFS(totales!$C$2:$C$831,"presente",totales!$K$2:$K$831,1,totales!$D$2:$D$831,"temporal")</f>
        <v>43</v>
      </c>
      <c r="C5" s="14">
        <f>COUNTIFS(totales!$C$2:$C$831,"presente",totales!$K$2:$K$831,2,totales!$D$2:$D$831,"temporal")</f>
        <v>31</v>
      </c>
      <c r="D5" s="14">
        <f>COUNTIFS(totales!$C$2:$C$831,"presente",totales!$K$2:$K$831,3,totales!$D$2:$D$831,"temporal")</f>
        <v>18</v>
      </c>
    </row>
    <row r="7" spans="1:4">
      <c r="B7" t="s">
        <v>701</v>
      </c>
    </row>
    <row r="8" spans="1:4">
      <c r="B8" t="s">
        <v>705</v>
      </c>
      <c r="C8" t="s">
        <v>706</v>
      </c>
    </row>
    <row r="9" spans="1:4">
      <c r="A9" s="21" t="s">
        <v>76</v>
      </c>
      <c r="B9" s="14">
        <f>COUNTIFS(totales!$C$2:$C$831,"morfológico",totales!$L$2:$L$831,"hombre",totales!$D$2:$D$831,"temporal")</f>
        <v>19</v>
      </c>
      <c r="C9" s="14">
        <f>COUNTIFS(totales!$C$2:$C$831,"morfológico",totales!$L$2:$L$831,"mujer",totales!$D$2:$D$831,"temporal")</f>
        <v>15</v>
      </c>
    </row>
    <row r="10" spans="1:4">
      <c r="A10" s="21" t="s">
        <v>77</v>
      </c>
      <c r="B10" s="14">
        <f>COUNTIFS(totales!$C$2:$C$831,"analítico",totales!$L$2:$L$831,"hombre",totales!$D$2:$D$831,"temporal")</f>
        <v>152</v>
      </c>
      <c r="C10" s="14">
        <f>COUNTIFS(totales!$C$2:$C$831,"analítico",totales!$L$2:$L$831,"mujer",totales!$D$2:$D$831,"temporal")</f>
        <v>180</v>
      </c>
    </row>
    <row r="11" spans="1:4">
      <c r="A11" s="21" t="s">
        <v>78</v>
      </c>
      <c r="B11" s="14">
        <f>COUNTIFS(totales!$C$2:$C$831,"presente",totales!$L$2:$L$831,"hombre",totales!$D$2:$D$831,"temporal")</f>
        <v>48</v>
      </c>
      <c r="C11" s="14">
        <f>COUNTIFS(totales!$C$2:$C$831,"presente",totales!$L$2:$L$831,"mujer",totales!$D$2:$D$831,"temporal")</f>
        <v>44</v>
      </c>
    </row>
    <row r="13" spans="1:4">
      <c r="A13" t="s">
        <v>707</v>
      </c>
      <c r="B13" s="106">
        <v>0.71099999999999997</v>
      </c>
      <c r="C13" s="108">
        <v>0.46500000000000002</v>
      </c>
      <c r="D13" s="108">
        <v>0.43</v>
      </c>
    </row>
    <row r="14" spans="1:4">
      <c r="A14" t="s">
        <v>708</v>
      </c>
      <c r="B14" s="106">
        <v>0</v>
      </c>
      <c r="C14" s="108">
        <v>0.52700000000000002</v>
      </c>
      <c r="D14" s="108">
        <v>0.57899999999999996</v>
      </c>
    </row>
    <row r="15" spans="1:4">
      <c r="A15" t="s">
        <v>709</v>
      </c>
      <c r="B15" s="106">
        <v>0.497</v>
      </c>
      <c r="C15" s="108">
        <v>0.44500000000000001</v>
      </c>
      <c r="D15" s="108">
        <v>0.55700000000000005</v>
      </c>
    </row>
    <row r="16" spans="1:4">
      <c r="A16" t="s">
        <v>710</v>
      </c>
      <c r="B16" s="106">
        <v>0.38300000000000001</v>
      </c>
      <c r="C16" s="108">
        <v>0.47499999999999998</v>
      </c>
      <c r="D16" s="108">
        <v>0.56699999999999995</v>
      </c>
    </row>
    <row r="17" spans="1:10" ht="15" thickBot="1">
      <c r="A17" t="s">
        <v>711</v>
      </c>
      <c r="B17" s="107">
        <v>0.17</v>
      </c>
      <c r="C17" s="109">
        <v>0.748</v>
      </c>
      <c r="D17" s="109">
        <v>0.308</v>
      </c>
    </row>
    <row r="19" spans="1:10">
      <c r="A19" s="106" t="s">
        <v>712</v>
      </c>
      <c r="B19" s="106">
        <v>0.41599999999999998</v>
      </c>
      <c r="C19" s="106">
        <v>0.58399999999999996</v>
      </c>
      <c r="D19" s="106">
        <v>0.442</v>
      </c>
      <c r="F19" s="106"/>
      <c r="G19" s="110"/>
      <c r="I19" s="106"/>
      <c r="J19" s="106"/>
    </row>
    <row r="20" spans="1:10">
      <c r="A20" s="106" t="s">
        <v>713</v>
      </c>
      <c r="B20" s="106">
        <v>0.879</v>
      </c>
      <c r="C20" s="106">
        <v>0.246</v>
      </c>
      <c r="D20" s="106">
        <v>0.61699999999999999</v>
      </c>
      <c r="F20" s="106"/>
      <c r="G20" s="110"/>
      <c r="I20" s="106"/>
      <c r="J20" s="106"/>
    </row>
    <row r="21" spans="1:10" ht="15" thickBot="1">
      <c r="A21" s="107" t="s">
        <v>714</v>
      </c>
      <c r="B21" s="107">
        <v>0.311</v>
      </c>
      <c r="C21" s="107">
        <v>0.439</v>
      </c>
      <c r="D21" s="107">
        <v>0.63100000000000001</v>
      </c>
      <c r="F21" s="107"/>
      <c r="G21" s="111"/>
      <c r="I21" s="107"/>
      <c r="J21" s="107"/>
    </row>
    <row r="24" spans="1:10">
      <c r="A24" s="106" t="s">
        <v>712</v>
      </c>
      <c r="B24" s="106">
        <v>0.42699999999999999</v>
      </c>
      <c r="C24" s="106">
        <v>0.51500000000000001</v>
      </c>
      <c r="D24" s="106">
        <v>0.51200000000000001</v>
      </c>
      <c r="F24" s="106"/>
      <c r="G24" s="110"/>
      <c r="I24" s="106"/>
      <c r="J24" s="106"/>
    </row>
    <row r="25" spans="1:10" ht="15" thickBot="1">
      <c r="A25" s="107" t="s">
        <v>713</v>
      </c>
      <c r="B25" s="107">
        <v>0.71499999999999997</v>
      </c>
      <c r="C25" s="107">
        <v>0.44900000000000001</v>
      </c>
      <c r="D25" s="107">
        <v>0.46100000000000002</v>
      </c>
      <c r="F25" s="107"/>
      <c r="G25" s="111"/>
      <c r="I25" s="107"/>
      <c r="J25" s="107"/>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6"/>
  <sheetViews>
    <sheetView workbookViewId="0">
      <pane ySplit="1" topLeftCell="A2" activePane="bottomLeft" state="frozen"/>
      <selection pane="bottomLeft" activeCell="H2" sqref="H2"/>
    </sheetView>
  </sheetViews>
  <sheetFormatPr baseColWidth="10" defaultRowHeight="14" x14ac:dyDescent="0"/>
  <cols>
    <col min="1" max="1" width="10.83203125" style="8"/>
    <col min="2" max="2" width="58.5" style="8" customWidth="1"/>
    <col min="3" max="7" width="10.83203125" style="8"/>
  </cols>
  <sheetData>
    <row r="1" spans="1:10">
      <c r="A1" s="10" t="s">
        <v>0</v>
      </c>
      <c r="B1" s="10" t="s">
        <v>1</v>
      </c>
      <c r="C1" s="10" t="s">
        <v>5</v>
      </c>
      <c r="D1" s="10" t="s">
        <v>2</v>
      </c>
      <c r="E1" s="10" t="s">
        <v>3</v>
      </c>
      <c r="F1" s="10" t="s">
        <v>4</v>
      </c>
      <c r="G1" s="10" t="s">
        <v>16</v>
      </c>
      <c r="H1" s="3" t="s">
        <v>567</v>
      </c>
      <c r="I1" s="3" t="s">
        <v>577</v>
      </c>
      <c r="J1" s="3" t="s">
        <v>569</v>
      </c>
    </row>
    <row r="2" spans="1:10" ht="30">
      <c r="A2" s="8" t="s">
        <v>73</v>
      </c>
      <c r="B2" s="7" t="s">
        <v>63</v>
      </c>
      <c r="C2" s="8" t="s">
        <v>6</v>
      </c>
      <c r="D2" s="8" t="s">
        <v>8</v>
      </c>
      <c r="E2" s="8">
        <v>1</v>
      </c>
      <c r="F2" s="8">
        <v>1</v>
      </c>
      <c r="G2" s="8">
        <v>0</v>
      </c>
      <c r="H2" s="8">
        <v>0</v>
      </c>
      <c r="I2" s="8">
        <v>0</v>
      </c>
      <c r="J2" s="8">
        <v>0</v>
      </c>
    </row>
    <row r="3" spans="1:10" ht="75">
      <c r="A3" s="8" t="s">
        <v>73</v>
      </c>
      <c r="B3" s="7" t="s">
        <v>64</v>
      </c>
      <c r="C3" s="8" t="s">
        <v>6</v>
      </c>
      <c r="D3" s="8" t="s">
        <v>8</v>
      </c>
      <c r="E3" s="8">
        <v>3</v>
      </c>
      <c r="F3" s="8">
        <v>1</v>
      </c>
      <c r="G3" s="8">
        <v>0</v>
      </c>
      <c r="H3" s="8">
        <v>2</v>
      </c>
      <c r="I3" s="8">
        <v>0</v>
      </c>
      <c r="J3" s="8">
        <v>0</v>
      </c>
    </row>
    <row r="4" spans="1:10" ht="75" hidden="1">
      <c r="A4" s="8" t="s">
        <v>73</v>
      </c>
      <c r="B4" s="7" t="s">
        <v>65</v>
      </c>
      <c r="C4" s="8" t="s">
        <v>6</v>
      </c>
      <c r="D4" s="8" t="s">
        <v>8</v>
      </c>
      <c r="E4" s="8">
        <v>3</v>
      </c>
      <c r="F4" s="8">
        <v>0</v>
      </c>
      <c r="G4" s="8">
        <v>0</v>
      </c>
      <c r="H4" s="8">
        <v>0</v>
      </c>
      <c r="I4" s="8">
        <v>0</v>
      </c>
      <c r="J4" s="8">
        <v>0</v>
      </c>
    </row>
    <row r="5" spans="1:10" ht="75" hidden="1">
      <c r="A5" s="8" t="s">
        <v>73</v>
      </c>
      <c r="B5" s="7" t="s">
        <v>66</v>
      </c>
      <c r="C5" s="8" t="s">
        <v>6</v>
      </c>
      <c r="D5" s="8" t="s">
        <v>8</v>
      </c>
      <c r="E5" s="8">
        <v>3</v>
      </c>
      <c r="F5" s="8">
        <v>0</v>
      </c>
      <c r="G5" s="8">
        <v>0</v>
      </c>
      <c r="H5" s="8">
        <v>0</v>
      </c>
      <c r="I5" s="8">
        <v>0</v>
      </c>
      <c r="J5" s="8">
        <v>0</v>
      </c>
    </row>
    <row r="6" spans="1:10" ht="30" hidden="1">
      <c r="A6" s="8" t="s">
        <v>73</v>
      </c>
      <c r="B6" s="7" t="s">
        <v>67</v>
      </c>
      <c r="C6" s="8" t="s">
        <v>6</v>
      </c>
      <c r="D6" s="8" t="s">
        <v>8</v>
      </c>
      <c r="E6" s="8">
        <v>3</v>
      </c>
      <c r="F6" s="8">
        <v>0</v>
      </c>
      <c r="G6" s="8">
        <v>0</v>
      </c>
      <c r="H6" s="8">
        <v>0</v>
      </c>
      <c r="I6" s="8">
        <v>0</v>
      </c>
      <c r="J6" s="8">
        <v>0</v>
      </c>
    </row>
    <row r="7" spans="1:10" ht="30" hidden="1">
      <c r="A7" s="8" t="s">
        <v>73</v>
      </c>
      <c r="B7" s="7" t="s">
        <v>68</v>
      </c>
      <c r="C7" s="8" t="s">
        <v>6</v>
      </c>
      <c r="D7" s="8" t="s">
        <v>8</v>
      </c>
      <c r="E7" s="8">
        <v>2</v>
      </c>
      <c r="F7" s="8">
        <v>0</v>
      </c>
      <c r="G7" s="8">
        <v>0</v>
      </c>
      <c r="H7" s="8">
        <v>0</v>
      </c>
      <c r="I7" s="8">
        <v>0</v>
      </c>
      <c r="J7" s="8">
        <v>0</v>
      </c>
    </row>
    <row r="8" spans="1:10" ht="30" hidden="1">
      <c r="A8" s="8" t="s">
        <v>73</v>
      </c>
      <c r="B8" s="7" t="s">
        <v>69</v>
      </c>
      <c r="C8" s="8" t="s">
        <v>6</v>
      </c>
      <c r="D8" s="8" t="s">
        <v>8</v>
      </c>
      <c r="E8" s="8">
        <v>1</v>
      </c>
      <c r="F8" s="8">
        <v>0</v>
      </c>
      <c r="G8" s="8">
        <v>0</v>
      </c>
      <c r="H8" s="8">
        <v>0</v>
      </c>
      <c r="I8" s="8">
        <v>0</v>
      </c>
      <c r="J8" s="8">
        <v>0</v>
      </c>
    </row>
    <row r="9" spans="1:10" ht="45" hidden="1">
      <c r="A9" s="8" t="s">
        <v>73</v>
      </c>
      <c r="B9" s="7" t="s">
        <v>70</v>
      </c>
      <c r="C9" s="8" t="s">
        <v>7</v>
      </c>
      <c r="D9" s="8" t="s">
        <v>19</v>
      </c>
      <c r="E9" s="8">
        <v>6</v>
      </c>
      <c r="F9" s="8">
        <v>0</v>
      </c>
      <c r="G9" s="8">
        <v>0</v>
      </c>
      <c r="H9" s="8">
        <v>0</v>
      </c>
      <c r="I9" s="8">
        <v>0</v>
      </c>
      <c r="J9" s="8">
        <v>0</v>
      </c>
    </row>
    <row r="10" spans="1:10" ht="45" hidden="1">
      <c r="A10" s="8" t="s">
        <v>73</v>
      </c>
      <c r="B10" s="7" t="s">
        <v>71</v>
      </c>
      <c r="C10" s="8" t="s">
        <v>6</v>
      </c>
      <c r="D10" s="8" t="s">
        <v>8</v>
      </c>
      <c r="E10" s="8">
        <v>1</v>
      </c>
      <c r="F10" s="8">
        <v>0</v>
      </c>
      <c r="G10" s="8">
        <v>0</v>
      </c>
      <c r="H10" s="8">
        <v>0</v>
      </c>
      <c r="I10" s="8">
        <v>0</v>
      </c>
      <c r="J10" s="8">
        <v>1</v>
      </c>
    </row>
    <row r="11" spans="1:10" ht="60">
      <c r="A11" s="8" t="s">
        <v>73</v>
      </c>
      <c r="B11" s="7" t="s">
        <v>74</v>
      </c>
      <c r="C11" s="8" t="s">
        <v>18</v>
      </c>
      <c r="D11" s="8" t="s">
        <v>8</v>
      </c>
      <c r="E11" s="8">
        <v>3</v>
      </c>
      <c r="F11" s="8">
        <v>1</v>
      </c>
      <c r="G11" s="8">
        <v>0</v>
      </c>
      <c r="H11" s="8">
        <v>1</v>
      </c>
      <c r="I11" s="8">
        <v>0</v>
      </c>
      <c r="J11" s="8">
        <v>0</v>
      </c>
    </row>
    <row r="12" spans="1:10" ht="30" hidden="1">
      <c r="A12" s="8" t="s">
        <v>73</v>
      </c>
      <c r="B12" s="7" t="s">
        <v>72</v>
      </c>
      <c r="C12" s="8" t="s">
        <v>6</v>
      </c>
      <c r="D12" s="8" t="s">
        <v>8</v>
      </c>
      <c r="E12" s="8">
        <v>1</v>
      </c>
      <c r="F12" s="8">
        <v>0</v>
      </c>
      <c r="G12" s="8">
        <v>0</v>
      </c>
      <c r="H12" s="8">
        <v>0</v>
      </c>
      <c r="I12" s="8">
        <v>0</v>
      </c>
      <c r="J12" s="8">
        <v>0</v>
      </c>
    </row>
    <row r="13" spans="1:10" ht="75" hidden="1">
      <c r="A13" s="8" t="s">
        <v>73</v>
      </c>
      <c r="B13" s="7" t="s">
        <v>574</v>
      </c>
      <c r="C13" s="8" t="s">
        <v>6</v>
      </c>
      <c r="D13" s="8" t="s">
        <v>8</v>
      </c>
      <c r="E13" s="8">
        <v>3</v>
      </c>
      <c r="F13" s="8">
        <v>0</v>
      </c>
      <c r="G13" s="8">
        <v>0</v>
      </c>
      <c r="H13" s="8">
        <v>0</v>
      </c>
      <c r="I13" s="8">
        <v>0</v>
      </c>
      <c r="J13" s="8">
        <v>0</v>
      </c>
    </row>
    <row r="14" spans="1:10" ht="15">
      <c r="B14" s="7"/>
    </row>
    <row r="15" spans="1:10" ht="15">
      <c r="B15" s="7"/>
    </row>
    <row r="16" spans="1:10" ht="15">
      <c r="B16" s="9"/>
    </row>
  </sheetData>
  <autoFilter ref="A1:J13">
    <filterColumn colId="5">
      <filters>
        <filter val="1"/>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ySplit="1" topLeftCell="A35" activePane="bottomLeft" state="frozen"/>
      <selection activeCell="B1" sqref="B1"/>
      <selection pane="bottomLeft" activeCell="D44" sqref="D44"/>
    </sheetView>
  </sheetViews>
  <sheetFormatPr baseColWidth="10" defaultColWidth="33.5" defaultRowHeight="14" x14ac:dyDescent="0"/>
  <cols>
    <col min="1" max="1" width="14.1640625" style="8" customWidth="1"/>
    <col min="2" max="2" width="44.6640625" style="8" customWidth="1"/>
    <col min="3" max="3" width="12.33203125" style="8" bestFit="1" customWidth="1"/>
    <col min="4" max="4" width="13.5" style="8" customWidth="1"/>
    <col min="5" max="5" width="5.83203125" style="8" customWidth="1"/>
    <col min="6" max="6" width="7.5" style="8" customWidth="1"/>
    <col min="7" max="7" width="8.5" style="8" customWidth="1"/>
    <col min="8" max="8" width="13.33203125" style="8" customWidth="1"/>
    <col min="9" max="9" width="9.83203125" style="8" customWidth="1"/>
    <col min="10" max="10" width="9.6640625" style="8" customWidth="1"/>
    <col min="11" max="16384" width="33.5" style="8"/>
  </cols>
  <sheetData>
    <row r="1" spans="1:10">
      <c r="A1" s="10" t="s">
        <v>0</v>
      </c>
      <c r="B1" s="10" t="s">
        <v>1</v>
      </c>
      <c r="C1" s="10" t="s">
        <v>5</v>
      </c>
      <c r="D1" s="10" t="s">
        <v>2</v>
      </c>
      <c r="E1" s="10" t="s">
        <v>3</v>
      </c>
      <c r="F1" s="10" t="s">
        <v>4</v>
      </c>
      <c r="G1" s="10" t="s">
        <v>16</v>
      </c>
      <c r="H1" s="3" t="s">
        <v>567</v>
      </c>
      <c r="I1" s="3" t="s">
        <v>578</v>
      </c>
      <c r="J1" s="3" t="s">
        <v>569</v>
      </c>
    </row>
    <row r="2" spans="1:10" ht="45">
      <c r="A2" s="8" t="s">
        <v>131</v>
      </c>
      <c r="B2" s="7" t="s">
        <v>132</v>
      </c>
      <c r="C2" s="37" t="s">
        <v>18</v>
      </c>
      <c r="D2" s="37" t="s">
        <v>8</v>
      </c>
      <c r="E2" s="10">
        <v>1</v>
      </c>
      <c r="F2" s="10">
        <v>0</v>
      </c>
      <c r="G2" s="10">
        <v>0</v>
      </c>
      <c r="H2" s="8">
        <v>0</v>
      </c>
      <c r="I2" s="8">
        <v>1</v>
      </c>
      <c r="J2" s="8">
        <v>0</v>
      </c>
    </row>
    <row r="3" spans="1:10" ht="45">
      <c r="A3" s="8" t="s">
        <v>129</v>
      </c>
      <c r="B3" s="7" t="s">
        <v>133</v>
      </c>
      <c r="C3" s="8" t="s">
        <v>18</v>
      </c>
      <c r="D3" s="8" t="s">
        <v>8</v>
      </c>
      <c r="E3" s="8">
        <v>1</v>
      </c>
      <c r="F3" s="8">
        <v>0</v>
      </c>
      <c r="G3" s="8">
        <v>0</v>
      </c>
      <c r="H3" s="8">
        <v>0</v>
      </c>
      <c r="I3" s="8">
        <v>1</v>
      </c>
      <c r="J3" s="8">
        <v>0</v>
      </c>
    </row>
    <row r="4" spans="1:10" ht="30">
      <c r="A4" s="8" t="s">
        <v>129</v>
      </c>
      <c r="B4" s="7" t="s">
        <v>98</v>
      </c>
      <c r="C4" s="8" t="s">
        <v>6</v>
      </c>
      <c r="D4" s="8" t="s">
        <v>8</v>
      </c>
      <c r="E4" s="8">
        <v>3</v>
      </c>
      <c r="F4" s="8">
        <v>0</v>
      </c>
      <c r="G4" s="8">
        <v>0</v>
      </c>
      <c r="H4" s="8">
        <v>0</v>
      </c>
      <c r="I4" s="8">
        <v>0</v>
      </c>
      <c r="J4" s="8">
        <v>0</v>
      </c>
    </row>
    <row r="5" spans="1:10" ht="177.75" customHeight="1">
      <c r="A5" s="8" t="s">
        <v>129</v>
      </c>
      <c r="B5" s="7" t="s">
        <v>99</v>
      </c>
      <c r="C5" s="8" t="s">
        <v>7</v>
      </c>
      <c r="D5" s="8" t="s">
        <v>75</v>
      </c>
      <c r="E5" s="8">
        <v>1</v>
      </c>
      <c r="F5" s="8">
        <v>0</v>
      </c>
      <c r="G5" s="8">
        <v>0</v>
      </c>
      <c r="H5" s="8">
        <v>0</v>
      </c>
      <c r="I5" s="8">
        <v>0</v>
      </c>
      <c r="J5" s="8">
        <v>0</v>
      </c>
    </row>
    <row r="6" spans="1:10" ht="165">
      <c r="A6" s="8" t="s">
        <v>129</v>
      </c>
      <c r="B6" s="7" t="s">
        <v>130</v>
      </c>
      <c r="C6" s="8" t="s">
        <v>6</v>
      </c>
      <c r="D6" s="8" t="s">
        <v>8</v>
      </c>
      <c r="E6" s="8">
        <v>4</v>
      </c>
      <c r="F6" s="8">
        <v>0</v>
      </c>
      <c r="G6" s="8">
        <v>0</v>
      </c>
      <c r="H6" s="8">
        <v>0</v>
      </c>
      <c r="I6" s="8">
        <v>0</v>
      </c>
      <c r="J6" s="8">
        <v>1</v>
      </c>
    </row>
    <row r="7" spans="1:10" ht="75">
      <c r="A7" s="8" t="s">
        <v>129</v>
      </c>
      <c r="B7" s="7" t="s">
        <v>100</v>
      </c>
      <c r="C7" s="8" t="s">
        <v>7</v>
      </c>
      <c r="D7" s="8" t="s">
        <v>75</v>
      </c>
      <c r="E7" s="8">
        <v>1</v>
      </c>
      <c r="F7" s="8">
        <v>0</v>
      </c>
      <c r="G7" s="8">
        <v>0</v>
      </c>
      <c r="H7" s="8">
        <v>0</v>
      </c>
      <c r="I7" s="8">
        <v>0</v>
      </c>
      <c r="J7" s="8">
        <v>0</v>
      </c>
    </row>
    <row r="8" spans="1:10" ht="60">
      <c r="A8" s="8" t="s">
        <v>129</v>
      </c>
      <c r="B8" s="7" t="s">
        <v>101</v>
      </c>
      <c r="C8" s="8" t="s">
        <v>6</v>
      </c>
      <c r="D8" s="8" t="s">
        <v>8</v>
      </c>
      <c r="E8" s="8">
        <v>1</v>
      </c>
      <c r="F8" s="8">
        <v>0</v>
      </c>
      <c r="G8" s="8">
        <v>0</v>
      </c>
      <c r="H8" s="8">
        <v>0</v>
      </c>
      <c r="I8" s="8">
        <v>0</v>
      </c>
      <c r="J8" s="8">
        <v>1</v>
      </c>
    </row>
    <row r="9" spans="1:10" ht="45">
      <c r="A9" s="8" t="s">
        <v>129</v>
      </c>
      <c r="B9" s="7" t="s">
        <v>102</v>
      </c>
      <c r="C9" s="8" t="s">
        <v>7</v>
      </c>
      <c r="D9" s="8" t="s">
        <v>54</v>
      </c>
      <c r="E9" s="8">
        <v>6</v>
      </c>
      <c r="F9" s="8">
        <v>0</v>
      </c>
      <c r="G9" s="8">
        <v>0</v>
      </c>
      <c r="H9" s="8">
        <v>0</v>
      </c>
      <c r="I9" s="8">
        <v>0</v>
      </c>
      <c r="J9" s="8">
        <v>0</v>
      </c>
    </row>
    <row r="10" spans="1:10" ht="90">
      <c r="A10" s="8" t="s">
        <v>129</v>
      </c>
      <c r="B10" s="7" t="s">
        <v>103</v>
      </c>
      <c r="C10" s="8" t="s">
        <v>6</v>
      </c>
      <c r="D10" s="8" t="s">
        <v>8</v>
      </c>
      <c r="E10" s="8">
        <v>2</v>
      </c>
      <c r="F10" s="8">
        <v>0</v>
      </c>
      <c r="G10" s="8">
        <v>0</v>
      </c>
      <c r="H10" s="8">
        <v>0</v>
      </c>
      <c r="I10" s="8">
        <v>0</v>
      </c>
      <c r="J10" s="8">
        <v>0</v>
      </c>
    </row>
    <row r="11" spans="1:10" ht="45">
      <c r="A11" s="8" t="s">
        <v>129</v>
      </c>
      <c r="B11" s="7" t="s">
        <v>104</v>
      </c>
      <c r="C11" s="8" t="s">
        <v>6</v>
      </c>
      <c r="D11" s="8" t="s">
        <v>8</v>
      </c>
      <c r="E11" s="8">
        <v>1</v>
      </c>
      <c r="F11" s="8">
        <v>0</v>
      </c>
      <c r="G11" s="8">
        <v>0</v>
      </c>
      <c r="H11" s="8">
        <v>0</v>
      </c>
      <c r="I11" s="8">
        <v>0</v>
      </c>
      <c r="J11" s="8">
        <v>1</v>
      </c>
    </row>
    <row r="12" spans="1:10" ht="30">
      <c r="A12" s="8" t="s">
        <v>129</v>
      </c>
      <c r="B12" s="7" t="s">
        <v>105</v>
      </c>
      <c r="C12" s="8" t="s">
        <v>6</v>
      </c>
      <c r="D12" s="8" t="s">
        <v>8</v>
      </c>
      <c r="E12" s="8">
        <v>1</v>
      </c>
      <c r="F12" s="8">
        <v>0</v>
      </c>
      <c r="G12" s="8">
        <v>0</v>
      </c>
      <c r="H12" s="8">
        <v>0</v>
      </c>
      <c r="I12" s="8">
        <v>0</v>
      </c>
      <c r="J12" s="8">
        <v>0</v>
      </c>
    </row>
    <row r="13" spans="1:10" ht="60">
      <c r="A13" s="8" t="s">
        <v>129</v>
      </c>
      <c r="B13" s="7" t="s">
        <v>106</v>
      </c>
      <c r="C13" s="8" t="s">
        <v>6</v>
      </c>
      <c r="D13" s="8" t="s">
        <v>8</v>
      </c>
      <c r="E13" s="8">
        <v>1</v>
      </c>
      <c r="F13" s="8">
        <v>0</v>
      </c>
      <c r="G13" s="8">
        <v>0</v>
      </c>
      <c r="H13" s="8">
        <v>0</v>
      </c>
      <c r="I13" s="8">
        <v>0</v>
      </c>
      <c r="J13" s="8">
        <v>0</v>
      </c>
    </row>
    <row r="14" spans="1:10" ht="180">
      <c r="A14" s="8" t="s">
        <v>129</v>
      </c>
      <c r="B14" s="7" t="s">
        <v>107</v>
      </c>
      <c r="C14" s="8" t="s">
        <v>7</v>
      </c>
      <c r="D14" s="8" t="s">
        <v>8</v>
      </c>
      <c r="E14" s="8">
        <v>3</v>
      </c>
      <c r="F14" s="8">
        <v>1</v>
      </c>
      <c r="G14" s="8">
        <v>0</v>
      </c>
      <c r="H14" s="8">
        <v>1</v>
      </c>
      <c r="I14" s="8">
        <v>1</v>
      </c>
      <c r="J14" s="8">
        <v>0</v>
      </c>
    </row>
    <row r="15" spans="1:10" ht="75">
      <c r="A15" s="8" t="s">
        <v>129</v>
      </c>
      <c r="B15" s="7" t="s">
        <v>108</v>
      </c>
      <c r="C15" s="8" t="s">
        <v>6</v>
      </c>
      <c r="D15" s="8" t="s">
        <v>8</v>
      </c>
      <c r="E15" s="8">
        <v>6</v>
      </c>
      <c r="F15" s="8">
        <v>1</v>
      </c>
      <c r="G15" s="8">
        <v>0</v>
      </c>
      <c r="H15" s="8">
        <v>1</v>
      </c>
      <c r="I15" s="8">
        <v>0</v>
      </c>
      <c r="J15" s="8">
        <v>0</v>
      </c>
    </row>
    <row r="16" spans="1:10" ht="30">
      <c r="A16" s="8" t="s">
        <v>129</v>
      </c>
      <c r="B16" s="7" t="s">
        <v>109</v>
      </c>
      <c r="C16" s="8" t="s">
        <v>6</v>
      </c>
      <c r="D16" s="8" t="s">
        <v>8</v>
      </c>
      <c r="E16" s="8">
        <v>2</v>
      </c>
      <c r="F16" s="8">
        <v>0</v>
      </c>
      <c r="G16" s="8">
        <v>0</v>
      </c>
      <c r="H16" s="8">
        <v>0</v>
      </c>
      <c r="I16" s="8">
        <v>0</v>
      </c>
      <c r="J16" s="8">
        <v>0</v>
      </c>
    </row>
    <row r="17" spans="1:10" ht="30">
      <c r="A17" s="8" t="s">
        <v>129</v>
      </c>
      <c r="B17" s="7" t="s">
        <v>110</v>
      </c>
      <c r="C17" s="8" t="s">
        <v>6</v>
      </c>
      <c r="D17" s="8" t="s">
        <v>8</v>
      </c>
      <c r="E17" s="8">
        <v>2</v>
      </c>
      <c r="F17" s="8">
        <v>0</v>
      </c>
      <c r="G17" s="8">
        <v>1</v>
      </c>
      <c r="H17" s="8">
        <v>0</v>
      </c>
      <c r="I17" s="8">
        <v>1</v>
      </c>
      <c r="J17" s="8">
        <v>0</v>
      </c>
    </row>
    <row r="18" spans="1:10" ht="60">
      <c r="A18" s="8" t="s">
        <v>129</v>
      </c>
      <c r="B18" s="7" t="s">
        <v>111</v>
      </c>
      <c r="C18" s="8" t="s">
        <v>6</v>
      </c>
      <c r="D18" s="8" t="s">
        <v>8</v>
      </c>
      <c r="E18" s="8">
        <v>3</v>
      </c>
      <c r="F18" s="8">
        <v>1</v>
      </c>
      <c r="G18" s="8">
        <v>1</v>
      </c>
      <c r="H18" s="8">
        <v>0</v>
      </c>
      <c r="I18" s="8">
        <v>1</v>
      </c>
      <c r="J18" s="8">
        <v>1</v>
      </c>
    </row>
    <row r="19" spans="1:10" ht="60">
      <c r="A19" s="8" t="s">
        <v>129</v>
      </c>
      <c r="B19" s="7" t="s">
        <v>112</v>
      </c>
      <c r="C19" s="8" t="s">
        <v>6</v>
      </c>
      <c r="D19" s="8" t="s">
        <v>8</v>
      </c>
      <c r="E19" s="8">
        <v>3</v>
      </c>
      <c r="F19" s="8">
        <v>1</v>
      </c>
      <c r="G19" s="8">
        <v>1</v>
      </c>
      <c r="H19" s="8">
        <v>0</v>
      </c>
      <c r="I19" s="8">
        <v>1</v>
      </c>
      <c r="J19" s="8">
        <v>1</v>
      </c>
    </row>
    <row r="20" spans="1:10" ht="90">
      <c r="A20" s="8" t="s">
        <v>129</v>
      </c>
      <c r="B20" s="7" t="s">
        <v>113</v>
      </c>
      <c r="C20" s="8" t="s">
        <v>6</v>
      </c>
      <c r="D20" s="8" t="s">
        <v>8</v>
      </c>
      <c r="E20" s="8">
        <v>3</v>
      </c>
      <c r="F20" s="8">
        <v>0</v>
      </c>
      <c r="G20" s="8">
        <v>0</v>
      </c>
      <c r="H20" s="8">
        <v>0</v>
      </c>
      <c r="I20" s="8">
        <v>1</v>
      </c>
      <c r="J20" s="8">
        <v>1</v>
      </c>
    </row>
    <row r="21" spans="1:10" ht="60">
      <c r="A21" s="8" t="s">
        <v>129</v>
      </c>
      <c r="B21" s="7" t="s">
        <v>114</v>
      </c>
      <c r="C21" s="8" t="s">
        <v>6</v>
      </c>
      <c r="D21" s="8" t="s">
        <v>8</v>
      </c>
      <c r="E21" s="8">
        <v>3</v>
      </c>
      <c r="F21" s="8">
        <v>0</v>
      </c>
      <c r="G21" s="8">
        <v>0</v>
      </c>
      <c r="H21" s="8">
        <v>0</v>
      </c>
      <c r="I21" s="8">
        <v>1</v>
      </c>
      <c r="J21" s="8">
        <v>1</v>
      </c>
    </row>
    <row r="22" spans="1:10" ht="60">
      <c r="A22" s="8" t="s">
        <v>129</v>
      </c>
      <c r="B22" s="7" t="s">
        <v>115</v>
      </c>
      <c r="C22" s="8" t="s">
        <v>6</v>
      </c>
      <c r="D22" s="8" t="s">
        <v>8</v>
      </c>
      <c r="E22" s="8">
        <v>3</v>
      </c>
      <c r="F22" s="8">
        <v>0</v>
      </c>
      <c r="G22" s="8">
        <v>0</v>
      </c>
      <c r="H22" s="8">
        <v>0</v>
      </c>
      <c r="I22" s="8">
        <v>1</v>
      </c>
      <c r="J22" s="8">
        <v>1</v>
      </c>
    </row>
    <row r="23" spans="1:10" ht="60">
      <c r="A23" s="8" t="s">
        <v>129</v>
      </c>
      <c r="B23" s="7" t="s">
        <v>116</v>
      </c>
      <c r="C23" s="8" t="s">
        <v>6</v>
      </c>
      <c r="D23" s="8" t="s">
        <v>8</v>
      </c>
      <c r="E23" s="8">
        <v>3</v>
      </c>
      <c r="F23" s="8">
        <v>0</v>
      </c>
      <c r="G23" s="8">
        <v>0</v>
      </c>
      <c r="H23" s="8">
        <v>0</v>
      </c>
      <c r="I23" s="8">
        <v>1</v>
      </c>
      <c r="J23" s="8">
        <v>1</v>
      </c>
    </row>
    <row r="24" spans="1:10" ht="90">
      <c r="A24" s="8" t="s">
        <v>129</v>
      </c>
      <c r="B24" s="7" t="s">
        <v>117</v>
      </c>
      <c r="C24" s="8" t="s">
        <v>6</v>
      </c>
      <c r="D24" s="8" t="s">
        <v>8</v>
      </c>
      <c r="E24" s="8">
        <v>3</v>
      </c>
      <c r="F24" s="8">
        <v>0</v>
      </c>
      <c r="G24" s="8">
        <v>0</v>
      </c>
      <c r="H24" s="8">
        <v>0</v>
      </c>
      <c r="I24" s="8">
        <v>1</v>
      </c>
      <c r="J24" s="8">
        <v>0</v>
      </c>
    </row>
    <row r="25" spans="1:10" ht="75">
      <c r="A25" s="8" t="s">
        <v>129</v>
      </c>
      <c r="B25" s="7" t="s">
        <v>118</v>
      </c>
      <c r="C25" s="8" t="s">
        <v>18</v>
      </c>
      <c r="D25" s="8" t="s">
        <v>8</v>
      </c>
      <c r="E25" s="8">
        <v>6</v>
      </c>
      <c r="F25" s="8">
        <v>0</v>
      </c>
      <c r="G25" s="8">
        <v>0</v>
      </c>
      <c r="H25" s="8">
        <v>0</v>
      </c>
      <c r="I25" s="8">
        <v>1</v>
      </c>
      <c r="J25" s="8">
        <v>0</v>
      </c>
    </row>
    <row r="26" spans="1:10" ht="75">
      <c r="A26" s="8" t="s">
        <v>129</v>
      </c>
      <c r="B26" s="7" t="s">
        <v>119</v>
      </c>
      <c r="C26" s="8" t="s">
        <v>6</v>
      </c>
      <c r="D26" s="8" t="s">
        <v>8</v>
      </c>
      <c r="E26" s="8">
        <v>3</v>
      </c>
      <c r="F26" s="8">
        <v>0</v>
      </c>
      <c r="G26" s="8">
        <v>0</v>
      </c>
      <c r="H26" s="8">
        <v>0</v>
      </c>
      <c r="I26" s="8">
        <v>1</v>
      </c>
      <c r="J26" s="8">
        <v>0</v>
      </c>
    </row>
    <row r="27" spans="1:10" ht="75">
      <c r="A27" s="8" t="s">
        <v>129</v>
      </c>
      <c r="B27" s="7" t="s">
        <v>120</v>
      </c>
      <c r="C27" s="8" t="s">
        <v>6</v>
      </c>
      <c r="D27" s="8" t="s">
        <v>8</v>
      </c>
      <c r="E27" s="8">
        <v>3</v>
      </c>
      <c r="F27" s="8">
        <v>0</v>
      </c>
      <c r="G27" s="8">
        <v>0</v>
      </c>
      <c r="H27" s="8">
        <v>0</v>
      </c>
      <c r="I27" s="8">
        <v>1</v>
      </c>
      <c r="J27" s="8">
        <v>0</v>
      </c>
    </row>
    <row r="28" spans="1:10" ht="75">
      <c r="A28" s="8" t="s">
        <v>129</v>
      </c>
      <c r="B28" s="7" t="s">
        <v>121</v>
      </c>
      <c r="C28" s="8" t="s">
        <v>6</v>
      </c>
      <c r="D28" s="8" t="s">
        <v>8</v>
      </c>
      <c r="E28" s="8">
        <v>6</v>
      </c>
      <c r="F28" s="8">
        <v>0</v>
      </c>
      <c r="G28" s="8">
        <v>0</v>
      </c>
      <c r="H28" s="8">
        <v>0</v>
      </c>
      <c r="I28" s="8">
        <v>1</v>
      </c>
      <c r="J28" s="8">
        <v>0</v>
      </c>
    </row>
    <row r="29" spans="1:10" ht="75">
      <c r="A29" s="8" t="s">
        <v>129</v>
      </c>
      <c r="B29" s="7" t="s">
        <v>122</v>
      </c>
      <c r="C29" s="8" t="s">
        <v>6</v>
      </c>
      <c r="D29" s="8" t="s">
        <v>8</v>
      </c>
      <c r="E29" s="8">
        <v>3</v>
      </c>
      <c r="F29" s="8">
        <v>1</v>
      </c>
      <c r="G29" s="8">
        <v>0</v>
      </c>
      <c r="H29" s="8">
        <v>0</v>
      </c>
      <c r="I29" s="8">
        <v>1</v>
      </c>
      <c r="J29" s="8">
        <v>0</v>
      </c>
    </row>
    <row r="30" spans="1:10" ht="180">
      <c r="A30" s="8" t="s">
        <v>129</v>
      </c>
      <c r="B30" s="7" t="s">
        <v>123</v>
      </c>
      <c r="C30" s="8" t="s">
        <v>6</v>
      </c>
      <c r="D30" s="8" t="s">
        <v>8</v>
      </c>
      <c r="E30" s="8">
        <v>3</v>
      </c>
      <c r="F30" s="8">
        <v>1</v>
      </c>
      <c r="G30" s="8">
        <v>0</v>
      </c>
      <c r="H30" s="8">
        <v>2</v>
      </c>
      <c r="I30" s="8">
        <v>1</v>
      </c>
      <c r="J30" s="8">
        <v>0</v>
      </c>
    </row>
    <row r="31" spans="1:10" ht="180">
      <c r="A31" s="8" t="s">
        <v>129</v>
      </c>
      <c r="B31" s="7" t="s">
        <v>124</v>
      </c>
      <c r="C31" s="8" t="s">
        <v>6</v>
      </c>
      <c r="D31" s="8" t="s">
        <v>8</v>
      </c>
      <c r="E31" s="8">
        <v>3</v>
      </c>
      <c r="F31" s="8">
        <v>1</v>
      </c>
      <c r="G31" s="8">
        <v>0</v>
      </c>
      <c r="H31" s="8">
        <v>2</v>
      </c>
      <c r="I31" s="8">
        <v>1</v>
      </c>
      <c r="J31" s="8">
        <v>0</v>
      </c>
    </row>
    <row r="32" spans="1:10" ht="180">
      <c r="A32" s="8" t="s">
        <v>129</v>
      </c>
      <c r="B32" s="7" t="s">
        <v>125</v>
      </c>
      <c r="C32" s="8" t="s">
        <v>6</v>
      </c>
      <c r="D32" s="8" t="s">
        <v>8</v>
      </c>
      <c r="E32" s="8">
        <v>3</v>
      </c>
      <c r="F32" s="8">
        <v>1</v>
      </c>
      <c r="G32" s="8">
        <v>0</v>
      </c>
      <c r="H32" s="8">
        <v>2</v>
      </c>
      <c r="I32" s="8">
        <v>0</v>
      </c>
      <c r="J32" s="8">
        <v>0</v>
      </c>
    </row>
    <row r="33" spans="1:10" ht="60">
      <c r="A33" s="8" t="s">
        <v>129</v>
      </c>
      <c r="B33" s="7" t="s">
        <v>126</v>
      </c>
      <c r="C33" s="8" t="s">
        <v>18</v>
      </c>
      <c r="D33" s="8" t="s">
        <v>8</v>
      </c>
      <c r="E33" s="8">
        <v>2</v>
      </c>
      <c r="F33" s="8">
        <v>1</v>
      </c>
      <c r="G33" s="8">
        <v>0</v>
      </c>
      <c r="H33" s="8">
        <v>0</v>
      </c>
      <c r="I33" s="8">
        <v>0</v>
      </c>
      <c r="J33" s="8">
        <v>0</v>
      </c>
    </row>
    <row r="34" spans="1:10" ht="210">
      <c r="A34" s="8" t="s">
        <v>129</v>
      </c>
      <c r="B34" s="7" t="s">
        <v>127</v>
      </c>
      <c r="C34" s="8" t="s">
        <v>6</v>
      </c>
      <c r="D34" s="8" t="s">
        <v>8</v>
      </c>
      <c r="E34" s="8">
        <v>2</v>
      </c>
      <c r="F34" s="8">
        <v>1</v>
      </c>
      <c r="G34" s="8">
        <v>0</v>
      </c>
      <c r="H34" s="8">
        <v>0</v>
      </c>
      <c r="I34" s="8">
        <v>0</v>
      </c>
      <c r="J34" s="8">
        <v>0</v>
      </c>
    </row>
    <row r="35" spans="1:10" ht="210">
      <c r="A35" s="8" t="s">
        <v>129</v>
      </c>
      <c r="B35" s="7" t="s">
        <v>128</v>
      </c>
      <c r="C35" s="8" t="s">
        <v>6</v>
      </c>
      <c r="D35" s="8" t="s">
        <v>8</v>
      </c>
      <c r="E35" s="8">
        <v>2</v>
      </c>
      <c r="F35" s="8">
        <v>0</v>
      </c>
      <c r="G35" s="8">
        <v>0</v>
      </c>
      <c r="H35" s="8">
        <v>0</v>
      </c>
      <c r="I35" s="8">
        <v>0</v>
      </c>
      <c r="J35" s="8">
        <v>0</v>
      </c>
    </row>
    <row r="36" spans="1:10" ht="15">
      <c r="B36" s="7"/>
    </row>
    <row r="37" spans="1:10" ht="15">
      <c r="B37" s="7"/>
    </row>
    <row r="38" spans="1:10" ht="15">
      <c r="B38" s="7"/>
    </row>
    <row r="39" spans="1:10" ht="15">
      <c r="B39" s="7"/>
    </row>
    <row r="40" spans="1:10" ht="15">
      <c r="B40" s="7"/>
    </row>
    <row r="41" spans="1:10" ht="15">
      <c r="B41" s="7"/>
    </row>
    <row r="42" spans="1:10" ht="15">
      <c r="B42" s="7"/>
    </row>
    <row r="43" spans="1:10" ht="15">
      <c r="B43" s="6"/>
    </row>
  </sheetData>
  <autoFilter ref="A1:J35"/>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7"/>
  <sheetViews>
    <sheetView workbookViewId="0">
      <pane ySplit="1" topLeftCell="A2" activePane="bottomLeft" state="frozen"/>
      <selection pane="bottomLeft" activeCell="H15" sqref="H15"/>
    </sheetView>
  </sheetViews>
  <sheetFormatPr baseColWidth="10" defaultRowHeight="14" x14ac:dyDescent="0"/>
  <cols>
    <col min="1" max="1" width="13.83203125" style="8" bestFit="1" customWidth="1"/>
    <col min="2" max="2" width="31.5" style="8" customWidth="1"/>
    <col min="3" max="5" width="10.83203125" style="8"/>
    <col min="6" max="6" width="15" style="8" bestFit="1" customWidth="1"/>
    <col min="7"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45" hidden="1">
      <c r="A2" s="6" t="s">
        <v>144</v>
      </c>
      <c r="B2" s="7" t="s">
        <v>145</v>
      </c>
      <c r="C2" s="8" t="s">
        <v>6</v>
      </c>
      <c r="D2" s="8" t="s">
        <v>8</v>
      </c>
      <c r="E2" s="8">
        <v>1</v>
      </c>
      <c r="F2" s="8">
        <v>1</v>
      </c>
      <c r="G2" s="8">
        <v>0</v>
      </c>
      <c r="H2" s="8">
        <v>1</v>
      </c>
      <c r="I2" s="8">
        <v>1</v>
      </c>
      <c r="J2" s="8">
        <v>0</v>
      </c>
    </row>
    <row r="3" spans="1:10" ht="45" hidden="1">
      <c r="A3" s="6" t="s">
        <v>144</v>
      </c>
      <c r="B3" s="7" t="s">
        <v>134</v>
      </c>
      <c r="C3" s="8" t="s">
        <v>18</v>
      </c>
      <c r="D3" s="8" t="s">
        <v>8</v>
      </c>
      <c r="E3" s="8">
        <v>1</v>
      </c>
      <c r="F3" s="8">
        <v>1</v>
      </c>
      <c r="G3" s="8">
        <v>0</v>
      </c>
      <c r="H3" s="8">
        <v>1</v>
      </c>
      <c r="I3" s="8">
        <v>0</v>
      </c>
      <c r="J3" s="8">
        <v>0</v>
      </c>
    </row>
    <row r="4" spans="1:10" ht="120" hidden="1">
      <c r="A4" s="6" t="s">
        <v>144</v>
      </c>
      <c r="B4" s="7" t="s">
        <v>135</v>
      </c>
      <c r="C4" s="8" t="s">
        <v>7</v>
      </c>
      <c r="D4" s="8" t="s">
        <v>8</v>
      </c>
      <c r="E4" s="8">
        <v>3</v>
      </c>
      <c r="F4" s="8">
        <v>0</v>
      </c>
      <c r="G4" s="8">
        <v>0</v>
      </c>
      <c r="H4" s="8">
        <v>0</v>
      </c>
      <c r="I4" s="8">
        <v>0</v>
      </c>
      <c r="J4" s="8">
        <v>0</v>
      </c>
    </row>
    <row r="5" spans="1:10" ht="210">
      <c r="A5" s="6" t="s">
        <v>144</v>
      </c>
      <c r="B5" s="7" t="s">
        <v>136</v>
      </c>
      <c r="C5" s="8" t="s">
        <v>18</v>
      </c>
      <c r="D5" s="8" t="s">
        <v>8</v>
      </c>
      <c r="E5" s="8">
        <v>3</v>
      </c>
      <c r="F5" s="8">
        <v>1</v>
      </c>
      <c r="G5" s="8">
        <v>0</v>
      </c>
      <c r="H5" s="8">
        <v>2</v>
      </c>
      <c r="I5" s="8">
        <v>1</v>
      </c>
      <c r="J5" s="8">
        <v>0</v>
      </c>
    </row>
    <row r="6" spans="1:10" ht="105" hidden="1">
      <c r="A6" s="6" t="s">
        <v>144</v>
      </c>
      <c r="B6" s="7" t="s">
        <v>137</v>
      </c>
      <c r="C6" s="8" t="s">
        <v>7</v>
      </c>
      <c r="D6" s="8" t="s">
        <v>62</v>
      </c>
      <c r="E6" s="8">
        <v>3</v>
      </c>
      <c r="F6" s="8">
        <v>0</v>
      </c>
      <c r="G6" s="8">
        <v>0</v>
      </c>
      <c r="H6" s="8">
        <v>0</v>
      </c>
      <c r="I6" s="8">
        <v>0</v>
      </c>
      <c r="J6" s="8">
        <v>0</v>
      </c>
    </row>
    <row r="7" spans="1:10" ht="240" hidden="1">
      <c r="A7" s="6" t="s">
        <v>144</v>
      </c>
      <c r="B7" s="7" t="s">
        <v>138</v>
      </c>
      <c r="C7" s="8" t="s">
        <v>7</v>
      </c>
      <c r="D7" s="8" t="s">
        <v>8</v>
      </c>
      <c r="E7" s="8">
        <v>3</v>
      </c>
      <c r="F7" s="8">
        <v>0</v>
      </c>
      <c r="G7" s="8">
        <v>0</v>
      </c>
      <c r="H7" s="8">
        <v>0</v>
      </c>
      <c r="I7" s="8">
        <v>0</v>
      </c>
      <c r="J7" s="8">
        <v>0</v>
      </c>
    </row>
    <row r="8" spans="1:10" ht="210" hidden="1">
      <c r="A8" s="6" t="s">
        <v>144</v>
      </c>
      <c r="B8" s="7" t="s">
        <v>139</v>
      </c>
      <c r="C8" s="8" t="s">
        <v>7</v>
      </c>
      <c r="D8" s="8" t="s">
        <v>62</v>
      </c>
      <c r="E8" s="8">
        <v>3</v>
      </c>
      <c r="F8" s="8">
        <v>0</v>
      </c>
      <c r="G8" s="8">
        <v>0</v>
      </c>
      <c r="H8" s="8">
        <v>0</v>
      </c>
      <c r="I8" s="8">
        <v>0</v>
      </c>
      <c r="J8" s="8">
        <v>0</v>
      </c>
    </row>
    <row r="9" spans="1:10" ht="120" hidden="1">
      <c r="A9" s="6" t="s">
        <v>144</v>
      </c>
      <c r="B9" s="7" t="s">
        <v>140</v>
      </c>
      <c r="C9" s="8" t="s">
        <v>6</v>
      </c>
      <c r="D9" s="8" t="s">
        <v>8</v>
      </c>
      <c r="E9" s="8">
        <v>3</v>
      </c>
      <c r="F9" s="8">
        <v>0</v>
      </c>
      <c r="G9" s="8">
        <v>0</v>
      </c>
      <c r="H9" s="8">
        <v>0</v>
      </c>
      <c r="I9" s="8">
        <v>0</v>
      </c>
      <c r="J9" s="8">
        <v>0</v>
      </c>
    </row>
    <row r="10" spans="1:10" ht="120" hidden="1">
      <c r="A10" s="6" t="s">
        <v>144</v>
      </c>
      <c r="B10" s="7" t="s">
        <v>141</v>
      </c>
      <c r="C10" s="8" t="s">
        <v>18</v>
      </c>
      <c r="D10" s="8" t="s">
        <v>8</v>
      </c>
      <c r="E10" s="8">
        <v>3</v>
      </c>
      <c r="F10" s="8">
        <v>0</v>
      </c>
      <c r="G10" s="8">
        <v>0</v>
      </c>
      <c r="H10" s="8">
        <v>0</v>
      </c>
      <c r="I10" s="8">
        <v>0</v>
      </c>
      <c r="J10" s="8">
        <v>0</v>
      </c>
    </row>
    <row r="11" spans="1:10" ht="120" hidden="1">
      <c r="A11" s="6" t="s">
        <v>144</v>
      </c>
      <c r="B11" s="7" t="s">
        <v>142</v>
      </c>
      <c r="C11" s="8" t="s">
        <v>18</v>
      </c>
      <c r="D11" s="8" t="s">
        <v>8</v>
      </c>
      <c r="E11" s="8">
        <v>3</v>
      </c>
      <c r="F11" s="8">
        <v>0</v>
      </c>
      <c r="G11" s="8">
        <v>0</v>
      </c>
      <c r="H11" s="8">
        <v>0</v>
      </c>
      <c r="I11" s="8">
        <v>0</v>
      </c>
      <c r="J11" s="8">
        <v>0</v>
      </c>
    </row>
    <row r="12" spans="1:10" ht="45">
      <c r="A12" s="6" t="s">
        <v>144</v>
      </c>
      <c r="B12" s="7" t="s">
        <v>143</v>
      </c>
      <c r="C12" s="8" t="s">
        <v>6</v>
      </c>
      <c r="D12" s="8" t="s">
        <v>8</v>
      </c>
      <c r="E12" s="8">
        <v>1</v>
      </c>
      <c r="F12" s="8">
        <v>1</v>
      </c>
      <c r="G12" s="8">
        <v>0</v>
      </c>
      <c r="H12" s="8">
        <v>2</v>
      </c>
      <c r="I12" s="8">
        <v>0</v>
      </c>
      <c r="J12" s="8">
        <v>0</v>
      </c>
    </row>
    <row r="13" spans="1:10" ht="15">
      <c r="B13" s="7"/>
    </row>
    <row r="14" spans="1:10" ht="15">
      <c r="B14" s="7"/>
    </row>
    <row r="15" spans="1:10" ht="15">
      <c r="B15" s="7"/>
    </row>
    <row r="16" spans="1:10" ht="15">
      <c r="B16" s="7"/>
    </row>
    <row r="17" spans="2:2" ht="15">
      <c r="B17" s="6"/>
    </row>
  </sheetData>
  <autoFilter ref="A1:J12">
    <filterColumn colId="5">
      <filters>
        <filter val="1"/>
      </filters>
    </filterColumn>
    <filterColumn colId="7">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28"/>
  <sheetViews>
    <sheetView workbookViewId="0">
      <pane ySplit="1" topLeftCell="A2" activePane="bottomLeft" state="frozen"/>
      <selection pane="bottomLeft" activeCell="H22" sqref="H22"/>
    </sheetView>
  </sheetViews>
  <sheetFormatPr baseColWidth="10" defaultRowHeight="14" x14ac:dyDescent="0"/>
  <cols>
    <col min="1" max="1" width="10.83203125" style="8"/>
    <col min="2" max="2" width="82.1640625" style="8" customWidth="1"/>
    <col min="3" max="4" width="10.83203125" style="8"/>
    <col min="5" max="5" width="5.83203125" style="8" customWidth="1"/>
    <col min="6" max="7" width="7" style="8" customWidth="1"/>
    <col min="8"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90" hidden="1">
      <c r="A2" s="6" t="s">
        <v>146</v>
      </c>
      <c r="B2" s="7" t="s">
        <v>147</v>
      </c>
      <c r="C2" s="8" t="s">
        <v>18</v>
      </c>
      <c r="D2" s="8" t="s">
        <v>8</v>
      </c>
      <c r="E2" s="8">
        <v>1</v>
      </c>
      <c r="F2" s="8">
        <v>1</v>
      </c>
      <c r="G2" s="8">
        <v>0</v>
      </c>
      <c r="H2" s="8">
        <v>1</v>
      </c>
      <c r="I2" s="8">
        <v>0</v>
      </c>
      <c r="J2" s="8">
        <v>0</v>
      </c>
    </row>
    <row r="3" spans="1:10" ht="60" hidden="1">
      <c r="A3" s="6" t="s">
        <v>146</v>
      </c>
      <c r="B3" s="7" t="s">
        <v>148</v>
      </c>
      <c r="C3" s="8" t="s">
        <v>6</v>
      </c>
      <c r="D3" s="8" t="s">
        <v>20</v>
      </c>
      <c r="E3" s="8">
        <v>4</v>
      </c>
      <c r="F3" s="8">
        <v>0</v>
      </c>
      <c r="G3" s="8">
        <v>0</v>
      </c>
      <c r="H3" s="8">
        <v>0</v>
      </c>
      <c r="I3" s="8">
        <v>0</v>
      </c>
      <c r="J3" s="8">
        <v>0</v>
      </c>
    </row>
    <row r="4" spans="1:10" ht="30" hidden="1">
      <c r="A4" s="6" t="s">
        <v>146</v>
      </c>
      <c r="B4" s="7" t="s">
        <v>149</v>
      </c>
      <c r="C4" s="8" t="s">
        <v>6</v>
      </c>
      <c r="D4" s="8" t="s">
        <v>20</v>
      </c>
      <c r="E4" s="8">
        <v>4</v>
      </c>
      <c r="F4" s="8">
        <v>0</v>
      </c>
      <c r="G4" s="8">
        <v>0</v>
      </c>
      <c r="H4" s="8">
        <v>0</v>
      </c>
      <c r="I4" s="8">
        <v>0</v>
      </c>
      <c r="J4" s="8">
        <v>0</v>
      </c>
    </row>
    <row r="5" spans="1:10" ht="30" hidden="1">
      <c r="A5" s="6" t="s">
        <v>146</v>
      </c>
      <c r="B5" s="7" t="s">
        <v>150</v>
      </c>
      <c r="C5" s="8" t="s">
        <v>6</v>
      </c>
      <c r="D5" s="8" t="s">
        <v>8</v>
      </c>
      <c r="E5" s="8">
        <v>3</v>
      </c>
      <c r="F5" s="8">
        <v>0</v>
      </c>
      <c r="G5" s="8">
        <v>0</v>
      </c>
      <c r="H5" s="8">
        <v>0</v>
      </c>
      <c r="I5" s="8">
        <v>0</v>
      </c>
      <c r="J5" s="8">
        <v>0</v>
      </c>
    </row>
    <row r="6" spans="1:10" ht="30" hidden="1">
      <c r="A6" s="6" t="s">
        <v>146</v>
      </c>
      <c r="B6" s="7" t="s">
        <v>166</v>
      </c>
      <c r="C6" s="8" t="s">
        <v>6</v>
      </c>
      <c r="D6" s="8" t="s">
        <v>8</v>
      </c>
      <c r="E6" s="8">
        <v>3</v>
      </c>
      <c r="F6" s="8">
        <v>0</v>
      </c>
      <c r="G6" s="8">
        <v>0</v>
      </c>
      <c r="H6" s="8">
        <v>0</v>
      </c>
      <c r="I6" s="8">
        <v>0</v>
      </c>
      <c r="J6" s="8">
        <v>0</v>
      </c>
    </row>
    <row r="7" spans="1:10" ht="45">
      <c r="A7" s="6" t="s">
        <v>146</v>
      </c>
      <c r="B7" s="7" t="s">
        <v>151</v>
      </c>
      <c r="C7" s="8" t="s">
        <v>6</v>
      </c>
      <c r="D7" s="8" t="s">
        <v>8</v>
      </c>
      <c r="E7" s="8">
        <v>3</v>
      </c>
      <c r="F7" s="8">
        <v>1</v>
      </c>
      <c r="G7" s="8">
        <v>0</v>
      </c>
      <c r="H7" s="8">
        <v>2</v>
      </c>
      <c r="I7" s="8">
        <v>1</v>
      </c>
      <c r="J7" s="8">
        <v>0</v>
      </c>
    </row>
    <row r="8" spans="1:10" ht="45" hidden="1">
      <c r="A8" s="6" t="s">
        <v>146</v>
      </c>
      <c r="B8" s="7" t="s">
        <v>152</v>
      </c>
      <c r="C8" s="8" t="s">
        <v>6</v>
      </c>
      <c r="D8" s="8" t="s">
        <v>8</v>
      </c>
      <c r="E8" s="8">
        <v>3</v>
      </c>
      <c r="F8" s="8">
        <v>0</v>
      </c>
      <c r="G8" s="8">
        <v>0</v>
      </c>
      <c r="H8" s="8">
        <v>0</v>
      </c>
      <c r="I8" s="8">
        <v>1</v>
      </c>
      <c r="J8" s="8">
        <v>0</v>
      </c>
    </row>
    <row r="9" spans="1:10" ht="30" hidden="1">
      <c r="A9" s="6" t="s">
        <v>146</v>
      </c>
      <c r="B9" s="7" t="s">
        <v>165</v>
      </c>
      <c r="C9" s="8" t="s">
        <v>6</v>
      </c>
      <c r="D9" s="8" t="s">
        <v>8</v>
      </c>
      <c r="E9" s="8">
        <v>3</v>
      </c>
      <c r="F9" s="8">
        <v>0</v>
      </c>
      <c r="G9" s="8">
        <v>0</v>
      </c>
      <c r="H9" s="8">
        <v>0</v>
      </c>
      <c r="I9" s="8">
        <v>0</v>
      </c>
      <c r="J9" s="8">
        <v>0</v>
      </c>
    </row>
    <row r="10" spans="1:10" ht="30">
      <c r="A10" s="6" t="s">
        <v>146</v>
      </c>
      <c r="B10" s="7" t="s">
        <v>153</v>
      </c>
      <c r="C10" s="8" t="s">
        <v>18</v>
      </c>
      <c r="D10" s="8" t="s">
        <v>8</v>
      </c>
      <c r="E10" s="8">
        <v>3</v>
      </c>
      <c r="F10" s="8">
        <v>1</v>
      </c>
      <c r="G10" s="8">
        <v>0</v>
      </c>
      <c r="H10" s="8">
        <v>2</v>
      </c>
      <c r="I10" s="8">
        <v>0</v>
      </c>
      <c r="J10" s="8">
        <v>0</v>
      </c>
    </row>
    <row r="11" spans="1:10" ht="30">
      <c r="A11" s="6" t="s">
        <v>146</v>
      </c>
      <c r="B11" s="7" t="s">
        <v>154</v>
      </c>
      <c r="C11" s="8" t="s">
        <v>6</v>
      </c>
      <c r="D11" s="8" t="s">
        <v>8</v>
      </c>
      <c r="E11" s="8">
        <v>6</v>
      </c>
      <c r="F11" s="8">
        <v>1</v>
      </c>
      <c r="G11" s="8">
        <v>0</v>
      </c>
      <c r="H11" s="8">
        <v>2</v>
      </c>
      <c r="I11" s="8">
        <v>0</v>
      </c>
      <c r="J11" s="8">
        <v>0</v>
      </c>
    </row>
    <row r="12" spans="1:10" ht="30" hidden="1">
      <c r="A12" s="6" t="s">
        <v>146</v>
      </c>
      <c r="B12" s="7" t="s">
        <v>155</v>
      </c>
      <c r="C12" s="8" t="s">
        <v>18</v>
      </c>
      <c r="D12" s="8" t="s">
        <v>8</v>
      </c>
      <c r="E12" s="8">
        <v>6</v>
      </c>
      <c r="F12" s="8">
        <v>0</v>
      </c>
      <c r="G12" s="8">
        <v>0</v>
      </c>
      <c r="H12" s="8">
        <v>0</v>
      </c>
      <c r="I12" s="8">
        <v>0</v>
      </c>
      <c r="J12" s="8">
        <v>0</v>
      </c>
    </row>
    <row r="13" spans="1:10" ht="30">
      <c r="A13" s="6" t="s">
        <v>146</v>
      </c>
      <c r="B13" s="7" t="s">
        <v>156</v>
      </c>
      <c r="C13" s="8" t="s">
        <v>18</v>
      </c>
      <c r="D13" s="8" t="s">
        <v>8</v>
      </c>
      <c r="E13" s="8">
        <v>3</v>
      </c>
      <c r="F13" s="8">
        <v>1</v>
      </c>
      <c r="G13" s="8">
        <v>0</v>
      </c>
      <c r="H13" s="8">
        <v>2</v>
      </c>
      <c r="I13" s="8">
        <v>0</v>
      </c>
      <c r="J13" s="8">
        <v>0</v>
      </c>
    </row>
    <row r="14" spans="1:10" ht="30" hidden="1">
      <c r="A14" s="6" t="s">
        <v>146</v>
      </c>
      <c r="B14" s="7" t="s">
        <v>157</v>
      </c>
      <c r="C14" s="8" t="s">
        <v>6</v>
      </c>
      <c r="D14" s="8" t="s">
        <v>8</v>
      </c>
      <c r="E14" s="8">
        <v>3</v>
      </c>
      <c r="F14" s="8">
        <v>0</v>
      </c>
      <c r="G14" s="8">
        <v>0</v>
      </c>
      <c r="H14" s="8">
        <v>0</v>
      </c>
      <c r="I14" s="8">
        <v>0</v>
      </c>
      <c r="J14" s="8">
        <v>0</v>
      </c>
    </row>
    <row r="15" spans="1:10" ht="30" hidden="1">
      <c r="A15" s="6" t="s">
        <v>146</v>
      </c>
      <c r="B15" s="7" t="s">
        <v>158</v>
      </c>
      <c r="C15" s="8" t="s">
        <v>18</v>
      </c>
      <c r="D15" s="8" t="s">
        <v>8</v>
      </c>
      <c r="E15" s="8">
        <v>3</v>
      </c>
      <c r="F15" s="8">
        <v>1</v>
      </c>
      <c r="G15" s="8">
        <v>0</v>
      </c>
      <c r="H15" s="8">
        <v>1</v>
      </c>
      <c r="I15" s="8">
        <v>0</v>
      </c>
      <c r="J15" s="8">
        <v>0</v>
      </c>
    </row>
    <row r="16" spans="1:10" ht="30" hidden="1">
      <c r="A16" s="6" t="s">
        <v>146</v>
      </c>
      <c r="B16" s="7" t="s">
        <v>159</v>
      </c>
      <c r="C16" s="8" t="s">
        <v>6</v>
      </c>
      <c r="D16" s="8" t="s">
        <v>8</v>
      </c>
      <c r="E16" s="8">
        <v>3</v>
      </c>
      <c r="F16" s="8">
        <v>0</v>
      </c>
      <c r="G16" s="8">
        <v>0</v>
      </c>
      <c r="H16" s="8">
        <v>0</v>
      </c>
      <c r="I16" s="8">
        <v>0</v>
      </c>
      <c r="J16" s="8">
        <v>0</v>
      </c>
    </row>
    <row r="17" spans="1:10" ht="15" hidden="1">
      <c r="A17" s="6" t="s">
        <v>146</v>
      </c>
      <c r="B17" s="7" t="s">
        <v>160</v>
      </c>
      <c r="C17" s="8" t="s">
        <v>18</v>
      </c>
      <c r="D17" s="8" t="s">
        <v>8</v>
      </c>
      <c r="E17" s="8">
        <v>3</v>
      </c>
      <c r="F17" s="8">
        <v>0</v>
      </c>
      <c r="G17" s="8">
        <v>0</v>
      </c>
      <c r="H17" s="8">
        <v>1</v>
      </c>
      <c r="I17" s="8">
        <v>0</v>
      </c>
      <c r="J17" s="8">
        <v>0</v>
      </c>
    </row>
    <row r="18" spans="1:10" ht="15" hidden="1">
      <c r="A18" s="6" t="s">
        <v>146</v>
      </c>
      <c r="B18" s="7" t="s">
        <v>161</v>
      </c>
      <c r="C18" s="8" t="s">
        <v>18</v>
      </c>
      <c r="D18" s="8" t="s">
        <v>8</v>
      </c>
      <c r="E18" s="8">
        <v>3</v>
      </c>
      <c r="F18" s="8">
        <v>1</v>
      </c>
      <c r="G18" s="8">
        <v>0</v>
      </c>
      <c r="H18" s="8">
        <v>1</v>
      </c>
      <c r="I18" s="8">
        <v>0</v>
      </c>
      <c r="J18" s="8">
        <v>0</v>
      </c>
    </row>
    <row r="19" spans="1:10" ht="60" hidden="1">
      <c r="A19" s="6" t="s">
        <v>146</v>
      </c>
      <c r="B19" s="7" t="s">
        <v>162</v>
      </c>
      <c r="C19" s="8" t="s">
        <v>6</v>
      </c>
      <c r="D19" s="8" t="s">
        <v>8</v>
      </c>
      <c r="E19" s="8">
        <v>6</v>
      </c>
      <c r="F19" s="8">
        <v>0</v>
      </c>
      <c r="G19" s="8">
        <v>0</v>
      </c>
      <c r="H19" s="8">
        <v>0</v>
      </c>
      <c r="I19" s="8">
        <v>0</v>
      </c>
      <c r="J19" s="8">
        <v>0</v>
      </c>
    </row>
    <row r="20" spans="1:10" ht="45" hidden="1">
      <c r="A20" s="6" t="s">
        <v>146</v>
      </c>
      <c r="B20" s="7" t="s">
        <v>163</v>
      </c>
      <c r="C20" s="8" t="s">
        <v>6</v>
      </c>
      <c r="D20" s="8" t="s">
        <v>20</v>
      </c>
      <c r="E20" s="8">
        <v>4</v>
      </c>
      <c r="F20" s="8">
        <v>0</v>
      </c>
      <c r="G20" s="8">
        <v>0</v>
      </c>
      <c r="H20" s="8">
        <v>0</v>
      </c>
      <c r="I20" s="8">
        <v>0</v>
      </c>
      <c r="J20" s="8">
        <v>0</v>
      </c>
    </row>
    <row r="21" spans="1:10" ht="75" hidden="1">
      <c r="A21" s="6" t="s">
        <v>146</v>
      </c>
      <c r="B21" s="7" t="s">
        <v>164</v>
      </c>
      <c r="C21" s="8" t="s">
        <v>6</v>
      </c>
      <c r="D21" s="8" t="s">
        <v>8</v>
      </c>
      <c r="E21" s="8">
        <v>1</v>
      </c>
      <c r="F21" s="8">
        <v>0</v>
      </c>
      <c r="G21" s="8">
        <v>0</v>
      </c>
      <c r="H21" s="8">
        <v>0</v>
      </c>
      <c r="I21" s="8">
        <v>0</v>
      </c>
      <c r="J21" s="8">
        <v>0</v>
      </c>
    </row>
    <row r="22" spans="1:10" ht="15">
      <c r="B22" s="7"/>
    </row>
    <row r="23" spans="1:10" ht="15">
      <c r="B23" s="50"/>
    </row>
    <row r="24" spans="1:10" ht="15">
      <c r="B24" s="7"/>
    </row>
    <row r="25" spans="1:10" ht="15">
      <c r="B25" s="7"/>
    </row>
    <row r="26" spans="1:10" ht="15">
      <c r="B26" s="7"/>
    </row>
    <row r="27" spans="1:10" ht="15">
      <c r="B27" s="7"/>
    </row>
    <row r="28" spans="1:10" ht="15">
      <c r="B28" s="6"/>
    </row>
  </sheetData>
  <autoFilter ref="A1:J21">
    <filterColumn colId="5">
      <filters>
        <filter val="1"/>
      </filters>
    </filterColumn>
    <filterColumn colId="7">
      <filters>
        <filter val="0"/>
      </filters>
    </filterColumn>
  </autoFilter>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7"/>
  <sheetViews>
    <sheetView workbookViewId="0">
      <pane ySplit="1" topLeftCell="A4" activePane="bottomLeft" state="frozen"/>
      <selection pane="bottomLeft" activeCell="H8" sqref="H8"/>
    </sheetView>
  </sheetViews>
  <sheetFormatPr baseColWidth="10" defaultRowHeight="14" x14ac:dyDescent="0"/>
  <cols>
    <col min="1" max="1" width="10.83203125" style="8"/>
    <col min="2" max="2" width="54.6640625" style="8" customWidth="1"/>
    <col min="3" max="4" width="10.83203125" style="8"/>
    <col min="5" max="5" width="10.5" style="8" bestFit="1" customWidth="1"/>
    <col min="6" max="6" width="17.33203125" style="8" bestFit="1" customWidth="1"/>
    <col min="7"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30" hidden="1">
      <c r="A2" s="6" t="s">
        <v>167</v>
      </c>
      <c r="B2" s="7" t="s">
        <v>168</v>
      </c>
      <c r="C2" s="8" t="s">
        <v>6</v>
      </c>
      <c r="D2" s="8" t="s">
        <v>20</v>
      </c>
      <c r="E2" s="8">
        <v>4</v>
      </c>
      <c r="F2" s="8">
        <v>0</v>
      </c>
      <c r="G2" s="8">
        <v>0</v>
      </c>
      <c r="H2" s="8">
        <v>0</v>
      </c>
      <c r="I2" s="8">
        <v>0</v>
      </c>
      <c r="J2" s="8">
        <v>0</v>
      </c>
    </row>
    <row r="3" spans="1:10" ht="45" hidden="1">
      <c r="A3" s="6" t="s">
        <v>167</v>
      </c>
      <c r="B3" s="7" t="s">
        <v>173</v>
      </c>
      <c r="C3" s="8" t="s">
        <v>6</v>
      </c>
      <c r="D3" s="8" t="s">
        <v>8</v>
      </c>
      <c r="E3" s="8">
        <v>3</v>
      </c>
      <c r="F3" s="8">
        <v>0</v>
      </c>
      <c r="G3" s="8">
        <v>0</v>
      </c>
      <c r="H3" s="8">
        <v>0</v>
      </c>
      <c r="I3" s="8">
        <v>0</v>
      </c>
      <c r="J3" s="8">
        <v>0</v>
      </c>
    </row>
    <row r="4" spans="1:10" ht="150" hidden="1">
      <c r="A4" s="6" t="s">
        <v>167</v>
      </c>
      <c r="B4" s="7" t="s">
        <v>169</v>
      </c>
      <c r="C4" s="8" t="s">
        <v>6</v>
      </c>
      <c r="D4" s="8" t="s">
        <v>8</v>
      </c>
      <c r="E4" s="8">
        <v>6</v>
      </c>
      <c r="F4" s="8">
        <v>0</v>
      </c>
      <c r="G4" s="8">
        <v>0</v>
      </c>
      <c r="H4" s="8">
        <v>1</v>
      </c>
      <c r="I4" s="8">
        <v>0</v>
      </c>
      <c r="J4" s="8">
        <v>0</v>
      </c>
    </row>
    <row r="5" spans="1:10" ht="150">
      <c r="A5" s="6" t="s">
        <v>167</v>
      </c>
      <c r="B5" s="7" t="s">
        <v>170</v>
      </c>
      <c r="C5" s="8" t="s">
        <v>6</v>
      </c>
      <c r="D5" s="8" t="s">
        <v>8</v>
      </c>
      <c r="E5" s="8">
        <v>3</v>
      </c>
      <c r="F5" s="8">
        <v>1</v>
      </c>
      <c r="G5" s="8">
        <v>0</v>
      </c>
      <c r="H5" s="8">
        <v>2</v>
      </c>
      <c r="I5" s="8">
        <v>0</v>
      </c>
      <c r="J5" s="8">
        <v>0</v>
      </c>
    </row>
    <row r="6" spans="1:10" ht="120" hidden="1">
      <c r="A6" s="6" t="s">
        <v>167</v>
      </c>
      <c r="B6" s="7" t="s">
        <v>171</v>
      </c>
      <c r="C6" s="8" t="s">
        <v>6</v>
      </c>
      <c r="D6" s="8" t="s">
        <v>8</v>
      </c>
      <c r="E6" s="8">
        <v>6</v>
      </c>
      <c r="F6" s="8">
        <v>1</v>
      </c>
      <c r="G6" s="8">
        <v>0</v>
      </c>
      <c r="H6" s="8">
        <v>1</v>
      </c>
      <c r="I6" s="8">
        <v>1</v>
      </c>
      <c r="J6" s="8">
        <v>0</v>
      </c>
    </row>
    <row r="7" spans="1:10" ht="60" hidden="1">
      <c r="A7" s="6" t="s">
        <v>167</v>
      </c>
      <c r="B7" s="7" t="s">
        <v>172</v>
      </c>
      <c r="C7" s="8" t="s">
        <v>7</v>
      </c>
      <c r="D7" s="8" t="s">
        <v>19</v>
      </c>
      <c r="E7" s="8">
        <v>3</v>
      </c>
      <c r="F7" s="8">
        <v>0</v>
      </c>
      <c r="G7" s="8">
        <v>0</v>
      </c>
      <c r="H7" s="8">
        <v>0</v>
      </c>
      <c r="I7" s="8">
        <v>0</v>
      </c>
      <c r="J7" s="8">
        <v>0</v>
      </c>
    </row>
  </sheetData>
  <autoFilter ref="A1:J7">
    <filterColumn colId="5">
      <filters>
        <filter val="1"/>
      </filters>
    </filterColumn>
    <filterColumn colId="7">
      <filters>
        <filter val="0"/>
      </filters>
    </filterColumn>
  </autoFilter>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25"/>
  <sheetViews>
    <sheetView workbookViewId="0">
      <pane ySplit="1" topLeftCell="A2" activePane="bottomLeft" state="frozen"/>
      <selection pane="bottomLeft" activeCell="H18" sqref="H18"/>
    </sheetView>
  </sheetViews>
  <sheetFormatPr baseColWidth="10" defaultRowHeight="14" x14ac:dyDescent="0"/>
  <cols>
    <col min="1" max="1" width="10.83203125" style="8"/>
    <col min="2" max="2" width="52.1640625" style="8" customWidth="1"/>
    <col min="3" max="3" width="12.5" style="8" customWidth="1"/>
    <col min="4" max="4" width="7.6640625" style="8" customWidth="1"/>
    <col min="5" max="16384" width="10.83203125" style="8"/>
  </cols>
  <sheetData>
    <row r="1" spans="1:10" s="10" customFormat="1">
      <c r="A1" s="10" t="s">
        <v>0</v>
      </c>
      <c r="B1" s="10" t="s">
        <v>1</v>
      </c>
      <c r="C1" s="10" t="s">
        <v>5</v>
      </c>
      <c r="D1" s="10" t="s">
        <v>2</v>
      </c>
      <c r="E1" s="10" t="s">
        <v>3</v>
      </c>
      <c r="F1" s="10" t="s">
        <v>4</v>
      </c>
      <c r="G1" s="10" t="s">
        <v>16</v>
      </c>
      <c r="H1" s="3" t="s">
        <v>567</v>
      </c>
      <c r="I1" s="3" t="s">
        <v>577</v>
      </c>
      <c r="J1" s="3" t="s">
        <v>569</v>
      </c>
    </row>
    <row r="2" spans="1:10" ht="90" hidden="1">
      <c r="A2" s="8" t="s">
        <v>190</v>
      </c>
      <c r="B2" s="7" t="s">
        <v>174</v>
      </c>
      <c r="C2" s="8" t="s">
        <v>6</v>
      </c>
      <c r="D2" s="8" t="s">
        <v>8</v>
      </c>
      <c r="E2" s="8">
        <v>4</v>
      </c>
      <c r="F2" s="8">
        <v>0</v>
      </c>
      <c r="G2" s="8">
        <v>0</v>
      </c>
      <c r="H2" s="8">
        <v>0</v>
      </c>
      <c r="I2" s="8">
        <v>0</v>
      </c>
      <c r="J2" s="8">
        <v>0</v>
      </c>
    </row>
    <row r="3" spans="1:10" ht="90" hidden="1">
      <c r="A3" s="8" t="s">
        <v>190</v>
      </c>
      <c r="B3" s="7" t="s">
        <v>175</v>
      </c>
      <c r="C3" s="8" t="s">
        <v>6</v>
      </c>
      <c r="D3" s="8" t="s">
        <v>8</v>
      </c>
      <c r="E3" s="8">
        <v>4</v>
      </c>
      <c r="F3" s="8">
        <v>0</v>
      </c>
      <c r="G3" s="8">
        <v>0</v>
      </c>
      <c r="H3" s="8">
        <v>0</v>
      </c>
      <c r="I3" s="8">
        <v>0</v>
      </c>
      <c r="J3" s="8">
        <v>0</v>
      </c>
    </row>
    <row r="4" spans="1:10" ht="45" hidden="1">
      <c r="A4" s="8" t="s">
        <v>190</v>
      </c>
      <c r="B4" s="7" t="s">
        <v>176</v>
      </c>
      <c r="C4" s="8" t="s">
        <v>6</v>
      </c>
      <c r="D4" s="8" t="s">
        <v>20</v>
      </c>
      <c r="E4" s="8">
        <v>4</v>
      </c>
      <c r="F4" s="8">
        <v>0</v>
      </c>
      <c r="G4" s="8">
        <v>0</v>
      </c>
      <c r="H4" s="8">
        <v>0</v>
      </c>
      <c r="I4" s="8">
        <v>0</v>
      </c>
      <c r="J4" s="8">
        <v>0</v>
      </c>
    </row>
    <row r="5" spans="1:10" ht="30" hidden="1">
      <c r="A5" s="8" t="s">
        <v>190</v>
      </c>
      <c r="B5" s="7" t="s">
        <v>177</v>
      </c>
      <c r="C5" s="8" t="s">
        <v>6</v>
      </c>
      <c r="D5" s="8" t="s">
        <v>20</v>
      </c>
      <c r="E5" s="8">
        <v>4</v>
      </c>
      <c r="F5" s="8">
        <v>0</v>
      </c>
      <c r="G5" s="8">
        <v>0</v>
      </c>
      <c r="H5" s="8">
        <v>0</v>
      </c>
      <c r="I5" s="8">
        <v>0</v>
      </c>
      <c r="J5" s="8">
        <v>0</v>
      </c>
    </row>
    <row r="6" spans="1:10" ht="30" hidden="1">
      <c r="A6" s="8" t="s">
        <v>190</v>
      </c>
      <c r="B6" s="7" t="s">
        <v>178</v>
      </c>
      <c r="C6" s="8" t="s">
        <v>6</v>
      </c>
      <c r="D6" s="8" t="s">
        <v>8</v>
      </c>
      <c r="E6" s="8">
        <v>1</v>
      </c>
      <c r="F6" s="8">
        <v>0</v>
      </c>
      <c r="G6" s="8">
        <v>0</v>
      </c>
      <c r="H6" s="8">
        <v>0</v>
      </c>
      <c r="I6" s="8">
        <v>0</v>
      </c>
      <c r="J6" s="8">
        <v>0</v>
      </c>
    </row>
    <row r="7" spans="1:10" ht="120" hidden="1">
      <c r="A7" s="8" t="s">
        <v>190</v>
      </c>
      <c r="B7" s="7" t="s">
        <v>179</v>
      </c>
      <c r="C7" s="8" t="s">
        <v>6</v>
      </c>
      <c r="D7" s="8" t="s">
        <v>8</v>
      </c>
      <c r="E7" s="8">
        <v>1</v>
      </c>
      <c r="F7" s="8">
        <v>0</v>
      </c>
      <c r="G7" s="8">
        <v>0</v>
      </c>
      <c r="H7" s="8">
        <v>0</v>
      </c>
      <c r="I7" s="8">
        <v>0</v>
      </c>
      <c r="J7" s="8">
        <v>0</v>
      </c>
    </row>
    <row r="8" spans="1:10" ht="120" hidden="1">
      <c r="A8" s="8" t="s">
        <v>190</v>
      </c>
      <c r="B8" s="7" t="s">
        <v>180</v>
      </c>
      <c r="C8" s="8" t="s">
        <v>6</v>
      </c>
      <c r="D8" s="8" t="s">
        <v>8</v>
      </c>
      <c r="E8" s="8">
        <v>1</v>
      </c>
      <c r="F8" s="8">
        <v>0</v>
      </c>
      <c r="G8" s="8">
        <v>0</v>
      </c>
      <c r="H8" s="8">
        <v>0</v>
      </c>
      <c r="I8" s="8">
        <v>0</v>
      </c>
      <c r="J8" s="8">
        <v>0</v>
      </c>
    </row>
    <row r="9" spans="1:10" ht="120" hidden="1">
      <c r="A9" s="8" t="s">
        <v>190</v>
      </c>
      <c r="B9" s="7" t="s">
        <v>181</v>
      </c>
      <c r="C9" s="8" t="s">
        <v>6</v>
      </c>
      <c r="D9" s="8" t="s">
        <v>8</v>
      </c>
      <c r="E9" s="8">
        <v>1</v>
      </c>
      <c r="F9" s="8">
        <v>0</v>
      </c>
      <c r="G9" s="8">
        <v>0</v>
      </c>
      <c r="H9" s="8">
        <v>0</v>
      </c>
      <c r="I9" s="8">
        <v>0</v>
      </c>
      <c r="J9" s="8">
        <v>0</v>
      </c>
    </row>
    <row r="10" spans="1:10" ht="45" hidden="1">
      <c r="A10" s="8" t="s">
        <v>190</v>
      </c>
      <c r="B10" s="7" t="s">
        <v>182</v>
      </c>
      <c r="C10" s="8" t="s">
        <v>6</v>
      </c>
      <c r="D10" s="8" t="s">
        <v>20</v>
      </c>
      <c r="E10" s="8">
        <v>4</v>
      </c>
      <c r="F10" s="8">
        <v>0</v>
      </c>
      <c r="G10" s="8">
        <v>0</v>
      </c>
      <c r="H10" s="8">
        <v>0</v>
      </c>
      <c r="I10" s="8">
        <v>0</v>
      </c>
      <c r="J10" s="8">
        <v>0</v>
      </c>
    </row>
    <row r="11" spans="1:10" ht="45" hidden="1">
      <c r="A11" s="8" t="s">
        <v>190</v>
      </c>
      <c r="B11" s="7" t="s">
        <v>183</v>
      </c>
      <c r="C11" s="8" t="s">
        <v>6</v>
      </c>
      <c r="D11" s="8" t="s">
        <v>20</v>
      </c>
      <c r="E11" s="8">
        <v>4</v>
      </c>
      <c r="F11" s="8">
        <v>0</v>
      </c>
      <c r="G11" s="8">
        <v>0</v>
      </c>
      <c r="H11" s="8">
        <v>0</v>
      </c>
      <c r="I11" s="8">
        <v>0</v>
      </c>
      <c r="J11" s="8">
        <v>0</v>
      </c>
    </row>
    <row r="12" spans="1:10" ht="120" hidden="1">
      <c r="A12" s="8" t="s">
        <v>190</v>
      </c>
      <c r="B12" s="7" t="s">
        <v>184</v>
      </c>
      <c r="C12" s="8" t="s">
        <v>6</v>
      </c>
      <c r="D12" s="8" t="s">
        <v>20</v>
      </c>
      <c r="E12" s="8">
        <v>4</v>
      </c>
      <c r="F12" s="8">
        <v>0</v>
      </c>
      <c r="G12" s="8">
        <v>0</v>
      </c>
      <c r="H12" s="8">
        <v>0</v>
      </c>
      <c r="I12" s="8">
        <v>0</v>
      </c>
      <c r="J12" s="8">
        <v>0</v>
      </c>
    </row>
    <row r="13" spans="1:10" ht="120" hidden="1">
      <c r="A13" s="8" t="s">
        <v>190</v>
      </c>
      <c r="B13" s="7" t="s">
        <v>185</v>
      </c>
      <c r="C13" s="8" t="s">
        <v>6</v>
      </c>
      <c r="D13" s="8" t="s">
        <v>20</v>
      </c>
      <c r="E13" s="8">
        <v>4</v>
      </c>
      <c r="F13" s="8">
        <v>0</v>
      </c>
      <c r="G13" s="8">
        <v>0</v>
      </c>
      <c r="H13" s="8">
        <v>0</v>
      </c>
      <c r="I13" s="8">
        <v>0</v>
      </c>
      <c r="J13" s="8">
        <v>0</v>
      </c>
    </row>
    <row r="14" spans="1:10" ht="60" hidden="1">
      <c r="A14" s="8" t="s">
        <v>190</v>
      </c>
      <c r="B14" s="7" t="s">
        <v>186</v>
      </c>
      <c r="C14" s="8" t="s">
        <v>6</v>
      </c>
      <c r="D14" s="8" t="s">
        <v>8</v>
      </c>
      <c r="E14" s="8">
        <v>1</v>
      </c>
      <c r="F14" s="8">
        <v>0</v>
      </c>
      <c r="G14" s="8">
        <v>0</v>
      </c>
      <c r="H14" s="8">
        <v>0</v>
      </c>
      <c r="I14" s="8">
        <v>0</v>
      </c>
      <c r="J14" s="8">
        <v>0</v>
      </c>
    </row>
    <row r="15" spans="1:10" ht="75">
      <c r="A15" s="8" t="s">
        <v>190</v>
      </c>
      <c r="B15" s="7" t="s">
        <v>187</v>
      </c>
      <c r="C15" s="8" t="s">
        <v>6</v>
      </c>
      <c r="D15" s="8" t="s">
        <v>8</v>
      </c>
      <c r="E15" s="8">
        <v>1</v>
      </c>
      <c r="F15" s="8">
        <v>1</v>
      </c>
      <c r="G15" s="8">
        <v>0</v>
      </c>
      <c r="H15" s="8">
        <v>2</v>
      </c>
      <c r="I15" s="8">
        <v>0</v>
      </c>
      <c r="J15" s="8">
        <v>0</v>
      </c>
    </row>
    <row r="16" spans="1:10" ht="60" hidden="1">
      <c r="A16" s="8" t="s">
        <v>190</v>
      </c>
      <c r="B16" s="7" t="s">
        <v>188</v>
      </c>
      <c r="C16" s="8" t="s">
        <v>6</v>
      </c>
      <c r="D16" s="8" t="s">
        <v>8</v>
      </c>
      <c r="E16" s="8">
        <v>1</v>
      </c>
      <c r="F16" s="8">
        <v>0</v>
      </c>
      <c r="G16" s="8">
        <v>0</v>
      </c>
      <c r="H16" s="8">
        <v>0</v>
      </c>
      <c r="I16" s="8">
        <v>0</v>
      </c>
      <c r="J16" s="8">
        <v>0</v>
      </c>
    </row>
    <row r="17" spans="1:10" ht="180" hidden="1">
      <c r="A17" s="8" t="s">
        <v>190</v>
      </c>
      <c r="B17" s="7" t="s">
        <v>189</v>
      </c>
      <c r="C17" s="8" t="s">
        <v>6</v>
      </c>
      <c r="D17" s="8" t="s">
        <v>20</v>
      </c>
      <c r="E17" s="8">
        <v>4</v>
      </c>
      <c r="F17" s="8">
        <v>0</v>
      </c>
      <c r="G17" s="8">
        <v>0</v>
      </c>
      <c r="H17" s="8">
        <v>0</v>
      </c>
      <c r="I17" s="8">
        <v>0</v>
      </c>
      <c r="J17" s="8">
        <v>0</v>
      </c>
    </row>
    <row r="18" spans="1:10" ht="15">
      <c r="B18" s="6"/>
    </row>
    <row r="19" spans="1:10" ht="15">
      <c r="B19" s="6"/>
    </row>
    <row r="20" spans="1:10" ht="15">
      <c r="B20" s="6"/>
    </row>
    <row r="21" spans="1:10" ht="15">
      <c r="B21" s="6"/>
    </row>
    <row r="22" spans="1:10" ht="15">
      <c r="B22" s="6"/>
    </row>
    <row r="23" spans="1:10" ht="15">
      <c r="B23" s="7"/>
    </row>
    <row r="24" spans="1:10" ht="15">
      <c r="B24" s="7"/>
    </row>
    <row r="25" spans="1:10" ht="15">
      <c r="B25" s="6"/>
    </row>
  </sheetData>
  <autoFilter ref="A1:J17">
    <filterColumn colId="5">
      <filters>
        <filter val="1"/>
      </filters>
    </filterColumn>
  </autoFilter>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37</vt:i4>
      </vt:variant>
    </vt:vector>
  </HeadingPairs>
  <TitlesOfParts>
    <vt:vector size="37" baseType="lpstr">
      <vt:lpstr>SJ0521H96</vt:lpstr>
      <vt:lpstr>SJ00621H96</vt:lpstr>
      <vt:lpstr>SJ0931H96</vt:lpstr>
      <vt:lpstr>SJ02812H96</vt:lpstr>
      <vt:lpstr>SJ027022H96</vt:lpstr>
      <vt:lpstr>SJ031022H96</vt:lpstr>
      <vt:lpstr>SJ029032H96</vt:lpstr>
      <vt:lpstr>SJ024032H96</vt:lpstr>
      <vt:lpstr>SJ2513H96</vt:lpstr>
      <vt:lpstr>SJ02713H96</vt:lpstr>
      <vt:lpstr>SJ3123H96</vt:lpstr>
      <vt:lpstr>SJ3223H96</vt:lpstr>
      <vt:lpstr>SJ03433H96</vt:lpstr>
      <vt:lpstr>SJ001621M96</vt:lpstr>
      <vt:lpstr>SJ03533H96</vt:lpstr>
      <vt:lpstr>SJ004021M96</vt:lpstr>
      <vt:lpstr>SJ005021M96</vt:lpstr>
      <vt:lpstr>SJ004531M96</vt:lpstr>
      <vt:lpstr>SJ008031M96</vt:lpstr>
      <vt:lpstr>SJ020012M96</vt:lpstr>
      <vt:lpstr>SJ023012M96</vt:lpstr>
      <vt:lpstr>SJ021022M96</vt:lpstr>
      <vt:lpstr>SJ025022M96</vt:lpstr>
      <vt:lpstr>SJ026032M96</vt:lpstr>
      <vt:lpstr>SJ032032M96</vt:lpstr>
      <vt:lpstr>SJ0313M96</vt:lpstr>
      <vt:lpstr>SJ07433M96</vt:lpstr>
      <vt:lpstr>SJ07233M96</vt:lpstr>
      <vt:lpstr>SJ022022M96</vt:lpstr>
      <vt:lpstr>EST. CERT.</vt:lpstr>
      <vt:lpstr>estadisticas</vt:lpstr>
      <vt:lpstr>TOK Soc</vt:lpstr>
      <vt:lpstr>Tok Lin</vt:lpstr>
      <vt:lpstr>Tok crosstab</vt:lpstr>
      <vt:lpstr>totales</vt: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Claes</dc:creator>
  <cp:lastModifiedBy>Jeroen Claes</cp:lastModifiedBy>
  <cp:lastPrinted>2008-04-05T17:36:33Z</cp:lastPrinted>
  <dcterms:created xsi:type="dcterms:W3CDTF">2008-03-15T15:28:32Z</dcterms:created>
  <dcterms:modified xsi:type="dcterms:W3CDTF">2016-02-19T07:55:43Z</dcterms:modified>
</cp:coreProperties>
</file>