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 activeTab="1"/>
  </bookViews>
  <sheets>
    <sheet name="WGTP104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50" i="1" l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<sst xmlns="http://schemas.openxmlformats.org/spreadsheetml/2006/main" count="23231" uniqueCount="9303">
  <si>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</si>
  <si>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</si>
  <si>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</si>
  <si>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</si>
  <si>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</si>
  <si>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</si>
  <si>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</si>
  <si>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</si>
  <si>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</si>
  <si>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</si>
  <si>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</si>
  <si>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</si>
  <si>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</si>
  <si>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</si>
  <si>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</si>
  <si>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</si>
  <si>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</si>
  <si>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</si>
  <si>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</si>
  <si>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</si>
  <si>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</si>
  <si>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</si>
  <si>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</si>
  <si>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</si>
  <si>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</si>
  <si>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</si>
  <si>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</si>
  <si>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</si>
  <si>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</si>
  <si>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</si>
  <si>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</si>
  <si>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</si>
  <si>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</si>
  <si>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</si>
  <si>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</si>
  <si>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</si>
  <si>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</si>
  <si>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</si>
  <si>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</si>
  <si>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</si>
  <si>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</si>
  <si>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</si>
  <si>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</si>
  <si>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</si>
  <si>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</si>
  <si>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</si>
  <si>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</si>
  <si>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</si>
  <si>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</si>
  <si>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</si>
  <si>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</si>
  <si>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</si>
  <si>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</si>
  <si>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</si>
  <si>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</si>
  <si>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</si>
  <si>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</si>
  <si>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</si>
  <si>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</si>
  <si>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</si>
  <si>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</si>
  <si>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</si>
  <si>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</si>
  <si>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</si>
  <si>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</si>
  <si>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</si>
  <si>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</si>
  <si>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</si>
  <si>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</si>
  <si>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</si>
  <si>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</si>
  <si>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</si>
  <si>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</si>
  <si>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</si>
  <si>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</si>
  <si>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</si>
  <si>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</si>
  <si>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</si>
  <si>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</si>
  <si>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</si>
  <si>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</si>
  <si>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</si>
  <si>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</si>
  <si>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</si>
  <si>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</si>
  <si>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</si>
  <si>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</si>
  <si>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</si>
  <si>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</si>
  <si>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</si>
  <si>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</si>
  <si>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</si>
  <si>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</si>
  <si>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</si>
  <si>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</si>
  <si>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</si>
  <si>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</si>
  <si>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</si>
  <si>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</si>
  <si>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</si>
  <si>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</si>
  <si>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</si>
  <si>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</si>
  <si>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</si>
  <si>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</si>
  <si>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</si>
  <si>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</si>
  <si>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U$S</t>
  </si>
  <si>
    <t>ANODO (A37) 0.37 RI</t>
  </si>
  <si>
    <t>ANODO (A66) 0.66 RI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</si>
  <si>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</si>
  <si>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</si>
  <si>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</si>
  <si>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</si>
  <si>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</si>
  <si>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</si>
  <si>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</si>
  <si>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</si>
  <si>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</si>
  <si>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</si>
  <si>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</si>
  <si>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P/TORNILLO FENIX ( 8050) RM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</si>
  <si>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</si>
  <si>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</si>
  <si>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</si>
  <si>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</si>
  <si>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</si>
  <si>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</si>
  <si>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</si>
  <si>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</si>
  <si>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</si>
  <si>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</si>
  <si>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</si>
  <si>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</si>
  <si>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</si>
  <si>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</si>
  <si>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</si>
  <si>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</si>
  <si>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</si>
  <si>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</si>
  <si>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</si>
  <si>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</si>
  <si>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</si>
  <si>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</si>
  <si>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</si>
  <si>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</si>
  <si>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</si>
  <si>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</si>
  <si>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</si>
  <si>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</si>
  <si>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</si>
  <si>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</si>
  <si>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</si>
  <si>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</si>
  <si>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</si>
  <si>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</si>
  <si>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</si>
  <si>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</si>
  <si>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</si>
  <si>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</si>
  <si>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</si>
  <si>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</si>
  <si>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</si>
  <si>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</si>
  <si>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</si>
  <si>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</si>
  <si>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</si>
  <si>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</si>
  <si>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</si>
  <si>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</si>
  <si>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</si>
  <si>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</si>
  <si>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</si>
  <si>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</si>
  <si>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</si>
  <si>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</si>
  <si>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</si>
  <si>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</si>
  <si>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</si>
  <si>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</si>
  <si>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</si>
  <si>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</si>
  <si>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</si>
  <si>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</si>
  <si>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</si>
  <si>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</si>
  <si>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</si>
  <si>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</si>
  <si>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</si>
  <si>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</si>
  <si>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</si>
  <si>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</si>
  <si>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</si>
  <si>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</si>
  <si>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</si>
  <si>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</si>
  <si>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INOX. 10 CM TG</t>
  </si>
  <si>
    <t>BAÑO FLOR CUADRADA ACERO INOX. 15 CM TG</t>
  </si>
  <si>
    <t>BAÑO FLOR CUADRADA ACERO INOX. 20 CM TG</t>
  </si>
  <si>
    <t>BAÑO FLOR CUADRADA PLASTICA 10 CM TG</t>
  </si>
  <si>
    <t>BAÑO FLOR CUADRADA PLASTICA 15 CM TG</t>
  </si>
  <si>
    <t>BAÑO FLOR CUADRADA PLASTICA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</si>
  <si>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</si>
  <si>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</si>
  <si>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</si>
  <si>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</si>
  <si>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INOX. 10CM TG</t>
  </si>
  <si>
    <t>BAÑO FLOR REDONDA ACERO INOX. 15CM TG</t>
  </si>
  <si>
    <t>BAÑO FLOR REDONDA ACERO INOX. 20CM TG</t>
  </si>
  <si>
    <t>BAÑO FLOR REDONDA PLASTICA CROMO 10CM TG</t>
  </si>
  <si>
    <t>BAÑO FLOR REDONDA PLASTICA CROMO 15CM TG</t>
  </si>
  <si>
    <t>BAÑO FLOR REDONDA PLASTICA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</si>
  <si>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</si>
  <si>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</si>
  <si>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</si>
  <si>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</si>
  <si>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</si>
  <si>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</si>
  <si>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</si>
  <si>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</si>
  <si>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</si>
  <si>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</si>
  <si>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</si>
  <si>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</si>
  <si>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</si>
  <si>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</si>
  <si>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</si>
  <si>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</si>
  <si>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</si>
  <si>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</si>
  <si>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</si>
  <si>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</si>
  <si>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</si>
  <si>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</si>
  <si>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</si>
  <si>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</si>
  <si>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</si>
  <si>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</si>
  <si>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</si>
  <si>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</si>
  <si>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</si>
  <si>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</si>
  <si>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</si>
  <si>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</si>
  <si>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</si>
  <si>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</si>
  <si>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</si>
  <si>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</si>
  <si>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</si>
  <si>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</si>
  <si>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</si>
  <si>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</si>
  <si>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</si>
  <si>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BIODIGESTOR AUTOLIMPIABLE 600 LTS + BIOLAM WP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</si>
  <si>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</si>
  <si>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</si>
  <si>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</si>
  <si>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</si>
  <si>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</si>
  <si>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</si>
  <si>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</si>
  <si>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</si>
  <si>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</si>
  <si>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</si>
  <si>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</si>
  <si>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</si>
  <si>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</si>
  <si>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</si>
  <si>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</si>
  <si>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</si>
  <si>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</si>
  <si>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</si>
  <si>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</si>
  <si>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</si>
  <si>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</si>
  <si>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</si>
  <si>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</si>
  <si>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</si>
  <si>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</si>
  <si>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</si>
  <si>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</si>
  <si>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</si>
  <si>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</si>
  <si>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</si>
  <si>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</si>
  <si>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</si>
  <si>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</si>
  <si>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</si>
  <si>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</si>
  <si>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</si>
  <si>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</si>
  <si>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</t>
  </si>
  <si>
    <t>BOYA TELGOPOR BCO1 COMUN ROSCADA 1/2 ENNA</t>
  </si>
  <si>
    <t>BOYA TELGOPOR BCO2 COMUN ROSCADA 3/4 ENNA</t>
  </si>
  <si>
    <t>BOYA TELGOPOR BCO3 COMUN ROSCADA 1 ENNA</t>
  </si>
  <si>
    <t>BOYA TELGOPOR BFE1 FERRUM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</si>
  <si>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</si>
  <si>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</si>
  <si>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</si>
  <si>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</si>
  <si>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</si>
  <si>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</si>
  <si>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</si>
  <si>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BRANCO AGUA CUPLA PLOMO 1/2 LIVIANO (4420) RM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</si>
  <si>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</si>
  <si>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</si>
  <si>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</si>
  <si>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</si>
  <si>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</si>
  <si>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</si>
  <si>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</si>
  <si>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</si>
  <si>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</si>
  <si>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</si>
  <si>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</si>
  <si>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REG. C/LEVA REVERS X 77 (911013)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</si>
  <si>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</si>
  <si>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</si>
  <si>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</si>
  <si>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</si>
  <si>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</si>
  <si>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</si>
  <si>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</si>
  <si>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</si>
  <si>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</si>
  <si>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</si>
  <si>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</si>
  <si>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</si>
  <si>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</si>
  <si>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</si>
  <si>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</si>
  <si>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</si>
  <si>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</si>
  <si>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</si>
  <si>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</si>
  <si>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</si>
  <si>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</si>
  <si>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</si>
  <si>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</si>
  <si>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</si>
  <si>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</si>
  <si>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</si>
  <si>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</si>
  <si>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</si>
  <si>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</si>
  <si>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</si>
  <si>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</si>
  <si>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</si>
  <si>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</si>
  <si>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</si>
  <si>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</si>
  <si>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</si>
  <si>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</si>
  <si>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</si>
  <si>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</si>
  <si>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</si>
  <si>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</si>
  <si>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</si>
  <si>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</si>
  <si>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</si>
  <si>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</si>
  <si>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</si>
  <si>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</si>
  <si>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</si>
  <si>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</si>
  <si>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</si>
  <si>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</si>
  <si>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</si>
  <si>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</si>
  <si>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</si>
  <si>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</si>
  <si>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</si>
  <si>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</si>
  <si>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</si>
  <si>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</si>
  <si>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</si>
  <si>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</si>
  <si>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</si>
  <si>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</si>
  <si>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</si>
  <si>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</si>
  <si>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</si>
  <si>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</si>
  <si>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</si>
  <si>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</si>
  <si>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</si>
  <si>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</si>
  <si>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</si>
  <si>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</si>
  <si>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</si>
  <si>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</si>
  <si>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</si>
  <si>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</si>
  <si>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</si>
  <si>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</si>
  <si>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</si>
  <si>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</si>
  <si>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</si>
  <si>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</si>
  <si>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</si>
  <si>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</si>
  <si>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</si>
  <si>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</si>
  <si>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</si>
  <si>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</si>
  <si>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</si>
  <si>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</si>
  <si>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</si>
  <si>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</si>
  <si>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</si>
  <si>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</si>
  <si>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</si>
  <si>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</si>
  <si>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</si>
  <si>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</si>
  <si>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</si>
  <si>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</si>
  <si>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</si>
  <si>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</si>
  <si>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</si>
  <si>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</si>
  <si>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</si>
  <si>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</si>
  <si>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</si>
  <si>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</si>
  <si>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</si>
  <si>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</si>
  <si>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</si>
  <si>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</si>
  <si>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</si>
  <si>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</si>
  <si>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</si>
  <si>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</si>
  <si>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</si>
  <si>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</si>
  <si>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</si>
  <si>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</si>
  <si>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</si>
  <si>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</si>
  <si>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</si>
  <si>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</si>
  <si>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</si>
  <si>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</si>
  <si>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</si>
  <si>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</si>
  <si>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</si>
  <si>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</si>
  <si>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</si>
  <si>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</si>
  <si>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</si>
  <si>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</si>
  <si>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</si>
  <si>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</si>
  <si>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</si>
  <si>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</si>
  <si>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</si>
  <si>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</si>
  <si>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</si>
  <si>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</si>
  <si>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</si>
  <si>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</si>
  <si>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</si>
  <si>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</si>
  <si>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</si>
  <si>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</si>
  <si>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</si>
  <si>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</si>
  <si>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</si>
  <si>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</si>
  <si>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</si>
  <si>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</si>
  <si>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</si>
  <si>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</si>
  <si>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</si>
  <si>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</si>
  <si>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</si>
  <si>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</si>
  <si>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</si>
  <si>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</si>
  <si>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</si>
  <si>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</si>
  <si>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</si>
  <si>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</si>
  <si>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</si>
  <si>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</si>
  <si>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</si>
  <si>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</si>
  <si>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</si>
  <si>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</si>
  <si>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</si>
  <si>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</si>
  <si>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</si>
  <si>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</si>
  <si>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</si>
  <si>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</si>
  <si>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</si>
  <si>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</si>
  <si>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</si>
  <si>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</si>
  <si>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</si>
  <si>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</si>
  <si>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</si>
  <si>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</si>
  <si>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</si>
  <si>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</si>
  <si>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</si>
  <si>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</si>
  <si>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</si>
  <si>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</si>
  <si>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</si>
  <si>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</si>
  <si>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</si>
  <si>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</si>
  <si>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</si>
  <si>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</si>
  <si>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</si>
  <si>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</si>
  <si>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</si>
  <si>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</si>
  <si>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</si>
  <si>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(2902) 1/4 H H RM</t>
  </si>
  <si>
    <t>BRONCE GAS CODO (3006) 1/4 M H RM</t>
  </si>
  <si>
    <t>BRONCE GAS CODO (3106) 1/4 M M RM</t>
  </si>
  <si>
    <t>BRONCE GAS CODO (3202) 1/4 X 1/8 H H RM</t>
  </si>
  <si>
    <t>BRONCE GAS CODO (3308) 1/2 X 3/8 H M RM</t>
  </si>
  <si>
    <t>BRONCE GAS CODO (3310) 1/2 X 1/4 H M RM</t>
  </si>
  <si>
    <t>BRONCE GAS CODO (3314) 1/4 X 1/8 H M RM</t>
  </si>
  <si>
    <t>BRONCE GAS CODO (3404) 1/4 X 1/8 M H RM</t>
  </si>
  <si>
    <t>BRONCE GAS CODO (3510) 1/2 X 3/8 M M RM</t>
  </si>
  <si>
    <t>BRONCE GAS CODO (3512) 1/2 X 1/4 M M RM</t>
  </si>
  <si>
    <t>BRONCE GAS CODO (3518) 1/4 X 1/8 M M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</si>
  <si>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</si>
  <si>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</si>
  <si>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</si>
  <si>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</si>
  <si>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</si>
  <si>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</si>
  <si>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</si>
  <si>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</si>
  <si>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</si>
  <si>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</si>
  <si>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</si>
  <si>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</si>
  <si>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</si>
  <si>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</si>
  <si>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</si>
  <si>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</si>
  <si>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</si>
  <si>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</si>
  <si>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</si>
  <si>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</si>
  <si>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</si>
  <si>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</si>
  <si>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</si>
  <si>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</si>
  <si>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</si>
  <si>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</si>
  <si>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</si>
  <si>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</si>
  <si>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</si>
  <si>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</si>
  <si>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</si>
  <si>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</si>
  <si>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</si>
  <si>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</si>
  <si>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1/2 (806) RM</t>
  </si>
  <si>
    <t>BRONCE GAS TAPA 1/4 (802) RM</t>
  </si>
  <si>
    <t>BRONCE GAS TAPA 1/8 (800) RM</t>
  </si>
  <si>
    <t>BRONCE GAS TAPA 3/8 (804) RM</t>
  </si>
  <si>
    <t>BRONCE GAS TAPON (900) 1/8 RM</t>
  </si>
  <si>
    <t>BRONCE GAS TAPON (902) 1/4 RM</t>
  </si>
  <si>
    <t>BRONCE GAS TAPON (904) 3/8 RM</t>
  </si>
  <si>
    <t>BRONCE GAS TAPON (906) 1/2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</si>
  <si>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</si>
  <si>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</si>
  <si>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</si>
  <si>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</si>
  <si>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</si>
  <si>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</si>
  <si>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</si>
  <si>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</si>
  <si>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</si>
  <si>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</si>
  <si>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</si>
  <si>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</si>
  <si>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</si>
  <si>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</si>
  <si>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</si>
  <si>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</si>
  <si>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</si>
  <si>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</si>
  <si>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</si>
  <si>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</si>
  <si>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</si>
  <si>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</si>
  <si>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</si>
  <si>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</si>
  <si>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</si>
  <si>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</si>
  <si>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</si>
  <si>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</si>
  <si>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</si>
  <si>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</si>
  <si>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</si>
  <si>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</si>
  <si>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</si>
  <si>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</si>
  <si>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</si>
  <si>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</si>
  <si>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</si>
  <si>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</si>
  <si>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</si>
  <si>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</si>
  <si>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</si>
  <si>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</si>
  <si>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</si>
  <si>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</si>
  <si>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</si>
  <si>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</si>
  <si>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</si>
  <si>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</si>
  <si>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</si>
  <si>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</si>
  <si>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</si>
  <si>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</si>
  <si>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</si>
  <si>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</si>
  <si>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</si>
  <si>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</si>
  <si>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</si>
  <si>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</si>
  <si>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</si>
  <si>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</si>
  <si>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</si>
  <si>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</si>
  <si>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</si>
  <si>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</si>
  <si>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</si>
  <si>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</si>
  <si>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</si>
  <si>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</si>
  <si>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</si>
  <si>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</si>
  <si>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</si>
  <si>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</si>
  <si>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</si>
  <si>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</si>
  <si>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</si>
  <si>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</si>
  <si>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</si>
  <si>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</si>
  <si>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</si>
  <si>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</si>
  <si>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</si>
  <si>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</si>
  <si>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</si>
  <si>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</si>
  <si>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</si>
  <si>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</si>
  <si>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</si>
  <si>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</si>
  <si>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</si>
  <si>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</si>
  <si>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</si>
  <si>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</si>
  <si>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</si>
  <si>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</si>
  <si>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</si>
  <si>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</si>
  <si>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</si>
  <si>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</si>
  <si>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</si>
  <si>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</si>
  <si>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</si>
  <si>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</si>
  <si>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</si>
  <si>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</si>
  <si>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</si>
  <si>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</si>
  <si>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</si>
  <si>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</si>
  <si>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</si>
  <si>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</si>
  <si>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</si>
  <si>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</si>
  <si>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</si>
  <si>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</si>
  <si>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</si>
  <si>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</si>
  <si>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</si>
  <si>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</si>
  <si>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</si>
  <si>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</si>
  <si>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</si>
  <si>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</si>
  <si>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</si>
  <si>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</si>
  <si>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</si>
  <si>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</si>
  <si>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</si>
  <si>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</si>
  <si>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</si>
  <si>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</si>
  <si>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</si>
  <si>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</si>
  <si>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</si>
  <si>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</si>
  <si>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</si>
  <si>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</si>
  <si>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</si>
  <si>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</si>
  <si>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</si>
  <si>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</si>
  <si>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</si>
  <si>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</si>
  <si>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</si>
  <si>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</si>
  <si>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</si>
  <si>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</si>
  <si>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</si>
  <si>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</si>
  <si>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</si>
  <si>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</si>
  <si>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</si>
  <si>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</si>
  <si>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</si>
  <si>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</si>
  <si>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</si>
  <si>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</si>
  <si>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</si>
  <si>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</si>
  <si>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</si>
  <si>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</si>
  <si>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</si>
  <si>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</si>
  <si>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</si>
  <si>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</si>
  <si>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</si>
  <si>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</si>
  <si>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</si>
  <si>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</si>
  <si>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</si>
  <si>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</si>
  <si>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</si>
  <si>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</si>
  <si>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</si>
  <si>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</si>
  <si>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</si>
  <si>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</si>
  <si>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</si>
  <si>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</si>
  <si>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</si>
  <si>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</si>
  <si>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</si>
  <si>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</si>
  <si>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</si>
  <si>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</si>
  <si>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</si>
  <si>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</si>
  <si>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</si>
  <si>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</si>
  <si>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</si>
  <si>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</si>
  <si>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</si>
  <si>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</si>
  <si>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</si>
  <si>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</si>
  <si>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</si>
  <si>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</si>
  <si>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</si>
  <si>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</si>
  <si>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</si>
  <si>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</si>
  <si>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</si>
  <si>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</si>
  <si>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</si>
  <si>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</si>
  <si>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</si>
  <si>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SOPORTE MEDIA CAÑA 15</t>
  </si>
  <si>
    <t>CANALETA CHAPA SOPORTE MOLDURA 15</t>
  </si>
  <si>
    <t>CANALETA CHAPA TAPA MOLDURA DOBLE EMBUDO 15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</si>
  <si>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</si>
  <si>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</si>
  <si>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</si>
  <si>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</si>
  <si>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</si>
  <si>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</si>
  <si>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</si>
  <si>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</si>
  <si>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</si>
  <si>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</si>
  <si>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</si>
  <si>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</si>
  <si>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</si>
  <si>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</si>
  <si>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</si>
  <si>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</si>
  <si>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</si>
  <si>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</si>
  <si>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</si>
  <si>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</si>
  <si>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</si>
  <si>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</si>
  <si>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</si>
  <si>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</si>
  <si>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</si>
  <si>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</si>
  <si>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</si>
  <si>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</si>
  <si>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</si>
  <si>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</si>
  <si>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</si>
  <si>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</si>
  <si>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</si>
  <si>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</si>
  <si>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</si>
  <si>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</si>
  <si>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</si>
  <si>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</si>
  <si>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</si>
  <si>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</si>
  <si>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</si>
  <si>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</si>
  <si>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</si>
  <si>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</si>
  <si>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</si>
  <si>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</si>
  <si>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</si>
  <si>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</si>
  <si>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</si>
  <si>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</si>
  <si>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</si>
  <si>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</si>
  <si>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</si>
  <si>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</si>
  <si>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</si>
  <si>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</si>
  <si>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</si>
  <si>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</si>
  <si>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</si>
  <si>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</si>
  <si>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</si>
  <si>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</si>
  <si>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</si>
  <si>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</si>
  <si>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</si>
  <si>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</si>
  <si>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</si>
  <si>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</si>
  <si>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</si>
  <si>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</si>
  <si>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</si>
  <si>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</si>
  <si>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</si>
  <si>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</si>
  <si>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</si>
  <si>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</si>
  <si>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</si>
  <si>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</si>
  <si>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</si>
  <si>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</si>
  <si>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</si>
  <si>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</si>
  <si>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</si>
  <si>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</si>
  <si>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</si>
  <si>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</si>
  <si>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</si>
  <si>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</si>
  <si>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</si>
  <si>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</si>
  <si>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</si>
  <si>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</si>
  <si>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</si>
  <si>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</si>
  <si>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</si>
  <si>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</si>
  <si>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</si>
  <si>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</si>
  <si>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</si>
  <si>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</si>
  <si>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</si>
  <si>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</si>
  <si>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</si>
  <si>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</si>
  <si>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</si>
  <si>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</si>
  <si>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</si>
  <si>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</si>
  <si>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</si>
  <si>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</si>
  <si>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</si>
  <si>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</si>
  <si>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</si>
  <si>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</si>
  <si>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</si>
  <si>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</si>
  <si>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</si>
  <si>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</si>
  <si>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</si>
  <si>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</si>
  <si>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</si>
  <si>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</si>
  <si>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</si>
  <si>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</si>
  <si>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</si>
  <si>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3/4 TG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</si>
  <si>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</si>
  <si>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</si>
  <si>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</si>
  <si>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</si>
  <si>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</si>
  <si>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</si>
  <si>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</si>
  <si>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</si>
  <si>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</si>
  <si>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</si>
  <si>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</si>
  <si>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</si>
  <si>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</si>
  <si>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</si>
  <si>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35 MM (6403) IMP RM</t>
  </si>
  <si>
    <t>CARTUCHO MONOCOMANDO 35 MM C/DIST (6401) IMP RM</t>
  </si>
  <si>
    <t>CARTUCHO MONOCOMANDO 35 MM TG</t>
  </si>
  <si>
    <t>CARTUCHO MONOCOMANDO 40 MM (6402) IMP RM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</si>
  <si>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</si>
  <si>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</si>
  <si>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</si>
  <si>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</si>
  <si>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</si>
  <si>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</si>
  <si>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</si>
  <si>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</si>
  <si>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</si>
  <si>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</si>
  <si>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</si>
  <si>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</si>
  <si>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</si>
  <si>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</si>
  <si>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</si>
  <si>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</si>
  <si>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</si>
  <si>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</si>
  <si>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</si>
  <si>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</si>
  <si>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</si>
  <si>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</si>
  <si>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</si>
  <si>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</si>
  <si>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</si>
  <si>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</si>
  <si>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</si>
  <si>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</si>
  <si>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</si>
  <si>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</si>
  <si>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</si>
  <si>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</si>
  <si>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</si>
  <si>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</si>
  <si>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</si>
  <si>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</si>
  <si>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</si>
  <si>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</si>
  <si>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</si>
  <si>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</si>
  <si>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</si>
  <si>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</si>
  <si>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</si>
  <si>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</si>
  <si>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</si>
  <si>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</si>
  <si>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</si>
  <si>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</si>
  <si>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</si>
  <si>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</si>
  <si>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</si>
  <si>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</si>
  <si>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</si>
  <si>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</si>
  <si>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</si>
  <si>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</si>
  <si>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</si>
  <si>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</si>
  <si>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</si>
  <si>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</si>
  <si>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</si>
  <si>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</si>
  <si>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</si>
  <si>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</si>
  <si>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</si>
  <si>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</si>
  <si>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</si>
  <si>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</si>
  <si>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</si>
  <si>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</si>
  <si>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</si>
  <si>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</si>
  <si>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</si>
  <si>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</si>
  <si>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</si>
  <si>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</si>
  <si>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</si>
  <si>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</si>
  <si>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</si>
  <si>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</si>
  <si>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</si>
  <si>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</si>
  <si>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</si>
  <si>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</si>
  <si>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</si>
  <si>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</si>
  <si>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</si>
  <si>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</si>
  <si>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</si>
  <si>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</si>
  <si>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</si>
  <si>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</si>
  <si>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</si>
  <si>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</t>
  </si>
  <si>
    <t>COJINETE TERRAJA HEXAGONAL 1 1/4</t>
  </si>
  <si>
    <t>COJINETE TERRAJA HEXAGONAL 2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</si>
  <si>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</si>
  <si>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</si>
  <si>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</si>
  <si>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</si>
  <si>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</si>
  <si>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</si>
  <si>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</si>
  <si>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</si>
  <si>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</si>
  <si>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</si>
  <si>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</si>
  <si>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</si>
  <si>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</si>
  <si>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</si>
  <si>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</si>
  <si>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</si>
  <si>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</si>
  <si>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</si>
  <si>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</si>
  <si>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</si>
  <si>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</si>
  <si>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</si>
  <si>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</si>
  <si>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</si>
  <si>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</si>
  <si>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</si>
  <si>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</si>
  <si>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</si>
  <si>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</si>
  <si>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</si>
  <si>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(8125)</t>
  </si>
  <si>
    <t>CORTA CAÑOS 3-64MM (8127)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</si>
  <si>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</si>
  <si>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</si>
  <si>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</si>
  <si>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</si>
  <si>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</si>
  <si>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</si>
  <si>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</si>
  <si>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</si>
  <si>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</si>
  <si>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</si>
  <si>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</si>
  <si>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</si>
  <si>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</si>
  <si>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</si>
  <si>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</si>
  <si>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</si>
  <si>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</si>
  <si>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</si>
  <si>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</si>
  <si>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</si>
  <si>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</si>
  <si>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</si>
  <si>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</si>
  <si>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</si>
  <si>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</si>
  <si>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</si>
  <si>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</si>
  <si>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</si>
  <si>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</si>
  <si>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</si>
  <si>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</si>
  <si>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</si>
  <si>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</si>
  <si>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</si>
  <si>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</si>
  <si>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</si>
  <si>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</si>
  <si>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</si>
  <si>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</si>
  <si>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</si>
  <si>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</si>
  <si>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</si>
  <si>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</si>
  <si>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</si>
  <si>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</si>
  <si>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</si>
  <si>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</si>
  <si>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</si>
  <si>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</si>
  <si>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</si>
  <si>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</si>
  <si>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P/COLGAR (470322)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</si>
  <si>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</si>
  <si>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</si>
  <si>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</si>
  <si>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</si>
  <si>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</si>
  <si>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</si>
  <si>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</si>
  <si>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</si>
  <si>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</si>
  <si>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</si>
  <si>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</si>
  <si>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</si>
  <si>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</si>
  <si>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</si>
  <si>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</si>
  <si>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</si>
  <si>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</si>
  <si>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UNIVERSAL 51000 IDEAL</t>
  </si>
  <si>
    <t>DESCARGA FLAPPER CON BOTON BLANCO 1431 IDEAL</t>
  </si>
  <si>
    <t>DESCARGA FLAPPER CON BOTON CROMO 1432 IDEAL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</si>
  <si>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</si>
  <si>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</si>
  <si>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</si>
  <si>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</si>
  <si>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</si>
  <si>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</si>
  <si>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</si>
  <si>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</si>
  <si>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</si>
  <si>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</si>
  <si>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</si>
  <si>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</si>
  <si>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</si>
  <si>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</si>
  <si>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</si>
  <si>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</si>
  <si>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</si>
  <si>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</si>
  <si>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</si>
  <si>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</si>
  <si>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</si>
  <si>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</si>
  <si>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</si>
  <si>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</si>
  <si>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</si>
  <si>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</si>
  <si>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</si>
  <si>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</si>
  <si>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</si>
  <si>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</si>
  <si>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</si>
  <si>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</si>
  <si>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</si>
  <si>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</si>
  <si>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</si>
  <si>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</si>
  <si>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</si>
  <si>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</si>
  <si>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</si>
  <si>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</si>
  <si>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</si>
  <si>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</si>
  <si>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</si>
  <si>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</si>
  <si>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</si>
  <si>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</si>
  <si>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</si>
  <si>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</si>
  <si>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</si>
  <si>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</si>
  <si>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</si>
  <si>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</si>
  <si>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</si>
  <si>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</si>
  <si>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</si>
  <si>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</si>
  <si>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</si>
  <si>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</si>
  <si>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</si>
  <si>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</si>
  <si>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</si>
  <si>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</si>
  <si>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</si>
  <si>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100109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</si>
  <si>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</si>
  <si>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</si>
  <si>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</si>
  <si>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</si>
  <si>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</si>
  <si>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</si>
  <si>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</si>
  <si>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</si>
  <si>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</si>
  <si>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</si>
  <si>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</si>
  <si>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</si>
  <si>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</si>
  <si>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</si>
  <si>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</si>
  <si>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</si>
  <si>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</si>
  <si>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</si>
  <si>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</si>
  <si>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</si>
  <si>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</si>
  <si>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</si>
  <si>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</si>
  <si>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</si>
  <si>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</si>
  <si>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</si>
  <si>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</si>
  <si>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</si>
  <si>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</si>
  <si>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</si>
  <si>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</si>
  <si>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</si>
  <si>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</si>
  <si>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</si>
  <si>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</si>
  <si>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</si>
  <si>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</si>
  <si>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</si>
  <si>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</si>
  <si>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</si>
  <si>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</si>
  <si>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</si>
  <si>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</si>
  <si>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</si>
  <si>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</si>
  <si>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</si>
  <si>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</si>
  <si>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</si>
  <si>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</si>
  <si>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</si>
  <si>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</si>
  <si>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</si>
  <si>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</si>
  <si>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</si>
  <si>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</si>
  <si>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</si>
  <si>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</si>
  <si>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</si>
  <si>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</si>
  <si>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</si>
  <si>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</si>
  <si>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</si>
  <si>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</si>
  <si>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</si>
  <si>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</si>
  <si>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</si>
  <si>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</si>
  <si>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</si>
  <si>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</si>
  <si>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</si>
  <si>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</si>
  <si>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</si>
  <si>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</si>
  <si>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</si>
  <si>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INOX. 1/2 X 20 TG</t>
  </si>
  <si>
    <t>FLEXIBLE ANILLADO ACERO INOX. 1/2 X 25 TG</t>
  </si>
  <si>
    <t>FLEXIBLE ANILLADO ACERO INOX. 1/2 X 30 TG</t>
  </si>
  <si>
    <t>FLEXIBLE ANILLADO ACERO INOX. 1/2 X 35 TG</t>
  </si>
  <si>
    <t>FLEXIBLE ANILLADO ACERO INOX. 1/2 x 40 TG</t>
  </si>
  <si>
    <t>FLEXIBLE ANILLADO ACERO INOX. 1/2 X 50 TG</t>
  </si>
  <si>
    <t>FLEXIBLE ANILLADO ACERO INOX. 3/4 X 20 TG</t>
  </si>
  <si>
    <t>FLEXIBLE ANILLADO ACERO INOX. 3/4 X 25 TG</t>
  </si>
  <si>
    <t>FLEXIBLE ANILLADO ACERO INOX. 3/4 X 30 TG</t>
  </si>
  <si>
    <t>FLEXIBLE ANILLADO ACERO INOX. 3/4 X 35 TG</t>
  </si>
  <si>
    <t>FLEXIBLE ANILLADO ACERO INOX. 3/4 X 40 TG</t>
  </si>
  <si>
    <t>FLEXIBLE ANILLADO ACERO INOX.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</si>
  <si>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</si>
  <si>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</si>
  <si>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</si>
  <si>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</si>
  <si>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</si>
  <si>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</si>
  <si>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</si>
  <si>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</si>
  <si>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</si>
  <si>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</si>
  <si>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</si>
  <si>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</si>
  <si>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</si>
  <si>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</si>
  <si>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</si>
  <si>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</si>
  <si>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</si>
  <si>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</si>
  <si>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</si>
  <si>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</si>
  <si>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</si>
  <si>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</si>
  <si>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</si>
  <si>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</si>
  <si>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</si>
  <si>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</si>
  <si>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</si>
  <si>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</si>
  <si>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</si>
  <si>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</si>
  <si>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</si>
  <si>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</si>
  <si>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</si>
  <si>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</si>
  <si>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</si>
  <si>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</si>
  <si>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</si>
  <si>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</si>
  <si>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</si>
  <si>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</si>
  <si>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</si>
  <si>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</si>
  <si>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</si>
  <si>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</si>
  <si>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</si>
  <si>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</si>
  <si>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</si>
  <si>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</si>
  <si>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</si>
  <si>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</si>
  <si>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</si>
  <si>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</si>
  <si>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</si>
  <si>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</si>
  <si>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</si>
  <si>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</si>
  <si>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</si>
  <si>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</si>
  <si>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</si>
  <si>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</si>
  <si>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</si>
  <si>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</si>
  <si>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</si>
  <si>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</si>
  <si>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</si>
  <si>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</si>
  <si>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</si>
  <si>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</si>
  <si>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</si>
  <si>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</si>
  <si>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</si>
  <si>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</si>
  <si>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</si>
  <si>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</si>
  <si>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</si>
  <si>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</si>
  <si>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</si>
  <si>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</si>
  <si>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</si>
  <si>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</si>
  <si>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</si>
  <si>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</si>
  <si>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</si>
  <si>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</si>
  <si>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</si>
  <si>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</si>
  <si>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</si>
  <si>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</si>
  <si>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</si>
  <si>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</si>
  <si>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</si>
  <si>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</si>
  <si>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</si>
  <si>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</si>
  <si>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</si>
  <si>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</si>
  <si>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</si>
  <si>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</si>
  <si>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</si>
  <si>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</si>
  <si>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</si>
  <si>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</si>
  <si>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</si>
  <si>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</si>
  <si>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</si>
  <si>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</si>
  <si>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</si>
  <si>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</si>
  <si>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</si>
  <si>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</si>
  <si>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</si>
  <si>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</si>
  <si>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</si>
  <si>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</si>
  <si>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</si>
  <si>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</si>
  <si>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</si>
  <si>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</si>
  <si>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</si>
  <si>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</si>
  <si>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</si>
  <si>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</si>
  <si>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</si>
  <si>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</si>
  <si>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</si>
  <si>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</si>
  <si>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</si>
  <si>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</si>
  <si>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</si>
  <si>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</si>
  <si>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</si>
  <si>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</si>
  <si>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</si>
  <si>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</si>
  <si>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</si>
  <si>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</si>
  <si>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</si>
  <si>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</si>
  <si>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</si>
  <si>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</si>
  <si>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</si>
  <si>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</si>
  <si>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</si>
  <si>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</si>
  <si>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</si>
  <si>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</si>
  <si>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</si>
  <si>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</si>
  <si>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</si>
  <si>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</si>
  <si>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</si>
  <si>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</si>
  <si>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</si>
  <si>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</si>
  <si>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</si>
  <si>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</si>
  <si>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</si>
  <si>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</si>
  <si>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</si>
  <si>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</si>
  <si>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</si>
  <si>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</si>
  <si>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</si>
  <si>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</si>
  <si>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</si>
  <si>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</si>
  <si>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</si>
  <si>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</si>
  <si>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</si>
  <si>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</si>
  <si>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</si>
  <si>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</si>
  <si>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</si>
  <si>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</si>
  <si>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</si>
  <si>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</si>
  <si>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</si>
  <si>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</si>
  <si>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</si>
  <si>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</si>
  <si>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</si>
  <si>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</si>
  <si>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</si>
  <si>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</si>
  <si>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</si>
  <si>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</si>
  <si>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</si>
  <si>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</si>
  <si>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</si>
  <si>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</si>
  <si>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</si>
  <si>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</si>
  <si>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</si>
  <si>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</si>
  <si>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</si>
  <si>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</si>
  <si>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</si>
  <si>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</si>
  <si>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</si>
  <si>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</si>
  <si>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</si>
  <si>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</si>
  <si>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</si>
  <si>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</si>
  <si>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</si>
  <si>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</si>
  <si>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</si>
  <si>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</si>
  <si>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</si>
  <si>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</si>
  <si>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</si>
  <si>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</si>
  <si>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</si>
  <si>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</si>
  <si>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</si>
  <si>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</si>
  <si>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</si>
  <si>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</si>
  <si>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</si>
  <si>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</si>
  <si>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</si>
  <si>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</si>
  <si>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</si>
  <si>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</si>
  <si>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</si>
  <si>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</si>
  <si>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</si>
  <si>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</si>
  <si>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</si>
  <si>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</si>
  <si>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</si>
  <si>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</si>
  <si>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</si>
  <si>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</si>
  <si>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</si>
  <si>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</si>
  <si>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</si>
  <si>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</si>
  <si>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</si>
  <si>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</si>
  <si>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</si>
  <si>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</si>
  <si>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</si>
  <si>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</si>
  <si>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</si>
  <si>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</si>
  <si>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</si>
  <si>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</si>
  <si>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</si>
  <si>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</si>
  <si>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</si>
  <si>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</si>
  <si>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</si>
  <si>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</si>
  <si>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</si>
  <si>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</si>
  <si>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</si>
  <si>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</si>
  <si>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</si>
  <si>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</si>
  <si>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</si>
  <si>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</si>
  <si>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</si>
  <si>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</si>
  <si>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</si>
  <si>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</si>
  <si>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</si>
  <si>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</si>
  <si>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</si>
  <si>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</si>
  <si>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</si>
  <si>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</si>
  <si>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</si>
  <si>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</si>
  <si>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</si>
  <si>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</si>
  <si>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</si>
  <si>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</si>
  <si>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</si>
  <si>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</si>
  <si>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</si>
  <si>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</si>
  <si>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</si>
  <si>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</si>
  <si>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</si>
  <si>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</si>
  <si>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</si>
  <si>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</si>
  <si>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</si>
  <si>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</si>
  <si>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</si>
  <si>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</si>
  <si>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</si>
  <si>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</si>
  <si>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</si>
  <si>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</si>
  <si>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</si>
  <si>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</si>
  <si>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</si>
  <si>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</si>
  <si>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</si>
  <si>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</si>
  <si>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</si>
  <si>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</si>
  <si>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</si>
  <si>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</si>
  <si>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</si>
  <si>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</si>
  <si>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</si>
  <si>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</si>
  <si>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</si>
  <si>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</si>
  <si>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</si>
  <si>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</si>
  <si>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</si>
  <si>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</si>
  <si>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</si>
  <si>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</si>
  <si>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</si>
  <si>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</si>
  <si>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</si>
  <si>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</si>
  <si>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</si>
  <si>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</si>
  <si>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</si>
  <si>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</si>
  <si>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</si>
  <si>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</si>
  <si>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</si>
  <si>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</si>
  <si>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</si>
  <si>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</si>
  <si>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</si>
  <si>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</si>
  <si>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</si>
  <si>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</si>
  <si>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</si>
  <si>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</si>
  <si>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</si>
  <si>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</si>
  <si>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</si>
  <si>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</si>
  <si>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</si>
  <si>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</si>
  <si>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</si>
  <si>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</si>
  <si>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</si>
  <si>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</si>
  <si>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</si>
  <si>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</si>
  <si>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</si>
  <si>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</si>
  <si>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</si>
  <si>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</si>
  <si>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</si>
  <si>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</si>
  <si>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</si>
  <si>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</si>
  <si>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</si>
  <si>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</si>
  <si>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</si>
  <si>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</si>
  <si>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</si>
  <si>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</si>
  <si>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</si>
  <si>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</si>
  <si>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</si>
  <si>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</si>
  <si>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</si>
  <si>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</si>
  <si>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</si>
  <si>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</si>
  <si>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</si>
  <si>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</si>
  <si>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</si>
  <si>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</si>
  <si>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</si>
  <si>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</si>
  <si>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</si>
  <si>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</si>
  <si>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</si>
  <si>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</si>
  <si>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</si>
  <si>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</si>
  <si>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</si>
  <si>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</si>
  <si>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</si>
  <si>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</si>
  <si>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</si>
  <si>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</si>
  <si>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</si>
  <si>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</si>
  <si>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</si>
  <si>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</si>
  <si>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</si>
  <si>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</si>
  <si>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</si>
  <si>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</si>
  <si>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</si>
  <si>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</si>
  <si>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</si>
  <si>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</si>
  <si>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</si>
  <si>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</si>
  <si>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</si>
  <si>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</si>
  <si>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</si>
  <si>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</si>
  <si>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</si>
  <si>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</si>
  <si>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</si>
  <si>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</si>
  <si>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</si>
  <si>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</si>
  <si>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</si>
  <si>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</si>
  <si>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</si>
  <si>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</si>
  <si>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</si>
  <si>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</si>
  <si>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</si>
  <si>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</si>
  <si>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</si>
  <si>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</si>
  <si>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</si>
  <si>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</si>
  <si>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</si>
  <si>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</si>
  <si>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</si>
  <si>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</si>
  <si>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</si>
  <si>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</si>
  <si>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</si>
  <si>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</si>
  <si>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</si>
  <si>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</si>
  <si>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</si>
  <si>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</si>
  <si>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</si>
  <si>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</si>
  <si>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</si>
  <si>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</si>
  <si>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</si>
  <si>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</si>
  <si>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</si>
  <si>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</si>
  <si>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</si>
  <si>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</si>
  <si>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</si>
  <si>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</si>
  <si>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</si>
  <si>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</si>
  <si>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</si>
  <si>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</si>
  <si>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</si>
  <si>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</si>
  <si>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</si>
  <si>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</si>
  <si>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</si>
  <si>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</si>
  <si>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</si>
  <si>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</si>
  <si>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</si>
  <si>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</si>
  <si>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</si>
  <si>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</si>
  <si>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</si>
  <si>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</si>
  <si>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</si>
  <si>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</si>
  <si>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</si>
  <si>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</si>
  <si>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</si>
  <si>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</si>
  <si>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</si>
  <si>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</si>
  <si>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</si>
  <si>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</si>
  <si>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</si>
  <si>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</si>
  <si>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</si>
  <si>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</si>
  <si>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</si>
  <si>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</si>
  <si>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</si>
  <si>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</si>
  <si>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</si>
  <si>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</si>
  <si>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</si>
  <si>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</si>
  <si>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</si>
  <si>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</si>
  <si>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</si>
  <si>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</si>
  <si>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</si>
  <si>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</si>
  <si>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</si>
  <si>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</si>
  <si>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</si>
  <si>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</si>
  <si>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</si>
  <si>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</si>
  <si>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</si>
  <si>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</si>
  <si>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</si>
  <si>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</si>
  <si>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</si>
  <si>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</si>
  <si>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</si>
  <si>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</si>
  <si>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</si>
  <si>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</si>
  <si>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</si>
  <si>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</si>
  <si>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</si>
  <si>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</si>
  <si>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</si>
  <si>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</si>
  <si>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</si>
  <si>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</si>
  <si>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</si>
  <si>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</si>
  <si>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</si>
  <si>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</si>
  <si>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</si>
  <si>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</si>
  <si>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</si>
  <si>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</si>
  <si>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</si>
  <si>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</si>
  <si>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</si>
  <si>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</si>
  <si>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</si>
  <si>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</si>
  <si>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</si>
  <si>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</si>
  <si>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</si>
  <si>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</si>
  <si>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</si>
  <si>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</si>
  <si>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</si>
  <si>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</si>
  <si>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</si>
  <si>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</si>
  <si>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</si>
  <si>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</si>
  <si>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</si>
  <si>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</si>
  <si>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</si>
  <si>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</si>
  <si>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</si>
  <si>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</si>
  <si>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</si>
  <si>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</si>
  <si>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</si>
  <si>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</si>
  <si>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</si>
  <si>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</si>
  <si>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</si>
  <si>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</si>
  <si>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</si>
  <si>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</si>
  <si>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</si>
  <si>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</si>
  <si>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</si>
  <si>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</si>
  <si>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</si>
  <si>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</si>
  <si>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</si>
  <si>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</si>
  <si>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</si>
  <si>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</si>
  <si>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</si>
  <si>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</si>
  <si>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</si>
  <si>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</si>
  <si>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</si>
  <si>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</si>
  <si>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</si>
  <si>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</si>
  <si>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</si>
  <si>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</si>
  <si>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</si>
  <si>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</si>
  <si>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</si>
  <si>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</si>
  <si>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</si>
  <si>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</si>
  <si>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</si>
  <si>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</si>
  <si>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</si>
  <si>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</si>
  <si>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</si>
  <si>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</si>
  <si>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</si>
  <si>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</si>
  <si>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</si>
  <si>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</si>
  <si>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</si>
  <si>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</si>
  <si>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</si>
  <si>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</si>
  <si>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</si>
  <si>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</si>
  <si>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</si>
  <si>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</si>
  <si>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</si>
  <si>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</si>
  <si>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</si>
  <si>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</si>
  <si>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</si>
  <si>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</si>
  <si>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</si>
  <si>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</si>
  <si>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</si>
  <si>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</si>
  <si>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</si>
  <si>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</si>
  <si>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</si>
  <si>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</si>
  <si>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</si>
  <si>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</si>
  <si>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</si>
  <si>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</si>
  <si>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</si>
  <si>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</si>
  <si>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</si>
  <si>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</si>
  <si>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</si>
  <si>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</si>
  <si>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</si>
  <si>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</si>
  <si>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</si>
  <si>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</si>
  <si>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</si>
  <si>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</si>
  <si>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</si>
  <si>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</si>
  <si>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</si>
  <si>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</si>
  <si>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</si>
  <si>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</si>
  <si>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</si>
  <si>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</si>
  <si>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</si>
  <si>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</si>
  <si>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</si>
  <si>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</si>
  <si>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</si>
  <si>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</si>
  <si>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</si>
  <si>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</si>
  <si>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</si>
  <si>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</si>
  <si>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</si>
  <si>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</si>
  <si>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</si>
  <si>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</si>
  <si>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</si>
  <si>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</si>
  <si>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</si>
  <si>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</si>
  <si>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</si>
  <si>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DINATECNICA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</si>
  <si>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</si>
  <si>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</si>
  <si>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</si>
  <si>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</si>
  <si>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</si>
  <si>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</si>
  <si>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</si>
  <si>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</si>
  <si>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</si>
  <si>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</si>
  <si>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</si>
  <si>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</si>
  <si>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</si>
  <si>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</si>
  <si>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</si>
  <si>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</si>
  <si>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</si>
  <si>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</si>
  <si>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</si>
  <si>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</si>
  <si>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</si>
  <si>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</si>
  <si>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</si>
  <si>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</si>
  <si>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</si>
  <si>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</si>
  <si>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</si>
  <si>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</si>
  <si>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</si>
  <si>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</si>
  <si>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</si>
  <si>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</si>
  <si>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</si>
  <si>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</si>
  <si>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</si>
  <si>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</si>
  <si>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</si>
  <si>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</si>
  <si>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</si>
  <si>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</si>
  <si>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</si>
  <si>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</si>
  <si>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</si>
  <si>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</si>
  <si>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</si>
  <si>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</si>
  <si>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</si>
  <si>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</si>
  <si>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</si>
  <si>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</si>
  <si>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</si>
  <si>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</si>
  <si>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</si>
  <si>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</si>
  <si>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</si>
  <si>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</si>
  <si>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</si>
  <si>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</si>
  <si>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PICO ORBIS Y SIMPLEX CHATO ENVASADO (473) RM</t>
  </si>
  <si>
    <t>GAS PICO ORO AZUL ENVASADO (477) RM</t>
  </si>
  <si>
    <t>GAS PICO STANDAR ENVASADO (469) RM</t>
  </si>
  <si>
    <t>GAS PICO VOLCAN ENVASADO (479) RM</t>
  </si>
  <si>
    <t>GAS PILAR 1 1/4 X 3/4 MATRICULADO ALARSA</t>
  </si>
  <si>
    <t>GAS PILAR MEDIDOR 1 1/4 X 1 MI RE</t>
  </si>
  <si>
    <t>GAS PILAR MEDIDOR 1 1/4 X 3/4 MI RE</t>
  </si>
  <si>
    <t>GAS PILAR MEDIDOR 2 1/2 X 2 MI RE</t>
  </si>
  <si>
    <t>GAS PILAR MEDIDOR 2 X 1 1/4 MI RE</t>
  </si>
  <si>
    <t>GAS PILAR MEDIDOR 3/4 X 1 1/4 DINATECNICA</t>
  </si>
  <si>
    <t>GAS PILAR MEDIDOR 3/4 X 1 1/8 ALARSA</t>
  </si>
  <si>
    <t>GAS PILAR MEDIDOR 3/4 X 1 1/8 DINATECNICA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</si>
  <si>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</si>
  <si>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</si>
  <si>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</si>
  <si>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</si>
  <si>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</si>
  <si>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</si>
  <si>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</si>
  <si>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</si>
  <si>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</si>
  <si>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</si>
  <si>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</si>
  <si>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</si>
  <si>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</si>
  <si>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</si>
  <si>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</si>
  <si>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</si>
  <si>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</si>
  <si>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</si>
  <si>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</si>
  <si>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</si>
  <si>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</si>
  <si>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</si>
  <si>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</si>
  <si>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</si>
  <si>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</si>
  <si>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</si>
  <si>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</si>
  <si>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</si>
  <si>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</si>
  <si>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</si>
  <si>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</si>
  <si>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</si>
  <si>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</si>
  <si>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</si>
  <si>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</si>
  <si>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</si>
  <si>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</si>
  <si>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</si>
  <si>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</si>
  <si>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SINT P/ VALV 1/2 TRANSP (2261/1)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</si>
  <si>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</si>
  <si>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</si>
  <si>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</si>
  <si>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</si>
  <si>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</si>
  <si>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</si>
  <si>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</si>
  <si>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300MM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</si>
  <si>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</si>
  <si>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</si>
  <si>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</si>
  <si>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</si>
  <si>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</si>
  <si>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</si>
  <si>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</si>
  <si>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</si>
  <si>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</si>
  <si>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</si>
  <si>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</si>
  <si>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</si>
  <si>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</si>
  <si>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</si>
  <si>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</si>
  <si>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</si>
  <si>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</si>
  <si>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</si>
  <si>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</si>
  <si>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</si>
  <si>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</si>
  <si>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</si>
  <si>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</si>
  <si>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</si>
  <si>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</si>
  <si>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</si>
  <si>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</si>
  <si>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</si>
  <si>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</si>
  <si>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</si>
  <si>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</si>
  <si>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</si>
  <si>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</si>
  <si>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</si>
  <si>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</si>
  <si>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</si>
  <si>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</si>
  <si>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</si>
  <si>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</si>
  <si>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</si>
  <si>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</si>
  <si>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</si>
  <si>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</si>
  <si>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</si>
  <si>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</si>
  <si>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</si>
  <si>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</si>
  <si>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</si>
  <si>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</si>
  <si>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</si>
  <si>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</si>
  <si>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</si>
  <si>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</si>
  <si>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</si>
  <si>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</si>
  <si>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</si>
  <si>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</si>
  <si>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</si>
  <si>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</si>
  <si>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</si>
  <si>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</si>
  <si>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</si>
  <si>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</si>
  <si>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</si>
  <si>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</si>
  <si>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</si>
  <si>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</si>
  <si>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</si>
  <si>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</si>
  <si>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</si>
  <si>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</si>
  <si>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</si>
  <si>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</si>
  <si>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</si>
  <si>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</si>
  <si>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</si>
  <si>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</si>
  <si>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</si>
  <si>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</si>
  <si>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</si>
  <si>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</si>
  <si>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</si>
  <si>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</si>
  <si>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</si>
  <si>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</si>
  <si>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</si>
  <si>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</si>
  <si>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</si>
  <si>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</si>
  <si>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</si>
  <si>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</si>
  <si>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</si>
  <si>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</si>
  <si>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</si>
  <si>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</si>
  <si>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</si>
  <si>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</si>
  <si>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</si>
  <si>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</si>
  <si>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</si>
  <si>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</si>
  <si>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</si>
  <si>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</si>
  <si>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</si>
  <si>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</si>
  <si>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</si>
  <si>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</si>
  <si>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</si>
  <si>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</si>
  <si>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</si>
  <si>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</si>
  <si>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</si>
  <si>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</si>
  <si>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</si>
  <si>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</si>
  <si>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</si>
  <si>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</si>
  <si>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</si>
  <si>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</si>
  <si>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</si>
  <si>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4250 CROMO Y FV RM</t>
  </si>
  <si>
    <t>GRIFERIA CAMPANA PVC 4251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</si>
  <si>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</si>
  <si>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</si>
  <si>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</si>
  <si>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</si>
  <si>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</si>
  <si>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</si>
  <si>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</si>
  <si>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LAVATORIO CUZCO TG</t>
  </si>
  <si>
    <t>GRIFERIA LAVATORIO ''KIEV''TG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</si>
  <si>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</si>
  <si>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</si>
  <si>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</si>
  <si>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</si>
  <si>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</si>
  <si>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</si>
  <si>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</si>
  <si>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</si>
  <si>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</si>
  <si>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</si>
  <si>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</si>
  <si>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</si>
  <si>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</si>
  <si>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</si>
  <si>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</si>
  <si>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</si>
  <si>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</si>
  <si>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</si>
  <si>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</si>
  <si>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</si>
  <si>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</si>
  <si>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</si>
  <si>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</si>
  <si>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</si>
  <si>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GOMA VALVULA PIAZZA (2264) RM</t>
  </si>
  <si>
    <t>GUARNICION GOMA VALVULA/CANILLA 1/2 (2261) RM</t>
  </si>
  <si>
    <t>GUARNICION GOMA VALVULA/CANILLA 3/8 (2260) RM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</si>
  <si>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</si>
  <si>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</si>
  <si>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</si>
  <si>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</si>
  <si>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</si>
  <si>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</si>
  <si>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</si>
  <si>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</si>
  <si>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</si>
  <si>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</si>
  <si>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</si>
  <si>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</si>
  <si>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</si>
  <si>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</si>
  <si>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</si>
  <si>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</si>
  <si>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</si>
  <si>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</si>
  <si>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</si>
  <si>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</si>
  <si>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</si>
  <si>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</si>
  <si>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CUADRADA PEIRANO 2054 RM</t>
  </si>
  <si>
    <t>INSERTO BRONCE CUADRADA RI</t>
  </si>
  <si>
    <t>INSERTO BRONCE FINA FV 2050 RM</t>
  </si>
  <si>
    <t>INSERTO BRONCE FINA RI</t>
  </si>
  <si>
    <t>INSERTO BRONCE GRUES FV 2052 RM</t>
  </si>
  <si>
    <t>INSERTO BRONCE GRUESA RI</t>
  </si>
  <si>
    <t>INSERTO PVC CUADRADO PEIRANO 2057 RM</t>
  </si>
  <si>
    <t>INSERTO PVC FINO VOLANTE FV 2055 RM</t>
  </si>
  <si>
    <t>INSERTO PVC GRUESO VOLANTE FV 2056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</si>
  <si>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</si>
  <si>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</si>
  <si>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</si>
  <si>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</si>
  <si>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</si>
  <si>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</si>
  <si>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</si>
  <si>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</si>
  <si>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</si>
  <si>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</si>
  <si>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</si>
  <si>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</si>
  <si>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</si>
  <si>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</si>
  <si>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</si>
  <si>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</si>
  <si>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</si>
  <si>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</si>
  <si>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</si>
  <si>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</si>
  <si>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</si>
  <si>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</si>
  <si>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</si>
  <si>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</si>
  <si>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</si>
  <si>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</si>
  <si>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</si>
  <si>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</si>
  <si>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</si>
  <si>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</si>
  <si>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</si>
  <si>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</si>
  <si>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</si>
  <si>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</si>
  <si>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</si>
  <si>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</si>
  <si>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</si>
  <si>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</si>
  <si>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</si>
  <si>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</si>
  <si>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</si>
  <si>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</si>
  <si>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</si>
  <si>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</si>
  <si>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</si>
  <si>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</si>
  <si>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</si>
  <si>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</si>
  <si>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</si>
  <si>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</si>
  <si>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</si>
  <si>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</si>
  <si>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</si>
  <si>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</si>
  <si>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</si>
  <si>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</si>
  <si>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</si>
  <si>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</si>
  <si>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</si>
  <si>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</si>
  <si>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</si>
  <si>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</si>
  <si>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</si>
  <si>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</si>
  <si>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</si>
  <si>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</si>
  <si>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</si>
  <si>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</si>
  <si>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</si>
  <si>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</si>
  <si>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</si>
  <si>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</si>
  <si>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</si>
  <si>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</si>
  <si>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</si>
  <si>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</si>
  <si>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</si>
  <si>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</si>
  <si>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</si>
  <si>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</si>
  <si>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</si>
  <si>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</si>
  <si>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</si>
  <si>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</si>
  <si>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</si>
  <si>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</si>
  <si>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</si>
  <si>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</si>
  <si>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</si>
  <si>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</si>
  <si>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</si>
  <si>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</si>
  <si>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</si>
  <si>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</si>
  <si>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</si>
  <si>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</si>
  <si>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</si>
  <si>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</si>
  <si>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25 X 28 (471001) DEALER</t>
  </si>
  <si>
    <t>LAVATORIO DOHA ABS BLANCA P/ RECTO(7260)</t>
  </si>
  <si>
    <t>LAVATORIO PRESS CIERRE AUTO.MET.(9036)</t>
  </si>
  <si>
    <t>LLAVE MANDRIL T. JAC.DIAM.13,16MM(C0178)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</si>
  <si>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</si>
  <si>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</si>
  <si>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</si>
  <si>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</si>
  <si>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PASO HIERRO HH BRONCE 1/2 (9210)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</si>
  <si>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</si>
  <si>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</si>
  <si>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</si>
  <si>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</si>
  <si>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</si>
  <si>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</si>
  <si>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</si>
  <si>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</si>
  <si>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</si>
  <si>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</si>
  <si>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</si>
  <si>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</si>
  <si>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</si>
  <si>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</si>
  <si>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</si>
  <si>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</si>
  <si>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</si>
  <si>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</si>
  <si>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</si>
  <si>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</si>
  <si>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</si>
  <si>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</si>
  <si>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</si>
  <si>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</si>
  <si>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</si>
  <si>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</si>
  <si>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</si>
  <si>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</si>
  <si>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</si>
  <si>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</si>
  <si>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</si>
  <si>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</si>
  <si>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</si>
  <si>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</si>
  <si>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</si>
  <si>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</si>
  <si>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</si>
  <si>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</si>
  <si>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</si>
  <si>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</si>
  <si>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</si>
  <si>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</si>
  <si>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</si>
  <si>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</si>
  <si>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</si>
  <si>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</si>
  <si>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</si>
  <si>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</si>
  <si>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</si>
  <si>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</si>
  <si>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</si>
  <si>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</si>
  <si>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</si>
  <si>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</si>
  <si>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</si>
  <si>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</si>
  <si>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</si>
  <si>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</si>
  <si>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</si>
  <si>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</si>
  <si>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</si>
  <si>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</si>
  <si>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</si>
  <si>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</si>
  <si>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</si>
  <si>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</si>
  <si>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</si>
  <si>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</si>
  <si>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</si>
  <si>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</si>
  <si>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</si>
  <si>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</si>
  <si>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</si>
  <si>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</si>
  <si>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</si>
  <si>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</si>
  <si>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</si>
  <si>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</si>
  <si>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</si>
  <si>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</si>
  <si>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</si>
  <si>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</si>
  <si>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</si>
  <si>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</si>
  <si>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</si>
  <si>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</si>
  <si>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</si>
  <si>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</si>
  <si>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</si>
  <si>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</si>
  <si>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</si>
  <si>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</si>
  <si>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</si>
  <si>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</si>
  <si>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</si>
  <si>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</si>
  <si>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</si>
  <si>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</si>
  <si>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</si>
  <si>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</si>
  <si>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</si>
  <si>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</si>
  <si>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</si>
  <si>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</si>
  <si>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</si>
  <si>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</si>
  <si>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</si>
  <si>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MOCHILA ACCESO SUPERIOR LOSA</t>
  </si>
  <si>
    <t>MOCHILA DASH A CODO 31011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</si>
  <si>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</si>
  <si>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</si>
  <si>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</si>
  <si>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</si>
  <si>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</si>
  <si>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</si>
  <si>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</si>
  <si>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MONOCOMANDO 1 AGUA ROFFE TG</t>
  </si>
  <si>
    <t>MONOCOMANDO BIDET "AUSTIN"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</si>
  <si>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</si>
  <si>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</si>
  <si>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</si>
  <si>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</si>
  <si>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</si>
  <si>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</si>
  <si>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</si>
  <si>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</si>
  <si>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</si>
  <si>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</si>
  <si>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</si>
  <si>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</si>
  <si>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</si>
  <si>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</si>
  <si>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</si>
  <si>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</si>
  <si>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</si>
  <si>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</si>
  <si>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</si>
  <si>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</si>
  <si>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</si>
  <si>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</si>
  <si>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</si>
  <si>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</si>
  <si>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</si>
  <si>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</si>
  <si>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</si>
  <si>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</si>
  <si>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</si>
  <si>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</si>
  <si>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</si>
  <si>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</si>
  <si>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</si>
  <si>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</si>
  <si>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</si>
  <si>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</si>
  <si>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</si>
  <si>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</si>
  <si>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</si>
  <si>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</si>
  <si>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</si>
  <si>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</si>
  <si>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</si>
  <si>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</si>
  <si>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</si>
  <si>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</si>
  <si>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</si>
  <si>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</si>
  <si>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</si>
  <si>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</si>
  <si>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</si>
  <si>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</si>
  <si>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</si>
  <si>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</si>
  <si>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</si>
  <si>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</si>
  <si>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</si>
  <si>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</si>
  <si>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</si>
  <si>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</si>
  <si>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</si>
  <si>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</si>
  <si>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</si>
  <si>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</si>
  <si>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</si>
  <si>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</si>
  <si>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</si>
  <si>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</si>
  <si>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</si>
  <si>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</si>
  <si>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</si>
  <si>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</si>
  <si>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</si>
  <si>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</si>
  <si>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</si>
  <si>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</si>
  <si>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</si>
  <si>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</si>
  <si>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</si>
  <si>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</si>
  <si>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</si>
  <si>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</si>
  <si>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</si>
  <si>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</si>
  <si>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</si>
  <si>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</si>
  <si>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</si>
  <si>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</si>
  <si>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</si>
  <si>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</si>
  <si>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</si>
  <si>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</si>
  <si>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</si>
  <si>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</si>
  <si>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</si>
  <si>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</si>
  <si>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</si>
  <si>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</si>
  <si>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</si>
  <si>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</si>
  <si>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</si>
  <si>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</si>
  <si>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</si>
  <si>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</si>
  <si>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</si>
  <si>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</si>
  <si>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</si>
  <si>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</si>
  <si>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</si>
  <si>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</si>
  <si>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</si>
  <si>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</si>
  <si>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</si>
  <si>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</si>
  <si>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</si>
  <si>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</si>
  <si>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</si>
  <si>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</si>
  <si>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</si>
  <si>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</si>
  <si>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</si>
  <si>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</si>
  <si>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</si>
  <si>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</si>
  <si>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</si>
  <si>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</si>
  <si>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</si>
  <si>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</si>
  <si>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</si>
  <si>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</si>
  <si>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</si>
  <si>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</si>
  <si>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</si>
  <si>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</si>
  <si>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</si>
  <si>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</si>
  <si>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</si>
  <si>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</si>
  <si>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</si>
  <si>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</si>
  <si>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</si>
  <si>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</si>
  <si>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</si>
  <si>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</si>
  <si>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</si>
  <si>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</si>
  <si>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4360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</si>
  <si>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</si>
  <si>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</si>
  <si>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</si>
  <si>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</si>
  <si>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</si>
  <si>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</si>
  <si>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</si>
  <si>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</si>
  <si>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</si>
  <si>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</si>
  <si>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</si>
  <si>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</si>
  <si>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</si>
  <si>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COMPLETO 1/2 (2875) RM</t>
  </si>
  <si>
    <t>PICO BAÑERA COMPLETO 3/4 (2874) RM</t>
  </si>
  <si>
    <t>PICO CANILLA J TG</t>
  </si>
  <si>
    <t>PICO CANILLA J CURVO TG</t>
  </si>
  <si>
    <t>PICO CANILLA S TG</t>
  </si>
  <si>
    <t>PICO CANILLA U TG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</si>
  <si>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</si>
  <si>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</si>
  <si>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</si>
  <si>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</si>
  <si>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</si>
  <si>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</si>
  <si>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</si>
  <si>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</si>
  <si>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</si>
  <si>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</si>
  <si>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</si>
  <si>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</si>
  <si>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</si>
  <si>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</si>
  <si>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</si>
  <si>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</si>
  <si>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</si>
  <si>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</si>
  <si>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</si>
  <si>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</si>
  <si>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</si>
  <si>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</si>
  <si>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</si>
  <si>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</si>
  <si>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</si>
  <si>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</si>
  <si>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</si>
  <si>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</si>
  <si>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</si>
  <si>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</si>
  <si>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</si>
  <si>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</si>
  <si>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</si>
  <si>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</si>
  <si>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</si>
  <si>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</si>
  <si>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</si>
  <si>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</si>
  <si>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</si>
  <si>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</si>
  <si>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</si>
  <si>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</si>
  <si>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</si>
  <si>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</si>
  <si>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</si>
  <si>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</si>
  <si>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</si>
  <si>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</si>
  <si>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</si>
  <si>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</si>
  <si>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</si>
  <si>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</si>
  <si>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</si>
  <si>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</si>
  <si>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</si>
  <si>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</si>
  <si>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</si>
  <si>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</si>
  <si>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</si>
  <si>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</si>
  <si>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</si>
  <si>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</si>
  <si>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</si>
  <si>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</si>
  <si>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</si>
  <si>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</si>
  <si>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</si>
  <si>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</si>
  <si>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</si>
  <si>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</si>
  <si>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</si>
  <si>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</si>
  <si>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</si>
  <si>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</si>
  <si>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</si>
  <si>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</si>
  <si>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</si>
  <si>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</si>
  <si>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</si>
  <si>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</si>
  <si>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</si>
  <si>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</si>
  <si>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</si>
  <si>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</si>
  <si>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</si>
  <si>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</si>
  <si>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</si>
  <si>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</si>
  <si>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</si>
  <si>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</si>
  <si>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</si>
  <si>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</si>
  <si>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</si>
  <si>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</si>
  <si>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</si>
  <si>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</si>
  <si>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</si>
  <si>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</si>
  <si>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</si>
  <si>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</si>
  <si>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</si>
  <si>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</si>
  <si>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</si>
  <si>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</si>
  <si>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</si>
  <si>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</si>
  <si>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</si>
  <si>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</si>
  <si>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</si>
  <si>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</si>
  <si>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</si>
  <si>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</si>
  <si>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</si>
  <si>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</si>
  <si>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</si>
  <si>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</si>
  <si>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</si>
  <si>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</si>
  <si>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</si>
  <si>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</si>
  <si>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</si>
  <si>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</si>
  <si>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</si>
  <si>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</si>
  <si>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</si>
  <si>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</si>
  <si>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</si>
  <si>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</si>
  <si>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</si>
  <si>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</si>
  <si>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</si>
  <si>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</si>
  <si>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</si>
  <si>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</si>
  <si>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</si>
  <si>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</si>
  <si>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</si>
  <si>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</si>
  <si>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</si>
  <si>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</si>
  <si>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</si>
  <si>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</si>
  <si>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</si>
  <si>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</si>
  <si>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</si>
  <si>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</si>
  <si>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</si>
  <si>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</si>
  <si>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</si>
  <si>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</si>
  <si>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</si>
  <si>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</si>
  <si>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</si>
  <si>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</si>
  <si>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</si>
  <si>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</si>
  <si>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</si>
  <si>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</si>
  <si>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</si>
  <si>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</si>
  <si>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</si>
  <si>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</si>
  <si>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</si>
  <si>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</si>
  <si>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</si>
  <si>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</si>
  <si>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</si>
  <si>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</si>
  <si>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</si>
  <si>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</si>
  <si>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</si>
  <si>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</si>
  <si>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</si>
  <si>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</si>
  <si>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</si>
  <si>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</si>
  <si>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</si>
  <si>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</si>
  <si>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</si>
  <si>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</si>
  <si>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</si>
  <si>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</si>
  <si>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</si>
  <si>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</si>
  <si>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</si>
  <si>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</si>
  <si>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</si>
  <si>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</si>
  <si>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</si>
  <si>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</si>
  <si>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</si>
  <si>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</si>
  <si>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</si>
  <si>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</si>
  <si>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</si>
  <si>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</si>
  <si>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</si>
  <si>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</si>
  <si>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</si>
  <si>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</si>
  <si>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</si>
  <si>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</si>
  <si>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</si>
  <si>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</si>
  <si>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</si>
  <si>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</si>
  <si>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</si>
  <si>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</si>
  <si>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</si>
  <si>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</si>
  <si>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</si>
  <si>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</si>
  <si>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</si>
  <si>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</si>
  <si>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</si>
  <si>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</si>
  <si>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</si>
  <si>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</si>
  <si>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</si>
  <si>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</si>
  <si>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2 1/2 HH ATM</t>
  </si>
  <si>
    <t>PPN CODO 3 HH ATM</t>
  </si>
  <si>
    <t>PPN CODO 4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</si>
  <si>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</si>
  <si>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</si>
  <si>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</si>
  <si>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</si>
  <si>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</si>
  <si>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</si>
  <si>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</si>
  <si>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</si>
  <si>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</si>
  <si>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</si>
  <si>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</si>
  <si>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</si>
  <si>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</si>
  <si>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1/2 90° PROMEL</t>
  </si>
  <si>
    <t>PPN CODO MH 1 1/4 90° H6</t>
  </si>
  <si>
    <t>PPN CODO MH 1 45° H6</t>
  </si>
  <si>
    <t>PPN CODO MH 1 90°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</si>
  <si>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</si>
  <si>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</si>
  <si>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</si>
  <si>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</si>
  <si>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</si>
  <si>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</si>
  <si>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</si>
  <si>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</si>
  <si>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</si>
  <si>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</si>
  <si>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</si>
  <si>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</si>
  <si>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</si>
  <si>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</si>
  <si>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</si>
  <si>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</si>
  <si>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</si>
  <si>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</si>
  <si>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</si>
  <si>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</si>
  <si>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</si>
  <si>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</si>
  <si>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</si>
  <si>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</si>
  <si>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</si>
  <si>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</si>
  <si>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</si>
  <si>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</si>
  <si>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</si>
  <si>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</si>
  <si>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</si>
  <si>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</si>
  <si>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</si>
  <si>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</si>
  <si>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</si>
  <si>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</si>
  <si>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</si>
  <si>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</si>
  <si>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</si>
  <si>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</si>
  <si>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</si>
  <si>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</si>
  <si>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</si>
  <si>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</si>
  <si>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</si>
  <si>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</si>
  <si>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</si>
  <si>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</si>
  <si>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</si>
  <si>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</si>
  <si>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</si>
  <si>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</si>
  <si>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</si>
  <si>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</si>
  <si>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</si>
  <si>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</si>
  <si>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</si>
  <si>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</si>
  <si>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</si>
  <si>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</si>
  <si>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</si>
  <si>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</si>
  <si>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</si>
  <si>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</si>
  <si>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</si>
  <si>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</si>
  <si>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</si>
  <si>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</si>
  <si>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</si>
  <si>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</si>
  <si>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</si>
  <si>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</si>
  <si>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</si>
  <si>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</si>
  <si>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</si>
  <si>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</si>
  <si>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</si>
  <si>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</si>
  <si>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</si>
  <si>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</si>
  <si>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</si>
  <si>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</si>
  <si>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</si>
  <si>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</si>
  <si>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</si>
  <si>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</si>
  <si>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</si>
  <si>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</si>
  <si>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</si>
  <si>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</si>
  <si>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</si>
  <si>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</si>
  <si>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</si>
  <si>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</si>
  <si>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</si>
  <si>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</si>
  <si>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</si>
  <si>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</si>
  <si>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</si>
  <si>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</si>
  <si>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</si>
  <si>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</si>
  <si>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</si>
  <si>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</si>
  <si>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</si>
  <si>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</si>
  <si>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</si>
  <si>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</si>
  <si>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</si>
  <si>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</si>
  <si>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</si>
  <si>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</si>
  <si>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</si>
  <si>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</si>
  <si>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</si>
  <si>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</si>
  <si>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</si>
  <si>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</si>
  <si>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</si>
  <si>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</si>
  <si>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</si>
  <si>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</si>
  <si>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</si>
  <si>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</si>
  <si>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</si>
  <si>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</si>
  <si>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</si>
  <si>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</si>
  <si>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</si>
  <si>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</si>
  <si>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</si>
  <si>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</si>
  <si>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</si>
  <si>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</si>
  <si>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</si>
  <si>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</si>
  <si>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</si>
  <si>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</si>
  <si>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</si>
  <si>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</si>
  <si>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</si>
  <si>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</si>
  <si>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</si>
  <si>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</si>
  <si>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</si>
  <si>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</si>
  <si>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</si>
  <si>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</si>
  <si>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</si>
  <si>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</si>
  <si>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</si>
  <si>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</si>
  <si>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</si>
  <si>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</si>
  <si>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</si>
  <si>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</si>
  <si>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</si>
  <si>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</si>
  <si>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</si>
  <si>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</si>
  <si>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</si>
  <si>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</si>
  <si>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</si>
  <si>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</si>
  <si>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</si>
  <si>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</si>
  <si>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</si>
  <si>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</si>
  <si>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</si>
  <si>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</si>
  <si>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</si>
  <si>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</si>
  <si>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</si>
  <si>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</si>
  <si>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</si>
  <si>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</si>
  <si>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</si>
  <si>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</si>
  <si>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</si>
  <si>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</si>
  <si>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</si>
  <si>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</si>
  <si>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</si>
  <si>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</si>
  <si>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</si>
  <si>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</si>
  <si>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</si>
  <si>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</si>
  <si>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</si>
  <si>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</si>
  <si>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</si>
  <si>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</si>
  <si>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</si>
  <si>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</si>
  <si>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</si>
  <si>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</si>
  <si>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</si>
  <si>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</si>
  <si>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</si>
  <si>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</si>
  <si>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</si>
  <si>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</si>
  <si>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</si>
  <si>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</si>
  <si>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</si>
  <si>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</si>
  <si>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</si>
  <si>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</si>
  <si>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</si>
  <si>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</si>
  <si>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</si>
  <si>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</si>
  <si>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</si>
  <si>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</si>
  <si>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</si>
  <si>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</si>
  <si>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</si>
  <si>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</si>
  <si>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</si>
  <si>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</si>
  <si>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</si>
  <si>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</si>
  <si>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</si>
  <si>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</si>
  <si>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</si>
  <si>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</si>
  <si>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</si>
  <si>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</si>
  <si>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</si>
  <si>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</si>
  <si>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</si>
  <si>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</si>
  <si>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</si>
  <si>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</si>
  <si>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</si>
  <si>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</si>
  <si>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</si>
  <si>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</si>
  <si>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</si>
  <si>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</si>
  <si>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</si>
  <si>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</si>
  <si>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</si>
  <si>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</si>
  <si>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</si>
  <si>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</si>
  <si>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</si>
  <si>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</si>
  <si>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</si>
  <si>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</si>
  <si>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</si>
  <si>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</si>
  <si>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</si>
  <si>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</si>
  <si>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</si>
  <si>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</si>
  <si>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</si>
  <si>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</si>
  <si>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</si>
  <si>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</si>
  <si>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</si>
  <si>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</si>
  <si>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</si>
  <si>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</si>
  <si>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</si>
  <si>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</si>
  <si>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</si>
  <si>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</si>
  <si>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</si>
  <si>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</si>
  <si>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</si>
  <si>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</si>
  <si>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</si>
  <si>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</si>
  <si>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</si>
  <si>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</si>
  <si>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</si>
  <si>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</si>
  <si>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</si>
  <si>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</si>
  <si>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</si>
  <si>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</si>
  <si>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</si>
  <si>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</si>
  <si>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</si>
  <si>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</si>
  <si>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</si>
  <si>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</si>
  <si>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</si>
  <si>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</si>
  <si>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</si>
  <si>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</si>
  <si>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</si>
  <si>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</si>
  <si>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</si>
  <si>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</si>
  <si>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</si>
  <si>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</si>
  <si>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</si>
  <si>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</si>
  <si>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</si>
  <si>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</si>
  <si>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</si>
  <si>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</si>
  <si>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2031 POLIANG. ORING AWADUC</t>
  </si>
  <si>
    <t>PPP ORING PILETA PATIO 2044 4 ENT SIFON DESC 40 X</t>
  </si>
  <si>
    <t>PPP ORING PILETA PATIO 2110 3 ENT 40 X 63 MODULO</t>
  </si>
  <si>
    <t>PPP ORING PILETA PATIO 6075 110 X 63 AWADUCT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</si>
  <si>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</si>
  <si>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</si>
  <si>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</si>
  <si>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</si>
  <si>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</si>
  <si>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</si>
  <si>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</si>
  <si>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</si>
  <si>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</si>
  <si>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</si>
  <si>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</si>
  <si>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</si>
  <si>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</si>
  <si>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</si>
  <si>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</si>
  <si>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</si>
  <si>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</si>
  <si>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</si>
  <si>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</si>
  <si>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</si>
  <si>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</si>
  <si>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</si>
  <si>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</si>
  <si>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</si>
  <si>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</si>
  <si>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</si>
  <si>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</si>
  <si>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</si>
  <si>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</si>
  <si>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</si>
  <si>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</si>
  <si>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</si>
  <si>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</si>
  <si>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</si>
  <si>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</si>
  <si>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</si>
  <si>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</si>
  <si>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</si>
  <si>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</si>
  <si>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</si>
  <si>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</si>
  <si>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</si>
  <si>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</si>
  <si>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</si>
  <si>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</si>
  <si>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</si>
  <si>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</si>
  <si>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</si>
  <si>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</si>
  <si>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</si>
  <si>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</si>
  <si>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</si>
  <si>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</si>
  <si>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</si>
  <si>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</si>
  <si>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</si>
  <si>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</si>
  <si>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</si>
  <si>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</si>
  <si>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</si>
  <si>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</si>
  <si>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</si>
  <si>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</si>
  <si>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</si>
  <si>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</si>
  <si>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</si>
  <si>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</si>
  <si>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</si>
  <si>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</si>
  <si>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</si>
  <si>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</si>
  <si>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</si>
  <si>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</si>
  <si>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</si>
  <si>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</si>
  <si>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</si>
  <si>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</si>
  <si>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</si>
  <si>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</si>
  <si>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</si>
  <si>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</si>
  <si>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</si>
  <si>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</si>
  <si>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</si>
  <si>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</si>
  <si>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</si>
  <si>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</si>
  <si>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</si>
  <si>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</si>
  <si>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</si>
  <si>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</si>
  <si>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</si>
  <si>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</si>
  <si>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</si>
  <si>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</si>
  <si>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</si>
  <si>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</si>
  <si>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</si>
  <si>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</si>
  <si>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</si>
  <si>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</si>
  <si>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</si>
  <si>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</si>
  <si>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</si>
  <si>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</si>
  <si>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</si>
  <si>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</si>
  <si>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</si>
  <si>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</si>
  <si>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</si>
  <si>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</si>
  <si>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</si>
  <si>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</si>
  <si>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</si>
  <si>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</si>
  <si>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</si>
  <si>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</si>
  <si>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</si>
  <si>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</si>
  <si>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</si>
  <si>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</si>
  <si>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</si>
  <si>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</si>
  <si>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</si>
  <si>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</si>
  <si>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</si>
  <si>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</si>
  <si>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</si>
  <si>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</si>
  <si>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</si>
  <si>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</si>
  <si>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</si>
  <si>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</si>
  <si>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</si>
  <si>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</si>
  <si>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</si>
  <si>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</si>
  <si>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</si>
  <si>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</si>
  <si>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</si>
  <si>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</si>
  <si>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</si>
  <si>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</si>
  <si>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</si>
  <si>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</si>
  <si>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</si>
  <si>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</si>
  <si>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</si>
  <si>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</si>
  <si>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</si>
  <si>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</si>
  <si>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</si>
  <si>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</si>
  <si>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</si>
  <si>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</si>
  <si>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</si>
  <si>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</si>
  <si>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</si>
  <si>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</si>
  <si>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</si>
  <si>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</si>
  <si>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</si>
  <si>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</si>
  <si>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</si>
  <si>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</si>
  <si>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</si>
  <si>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</si>
  <si>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</si>
  <si>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</si>
  <si>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</si>
  <si>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</si>
  <si>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</si>
  <si>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</si>
  <si>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</si>
  <si>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</si>
  <si>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</si>
  <si>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</si>
  <si>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</si>
  <si>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</si>
  <si>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</si>
  <si>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</si>
  <si>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</si>
  <si>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</si>
  <si>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</si>
  <si>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</si>
  <si>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</si>
  <si>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</si>
  <si>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</si>
  <si>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</si>
  <si>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</si>
  <si>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</si>
  <si>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</si>
  <si>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</si>
  <si>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</si>
  <si>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</si>
  <si>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</si>
  <si>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</si>
  <si>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</si>
  <si>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</si>
  <si>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</si>
  <si>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</si>
  <si>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</si>
  <si>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</si>
  <si>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</si>
  <si>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</si>
  <si>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</si>
  <si>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</si>
  <si>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</si>
  <si>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</si>
  <si>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</si>
  <si>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</si>
  <si>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</si>
  <si>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</si>
  <si>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</si>
  <si>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</si>
  <si>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</si>
  <si>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</si>
  <si>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</si>
  <si>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</si>
  <si>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</si>
  <si>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</si>
  <si>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</si>
  <si>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</si>
  <si>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</si>
  <si>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</si>
  <si>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</si>
  <si>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</si>
  <si>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</si>
  <si>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</si>
  <si>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</si>
  <si>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</si>
  <si>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</si>
  <si>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</si>
  <si>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</si>
  <si>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</si>
  <si>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</si>
  <si>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</si>
  <si>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</si>
  <si>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</si>
  <si>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</si>
  <si>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</si>
  <si>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</si>
  <si>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</si>
  <si>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</si>
  <si>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</si>
  <si>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</si>
  <si>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</si>
  <si>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</si>
  <si>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</si>
  <si>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</si>
  <si>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</si>
  <si>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</si>
  <si>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</si>
  <si>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</si>
  <si>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</si>
  <si>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</si>
  <si>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</si>
  <si>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</si>
  <si>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</si>
  <si>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</si>
  <si>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</si>
  <si>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</si>
  <si>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</si>
  <si>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</si>
  <si>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</si>
  <si>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</si>
  <si>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</si>
  <si>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</si>
  <si>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</si>
  <si>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</si>
  <si>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</si>
  <si>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</si>
  <si>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</si>
  <si>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</si>
  <si>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</si>
  <si>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</si>
  <si>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</si>
  <si>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</si>
  <si>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</si>
  <si>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</si>
  <si>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</si>
  <si>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</si>
  <si>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</si>
  <si>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</si>
  <si>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</si>
  <si>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</si>
  <si>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</si>
  <si>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</si>
  <si>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</si>
  <si>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</si>
  <si>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</si>
  <si>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</si>
  <si>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</si>
  <si>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</si>
  <si>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</si>
  <si>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</si>
  <si>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</si>
  <si>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</si>
  <si>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</si>
  <si>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</si>
  <si>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</si>
  <si>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</si>
  <si>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</si>
  <si>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</si>
  <si>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</si>
  <si>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</si>
  <si>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</si>
  <si>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</si>
  <si>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</si>
  <si>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</si>
  <si>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</si>
  <si>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</si>
  <si>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</si>
  <si>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</si>
  <si>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</si>
  <si>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</si>
  <si>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</si>
  <si>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</si>
  <si>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</si>
  <si>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</si>
  <si>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</si>
  <si>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</si>
  <si>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</si>
  <si>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</si>
  <si>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</si>
  <si>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</si>
  <si>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</si>
  <si>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</si>
  <si>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</si>
  <si>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</si>
  <si>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</si>
  <si>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</si>
  <si>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</si>
  <si>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</si>
  <si>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</si>
  <si>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</si>
  <si>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</si>
  <si>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</si>
  <si>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</si>
  <si>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CURVA 90° 40 MH INYECTADO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</si>
  <si>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</si>
  <si>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</si>
  <si>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</si>
  <si>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</si>
  <si>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</si>
  <si>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</si>
  <si>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</si>
  <si>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</si>
  <si>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</si>
  <si>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</si>
  <si>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</si>
  <si>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</si>
  <si>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</si>
  <si>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</si>
  <si>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</si>
  <si>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</si>
  <si>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</si>
  <si>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</si>
  <si>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</si>
  <si>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</si>
  <si>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</si>
  <si>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</si>
  <si>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</si>
  <si>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</si>
  <si>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</si>
  <si>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</si>
  <si>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</si>
  <si>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</si>
  <si>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</si>
  <si>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</si>
  <si>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</si>
  <si>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</si>
  <si>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</si>
  <si>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</si>
  <si>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</si>
  <si>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</si>
  <si>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</si>
  <si>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</si>
  <si>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</si>
  <si>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</si>
  <si>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</si>
  <si>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</si>
  <si>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</si>
  <si>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</si>
  <si>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</si>
  <si>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</si>
  <si>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</si>
  <si>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</si>
  <si>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</si>
  <si>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</si>
  <si>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</si>
  <si>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</si>
  <si>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</si>
  <si>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</si>
  <si>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</si>
  <si>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</si>
  <si>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</si>
  <si>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</si>
  <si>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</si>
  <si>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</si>
  <si>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</si>
  <si>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</si>
  <si>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</si>
  <si>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</si>
  <si>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</si>
  <si>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</si>
  <si>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</si>
  <si>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</si>
  <si>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</si>
  <si>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</si>
  <si>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</si>
  <si>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</si>
  <si>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</si>
  <si>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</si>
  <si>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</si>
  <si>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</si>
  <si>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</si>
  <si>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</si>
  <si>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</si>
  <si>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</si>
  <si>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</si>
  <si>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</si>
  <si>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</si>
  <si>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</si>
  <si>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</si>
  <si>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</si>
  <si>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</si>
  <si>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</si>
  <si>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</si>
  <si>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</si>
  <si>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</si>
  <si>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</si>
  <si>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</si>
  <si>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</si>
  <si>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</si>
  <si>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</si>
  <si>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</si>
  <si>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</si>
  <si>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</si>
  <si>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</si>
  <si>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</si>
  <si>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</si>
  <si>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</si>
  <si>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</si>
  <si>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</si>
  <si>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</si>
  <si>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</si>
  <si>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</si>
  <si>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</si>
  <si>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</si>
  <si>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</si>
  <si>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</si>
  <si>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</si>
  <si>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</si>
  <si>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</si>
  <si>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</si>
  <si>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</si>
  <si>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</si>
  <si>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</si>
  <si>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</si>
  <si>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</si>
  <si>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</si>
  <si>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</si>
  <si>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</si>
  <si>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</si>
  <si>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</si>
  <si>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</si>
  <si>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</si>
  <si>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</si>
  <si>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</si>
  <si>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</si>
  <si>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</si>
  <si>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</si>
  <si>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</si>
  <si>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</si>
  <si>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</si>
  <si>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</si>
  <si>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</si>
  <si>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</si>
  <si>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</si>
  <si>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</si>
  <si>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</si>
  <si>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</si>
  <si>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</si>
  <si>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</si>
  <si>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</si>
  <si>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</si>
  <si>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</si>
  <si>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</si>
  <si>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</si>
  <si>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</si>
  <si>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</si>
  <si>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</si>
  <si>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</si>
  <si>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</si>
  <si>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</si>
  <si>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</si>
  <si>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</si>
  <si>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</si>
  <si>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</si>
  <si>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</si>
  <si>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</si>
  <si>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</si>
  <si>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</si>
  <si>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</si>
  <si>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</si>
  <si>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</si>
  <si>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</si>
  <si>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</si>
  <si>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</si>
  <si>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</si>
  <si>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</si>
  <si>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</si>
  <si>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</si>
  <si>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</si>
  <si>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</si>
  <si>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</si>
  <si>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</si>
  <si>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</si>
  <si>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</si>
  <si>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</si>
  <si>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</si>
  <si>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</si>
  <si>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</si>
  <si>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</si>
  <si>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</si>
  <si>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</si>
  <si>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</si>
  <si>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</si>
  <si>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</si>
  <si>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</si>
  <si>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</si>
  <si>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MH (ECO)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</si>
  <si>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</si>
  <si>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</si>
  <si>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</si>
  <si>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</si>
  <si>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</si>
  <si>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</si>
  <si>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</si>
  <si>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</si>
  <si>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</si>
  <si>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</si>
  <si>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</si>
  <si>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</si>
  <si>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</si>
  <si>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</si>
  <si>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</si>
  <si>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</si>
  <si>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</si>
  <si>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</si>
  <si>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</si>
  <si>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</si>
  <si>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</si>
  <si>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</si>
  <si>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</si>
  <si>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</si>
  <si>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</si>
  <si>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</si>
  <si>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</si>
  <si>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</si>
  <si>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</si>
  <si>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</si>
  <si>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</si>
  <si>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</si>
  <si>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</si>
  <si>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</si>
  <si>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</si>
  <si>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</si>
  <si>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</si>
  <si>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</si>
  <si>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</si>
  <si>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</si>
  <si>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</si>
  <si>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</si>
  <si>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</si>
  <si>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</si>
  <si>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</si>
  <si>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</si>
  <si>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</si>
  <si>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</si>
  <si>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</si>
  <si>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</si>
  <si>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</si>
  <si>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</si>
  <si>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</si>
  <si>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</si>
  <si>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</si>
  <si>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</si>
  <si>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</si>
  <si>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</si>
  <si>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</si>
  <si>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</si>
  <si>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</si>
  <si>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</si>
  <si>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</si>
  <si>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</si>
  <si>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</si>
  <si>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</si>
  <si>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</si>
  <si>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</si>
  <si>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</si>
  <si>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</si>
  <si>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</si>
  <si>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</si>
  <si>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</si>
  <si>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</si>
  <si>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</si>
  <si>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</si>
  <si>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</si>
  <si>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</si>
  <si>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</si>
  <si>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</si>
  <si>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</si>
  <si>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</si>
  <si>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</si>
  <si>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</si>
  <si>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</si>
  <si>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</si>
  <si>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</si>
  <si>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</si>
  <si>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</si>
  <si>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</si>
  <si>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</si>
  <si>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</si>
  <si>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</si>
  <si>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</si>
  <si>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</si>
  <si>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</si>
  <si>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</si>
  <si>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</si>
  <si>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</si>
  <si>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</si>
  <si>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</si>
  <si>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</si>
  <si>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</si>
  <si>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</si>
  <si>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</si>
  <si>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</si>
  <si>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</si>
  <si>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</si>
  <si>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</si>
  <si>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</si>
  <si>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</si>
  <si>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</si>
  <si>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</si>
  <si>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</si>
  <si>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</si>
  <si>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</si>
  <si>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</si>
  <si>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</si>
  <si>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</si>
  <si>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</si>
  <si>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</si>
  <si>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</si>
  <si>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</si>
  <si>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</si>
  <si>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</si>
  <si>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</si>
  <si>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</si>
  <si>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</si>
  <si>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</si>
  <si>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</si>
  <si>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</si>
  <si>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</si>
  <si>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</si>
  <si>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</si>
  <si>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</si>
  <si>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</si>
  <si>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</si>
  <si>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</si>
  <si>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</si>
  <si>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</si>
  <si>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</si>
  <si>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</si>
  <si>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</si>
  <si>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</si>
  <si>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</si>
  <si>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</si>
  <si>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</si>
  <si>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</si>
  <si>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</si>
  <si>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</si>
  <si>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</si>
  <si>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</si>
  <si>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</si>
  <si>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</si>
  <si>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</si>
  <si>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</si>
  <si>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</si>
  <si>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</si>
  <si>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</si>
  <si>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</si>
  <si>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</si>
  <si>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</si>
  <si>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</si>
  <si>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</si>
  <si>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</si>
  <si>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</si>
  <si>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</si>
  <si>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</si>
  <si>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</si>
  <si>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</si>
  <si>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</si>
  <si>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</si>
  <si>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</si>
  <si>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</si>
  <si>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</si>
  <si>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</si>
  <si>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</si>
  <si>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</si>
  <si>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</si>
  <si>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</si>
  <si>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</si>
  <si>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</si>
  <si>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</si>
  <si>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</si>
  <si>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</si>
  <si>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</si>
  <si>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</si>
  <si>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</si>
  <si>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</si>
  <si>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</si>
  <si>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</si>
  <si>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</si>
  <si>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</si>
  <si>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</si>
  <si>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</si>
  <si>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</si>
  <si>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</si>
  <si>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</si>
  <si>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</si>
  <si>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</si>
  <si>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</si>
  <si>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</si>
  <si>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</si>
  <si>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</si>
  <si>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</si>
  <si>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</si>
  <si>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</si>
  <si>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</si>
  <si>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</si>
  <si>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</si>
  <si>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</si>
  <si>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</si>
  <si>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</si>
  <si>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</si>
  <si>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</si>
  <si>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</si>
  <si>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SELLADOR 25 CC GALI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</si>
  <si>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</si>
  <si>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</si>
  <si>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</si>
  <si>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</si>
  <si>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</si>
  <si>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</si>
  <si>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</si>
  <si>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</si>
  <si>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</si>
  <si>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</si>
  <si>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</si>
  <si>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</si>
  <si>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</si>
  <si>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</si>
  <si>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1016 PVC 1/2 X 3/8 MA</t>
  </si>
  <si>
    <t>RAMAL LAVATORIO 1017 PVC 1/2 X 1/2 MA</t>
  </si>
  <si>
    <t>RAMAL LAVATORIO BRONCE 1/2 X 1/2 (2300) RM</t>
  </si>
  <si>
    <t>RAMAL LAVATORIO BRONCE 1/2 X 3/8 (2302) RM</t>
  </si>
  <si>
    <t>RAMAL LAVATORIO PVC 1/2 X 1/2 2312 RM</t>
  </si>
  <si>
    <t>RAMAL LAVATORIO PVC 1/2 X 3/8 2313 RM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</si>
  <si>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</si>
  <si>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</si>
  <si>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</si>
  <si>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</si>
  <si>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</si>
  <si>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</si>
  <si>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</si>
  <si>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</si>
  <si>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</si>
  <si>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</si>
  <si>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</si>
  <si>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</si>
  <si>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</si>
  <si>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</si>
  <si>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</si>
  <si>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</si>
  <si>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</si>
  <si>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</si>
  <si>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</si>
  <si>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</si>
  <si>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</si>
  <si>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</si>
  <si>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</si>
  <si>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</si>
  <si>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</si>
  <si>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</si>
  <si>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</si>
  <si>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</si>
  <si>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</si>
  <si>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</si>
  <si>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</si>
  <si>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</si>
  <si>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</si>
  <si>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</si>
  <si>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</si>
  <si>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</si>
  <si>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</si>
  <si>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</si>
  <si>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</si>
  <si>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</si>
  <si>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</si>
  <si>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15 CM BEIGE WP</t>
  </si>
  <si>
    <t>REJILLA FLEX 10 X 15 CM BLANCO WP</t>
  </si>
  <si>
    <t>REJILLA FLEX 10 X 15 CM GRIS WP</t>
  </si>
  <si>
    <t>REJILLA FLEX 10 X 15 CM NEGRA WP</t>
  </si>
  <si>
    <t>REJILLA FLEX 10 X 50 CM GRIS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</si>
  <si>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</si>
  <si>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</si>
  <si>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</si>
  <si>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</si>
  <si>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</si>
  <si>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</si>
  <si>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</si>
  <si>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</si>
  <si>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</si>
  <si>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</si>
  <si>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</si>
  <si>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</si>
  <si>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</si>
  <si>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</si>
  <si>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</si>
  <si>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</si>
  <si>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</si>
  <si>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</si>
  <si>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</si>
  <si>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</si>
  <si>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</si>
  <si>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</si>
  <si>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</si>
  <si>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</si>
  <si>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</si>
  <si>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</si>
  <si>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</si>
  <si>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</si>
  <si>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</si>
  <si>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</si>
  <si>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</si>
  <si>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</si>
  <si>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</si>
  <si>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</si>
  <si>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</si>
  <si>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</si>
  <si>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</si>
  <si>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</si>
  <si>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</si>
  <si>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</si>
  <si>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</si>
  <si>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</si>
  <si>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</si>
  <si>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</si>
  <si>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</si>
  <si>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</si>
  <si>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</si>
  <si>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</si>
  <si>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</si>
  <si>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</si>
  <si>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</si>
  <si>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</si>
  <si>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</si>
  <si>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</si>
  <si>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</si>
  <si>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</si>
  <si>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</si>
  <si>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</si>
  <si>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</si>
  <si>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</si>
  <si>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</si>
  <si>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</si>
  <si>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</si>
  <si>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</si>
  <si>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</si>
  <si>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</si>
  <si>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</si>
  <si>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</si>
  <si>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</si>
  <si>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FLEXIBLE 1/2 WP</t>
  </si>
  <si>
    <t>ROSETA ACERO FLEXIBLE 1/2 4861 RM</t>
  </si>
  <si>
    <t>ROSETA ACERO FLEXIBLE 3/4 WP</t>
  </si>
  <si>
    <t>ROSETA ACERO FLEXIBLE 3/4 4862 RM</t>
  </si>
  <si>
    <t>ROSETA ACERO HEXAGONAL 1/2 TG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</si>
  <si>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</si>
  <si>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</si>
  <si>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</si>
  <si>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</si>
  <si>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</si>
  <si>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</si>
  <si>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</si>
  <si>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</si>
  <si>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</si>
  <si>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</si>
  <si>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</si>
  <si>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</si>
  <si>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</si>
  <si>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</si>
  <si>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</si>
  <si>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</si>
  <si>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</si>
  <si>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</si>
  <si>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</si>
  <si>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</si>
  <si>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</si>
  <si>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</si>
  <si>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</si>
  <si>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</si>
  <si>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</si>
  <si>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</si>
  <si>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</si>
  <si>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</si>
  <si>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</si>
  <si>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</si>
  <si>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</si>
  <si>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</si>
  <si>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</si>
  <si>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</si>
  <si>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</si>
  <si>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</si>
  <si>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</si>
  <si>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</si>
  <si>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</si>
  <si>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</si>
  <si>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</si>
  <si>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</si>
  <si>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</si>
  <si>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</si>
  <si>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</si>
  <si>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</si>
  <si>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</si>
  <si>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</si>
  <si>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</si>
  <si>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</si>
  <si>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</si>
  <si>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</si>
  <si>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</si>
  <si>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</si>
  <si>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</si>
  <si>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</si>
  <si>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</si>
  <si>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</si>
  <si>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</si>
  <si>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</si>
  <si>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</si>
  <si>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</si>
  <si>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</si>
  <si>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</si>
  <si>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</si>
  <si>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</si>
  <si>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</si>
  <si>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</si>
  <si>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</si>
  <si>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</si>
  <si>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</si>
  <si>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</si>
  <si>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</si>
  <si>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</si>
  <si>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</si>
  <si>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</si>
  <si>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</si>
  <si>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</si>
  <si>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</si>
  <si>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</si>
  <si>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</si>
  <si>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</si>
  <si>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</si>
  <si>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</si>
  <si>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</si>
  <si>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</si>
  <si>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</si>
  <si>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</si>
  <si>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</si>
  <si>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</si>
  <si>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</si>
  <si>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</si>
  <si>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</si>
  <si>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</si>
  <si>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</si>
  <si>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</si>
  <si>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</si>
  <si>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</si>
  <si>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</si>
  <si>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</si>
  <si>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</si>
  <si>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</si>
  <si>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</si>
  <si>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</si>
  <si>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</si>
  <si>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</si>
  <si>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</si>
  <si>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</si>
  <si>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</si>
  <si>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</si>
  <si>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</si>
  <si>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</si>
  <si>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</si>
  <si>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</si>
  <si>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</si>
  <si>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</si>
  <si>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</si>
  <si>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</si>
  <si>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</si>
  <si>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</si>
  <si>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</si>
  <si>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</si>
  <si>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</si>
  <si>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</si>
  <si>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</si>
  <si>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</si>
  <si>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</si>
  <si>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</si>
  <si>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</si>
  <si>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</si>
  <si>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</si>
  <si>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</si>
  <si>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</si>
  <si>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</si>
  <si>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</si>
  <si>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DEPOSITO CADENA DASH VIP 905 IDEAL</t>
  </si>
  <si>
    <t>SOPORTE DEPOSITO PARED 90800 IDEAL</t>
  </si>
  <si>
    <t>SOPORTE PRESURIZADORA 2 BAÑOS ( TIP I )</t>
  </si>
  <si>
    <t>SOPORTE PRESURIZADORA 4 BAÑOS ( TIP II )</t>
  </si>
  <si>
    <t>SOPORTE REGULABLE PILETA</t>
  </si>
  <si>
    <t>SOPORTE TERMOCUPLA CTZ</t>
  </si>
  <si>
    <t>SOPORTE TERMOCUPLA ESKABE</t>
  </si>
  <si>
    <t>SOPORTE TERMOCUPLA ESKABE 2000 (5247) RM</t>
  </si>
  <si>
    <t>SOPORTE TERMOCUPLA ESKABE 5000 (5248) RM</t>
  </si>
  <si>
    <t>SOPORTE TERMOCUPLA LONGVIE (5240) RM</t>
  </si>
  <si>
    <t>SOPORTE TERMOCUPLA ORBIS (5239) RM</t>
  </si>
  <si>
    <t>SOPORTE TERMOCUPLA RHEEN NUEVO (5245) RM</t>
  </si>
  <si>
    <t>SOPORTE TERMOCUPLA ROSCADO M 8 X 1 STAND (5237) RM</t>
  </si>
  <si>
    <t>SOPORTE TERMOCUPLA SEGUER STD EITAR (5238) RM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</si>
  <si>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</si>
  <si>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</si>
  <si>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</si>
  <si>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</si>
  <si>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</si>
  <si>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</si>
  <si>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</si>
  <si>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</si>
  <si>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</si>
  <si>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</si>
  <si>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</si>
  <si>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</si>
  <si>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</si>
  <si>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</si>
  <si>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</si>
  <si>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</si>
  <si>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</si>
  <si>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</si>
  <si>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</si>
  <si>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</si>
  <si>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</si>
  <si>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</si>
  <si>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</si>
  <si>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</si>
  <si>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</si>
  <si>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</si>
  <si>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</si>
  <si>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</si>
  <si>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</si>
  <si>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</si>
  <si>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</si>
  <si>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</si>
  <si>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</si>
  <si>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</si>
  <si>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</si>
  <si>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</si>
  <si>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</si>
  <si>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</si>
  <si>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</si>
  <si>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</si>
  <si>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</si>
  <si>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</si>
  <si>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</si>
  <si>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</si>
  <si>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</si>
  <si>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</si>
  <si>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</si>
  <si>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</si>
  <si>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XL TRICAPA 500 ETERNIT</t>
  </si>
  <si>
    <t>TAPA BCE TRANSF LLUVIA TIPO PH (4032) RM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</si>
  <si>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</si>
  <si>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</si>
  <si>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</si>
  <si>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</si>
  <si>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</si>
  <si>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P/MOCHILA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</si>
  <si>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</si>
  <si>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</si>
  <si>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</si>
  <si>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</si>
  <si>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</si>
  <si>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</si>
  <si>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</si>
  <si>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</si>
  <si>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</si>
  <si>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</si>
  <si>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</si>
  <si>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</si>
  <si>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</si>
  <si>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</si>
  <si>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</si>
  <si>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</si>
  <si>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</si>
  <si>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</si>
  <si>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</si>
  <si>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</si>
  <si>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</si>
  <si>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</si>
  <si>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</si>
  <si>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</si>
  <si>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</si>
  <si>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</si>
  <si>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</si>
  <si>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</si>
  <si>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</si>
  <si>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</si>
  <si>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</si>
  <si>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</si>
  <si>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</si>
  <si>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</si>
  <si>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1" P/RADIADOR</t>
  </si>
  <si>
    <t>TAPON SUPERGAS (908) RM</t>
  </si>
  <si>
    <t>TAPON UNIVERSAL</t>
  </si>
  <si>
    <t>TARUGO CON ARANDELA N° 10 (500U) 6110 CRECCHIO</t>
  </si>
  <si>
    <t>TARUGO CON ARANDELA N° 8 (1000U)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</si>
  <si>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</si>
  <si>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</si>
  <si>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</si>
  <si>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</si>
  <si>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</si>
  <si>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</si>
  <si>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</si>
  <si>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</si>
  <si>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</si>
  <si>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</si>
  <si>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</si>
  <si>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</si>
  <si>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</si>
  <si>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</si>
  <si>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</si>
  <si>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</si>
  <si>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</si>
  <si>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</si>
  <si>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</si>
  <si>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</si>
  <si>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</si>
  <si>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</si>
  <si>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</si>
  <si>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</si>
  <si>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MECANICO 24HS (2541) MOZART</t>
  </si>
  <si>
    <t>TEMPORIZADOR MINGITORIO TG</t>
  </si>
  <si>
    <t>TEMPORIZADOR PARED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</si>
  <si>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</si>
  <si>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</si>
  <si>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</si>
  <si>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</si>
  <si>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</si>
  <si>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</si>
  <si>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</si>
  <si>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</si>
  <si>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</si>
  <si>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</si>
  <si>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</si>
  <si>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</si>
  <si>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</si>
  <si>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</si>
  <si>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</si>
  <si>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</si>
  <si>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</si>
  <si>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</si>
  <si>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</si>
  <si>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</si>
  <si>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</si>
  <si>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</si>
  <si>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</si>
  <si>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</si>
  <si>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</si>
  <si>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</si>
  <si>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</si>
  <si>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</si>
  <si>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</si>
  <si>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</si>
  <si>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</si>
  <si>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</si>
  <si>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</si>
  <si>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</si>
  <si>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</si>
  <si>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</si>
  <si>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 ABRAZOL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</si>
  <si>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</si>
  <si>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</si>
  <si>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</si>
  <si>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</si>
  <si>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</si>
  <si>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</si>
  <si>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</si>
  <si>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 SANOGA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</si>
  <si>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</si>
  <si>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</si>
  <si>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</si>
  <si>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</si>
  <si>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</si>
  <si>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</si>
  <si>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</si>
  <si>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</si>
  <si>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</si>
  <si>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</si>
  <si>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</si>
  <si>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</si>
  <si>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</si>
  <si>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</si>
  <si>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</si>
  <si>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</si>
  <si>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</si>
  <si>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</si>
  <si>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</si>
  <si>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</si>
  <si>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</si>
  <si>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</si>
  <si>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</si>
  <si>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</si>
  <si>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</si>
  <si>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</si>
  <si>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</si>
  <si>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</si>
  <si>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</si>
  <si>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</si>
  <si>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</si>
  <si>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</si>
  <si>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</si>
  <si>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</si>
  <si>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</si>
  <si>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</si>
  <si>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</si>
  <si>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</si>
  <si>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</si>
  <si>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</si>
  <si>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</si>
  <si>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</si>
  <si>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</si>
  <si>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</si>
  <si>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</si>
  <si>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</si>
  <si>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</si>
  <si>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</si>
  <si>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</si>
  <si>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</si>
  <si>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</si>
  <si>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</si>
  <si>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</si>
  <si>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</si>
  <si>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</si>
  <si>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</si>
  <si>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</si>
  <si>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</si>
  <si>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</si>
  <si>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</si>
  <si>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</si>
  <si>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</si>
  <si>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</si>
  <si>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</si>
  <si>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</si>
  <si>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</si>
  <si>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</si>
  <si>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</si>
  <si>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</si>
  <si>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</si>
  <si>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</si>
  <si>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</si>
  <si>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</si>
  <si>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</si>
  <si>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</si>
  <si>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</si>
  <si>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</si>
  <si>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</si>
  <si>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</si>
  <si>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</si>
  <si>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</si>
  <si>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</si>
  <si>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</si>
  <si>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</si>
  <si>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</si>
  <si>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</si>
  <si>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</si>
  <si>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</si>
  <si>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</si>
  <si>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</si>
  <si>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</si>
  <si>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</si>
  <si>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</si>
  <si>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</si>
  <si>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</si>
  <si>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</si>
  <si>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</si>
  <si>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</si>
  <si>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</si>
  <si>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</si>
  <si>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</si>
  <si>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</si>
  <si>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</si>
  <si>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</si>
  <si>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</si>
  <si>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</si>
  <si>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</si>
  <si>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</si>
  <si>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</si>
  <si>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</si>
  <si>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</si>
  <si>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</si>
  <si>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</si>
  <si>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</si>
  <si>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</si>
  <si>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</si>
  <si>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</si>
  <si>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</si>
  <si>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</si>
  <si>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</si>
  <si>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</si>
  <si>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</si>
  <si>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</si>
  <si>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</si>
  <si>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</si>
  <si>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</si>
  <si>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</si>
  <si>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</si>
  <si>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</si>
  <si>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</si>
  <si>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</si>
  <si>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</si>
  <si>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</si>
  <si>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</si>
  <si>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ESCUADRA LAVARROPA 3/4 X 1/2 TG</t>
  </si>
  <si>
    <t>VALVULA ESFERICA 1/2</t>
  </si>
  <si>
    <t>VALVULA ESFERICA 3/4</t>
  </si>
  <si>
    <t>VALVULA ESFERICA MARIPOSA RIEGO 16MM TG</t>
  </si>
  <si>
    <t>VALVULA ESFERICA MARIPOSA RIEGO 20MM TG</t>
  </si>
  <si>
    <t>VALVULA ESFERICA MET P/RIEGO 1/2'' TG</t>
  </si>
  <si>
    <t>VALVULA ESFERICA MET P/RIEGO 3/4'' TG</t>
  </si>
  <si>
    <t>VALVULA ESFERICA MET.P/RIEGO 1'' TG</t>
  </si>
  <si>
    <t>VALVULA FLAPPER REPUESTO 1454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</si>
  <si>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</si>
  <si>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</si>
  <si>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</si>
  <si>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</si>
  <si>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</si>
  <si>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</si>
  <si>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</si>
  <si>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</si>
  <si>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</si>
  <si>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</si>
  <si>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</si>
  <si>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</si>
  <si>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</si>
  <si>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</si>
  <si>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</si>
  <si>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</si>
  <si>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</si>
  <si>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</si>
  <si>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</si>
  <si>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</si>
  <si>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</si>
  <si>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</si>
  <si>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</si>
  <si>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</si>
  <si>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</si>
  <si>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</si>
  <si>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</si>
  <si>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</si>
  <si>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</si>
  <si>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</si>
  <si>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</si>
  <si>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</si>
  <si>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</si>
  <si>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</si>
  <si>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</si>
  <si>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</si>
  <si>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</si>
  <si>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</si>
  <si>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</si>
  <si>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</si>
  <si>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</si>
  <si>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</si>
  <si>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</si>
  <si>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</si>
  <si>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</si>
  <si>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</si>
  <si>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</si>
  <si>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</si>
  <si>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VERTICAL 2 1/2 URIARTE</t>
  </si>
  <si>
    <t>VALVULA RETENCION VERTICAL 3 URIARTE</t>
  </si>
  <si>
    <t>VALVULA Y FLOTANTE 1/2 REF ETERNIT</t>
  </si>
  <si>
    <t>VALVULA Y FLOTANTE 3/4 REF ETERNIT</t>
  </si>
  <si>
    <t>VALVULITA CANILLA 1/2 CON ALARGUE RI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</si>
  <si>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</si>
  <si>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</si>
  <si>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</si>
  <si>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</si>
  <si>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</si>
  <si>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</si>
  <si>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</si>
  <si>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</si>
  <si>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</si>
  <si>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</si>
  <si>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</si>
  <si>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</si>
  <si>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</si>
  <si>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</si>
  <si>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</si>
  <si>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</si>
  <si>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</si>
  <si>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</si>
  <si>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</si>
  <si>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</si>
  <si>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</si>
  <si>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</si>
  <si>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</si>
  <si>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</si>
  <si>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</si>
  <si>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</si>
  <si>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</si>
  <si>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</si>
  <si>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</si>
  <si>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</si>
  <si>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</si>
  <si>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</si>
  <si>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</si>
  <si>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</si>
  <si>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</si>
  <si>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</si>
  <si>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</si>
  <si>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</si>
  <si>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</si>
  <si>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</si>
  <si>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</si>
  <si>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</si>
  <si>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VARILLA SOLDAR GRIS X 1KG</t>
  </si>
  <si>
    <t>VASTAGO 3/8 URIARTE</t>
  </si>
  <si>
    <t>VASTAGO O'RING CUERITO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</si>
  <si>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</si>
  <si>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</si>
  <si>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</si>
  <si>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</si>
  <si>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</si>
  <si>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</si>
  <si>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</si>
  <si>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</si>
  <si>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</si>
  <si>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</si>
  <si>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</si>
  <si>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</si>
  <si>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</si>
  <si>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</si>
  <si>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</si>
  <si>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</si>
  <si>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</si>
  <si>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</si>
  <si>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</si>
  <si>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</si>
  <si>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</si>
  <si>
    <t>02001000200</t>
  </si>
  <si>
    <t>02001000201</t>
  </si>
  <si>
    <t>02001000202</t>
  </si>
  <si>
    <t>02001000204</t>
  </si>
  <si>
    <t>02001000206</t>
  </si>
  <si>
    <t>02001000208</t>
  </si>
  <si>
    <t>02001000210</t>
  </si>
  <si>
    <t>02001000212</t>
  </si>
  <si>
    <t>02001000214</t>
  </si>
  <si>
    <t>02001000216</t>
  </si>
  <si>
    <t>02001000019</t>
  </si>
  <si>
    <t>02001000018</t>
  </si>
  <si>
    <t>02001000020</t>
  </si>
  <si>
    <t>02001000025</t>
  </si>
  <si>
    <t>02001000030</t>
  </si>
  <si>
    <t>02001000035</t>
  </si>
  <si>
    <t>02001000040</t>
  </si>
  <si>
    <t>02001000045</t>
  </si>
  <si>
    <t>02001010000</t>
  </si>
  <si>
    <t>02001010005</t>
  </si>
  <si>
    <t>02001010010</t>
  </si>
  <si>
    <t>02001010015</t>
  </si>
  <si>
    <t>02001010020</t>
  </si>
  <si>
    <t>02001010025</t>
  </si>
  <si>
    <t>02001010030</t>
  </si>
  <si>
    <t>02001010035</t>
  </si>
  <si>
    <t>02001010040</t>
  </si>
  <si>
    <t>02001010045</t>
  </si>
  <si>
    <t>02001010050</t>
  </si>
  <si>
    <t>02001010055</t>
  </si>
  <si>
    <t>02001010060</t>
  </si>
  <si>
    <t>02001010065</t>
  </si>
  <si>
    <t>02001010062</t>
  </si>
  <si>
    <t>02001010075</t>
  </si>
  <si>
    <t>02001010080</t>
  </si>
  <si>
    <t>02001010085</t>
  </si>
  <si>
    <t>02001010090</t>
  </si>
  <si>
    <t>02001010095</t>
  </si>
  <si>
    <t>02001010100</t>
  </si>
  <si>
    <t>02001010105</t>
  </si>
  <si>
    <t>06010000718</t>
  </si>
  <si>
    <t>06010000710</t>
  </si>
  <si>
    <t>06010000716</t>
  </si>
  <si>
    <t>06010000715</t>
  </si>
  <si>
    <t>06010000717</t>
  </si>
  <si>
    <t>03062000021</t>
  </si>
  <si>
    <t>03038000861</t>
  </si>
  <si>
    <t>03062000041</t>
  </si>
  <si>
    <t>03062000061</t>
  </si>
  <si>
    <t>07020000055</t>
  </si>
  <si>
    <t>07020000030</t>
  </si>
  <si>
    <t>07020000040</t>
  </si>
  <si>
    <t>07020000035</t>
  </si>
  <si>
    <t>07020000025</t>
  </si>
  <si>
    <t>07020000015</t>
  </si>
  <si>
    <t>07020000020</t>
  </si>
  <si>
    <t>03016510035</t>
  </si>
  <si>
    <t>03016510040</t>
  </si>
  <si>
    <t>03016510045</t>
  </si>
  <si>
    <t>03011100001</t>
  </si>
  <si>
    <t>03011100002</t>
  </si>
  <si>
    <t>03010000345</t>
  </si>
  <si>
    <t>03010000355</t>
  </si>
  <si>
    <t>03010000365</t>
  </si>
  <si>
    <t>03010000375</t>
  </si>
  <si>
    <t>03010000385</t>
  </si>
  <si>
    <t>03010000410</t>
  </si>
  <si>
    <t>03010000420</t>
  </si>
  <si>
    <t>03010000430</t>
  </si>
  <si>
    <t>03010000440</t>
  </si>
  <si>
    <t>03010000483</t>
  </si>
  <si>
    <t>03042000070</t>
  </si>
  <si>
    <t>03010000482</t>
  </si>
  <si>
    <t>03042000071</t>
  </si>
  <si>
    <t>02009000010</t>
  </si>
  <si>
    <t>02009000015</t>
  </si>
  <si>
    <t>02009000005</t>
  </si>
  <si>
    <t>03048000010</t>
  </si>
  <si>
    <t>03048000020</t>
  </si>
  <si>
    <t>03048000030</t>
  </si>
  <si>
    <t>03048000040</t>
  </si>
  <si>
    <t>03048000050</t>
  </si>
  <si>
    <t>03048000060</t>
  </si>
  <si>
    <t>03048000070</t>
  </si>
  <si>
    <t>03048000080</t>
  </si>
  <si>
    <t>03048000090</t>
  </si>
  <si>
    <t>03048000100</t>
  </si>
  <si>
    <t>03048000110</t>
  </si>
  <si>
    <t>03048000120</t>
  </si>
  <si>
    <t>03048000130</t>
  </si>
  <si>
    <t>03048000140</t>
  </si>
  <si>
    <t>03050000305</t>
  </si>
  <si>
    <t>09500000200</t>
  </si>
  <si>
    <t>09500000202</t>
  </si>
  <si>
    <t>09500000355</t>
  </si>
  <si>
    <t>09500000210</t>
  </si>
  <si>
    <t>09500000220</t>
  </si>
  <si>
    <t>09500000197</t>
  </si>
  <si>
    <t>09500000225</t>
  </si>
  <si>
    <t>09500000205</t>
  </si>
  <si>
    <t>09500000215</t>
  </si>
  <si>
    <t>03010000492</t>
  </si>
  <si>
    <t>03010000488</t>
  </si>
  <si>
    <t>03010000490</t>
  </si>
  <si>
    <t>09500000260</t>
  </si>
  <si>
    <t>05015000158</t>
  </si>
  <si>
    <t>05015000159</t>
  </si>
  <si>
    <t>05015000175</t>
  </si>
  <si>
    <t>05015000150</t>
  </si>
  <si>
    <t>05015000044</t>
  </si>
  <si>
    <t>05015000045</t>
  </si>
  <si>
    <t>05023000040</t>
  </si>
  <si>
    <t>05021000811</t>
  </si>
  <si>
    <t>05023000045</t>
  </si>
  <si>
    <t>05021000506</t>
  </si>
  <si>
    <t>03034000440</t>
  </si>
  <si>
    <t>01031101001</t>
  </si>
  <si>
    <t>05023000030</t>
  </si>
  <si>
    <t>05023000035</t>
  </si>
  <si>
    <t>03038000041</t>
  </si>
  <si>
    <t>03038000061</t>
  </si>
  <si>
    <t>03038000021</t>
  </si>
  <si>
    <t>03017900010</t>
  </si>
  <si>
    <t>03017900020</t>
  </si>
  <si>
    <t>03038000081</t>
  </si>
  <si>
    <t>03036000010</t>
  </si>
  <si>
    <t>05023000020</t>
  </si>
  <si>
    <t>05022000900</t>
  </si>
  <si>
    <t>05021000095</t>
  </si>
  <si>
    <t>05023000023</t>
  </si>
  <si>
    <t>03038000751</t>
  </si>
  <si>
    <t>03038000752</t>
  </si>
  <si>
    <t>05022000905</t>
  </si>
  <si>
    <t>03005000014</t>
  </si>
  <si>
    <t>03005000001</t>
  </si>
  <si>
    <t>03005000015</t>
  </si>
  <si>
    <t>03005000005</t>
  </si>
  <si>
    <t>03005000016</t>
  </si>
  <si>
    <t>03005000003</t>
  </si>
  <si>
    <t>03005000011</t>
  </si>
  <si>
    <t>03005000010</t>
  </si>
  <si>
    <t>03005000002</t>
  </si>
  <si>
    <t>03005000017</t>
  </si>
  <si>
    <t>03005000013</t>
  </si>
  <si>
    <t>03005000018</t>
  </si>
  <si>
    <t>03005000012</t>
  </si>
  <si>
    <t>03005000008</t>
  </si>
  <si>
    <t>03005000020</t>
  </si>
  <si>
    <t>03005000004</t>
  </si>
  <si>
    <t>03005000021</t>
  </si>
  <si>
    <t>03005000009</t>
  </si>
  <si>
    <t>03005000006</t>
  </si>
  <si>
    <t>03005000019</t>
  </si>
  <si>
    <t>03005000007</t>
  </si>
  <si>
    <t>03038000101</t>
  </si>
  <si>
    <t>03038000121</t>
  </si>
  <si>
    <t>05011000000</t>
  </si>
  <si>
    <t>03037000405</t>
  </si>
  <si>
    <t>08005000025</t>
  </si>
  <si>
    <t>08005000030</t>
  </si>
  <si>
    <t>08005000020</t>
  </si>
  <si>
    <t>08005000010</t>
  </si>
  <si>
    <t>08005000015</t>
  </si>
  <si>
    <t>03038000141</t>
  </si>
  <si>
    <t>03059000425</t>
  </si>
  <si>
    <t>03059000061</t>
  </si>
  <si>
    <t>03059000071</t>
  </si>
  <si>
    <t>03059000065</t>
  </si>
  <si>
    <t>03059000074</t>
  </si>
  <si>
    <t>03059000070</t>
  </si>
  <si>
    <t>03059000075</t>
  </si>
  <si>
    <t>03059000073</t>
  </si>
  <si>
    <t>03059000076</t>
  </si>
  <si>
    <t>03059000077</t>
  </si>
  <si>
    <t>03059000079</t>
  </si>
  <si>
    <t>03059000078</t>
  </si>
  <si>
    <t>03059000060</t>
  </si>
  <si>
    <t>03059000083</t>
  </si>
  <si>
    <t>03059000324</t>
  </si>
  <si>
    <t>03059000450</t>
  </si>
  <si>
    <t>03059000110</t>
  </si>
  <si>
    <t>03059000164</t>
  </si>
  <si>
    <t>03059000165</t>
  </si>
  <si>
    <t>03059000166</t>
  </si>
  <si>
    <t>03059000167</t>
  </si>
  <si>
    <t>03059000088</t>
  </si>
  <si>
    <t>03059000420</t>
  </si>
  <si>
    <t>03059000405</t>
  </si>
  <si>
    <t>03059000410</t>
  </si>
  <si>
    <t>03059000400</t>
  </si>
  <si>
    <t>03059000099</t>
  </si>
  <si>
    <t>03059000100</t>
  </si>
  <si>
    <t>03059000105</t>
  </si>
  <si>
    <t>03059000129</t>
  </si>
  <si>
    <t>03059000160</t>
  </si>
  <si>
    <t>03059000159</t>
  </si>
  <si>
    <t>03059000090</t>
  </si>
  <si>
    <t>03059000092</t>
  </si>
  <si>
    <t>03059000080</t>
  </si>
  <si>
    <t>03059000121</t>
  </si>
  <si>
    <t>03059000041</t>
  </si>
  <si>
    <t>03059000042</t>
  </si>
  <si>
    <t>03059000043</t>
  </si>
  <si>
    <t>03059000093</t>
  </si>
  <si>
    <t>03059000095</t>
  </si>
  <si>
    <t>03059000097</t>
  </si>
  <si>
    <t>03059000314</t>
  </si>
  <si>
    <t>03005600090</t>
  </si>
  <si>
    <t>03059000315</t>
  </si>
  <si>
    <t>06010000805</t>
  </si>
  <si>
    <t>03063000171</t>
  </si>
  <si>
    <t>03063000172</t>
  </si>
  <si>
    <t>03059000303</t>
  </si>
  <si>
    <t>03059000304</t>
  </si>
  <si>
    <t>03059000330</t>
  </si>
  <si>
    <t>03059000306</t>
  </si>
  <si>
    <t>03059000340</t>
  </si>
  <si>
    <t>03059000308</t>
  </si>
  <si>
    <t>03059000085</t>
  </si>
  <si>
    <t>03059000087</t>
  </si>
  <si>
    <t>03059000107</t>
  </si>
  <si>
    <t>03059000016</t>
  </si>
  <si>
    <t>03059000108</t>
  </si>
  <si>
    <t>03059000281</t>
  </si>
  <si>
    <t>03059000301</t>
  </si>
  <si>
    <t>03059000312</t>
  </si>
  <si>
    <t>03059000435</t>
  </si>
  <si>
    <t>03059000310</t>
  </si>
  <si>
    <t>03059000430</t>
  </si>
  <si>
    <t>03059000316</t>
  </si>
  <si>
    <t>03059000317</t>
  </si>
  <si>
    <t>03059000318</t>
  </si>
  <si>
    <t>03059000319</t>
  </si>
  <si>
    <t>03059000081</t>
  </si>
  <si>
    <t>03059000082</t>
  </si>
  <si>
    <t>03059000322</t>
  </si>
  <si>
    <t>03059000440</t>
  </si>
  <si>
    <t>03059000320</t>
  </si>
  <si>
    <t>03059000445</t>
  </si>
  <si>
    <t>06010000825</t>
  </si>
  <si>
    <t>03005600070</t>
  </si>
  <si>
    <t>03059000326</t>
  </si>
  <si>
    <t>03059000451</t>
  </si>
  <si>
    <t>03059000325</t>
  </si>
  <si>
    <t>05012000301</t>
  </si>
  <si>
    <t>05012000300</t>
  </si>
  <si>
    <t>05012002136</t>
  </si>
  <si>
    <t>05012002137</t>
  </si>
  <si>
    <t>05012002132</t>
  </si>
  <si>
    <t>03016000035</t>
  </si>
  <si>
    <t>03016000040</t>
  </si>
  <si>
    <t>03016000042</t>
  </si>
  <si>
    <t>03016000050</t>
  </si>
  <si>
    <t>03016000055</t>
  </si>
  <si>
    <t>03016000060</t>
  </si>
  <si>
    <t>03016000045</t>
  </si>
  <si>
    <t>03016000080</t>
  </si>
  <si>
    <t>03016000085</t>
  </si>
  <si>
    <t>03016000090</t>
  </si>
  <si>
    <t>03016000065</t>
  </si>
  <si>
    <t>03038000151</t>
  </si>
  <si>
    <t>06070000096</t>
  </si>
  <si>
    <t>06070000097</t>
  </si>
  <si>
    <t>03038000161</t>
  </si>
  <si>
    <t>05021000001</t>
  </si>
  <si>
    <t>05021000003</t>
  </si>
  <si>
    <t>05021000005</t>
  </si>
  <si>
    <t>05021000007</t>
  </si>
  <si>
    <t>05022000830</t>
  </si>
  <si>
    <t>05022001004</t>
  </si>
  <si>
    <t>05022000820</t>
  </si>
  <si>
    <t>05022000815</t>
  </si>
  <si>
    <t>03038000201</t>
  </si>
  <si>
    <t>05021000010</t>
  </si>
  <si>
    <t>05021000015</t>
  </si>
  <si>
    <t>05022000831</t>
  </si>
  <si>
    <t>05022000810</t>
  </si>
  <si>
    <t>05021000016</t>
  </si>
  <si>
    <t>05021000017</t>
  </si>
  <si>
    <t>05021000020</t>
  </si>
  <si>
    <t>05022000825</t>
  </si>
  <si>
    <t>05022001000</t>
  </si>
  <si>
    <t>03011000422</t>
  </si>
  <si>
    <t>03011000423</t>
  </si>
  <si>
    <t>03032000041</t>
  </si>
  <si>
    <t>03032000021</t>
  </si>
  <si>
    <t>03038000241</t>
  </si>
  <si>
    <t>03011600200</t>
  </si>
  <si>
    <t>03011600210</t>
  </si>
  <si>
    <t>03011600220</t>
  </si>
  <si>
    <t>03038000242</t>
  </si>
  <si>
    <t>03011600010</t>
  </si>
  <si>
    <t>03011600020</t>
  </si>
  <si>
    <t>03011600030</t>
  </si>
  <si>
    <t>03011600040</t>
  </si>
  <si>
    <t>03011600050</t>
  </si>
  <si>
    <t>03011600060</t>
  </si>
  <si>
    <t>06070000005</t>
  </si>
  <si>
    <t>03051000100</t>
  </si>
  <si>
    <t>05022000200</t>
  </si>
  <si>
    <t>05022001003</t>
  </si>
  <si>
    <t>05022000205</t>
  </si>
  <si>
    <t>03034000012</t>
  </si>
  <si>
    <t>03038000245</t>
  </si>
  <si>
    <t>03034000013</t>
  </si>
  <si>
    <t>06010000330</t>
  </si>
  <si>
    <t>03038000251</t>
  </si>
  <si>
    <t>03034000010</t>
  </si>
  <si>
    <t>03034000011</t>
  </si>
  <si>
    <t>05021000550</t>
  </si>
  <si>
    <t>05021000555</t>
  </si>
  <si>
    <t>06010000300</t>
  </si>
  <si>
    <t>06010000305</t>
  </si>
  <si>
    <t>03048100005</t>
  </si>
  <si>
    <t>03048100010</t>
  </si>
  <si>
    <t>03050000320</t>
  </si>
  <si>
    <t>01002001200</t>
  </si>
  <si>
    <t>01002001201</t>
  </si>
  <si>
    <t>01002001202</t>
  </si>
  <si>
    <t>01002001211</t>
  </si>
  <si>
    <t>01002001212</t>
  </si>
  <si>
    <t>01002001213</t>
  </si>
  <si>
    <t>01002001214</t>
  </si>
  <si>
    <t>01002001215</t>
  </si>
  <si>
    <t>01002001216</t>
  </si>
  <si>
    <t>01002000901</t>
  </si>
  <si>
    <t>01002000900</t>
  </si>
  <si>
    <t>01002000905</t>
  </si>
  <si>
    <t>01002000902</t>
  </si>
  <si>
    <t>01002001000</t>
  </si>
  <si>
    <t>01002001001</t>
  </si>
  <si>
    <t>01002001002</t>
  </si>
  <si>
    <t>01002001003</t>
  </si>
  <si>
    <t>01002001004</t>
  </si>
  <si>
    <t>01002001005</t>
  </si>
  <si>
    <t>01002001006</t>
  </si>
  <si>
    <t>01002001007</t>
  </si>
  <si>
    <t>01002001008</t>
  </si>
  <si>
    <t>01002001009</t>
  </si>
  <si>
    <t>01002001010</t>
  </si>
  <si>
    <t>01002001011</t>
  </si>
  <si>
    <t>01002010900</t>
  </si>
  <si>
    <t>01002000108</t>
  </si>
  <si>
    <t>01002000109</t>
  </si>
  <si>
    <t>01002000107</t>
  </si>
  <si>
    <t>01002000850</t>
  </si>
  <si>
    <t>01002000102</t>
  </si>
  <si>
    <t>01002000104</t>
  </si>
  <si>
    <t>01002000103</t>
  </si>
  <si>
    <t>01002000100</t>
  </si>
  <si>
    <t>01002010005</t>
  </si>
  <si>
    <t>01002000105</t>
  </si>
  <si>
    <t>01002000101</t>
  </si>
  <si>
    <t>01002010054</t>
  </si>
  <si>
    <t>01002000851</t>
  </si>
  <si>
    <t>01002000113</t>
  </si>
  <si>
    <t>01002000110</t>
  </si>
  <si>
    <t>01002010050</t>
  </si>
  <si>
    <t>01002000114</t>
  </si>
  <si>
    <t>01002000115</t>
  </si>
  <si>
    <t>01002000111</t>
  </si>
  <si>
    <t>01002010056</t>
  </si>
  <si>
    <t>01002000112</t>
  </si>
  <si>
    <t>01002000302</t>
  </si>
  <si>
    <t>01002000304</t>
  </si>
  <si>
    <t>01002000355</t>
  </si>
  <si>
    <t>01002000303</t>
  </si>
  <si>
    <t>01002000353</t>
  </si>
  <si>
    <t>01002000354</t>
  </si>
  <si>
    <t>01002000300</t>
  </si>
  <si>
    <t>01002010490</t>
  </si>
  <si>
    <t>01002000350</t>
  </si>
  <si>
    <t>01002000305</t>
  </si>
  <si>
    <t>01002000301</t>
  </si>
  <si>
    <t>01002010495</t>
  </si>
  <si>
    <t>01002000351</t>
  </si>
  <si>
    <t>01002010500</t>
  </si>
  <si>
    <t>03051000110</t>
  </si>
  <si>
    <t>01002003000</t>
  </si>
  <si>
    <t>01002003005</t>
  </si>
  <si>
    <t>01002003010</t>
  </si>
  <si>
    <t>01002003015</t>
  </si>
  <si>
    <t>01002003020</t>
  </si>
  <si>
    <t>01002003021</t>
  </si>
  <si>
    <t>01002003025</t>
  </si>
  <si>
    <t>01002003030</t>
  </si>
  <si>
    <t>01002003035</t>
  </si>
  <si>
    <t>01002003040</t>
  </si>
  <si>
    <t>01002003045</t>
  </si>
  <si>
    <t>01002003046</t>
  </si>
  <si>
    <t>01002003050</t>
  </si>
  <si>
    <t>01002003055</t>
  </si>
  <si>
    <t>01002003060</t>
  </si>
  <si>
    <t>01002003065</t>
  </si>
  <si>
    <t>01002003070</t>
  </si>
  <si>
    <t>01002002035</t>
  </si>
  <si>
    <t>01002002040</t>
  </si>
  <si>
    <t>01002002030</t>
  </si>
  <si>
    <t>01002003700</t>
  </si>
  <si>
    <t>01002003500</t>
  </si>
  <si>
    <t>01002003600</t>
  </si>
  <si>
    <t>01002010016</t>
  </si>
  <si>
    <t>01002010017</t>
  </si>
  <si>
    <t>01002010018</t>
  </si>
  <si>
    <t>01002010019</t>
  </si>
  <si>
    <t>01002010021</t>
  </si>
  <si>
    <t>01002000700</t>
  </si>
  <si>
    <t>01002000506</t>
  </si>
  <si>
    <t>01002000508</t>
  </si>
  <si>
    <t>01002000507</t>
  </si>
  <si>
    <t>01002000551</t>
  </si>
  <si>
    <t>01002000500</t>
  </si>
  <si>
    <t>01002010010</t>
  </si>
  <si>
    <t>01002010020</t>
  </si>
  <si>
    <t>01002000509</t>
  </si>
  <si>
    <t>01002000505</t>
  </si>
  <si>
    <t>01002010015</t>
  </si>
  <si>
    <t>01002000550</t>
  </si>
  <si>
    <t>01002000131</t>
  </si>
  <si>
    <t>01002000130</t>
  </si>
  <si>
    <t>01002000141</t>
  </si>
  <si>
    <t>01002000150</t>
  </si>
  <si>
    <t>01002000142</t>
  </si>
  <si>
    <t>01002000140</t>
  </si>
  <si>
    <t>01002000202</t>
  </si>
  <si>
    <t>01002000204</t>
  </si>
  <si>
    <t>01002000203</t>
  </si>
  <si>
    <t>01002000200</t>
  </si>
  <si>
    <t>01002000852</t>
  </si>
  <si>
    <t>01002000205</t>
  </si>
  <si>
    <t>01002000201</t>
  </si>
  <si>
    <t>01002000210</t>
  </si>
  <si>
    <t>01002010030</t>
  </si>
  <si>
    <t>01002010052</t>
  </si>
  <si>
    <t>01002000800</t>
  </si>
  <si>
    <t>01002000801</t>
  </si>
  <si>
    <t>01002000802</t>
  </si>
  <si>
    <t>01002000803</t>
  </si>
  <si>
    <t>01002000804</t>
  </si>
  <si>
    <t>03051000150</t>
  </si>
  <si>
    <t>01002000116</t>
  </si>
  <si>
    <t>01002000117</t>
  </si>
  <si>
    <t>01002001100</t>
  </si>
  <si>
    <t>01002001105</t>
  </si>
  <si>
    <t>01002000607</t>
  </si>
  <si>
    <t>01002000609</t>
  </si>
  <si>
    <t>01002000608</t>
  </si>
  <si>
    <t>01002000603</t>
  </si>
  <si>
    <t>01002000610</t>
  </si>
  <si>
    <t>01002000605</t>
  </si>
  <si>
    <t>03025200005</t>
  </si>
  <si>
    <t>03025200010</t>
  </si>
  <si>
    <t>03025200015</t>
  </si>
  <si>
    <t>03025200020</t>
  </si>
  <si>
    <t>03025200025</t>
  </si>
  <si>
    <t>03025200030</t>
  </si>
  <si>
    <t>03025200035</t>
  </si>
  <si>
    <t>03025200040</t>
  </si>
  <si>
    <t>01002201200</t>
  </si>
  <si>
    <t>01002201210</t>
  </si>
  <si>
    <t>01002201205</t>
  </si>
  <si>
    <t>01002200010</t>
  </si>
  <si>
    <t>01002201005</t>
  </si>
  <si>
    <t>01002201110</t>
  </si>
  <si>
    <t>01002201010</t>
  </si>
  <si>
    <t>01002201112</t>
  </si>
  <si>
    <t>01002200015</t>
  </si>
  <si>
    <t>01002201015</t>
  </si>
  <si>
    <t>01002201100</t>
  </si>
  <si>
    <t>01002200017</t>
  </si>
  <si>
    <t>01002200005</t>
  </si>
  <si>
    <t>01002201000</t>
  </si>
  <si>
    <t>01002201003</t>
  </si>
  <si>
    <t>01002200600</t>
  </si>
  <si>
    <t>01002200605</t>
  </si>
  <si>
    <t>01002200100</t>
  </si>
  <si>
    <t>01002200200</t>
  </si>
  <si>
    <t>01002200197</t>
  </si>
  <si>
    <t>01002200195</t>
  </si>
  <si>
    <t>01002200205</t>
  </si>
  <si>
    <t>01002200105</t>
  </si>
  <si>
    <t>01002200095</t>
  </si>
  <si>
    <t>01002200022</t>
  </si>
  <si>
    <t>01002200024</t>
  </si>
  <si>
    <t>01002200020</t>
  </si>
  <si>
    <t>01002200805</t>
  </si>
  <si>
    <t>01002200405</t>
  </si>
  <si>
    <t>01002200900</t>
  </si>
  <si>
    <t>01002200505</t>
  </si>
  <si>
    <t>01002200897</t>
  </si>
  <si>
    <t>01002200905</t>
  </si>
  <si>
    <t>01002200503</t>
  </si>
  <si>
    <t>01002200810</t>
  </si>
  <si>
    <t>01002200410</t>
  </si>
  <si>
    <t>01002200815</t>
  </si>
  <si>
    <t>01002200415</t>
  </si>
  <si>
    <t>01002200420</t>
  </si>
  <si>
    <t>01002200425</t>
  </si>
  <si>
    <t>01002200895</t>
  </si>
  <si>
    <t>01002200500</t>
  </si>
  <si>
    <t>01002200507</t>
  </si>
  <si>
    <t>01002200800</t>
  </si>
  <si>
    <t>01002200400</t>
  </si>
  <si>
    <t>01002200700</t>
  </si>
  <si>
    <t>01002200705</t>
  </si>
  <si>
    <t>01002200695</t>
  </si>
  <si>
    <t>01002200305</t>
  </si>
  <si>
    <t>01002200310</t>
  </si>
  <si>
    <t>01002200300</t>
  </si>
  <si>
    <t>01001000020</t>
  </si>
  <si>
    <t>01001000005</t>
  </si>
  <si>
    <t>01001000025</t>
  </si>
  <si>
    <t>01001000032</t>
  </si>
  <si>
    <t>01001000010</t>
  </si>
  <si>
    <t>01001000015</t>
  </si>
  <si>
    <t>01001000445</t>
  </si>
  <si>
    <t>01001000460</t>
  </si>
  <si>
    <t>01001000475</t>
  </si>
  <si>
    <t>01001000500</t>
  </si>
  <si>
    <t>01001000505</t>
  </si>
  <si>
    <t>01001000510</t>
  </si>
  <si>
    <t>01001000520</t>
  </si>
  <si>
    <t>01001000525</t>
  </si>
  <si>
    <t>01001000535</t>
  </si>
  <si>
    <t>01001000540</t>
  </si>
  <si>
    <t>01001000555</t>
  </si>
  <si>
    <t>01001000455</t>
  </si>
  <si>
    <t>01001000440</t>
  </si>
  <si>
    <t>01001000470</t>
  </si>
  <si>
    <t>01001000450</t>
  </si>
  <si>
    <t>01001000465</t>
  </si>
  <si>
    <t>01001000480</t>
  </si>
  <si>
    <t>01001000495</t>
  </si>
  <si>
    <t>01001000515</t>
  </si>
  <si>
    <t>01001000530</t>
  </si>
  <si>
    <t>01001000545</t>
  </si>
  <si>
    <t>01001000550</t>
  </si>
  <si>
    <t>01001000055</t>
  </si>
  <si>
    <t>01001000040</t>
  </si>
  <si>
    <t>01001000035</t>
  </si>
  <si>
    <t>01001000050</t>
  </si>
  <si>
    <t>01004000125</t>
  </si>
  <si>
    <t>01001000130</t>
  </si>
  <si>
    <t>01001000135</t>
  </si>
  <si>
    <t>01001000140</t>
  </si>
  <si>
    <t>01001000145</t>
  </si>
  <si>
    <t>01001000150</t>
  </si>
  <si>
    <t>01001000155</t>
  </si>
  <si>
    <t>01001000160</t>
  </si>
  <si>
    <t>01001000165</t>
  </si>
  <si>
    <t>01001000210</t>
  </si>
  <si>
    <t>01001000215</t>
  </si>
  <si>
    <t>01001000220</t>
  </si>
  <si>
    <t>01001000225</t>
  </si>
  <si>
    <t>01001000230</t>
  </si>
  <si>
    <t>01001000235</t>
  </si>
  <si>
    <t>01001000090</t>
  </si>
  <si>
    <t>01001000095</t>
  </si>
  <si>
    <t>01001000100</t>
  </si>
  <si>
    <t>01001000105</t>
  </si>
  <si>
    <t>01001000285</t>
  </si>
  <si>
    <t>01001000275</t>
  </si>
  <si>
    <t>01001000270</t>
  </si>
  <si>
    <t>01001000280</t>
  </si>
  <si>
    <t>01001000290</t>
  </si>
  <si>
    <t>01001000295</t>
  </si>
  <si>
    <t>01001000300</t>
  </si>
  <si>
    <t>01001000305</t>
  </si>
  <si>
    <t>01001000710</t>
  </si>
  <si>
    <t>01001000705</t>
  </si>
  <si>
    <t>01001000690</t>
  </si>
  <si>
    <t>01001000650</t>
  </si>
  <si>
    <t>01001000645</t>
  </si>
  <si>
    <t>01001000655</t>
  </si>
  <si>
    <t>01001000660</t>
  </si>
  <si>
    <t>01001000670</t>
  </si>
  <si>
    <t>01001000665</t>
  </si>
  <si>
    <t>01001000693</t>
  </si>
  <si>
    <t>01001000310</t>
  </si>
  <si>
    <t>01001000330</t>
  </si>
  <si>
    <t>01001000320</t>
  </si>
  <si>
    <t>01001000340</t>
  </si>
  <si>
    <t>01001000325</t>
  </si>
  <si>
    <t>01001000345</t>
  </si>
  <si>
    <t>01001000315</t>
  </si>
  <si>
    <t>01001000335</t>
  </si>
  <si>
    <t>01001000115</t>
  </si>
  <si>
    <t>01001000110</t>
  </si>
  <si>
    <t>01001000116</t>
  </si>
  <si>
    <t>01001000111</t>
  </si>
  <si>
    <t>01001000350</t>
  </si>
  <si>
    <t>01001000355</t>
  </si>
  <si>
    <t>01001000370</t>
  </si>
  <si>
    <t>01001000375</t>
  </si>
  <si>
    <t>01001000380</t>
  </si>
  <si>
    <t>01001000390</t>
  </si>
  <si>
    <t>01001000385</t>
  </si>
  <si>
    <t>01001000395</t>
  </si>
  <si>
    <t>01001000400</t>
  </si>
  <si>
    <t>01001000415</t>
  </si>
  <si>
    <t>01001000405</t>
  </si>
  <si>
    <t>01001000410</t>
  </si>
  <si>
    <t>01001000420</t>
  </si>
  <si>
    <t>01001000435</t>
  </si>
  <si>
    <t>01001000425</t>
  </si>
  <si>
    <t>01001000430</t>
  </si>
  <si>
    <t>05015000093</t>
  </si>
  <si>
    <t>05015000147</t>
  </si>
  <si>
    <t>03016501060</t>
  </si>
  <si>
    <t>03062100130</t>
  </si>
  <si>
    <t>03062100131</t>
  </si>
  <si>
    <t>03062100171</t>
  </si>
  <si>
    <t>03062100007</t>
  </si>
  <si>
    <t>03062100005</t>
  </si>
  <si>
    <t>03062100100</t>
  </si>
  <si>
    <t>03062100105</t>
  </si>
  <si>
    <t>03062100110</t>
  </si>
  <si>
    <t>03062100115</t>
  </si>
  <si>
    <t>03062100080</t>
  </si>
  <si>
    <t>03062100081</t>
  </si>
  <si>
    <t>03062100085</t>
  </si>
  <si>
    <t>03062100050</t>
  </si>
  <si>
    <t>03062100055</t>
  </si>
  <si>
    <t>03062100075</t>
  </si>
  <si>
    <t>03062100076</t>
  </si>
  <si>
    <t>03062100077</t>
  </si>
  <si>
    <t>03062100010</t>
  </si>
  <si>
    <t>03062100015</t>
  </si>
  <si>
    <t>03062100017</t>
  </si>
  <si>
    <t>03062100025</t>
  </si>
  <si>
    <t>03062100065</t>
  </si>
  <si>
    <t>03062100020</t>
  </si>
  <si>
    <t>03062100060</t>
  </si>
  <si>
    <t>03062100087</t>
  </si>
  <si>
    <t>03062100058</t>
  </si>
  <si>
    <t>03062100056</t>
  </si>
  <si>
    <t>03062100070</t>
  </si>
  <si>
    <t>03062100152</t>
  </si>
  <si>
    <t>03062100150</t>
  </si>
  <si>
    <t>03062100151</t>
  </si>
  <si>
    <t>03062100023</t>
  </si>
  <si>
    <t>03062100024</t>
  </si>
  <si>
    <t>03062100030</t>
  </si>
  <si>
    <t>03062100032</t>
  </si>
  <si>
    <t>03062100033</t>
  </si>
  <si>
    <t>03062100034</t>
  </si>
  <si>
    <t>03062100121</t>
  </si>
  <si>
    <t>03062100006</t>
  </si>
  <si>
    <t>03062100008</t>
  </si>
  <si>
    <t>03062100049</t>
  </si>
  <si>
    <t>03062100155</t>
  </si>
  <si>
    <t>03062100083</t>
  </si>
  <si>
    <t>03062100057</t>
  </si>
  <si>
    <t>03062100059</t>
  </si>
  <si>
    <t>03062100037</t>
  </si>
  <si>
    <t>03062100038</t>
  </si>
  <si>
    <t>03062100039</t>
  </si>
  <si>
    <t>03062100041</t>
  </si>
  <si>
    <t>03062100028</t>
  </si>
  <si>
    <t>03062100042</t>
  </si>
  <si>
    <t>03062100035</t>
  </si>
  <si>
    <t>03062100040</t>
  </si>
  <si>
    <t>03062100090</t>
  </si>
  <si>
    <t>03062100095</t>
  </si>
  <si>
    <t>03062100045</t>
  </si>
  <si>
    <t>03062100046</t>
  </si>
  <si>
    <t>03062100044</t>
  </si>
  <si>
    <t>03062100120</t>
  </si>
  <si>
    <t>03062100036</t>
  </si>
  <si>
    <t>03062100084</t>
  </si>
  <si>
    <t>03062100086</t>
  </si>
  <si>
    <t>03062100009</t>
  </si>
  <si>
    <t>03062100018</t>
  </si>
  <si>
    <t>03062100156</t>
  </si>
  <si>
    <t>03062100158</t>
  </si>
  <si>
    <t>03062100157</t>
  </si>
  <si>
    <t>03062100047</t>
  </si>
  <si>
    <t>03062100022</t>
  </si>
  <si>
    <t>03062100021</t>
  </si>
  <si>
    <t>03062100019</t>
  </si>
  <si>
    <t>03062100133</t>
  </si>
  <si>
    <t>03062100134</t>
  </si>
  <si>
    <t>03062100140</t>
  </si>
  <si>
    <t>03062100141</t>
  </si>
  <si>
    <t>03062100153</t>
  </si>
  <si>
    <t>03062100154</t>
  </si>
  <si>
    <t>03062100132</t>
  </si>
  <si>
    <t>03062100125</t>
  </si>
  <si>
    <t>03062100127</t>
  </si>
  <si>
    <t>03062100124</t>
  </si>
  <si>
    <t>03062100126</t>
  </si>
  <si>
    <t>03062100128</t>
  </si>
  <si>
    <t>03062100048</t>
  </si>
  <si>
    <t>03062100043</t>
  </si>
  <si>
    <t>03062100012</t>
  </si>
  <si>
    <t>03062100129</t>
  </si>
  <si>
    <t>03062100031</t>
  </si>
  <si>
    <t>03062100071</t>
  </si>
  <si>
    <t>03062100004</t>
  </si>
  <si>
    <t>03062100002</t>
  </si>
  <si>
    <t>03062100003</t>
  </si>
  <si>
    <t>03062100001</t>
  </si>
  <si>
    <t>03062100011</t>
  </si>
  <si>
    <t>03062100013</t>
  </si>
  <si>
    <t>03062100014</t>
  </si>
  <si>
    <t>03062100016</t>
  </si>
  <si>
    <t>03062100243</t>
  </si>
  <si>
    <t>03062100142</t>
  </si>
  <si>
    <t>03062100143</t>
  </si>
  <si>
    <t>03062100051</t>
  </si>
  <si>
    <t>03062100052</t>
  </si>
  <si>
    <t>03062100117</t>
  </si>
  <si>
    <t>03062100172</t>
  </si>
  <si>
    <t>03062100170</t>
  </si>
  <si>
    <t>03062100122</t>
  </si>
  <si>
    <t>03062100159</t>
  </si>
  <si>
    <t>03062100116</t>
  </si>
  <si>
    <t>03062100173</t>
  </si>
  <si>
    <t>03062100165</t>
  </si>
  <si>
    <t>03062100123</t>
  </si>
  <si>
    <t>03062100160</t>
  </si>
  <si>
    <t>03059000112</t>
  </si>
  <si>
    <t>03059000109</t>
  </si>
  <si>
    <t>03032000060</t>
  </si>
  <si>
    <t>05021000127</t>
  </si>
  <si>
    <t>05021000126</t>
  </si>
  <si>
    <t>03018001036</t>
  </si>
  <si>
    <t>03018001035</t>
  </si>
  <si>
    <t>03031000007</t>
  </si>
  <si>
    <t>09500000335</t>
  </si>
  <si>
    <t>01007000345</t>
  </si>
  <si>
    <t>01007000350</t>
  </si>
  <si>
    <t>01007000351</t>
  </si>
  <si>
    <t>01007000352</t>
  </si>
  <si>
    <t>01007000353</t>
  </si>
  <si>
    <t>01007000354</t>
  </si>
  <si>
    <t>01007000355</t>
  </si>
  <si>
    <t>01007000356</t>
  </si>
  <si>
    <t>01007000357</t>
  </si>
  <si>
    <t>01007000358</t>
  </si>
  <si>
    <t>01007000360</t>
  </si>
  <si>
    <t>01007000359</t>
  </si>
  <si>
    <t>05010000408</t>
  </si>
  <si>
    <t>05010000406</t>
  </si>
  <si>
    <t>05010000407</t>
  </si>
  <si>
    <t>05012002134</t>
  </si>
  <si>
    <t>05012002135</t>
  </si>
  <si>
    <t>03038000721</t>
  </si>
  <si>
    <t>03032000200</t>
  </si>
  <si>
    <t>03038000332</t>
  </si>
  <si>
    <t>03038000261</t>
  </si>
  <si>
    <t>03038000301</t>
  </si>
  <si>
    <t>03038000325</t>
  </si>
  <si>
    <t>03038000335</t>
  </si>
  <si>
    <t>03038000281</t>
  </si>
  <si>
    <t>03038000321</t>
  </si>
  <si>
    <t>03038000330</t>
  </si>
  <si>
    <t>03034000421</t>
  </si>
  <si>
    <t>03034000441</t>
  </si>
  <si>
    <t>03034000445</t>
  </si>
  <si>
    <t>03038000741</t>
  </si>
  <si>
    <t>03038000761</t>
  </si>
  <si>
    <t>03062100241</t>
  </si>
  <si>
    <t>08700000090</t>
  </si>
  <si>
    <t>08700000085</t>
  </si>
  <si>
    <t>08700000120</t>
  </si>
  <si>
    <t>06080000360</t>
  </si>
  <si>
    <t>06080000365</t>
  </si>
  <si>
    <t>06080000356</t>
  </si>
  <si>
    <t>06080000375</t>
  </si>
  <si>
    <t>06080000200</t>
  </si>
  <si>
    <t>06080000355</t>
  </si>
  <si>
    <t>06080000190</t>
  </si>
  <si>
    <t>06080000370</t>
  </si>
  <si>
    <t>06080000195</t>
  </si>
  <si>
    <t>06080000205</t>
  </si>
  <si>
    <t>06080000385</t>
  </si>
  <si>
    <t>06080000210</t>
  </si>
  <si>
    <t>08700000115</t>
  </si>
  <si>
    <t>08700000110</t>
  </si>
  <si>
    <t>08100000090</t>
  </si>
  <si>
    <t>08700000080</t>
  </si>
  <si>
    <t>08700000075</t>
  </si>
  <si>
    <t>08100000095</t>
  </si>
  <si>
    <t>07010000040</t>
  </si>
  <si>
    <t>07010000035</t>
  </si>
  <si>
    <t>08100000060</t>
  </si>
  <si>
    <t>08700000105</t>
  </si>
  <si>
    <t>08700000030</t>
  </si>
  <si>
    <t>07010000015</t>
  </si>
  <si>
    <t>08710000020</t>
  </si>
  <si>
    <t>08100000080</t>
  </si>
  <si>
    <t>08100000075</t>
  </si>
  <si>
    <t>08100000083</t>
  </si>
  <si>
    <t>08100000082</t>
  </si>
  <si>
    <t>08700000040</t>
  </si>
  <si>
    <t>08700000045</t>
  </si>
  <si>
    <t>07010000025</t>
  </si>
  <si>
    <t>08710000030</t>
  </si>
  <si>
    <t>02007001025</t>
  </si>
  <si>
    <t>02007001030</t>
  </si>
  <si>
    <t>02007001032</t>
  </si>
  <si>
    <t>08700000108</t>
  </si>
  <si>
    <t>08700000070</t>
  </si>
  <si>
    <t>08100000070</t>
  </si>
  <si>
    <t>08100000105</t>
  </si>
  <si>
    <t>08710000035</t>
  </si>
  <si>
    <t>08710000040</t>
  </si>
  <si>
    <t>07010000080</t>
  </si>
  <si>
    <t>07010000070</t>
  </si>
  <si>
    <t>08700000050</t>
  </si>
  <si>
    <t>07010000075</t>
  </si>
  <si>
    <t>07010000030</t>
  </si>
  <si>
    <t>08700000055</t>
  </si>
  <si>
    <t>08100000100</t>
  </si>
  <si>
    <t>07010000065</t>
  </si>
  <si>
    <t>08100000115</t>
  </si>
  <si>
    <t>08700000020</t>
  </si>
  <si>
    <t>07010000045</t>
  </si>
  <si>
    <t>08700000025</t>
  </si>
  <si>
    <t>07010000050</t>
  </si>
  <si>
    <t>08710000010</t>
  </si>
  <si>
    <t>08700000010</t>
  </si>
  <si>
    <t>07010000055</t>
  </si>
  <si>
    <t>08700000015</t>
  </si>
  <si>
    <t>07010000060</t>
  </si>
  <si>
    <t>08710000015</t>
  </si>
  <si>
    <t>08100000110</t>
  </si>
  <si>
    <t>08700000005</t>
  </si>
  <si>
    <t>08710000005</t>
  </si>
  <si>
    <t>07010000005</t>
  </si>
  <si>
    <t>08700000095</t>
  </si>
  <si>
    <t>08700000060</t>
  </si>
  <si>
    <t>07010000010</t>
  </si>
  <si>
    <t>08700000100</t>
  </si>
  <si>
    <t>08700000065</t>
  </si>
  <si>
    <t>08700000035</t>
  </si>
  <si>
    <t>07010000020</t>
  </si>
  <si>
    <t>08710000025</t>
  </si>
  <si>
    <t>08100000065</t>
  </si>
  <si>
    <t>09500000290</t>
  </si>
  <si>
    <t>09500000295</t>
  </si>
  <si>
    <t>09500000300</t>
  </si>
  <si>
    <t>09500000305</t>
  </si>
  <si>
    <t>09500000310</t>
  </si>
  <si>
    <t>09500000315</t>
  </si>
  <si>
    <t>03042000080</t>
  </si>
  <si>
    <t>03042000082</t>
  </si>
  <si>
    <t>03042000083</t>
  </si>
  <si>
    <t>03042000081</t>
  </si>
  <si>
    <t>03042000095</t>
  </si>
  <si>
    <t>09500000245</t>
  </si>
  <si>
    <t>09500000250</t>
  </si>
  <si>
    <t>03047300010</t>
  </si>
  <si>
    <t>03047300020</t>
  </si>
  <si>
    <t>03047300030</t>
  </si>
  <si>
    <t>06010000015</t>
  </si>
  <si>
    <t>06010000020</t>
  </si>
  <si>
    <t>06010000100</t>
  </si>
  <si>
    <t>06010000005</t>
  </si>
  <si>
    <t>06010000010</t>
  </si>
  <si>
    <t>03042000042</t>
  </si>
  <si>
    <t>03042000025</t>
  </si>
  <si>
    <t>03042000050</t>
  </si>
  <si>
    <t>03042000026</t>
  </si>
  <si>
    <t>03042000052</t>
  </si>
  <si>
    <t>03042000055</t>
  </si>
  <si>
    <t>03042000021</t>
  </si>
  <si>
    <t>03042000053</t>
  </si>
  <si>
    <t>03042000022</t>
  </si>
  <si>
    <t>03042000054</t>
  </si>
  <si>
    <t>03042000040</t>
  </si>
  <si>
    <t>03042000010</t>
  </si>
  <si>
    <t>03042000045</t>
  </si>
  <si>
    <t>03042000046</t>
  </si>
  <si>
    <t>03042000048</t>
  </si>
  <si>
    <t>03042000030</t>
  </si>
  <si>
    <t>03042000049</t>
  </si>
  <si>
    <t>05021000710</t>
  </si>
  <si>
    <t>03040000010</t>
  </si>
  <si>
    <t>03040000052</t>
  </si>
  <si>
    <t>03042000077</t>
  </si>
  <si>
    <t>08500000010</t>
  </si>
  <si>
    <t>08500000015</t>
  </si>
  <si>
    <t>08500000001</t>
  </si>
  <si>
    <t>08500000005</t>
  </si>
  <si>
    <t>03042000256</t>
  </si>
  <si>
    <t>03042000252</t>
  </si>
  <si>
    <t>03042000085</t>
  </si>
  <si>
    <t>03042000087</t>
  </si>
  <si>
    <t>03042000089</t>
  </si>
  <si>
    <t>03042000086</t>
  </si>
  <si>
    <t>03042000088</t>
  </si>
  <si>
    <t>03042000090</t>
  </si>
  <si>
    <t>03042000084</t>
  </si>
  <si>
    <t>03042000091</t>
  </si>
  <si>
    <t>09500000235</t>
  </si>
  <si>
    <t>09500000240</t>
  </si>
  <si>
    <t>03042000078</t>
  </si>
  <si>
    <t>03042000079</t>
  </si>
  <si>
    <t>03047000050</t>
  </si>
  <si>
    <t>03047000055</t>
  </si>
  <si>
    <t>01010000063</t>
  </si>
  <si>
    <t>01010000062</t>
  </si>
  <si>
    <t>03038000341</t>
  </si>
  <si>
    <t>03032000070</t>
  </si>
  <si>
    <t>01010000075</t>
  </si>
  <si>
    <t>01010000070</t>
  </si>
  <si>
    <t>01010000065</t>
  </si>
  <si>
    <t>01004000045</t>
  </si>
  <si>
    <t>01031100047</t>
  </si>
  <si>
    <t>01031100044</t>
  </si>
  <si>
    <t>03062100147</t>
  </si>
  <si>
    <t>03062100148</t>
  </si>
  <si>
    <t>03062100149</t>
  </si>
  <si>
    <t>03018605020</t>
  </si>
  <si>
    <t>03040000104</t>
  </si>
  <si>
    <t>03040000102</t>
  </si>
  <si>
    <t>03042000073</t>
  </si>
  <si>
    <t>03040000101</t>
  </si>
  <si>
    <t>03040000100</t>
  </si>
  <si>
    <t>03042000072</t>
  </si>
  <si>
    <t>06080000230</t>
  </si>
  <si>
    <t>06080000390</t>
  </si>
  <si>
    <t>06080000215</t>
  </si>
  <si>
    <t>06080000005</t>
  </si>
  <si>
    <t>06080000010</t>
  </si>
  <si>
    <t>06080000015</t>
  </si>
  <si>
    <t>06080000020</t>
  </si>
  <si>
    <t>06080000022</t>
  </si>
  <si>
    <t>06080000315</t>
  </si>
  <si>
    <t>06080000317</t>
  </si>
  <si>
    <t>06080000320</t>
  </si>
  <si>
    <t>06080000225</t>
  </si>
  <si>
    <t>06080000220</t>
  </si>
  <si>
    <t>06080000400</t>
  </si>
  <si>
    <t>06080000395</t>
  </si>
  <si>
    <t>06080000335</t>
  </si>
  <si>
    <t>06080000325</t>
  </si>
  <si>
    <t>06080000337</t>
  </si>
  <si>
    <t>06080000327</t>
  </si>
  <si>
    <t>06080000340</t>
  </si>
  <si>
    <t>06080000330</t>
  </si>
  <si>
    <t>06080000085</t>
  </si>
  <si>
    <t>06080000065</t>
  </si>
  <si>
    <t>06080000090</t>
  </si>
  <si>
    <t>06080000070</t>
  </si>
  <si>
    <t>06080000095</t>
  </si>
  <si>
    <t>06080000075</t>
  </si>
  <si>
    <t>06080000100</t>
  </si>
  <si>
    <t>06080000080</t>
  </si>
  <si>
    <t>06080000105</t>
  </si>
  <si>
    <t>06080000110</t>
  </si>
  <si>
    <t>06080000115</t>
  </si>
  <si>
    <t>06080000120</t>
  </si>
  <si>
    <t>06080000122</t>
  </si>
  <si>
    <t>06080000160</t>
  </si>
  <si>
    <t>06080000125</t>
  </si>
  <si>
    <t>06080000130</t>
  </si>
  <si>
    <t>06080000132</t>
  </si>
  <si>
    <t>06080000135</t>
  </si>
  <si>
    <t>06080000136</t>
  </si>
  <si>
    <t>06080000137</t>
  </si>
  <si>
    <t>06080000138</t>
  </si>
  <si>
    <t>06080000357</t>
  </si>
  <si>
    <t>06080000345</t>
  </si>
  <si>
    <t>06080000347</t>
  </si>
  <si>
    <t>06080000350</t>
  </si>
  <si>
    <t>06080000045</t>
  </si>
  <si>
    <t>06080000050</t>
  </si>
  <si>
    <t>06080000055</t>
  </si>
  <si>
    <t>06080000060</t>
  </si>
  <si>
    <t>06080000151</t>
  </si>
  <si>
    <t>06080000152</t>
  </si>
  <si>
    <t>06080000153</t>
  </si>
  <si>
    <t>06080000062</t>
  </si>
  <si>
    <t>06080000140</t>
  </si>
  <si>
    <t>06080000145</t>
  </si>
  <si>
    <t>06080000150</t>
  </si>
  <si>
    <t>06080000155</t>
  </si>
  <si>
    <t>06080000380</t>
  </si>
  <si>
    <t>06080000165</t>
  </si>
  <si>
    <t>06080000170</t>
  </si>
  <si>
    <t>06080000175</t>
  </si>
  <si>
    <t>06080000176</t>
  </si>
  <si>
    <t>06080000180</t>
  </si>
  <si>
    <t>06080000025</t>
  </si>
  <si>
    <t>06080000030</t>
  </si>
  <si>
    <t>06080000035</t>
  </si>
  <si>
    <t>06080000040</t>
  </si>
  <si>
    <t>03011600100</t>
  </si>
  <si>
    <t>05015000208</t>
  </si>
  <si>
    <t>05015000206</t>
  </si>
  <si>
    <t>05015000240</t>
  </si>
  <si>
    <t>05015000241</t>
  </si>
  <si>
    <t>05015000242</t>
  </si>
  <si>
    <t>05015000207</t>
  </si>
  <si>
    <t>05022000990</t>
  </si>
  <si>
    <t>06070000095</t>
  </si>
  <si>
    <t>03019500075</t>
  </si>
  <si>
    <t>03019500074</t>
  </si>
  <si>
    <t>03034000014</t>
  </si>
  <si>
    <t>03038000361</t>
  </si>
  <si>
    <t>03015305016</t>
  </si>
  <si>
    <t>03015305015</t>
  </si>
  <si>
    <t>03050000218</t>
  </si>
  <si>
    <t>03050000217</t>
  </si>
  <si>
    <t>03034000028</t>
  </si>
  <si>
    <t>03015305019</t>
  </si>
  <si>
    <t>03015305020</t>
  </si>
  <si>
    <t>03050000255</t>
  </si>
  <si>
    <t>03050000250</t>
  </si>
  <si>
    <t>03034000030</t>
  </si>
  <si>
    <t>03028000100</t>
  </si>
  <si>
    <t>03028000090</t>
  </si>
  <si>
    <t>03028000110</t>
  </si>
  <si>
    <t>05012002131</t>
  </si>
  <si>
    <t>03058000130</t>
  </si>
  <si>
    <t>01004000092</t>
  </si>
  <si>
    <t>01004000094</t>
  </si>
  <si>
    <t>03010000508</t>
  </si>
  <si>
    <t>01004000050</t>
  </si>
  <si>
    <t>01004000055</t>
  </si>
  <si>
    <t>05021000055</t>
  </si>
  <si>
    <t>05021000060</t>
  </si>
  <si>
    <t>05021000062</t>
  </si>
  <si>
    <t>05023000010</t>
  </si>
  <si>
    <t>05023000015</t>
  </si>
  <si>
    <t>03005800010</t>
  </si>
  <si>
    <t>03005800020</t>
  </si>
  <si>
    <t>05021000106</t>
  </si>
  <si>
    <t>05021000107</t>
  </si>
  <si>
    <t>03034000210</t>
  </si>
  <si>
    <t>01040000115</t>
  </si>
  <si>
    <t>01040000110</t>
  </si>
  <si>
    <t>01004000060</t>
  </si>
  <si>
    <t>01014000065</t>
  </si>
  <si>
    <t>01014000060</t>
  </si>
  <si>
    <t>03051000160</t>
  </si>
  <si>
    <t>03051000170</t>
  </si>
  <si>
    <t>01040000015</t>
  </si>
  <si>
    <t>05021000102</t>
  </si>
  <si>
    <t>05021000108</t>
  </si>
  <si>
    <t>05021000812</t>
  </si>
  <si>
    <t>03034000305</t>
  </si>
  <si>
    <t>03034000304</t>
  </si>
  <si>
    <t>09500000130</t>
  </si>
  <si>
    <t>09500000135</t>
  </si>
  <si>
    <t>03019500078</t>
  </si>
  <si>
    <t>03019500061</t>
  </si>
  <si>
    <t>03019500062</t>
  </si>
  <si>
    <t>03019500063</t>
  </si>
  <si>
    <t>03019500064</t>
  </si>
  <si>
    <t>03019500065</t>
  </si>
  <si>
    <t>03019500066</t>
  </si>
  <si>
    <t>03019500076</t>
  </si>
  <si>
    <t>03019500067</t>
  </si>
  <si>
    <t>03019500068</t>
  </si>
  <si>
    <t>03019500069</t>
  </si>
  <si>
    <t>03019500070</t>
  </si>
  <si>
    <t>03019500071</t>
  </si>
  <si>
    <t>03019500072</t>
  </si>
  <si>
    <t>03010000295</t>
  </si>
  <si>
    <t>03050000310</t>
  </si>
  <si>
    <t>03038000381</t>
  </si>
  <si>
    <t>02002000815</t>
  </si>
  <si>
    <t>02002000810</t>
  </si>
  <si>
    <t>01003001000</t>
  </si>
  <si>
    <t>01003001010</t>
  </si>
  <si>
    <t>01003001005</t>
  </si>
  <si>
    <t>08800000151</t>
  </si>
  <si>
    <t>08400000110</t>
  </si>
  <si>
    <t>08400000120</t>
  </si>
  <si>
    <t>08400003005</t>
  </si>
  <si>
    <t>08400003000</t>
  </si>
  <si>
    <t>03062100232</t>
  </si>
  <si>
    <t>04010000145</t>
  </si>
  <si>
    <t>03028100090</t>
  </si>
  <si>
    <t>03028100110</t>
  </si>
  <si>
    <t>03028100100</t>
  </si>
  <si>
    <t>03031000040</t>
  </si>
  <si>
    <t>03031000030</t>
  </si>
  <si>
    <t>03031000020</t>
  </si>
  <si>
    <t>03031000010</t>
  </si>
  <si>
    <t>08800000010</t>
  </si>
  <si>
    <t>03037000300</t>
  </si>
  <si>
    <t>03037000070</t>
  </si>
  <si>
    <t>03037000050</t>
  </si>
  <si>
    <t>03037000080</t>
  </si>
  <si>
    <t>03037000060</t>
  </si>
  <si>
    <t>03037000030</t>
  </si>
  <si>
    <t>03037000010</t>
  </si>
  <si>
    <t>03037000040</t>
  </si>
  <si>
    <t>03037000020</t>
  </si>
  <si>
    <t>03035000050</t>
  </si>
  <si>
    <t>03035000040</t>
  </si>
  <si>
    <t>03035000030</t>
  </si>
  <si>
    <t>03035000010</t>
  </si>
  <si>
    <t>03035000020</t>
  </si>
  <si>
    <t>03033000065</t>
  </si>
  <si>
    <t>03016500710</t>
  </si>
  <si>
    <t>08800000022</t>
  </si>
  <si>
    <t>08800000024</t>
  </si>
  <si>
    <t>08800000026</t>
  </si>
  <si>
    <t>08800000016</t>
  </si>
  <si>
    <t>08800000018</t>
  </si>
  <si>
    <t>08800000020</t>
  </si>
  <si>
    <t>03010000235</t>
  </si>
  <si>
    <t>03010000285</t>
  </si>
  <si>
    <t>03018605025</t>
  </si>
  <si>
    <t>03018605023</t>
  </si>
  <si>
    <t>05022000999</t>
  </si>
  <si>
    <t>06070000010</t>
  </si>
  <si>
    <t>03037000310</t>
  </si>
  <si>
    <t>03038000850</t>
  </si>
  <si>
    <t>05021000521</t>
  </si>
  <si>
    <t>03038000804</t>
  </si>
  <si>
    <t>03038000800</t>
  </si>
  <si>
    <t>03032000201</t>
  </si>
  <si>
    <t>03032000205</t>
  </si>
  <si>
    <t>03018605010</t>
  </si>
  <si>
    <t>03018605030</t>
  </si>
  <si>
    <t>05021000524</t>
  </si>
  <si>
    <t>05022000500</t>
  </si>
  <si>
    <t>05021000512</t>
  </si>
  <si>
    <t>05021000526</t>
  </si>
  <si>
    <t>05022000400</t>
  </si>
  <si>
    <t>05021000520</t>
  </si>
  <si>
    <t>03018608047</t>
  </si>
  <si>
    <t>03018608046</t>
  </si>
  <si>
    <t>03038000852</t>
  </si>
  <si>
    <t>03038000803</t>
  </si>
  <si>
    <t>03038000802</t>
  </si>
  <si>
    <t>03038000730</t>
  </si>
  <si>
    <t>05021000523</t>
  </si>
  <si>
    <t>05022000505</t>
  </si>
  <si>
    <t>05021000515</t>
  </si>
  <si>
    <t>05021000513</t>
  </si>
  <si>
    <t>03010000145</t>
  </si>
  <si>
    <t>05022000510</t>
  </si>
  <si>
    <t>05021000522</t>
  </si>
  <si>
    <t>05022000993</t>
  </si>
  <si>
    <t>05022000955</t>
  </si>
  <si>
    <t>05021000098</t>
  </si>
  <si>
    <t>05022000960</t>
  </si>
  <si>
    <t>05021000100</t>
  </si>
  <si>
    <t>01007000362</t>
  </si>
  <si>
    <t>05022000230</t>
  </si>
  <si>
    <t>05015000218</t>
  </si>
  <si>
    <t>05015000221</t>
  </si>
  <si>
    <t>05015000220</t>
  </si>
  <si>
    <t>05015000219</t>
  </si>
  <si>
    <t>05015000500</t>
  </si>
  <si>
    <t>03038000461</t>
  </si>
  <si>
    <t>03038000481</t>
  </si>
  <si>
    <t>08100000022</t>
  </si>
  <si>
    <t>08100000020</t>
  </si>
  <si>
    <t>08100000024</t>
  </si>
  <si>
    <t>08100000021</t>
  </si>
  <si>
    <t>08100000026</t>
  </si>
  <si>
    <t>08100000030</t>
  </si>
  <si>
    <t>08100000028</t>
  </si>
  <si>
    <t>09500000175</t>
  </si>
  <si>
    <t>09500000340</t>
  </si>
  <si>
    <t>05021000570</t>
  </si>
  <si>
    <t>09500000115</t>
  </si>
  <si>
    <t>03019503005</t>
  </si>
  <si>
    <t>05021000109</t>
  </si>
  <si>
    <t>05021000531</t>
  </si>
  <si>
    <t>05022000995</t>
  </si>
  <si>
    <t>05021000509</t>
  </si>
  <si>
    <t>05022000005</t>
  </si>
  <si>
    <t>05022000050</t>
  </si>
  <si>
    <t>05021000510</t>
  </si>
  <si>
    <t>05022000030</t>
  </si>
  <si>
    <t>05022000075</t>
  </si>
  <si>
    <t>05022000010</t>
  </si>
  <si>
    <t>05022000055</t>
  </si>
  <si>
    <t>05022000035</t>
  </si>
  <si>
    <t>05022000080</t>
  </si>
  <si>
    <t>05022000015</t>
  </si>
  <si>
    <t>05022000060</t>
  </si>
  <si>
    <t>05021000532</t>
  </si>
  <si>
    <t>05022001008</t>
  </si>
  <si>
    <t>05022000037</t>
  </si>
  <si>
    <t>05022000085</t>
  </si>
  <si>
    <t>05022000097</t>
  </si>
  <si>
    <t>05022000095</t>
  </si>
  <si>
    <t>05022000039</t>
  </si>
  <si>
    <t>05022000090</t>
  </si>
  <si>
    <t>05022000098</t>
  </si>
  <si>
    <t>05022000096</t>
  </si>
  <si>
    <t>05021000535</t>
  </si>
  <si>
    <t>05021000536</t>
  </si>
  <si>
    <t>03011600305</t>
  </si>
  <si>
    <t>03011600300</t>
  </si>
  <si>
    <t>05021000530</t>
  </si>
  <si>
    <t>05021000527</t>
  </si>
  <si>
    <t>05021000525</t>
  </si>
  <si>
    <t>03032000180</t>
  </si>
  <si>
    <t>03038000731</t>
  </si>
  <si>
    <t>03038000732</t>
  </si>
  <si>
    <t>03038000734</t>
  </si>
  <si>
    <t>03038000729</t>
  </si>
  <si>
    <t>03038000733</t>
  </si>
  <si>
    <t>05021000538</t>
  </si>
  <si>
    <t>03019502010</t>
  </si>
  <si>
    <t>03019502025</t>
  </si>
  <si>
    <t>03019502030</t>
  </si>
  <si>
    <t>03019502000</t>
  </si>
  <si>
    <t>03019502020</t>
  </si>
  <si>
    <t>05012001000</t>
  </si>
  <si>
    <t>05012001005</t>
  </si>
  <si>
    <t>05012001010</t>
  </si>
  <si>
    <t>03047600100</t>
  </si>
  <si>
    <t>03047600110</t>
  </si>
  <si>
    <t>03047600115</t>
  </si>
  <si>
    <t>03019502040</t>
  </si>
  <si>
    <t>03019502050</t>
  </si>
  <si>
    <t>03019502060</t>
  </si>
  <si>
    <t>03019502070</t>
  </si>
  <si>
    <t>05021000114</t>
  </si>
  <si>
    <t>05022000930</t>
  </si>
  <si>
    <t>05022001005</t>
  </si>
  <si>
    <t>05021000113</t>
  </si>
  <si>
    <t>05021000900</t>
  </si>
  <si>
    <t>03025100220</t>
  </si>
  <si>
    <t>03025100212</t>
  </si>
  <si>
    <t>03025100210</t>
  </si>
  <si>
    <t>03025100200</t>
  </si>
  <si>
    <t>03025100225</t>
  </si>
  <si>
    <t>03025100205</t>
  </si>
  <si>
    <t>09004000020</t>
  </si>
  <si>
    <t>09004000015</t>
  </si>
  <si>
    <t>05021000131</t>
  </si>
  <si>
    <t>05021000120</t>
  </si>
  <si>
    <t>05021000125</t>
  </si>
  <si>
    <t>05022000715</t>
  </si>
  <si>
    <t>05021000130</t>
  </si>
  <si>
    <t>05022000705</t>
  </si>
  <si>
    <t>05022000706</t>
  </si>
  <si>
    <t>05022000700</t>
  </si>
  <si>
    <t>05021000132</t>
  </si>
  <si>
    <t>05022000710</t>
  </si>
  <si>
    <t>03038000860</t>
  </si>
  <si>
    <t>02007000188</t>
  </si>
  <si>
    <t>02007000193</t>
  </si>
  <si>
    <t>02007000189</t>
  </si>
  <si>
    <t>02007000191</t>
  </si>
  <si>
    <t>02007000196</t>
  </si>
  <si>
    <t>02007000192</t>
  </si>
  <si>
    <t>08500000180</t>
  </si>
  <si>
    <t>08500000185</t>
  </si>
  <si>
    <t>08500000190</t>
  </si>
  <si>
    <t>08500000195</t>
  </si>
  <si>
    <t>08500000200</t>
  </si>
  <si>
    <t>08500000205</t>
  </si>
  <si>
    <t>08500000210</t>
  </si>
  <si>
    <t>03018608059</t>
  </si>
  <si>
    <t>03018608048</t>
  </si>
  <si>
    <t>03018608049</t>
  </si>
  <si>
    <t>03018608050</t>
  </si>
  <si>
    <t>03018608051</t>
  </si>
  <si>
    <t>03018608052</t>
  </si>
  <si>
    <t>03018608053</t>
  </si>
  <si>
    <t>03018608054</t>
  </si>
  <si>
    <t>03018608055</t>
  </si>
  <si>
    <t>03018608056</t>
  </si>
  <si>
    <t>03018608057</t>
  </si>
  <si>
    <t>03018608058</t>
  </si>
  <si>
    <t>03018607000</t>
  </si>
  <si>
    <t>03018607005</t>
  </si>
  <si>
    <t>03018607126</t>
  </si>
  <si>
    <t>03018607010</t>
  </si>
  <si>
    <t>03018607127</t>
  </si>
  <si>
    <t>03018607015</t>
  </si>
  <si>
    <t>03018607130</t>
  </si>
  <si>
    <t>03018607020</t>
  </si>
  <si>
    <t>03018607132</t>
  </si>
  <si>
    <t>03018607025</t>
  </si>
  <si>
    <t>03018607135</t>
  </si>
  <si>
    <t>03018607030</t>
  </si>
  <si>
    <t>03018607035</t>
  </si>
  <si>
    <t>03018607128</t>
  </si>
  <si>
    <t>03018607100</t>
  </si>
  <si>
    <t>03018607137</t>
  </si>
  <si>
    <t>03018607105</t>
  </si>
  <si>
    <t>03018607138</t>
  </si>
  <si>
    <t>03018607110</t>
  </si>
  <si>
    <t>03018607136</t>
  </si>
  <si>
    <t>03018607115</t>
  </si>
  <si>
    <t>03018607140</t>
  </si>
  <si>
    <t>03018607120</t>
  </si>
  <si>
    <t>03018607141</t>
  </si>
  <si>
    <t>03018607125</t>
  </si>
  <si>
    <t>03018607142</t>
  </si>
  <si>
    <t>03060000070</t>
  </si>
  <si>
    <t>03060000075</t>
  </si>
  <si>
    <t>03060000080</t>
  </si>
  <si>
    <t>05021000715</t>
  </si>
  <si>
    <t>01003000991</t>
  </si>
  <si>
    <t>01003000992</t>
  </si>
  <si>
    <t>01003000994</t>
  </si>
  <si>
    <t>01003000996</t>
  </si>
  <si>
    <t>03058000121</t>
  </si>
  <si>
    <t>03058000101</t>
  </si>
  <si>
    <t>03018608000</t>
  </si>
  <si>
    <t>03018600334</t>
  </si>
  <si>
    <t>03018608003</t>
  </si>
  <si>
    <t>03018600335</t>
  </si>
  <si>
    <t>03018608005</t>
  </si>
  <si>
    <t>03018600336</t>
  </si>
  <si>
    <t>03018608010</t>
  </si>
  <si>
    <t>03018600337</t>
  </si>
  <si>
    <t>03018608015</t>
  </si>
  <si>
    <t>03018600340</t>
  </si>
  <si>
    <t>03018608020</t>
  </si>
  <si>
    <t>03018600345</t>
  </si>
  <si>
    <t>03018600346</t>
  </si>
  <si>
    <t>03018608025</t>
  </si>
  <si>
    <t>03018600347</t>
  </si>
  <si>
    <t>03018608030</t>
  </si>
  <si>
    <t>03018600348</t>
  </si>
  <si>
    <t>03018608035</t>
  </si>
  <si>
    <t>03018600349</t>
  </si>
  <si>
    <t>03018608040</t>
  </si>
  <si>
    <t>03018600350</t>
  </si>
  <si>
    <t>03018608045</t>
  </si>
  <si>
    <t>03018600351</t>
  </si>
  <si>
    <t>03018600352</t>
  </si>
  <si>
    <t>03018600353</t>
  </si>
  <si>
    <t>03018600355</t>
  </si>
  <si>
    <t>03018600360</t>
  </si>
  <si>
    <t>03018600365</t>
  </si>
  <si>
    <t>03018600367</t>
  </si>
  <si>
    <t>03018600368</t>
  </si>
  <si>
    <t>03018600369</t>
  </si>
  <si>
    <t>03018600370</t>
  </si>
  <si>
    <t>03018600371</t>
  </si>
  <si>
    <t>03018600372</t>
  </si>
  <si>
    <t>03018600373</t>
  </si>
  <si>
    <t>03010000335</t>
  </si>
  <si>
    <t>03010000325</t>
  </si>
  <si>
    <t>08500000110</t>
  </si>
  <si>
    <t>08500000115</t>
  </si>
  <si>
    <t>08500000120</t>
  </si>
  <si>
    <t>08500000125</t>
  </si>
  <si>
    <t>08500000130</t>
  </si>
  <si>
    <t>08500000135</t>
  </si>
  <si>
    <t>08500000140</t>
  </si>
  <si>
    <t>08500000145</t>
  </si>
  <si>
    <t>08500000150</t>
  </si>
  <si>
    <t>08500000155</t>
  </si>
  <si>
    <t>08500000160</t>
  </si>
  <si>
    <t>08500000165</t>
  </si>
  <si>
    <t>08500000170</t>
  </si>
  <si>
    <t>08500000175</t>
  </si>
  <si>
    <t>03042000247</t>
  </si>
  <si>
    <t>03042000248</t>
  </si>
  <si>
    <t>03018300010</t>
  </si>
  <si>
    <t>03018300100</t>
  </si>
  <si>
    <t>03018300020</t>
  </si>
  <si>
    <t>03018300110</t>
  </si>
  <si>
    <t>03018300120</t>
  </si>
  <si>
    <t>03018300030</t>
  </si>
  <si>
    <t>03018300130</t>
  </si>
  <si>
    <t>03018300040</t>
  </si>
  <si>
    <t>03018300050</t>
  </si>
  <si>
    <t>03018300140</t>
  </si>
  <si>
    <t>03018300150</t>
  </si>
  <si>
    <t>03042000246</t>
  </si>
  <si>
    <t>03011000260</t>
  </si>
  <si>
    <t>03011000270</t>
  </si>
  <si>
    <t>03011000415</t>
  </si>
  <si>
    <t>03011000420</t>
  </si>
  <si>
    <t>03011000226</t>
  </si>
  <si>
    <t>03011000240</t>
  </si>
  <si>
    <t>03011000230</t>
  </si>
  <si>
    <t>03011000222</t>
  </si>
  <si>
    <t>03011000250</t>
  </si>
  <si>
    <t>03011000224</t>
  </si>
  <si>
    <t>03011000400</t>
  </si>
  <si>
    <t>03011000410</t>
  </si>
  <si>
    <t>03011000301</t>
  </si>
  <si>
    <t>03011000300</t>
  </si>
  <si>
    <t>03019500038</t>
  </si>
  <si>
    <t>05022000946</t>
  </si>
  <si>
    <t>05022000970</t>
  </si>
  <si>
    <t>05022001007</t>
  </si>
  <si>
    <t>05021000049</t>
  </si>
  <si>
    <t>05021000050</t>
  </si>
  <si>
    <t>03015300003</t>
  </si>
  <si>
    <t>03015300004</t>
  </si>
  <si>
    <t>03015305021</t>
  </si>
  <si>
    <t>03015305022</t>
  </si>
  <si>
    <t>05022000937</t>
  </si>
  <si>
    <t>08410000040</t>
  </si>
  <si>
    <t>05022000935</t>
  </si>
  <si>
    <t>06070000030</t>
  </si>
  <si>
    <t>05022001006</t>
  </si>
  <si>
    <t>05022001009</t>
  </si>
  <si>
    <t>05022000944</t>
  </si>
  <si>
    <t>05022000940</t>
  </si>
  <si>
    <t>06070000035</t>
  </si>
  <si>
    <t>05022000947</t>
  </si>
  <si>
    <t>08410000050</t>
  </si>
  <si>
    <t>05022000932</t>
  </si>
  <si>
    <t>06070000042</t>
  </si>
  <si>
    <t>05022000945</t>
  </si>
  <si>
    <t>08410000045</t>
  </si>
  <si>
    <t>05022000933</t>
  </si>
  <si>
    <t>06070000040</t>
  </si>
  <si>
    <t>05022000936</t>
  </si>
  <si>
    <t>03015100070</t>
  </si>
  <si>
    <t>03015100090</t>
  </si>
  <si>
    <t>03015100050</t>
  </si>
  <si>
    <t>08600001075</t>
  </si>
  <si>
    <t>08600001035</t>
  </si>
  <si>
    <t>08600001040</t>
  </si>
  <si>
    <t>08600001045</t>
  </si>
  <si>
    <t>08600001050</t>
  </si>
  <si>
    <t>08600001055</t>
  </si>
  <si>
    <t>08600001060</t>
  </si>
  <si>
    <t>08600001065</t>
  </si>
  <si>
    <t>08600001070</t>
  </si>
  <si>
    <t>08600000540</t>
  </si>
  <si>
    <t>08600000545</t>
  </si>
  <si>
    <t>08600000470</t>
  </si>
  <si>
    <t>08030000080</t>
  </si>
  <si>
    <t>08610000020</t>
  </si>
  <si>
    <t>08600000475</t>
  </si>
  <si>
    <t>08030000085</t>
  </si>
  <si>
    <t>08610000025</t>
  </si>
  <si>
    <t>08600000480</t>
  </si>
  <si>
    <t>08030000090</t>
  </si>
  <si>
    <t>08610000030</t>
  </si>
  <si>
    <t>08031000015</t>
  </si>
  <si>
    <t>08600000485</t>
  </si>
  <si>
    <t>08030000091</t>
  </si>
  <si>
    <t>08610000031</t>
  </si>
  <si>
    <t>08600000490</t>
  </si>
  <si>
    <t>08030000092</t>
  </si>
  <si>
    <t>08610000032</t>
  </si>
  <si>
    <t>08600000495</t>
  </si>
  <si>
    <t>08030000093</t>
  </si>
  <si>
    <t>08600000500</t>
  </si>
  <si>
    <t>08610000033</t>
  </si>
  <si>
    <t>08600000505</t>
  </si>
  <si>
    <t>08030000094</t>
  </si>
  <si>
    <t>08610000034</t>
  </si>
  <si>
    <t>08600000510</t>
  </si>
  <si>
    <t>08030000095</t>
  </si>
  <si>
    <t>08600000515</t>
  </si>
  <si>
    <t>08030000096</t>
  </si>
  <si>
    <t>08600000520</t>
  </si>
  <si>
    <t>08600000525</t>
  </si>
  <si>
    <t>08600000530</t>
  </si>
  <si>
    <t>08600000535</t>
  </si>
  <si>
    <t>08030000543</t>
  </si>
  <si>
    <t>08030000555</t>
  </si>
  <si>
    <t>08600000155</t>
  </si>
  <si>
    <t>08600000200</t>
  </si>
  <si>
    <t>08600000115</t>
  </si>
  <si>
    <t>08030000127</t>
  </si>
  <si>
    <t>08610000035</t>
  </si>
  <si>
    <t>08600000160</t>
  </si>
  <si>
    <t>08030000130</t>
  </si>
  <si>
    <t>08610000050</t>
  </si>
  <si>
    <t>08031000016</t>
  </si>
  <si>
    <t>08610000260</t>
  </si>
  <si>
    <t>08610000280</t>
  </si>
  <si>
    <t>08030000300</t>
  </si>
  <si>
    <t>08031000005</t>
  </si>
  <si>
    <t>08030000325</t>
  </si>
  <si>
    <t>08600000120</t>
  </si>
  <si>
    <t>08030000133</t>
  </si>
  <si>
    <t>08610000040</t>
  </si>
  <si>
    <t>08600000165</t>
  </si>
  <si>
    <t>08030000135</t>
  </si>
  <si>
    <t>08610000055</t>
  </si>
  <si>
    <t>08031000017</t>
  </si>
  <si>
    <t>08610000265</t>
  </si>
  <si>
    <t>08610000285</t>
  </si>
  <si>
    <t>08030000305</t>
  </si>
  <si>
    <t>08030000330</t>
  </si>
  <si>
    <t>08600000235</t>
  </si>
  <si>
    <t>08600000240</t>
  </si>
  <si>
    <t>08610000080</t>
  </si>
  <si>
    <t>08610000270</t>
  </si>
  <si>
    <t>08610000290</t>
  </si>
  <si>
    <t>08030000310</t>
  </si>
  <si>
    <t>08030000335</t>
  </si>
  <si>
    <t>08030000137</t>
  </si>
  <si>
    <t>08610000045</t>
  </si>
  <si>
    <t>08600000125</t>
  </si>
  <si>
    <t>08030000140</t>
  </si>
  <si>
    <t>08610000060</t>
  </si>
  <si>
    <t>08600000170</t>
  </si>
  <si>
    <t>08610000275</t>
  </si>
  <si>
    <t>08610000295</t>
  </si>
  <si>
    <t>08030000320</t>
  </si>
  <si>
    <t>08030000345</t>
  </si>
  <si>
    <t>08610000085</t>
  </si>
  <si>
    <t>08610000090</t>
  </si>
  <si>
    <t>08030000315</t>
  </si>
  <si>
    <t>08030000340</t>
  </si>
  <si>
    <t>08600000130</t>
  </si>
  <si>
    <t>08030000145</t>
  </si>
  <si>
    <t>08610000065</t>
  </si>
  <si>
    <t>08600000175</t>
  </si>
  <si>
    <t>08600000135</t>
  </si>
  <si>
    <t>08030000150</t>
  </si>
  <si>
    <t>08610000070</t>
  </si>
  <si>
    <t>08600000180</t>
  </si>
  <si>
    <t>08600000140</t>
  </si>
  <si>
    <t>08030000153</t>
  </si>
  <si>
    <t>08610000075</t>
  </si>
  <si>
    <t>08600000185</t>
  </si>
  <si>
    <t>08600000145</t>
  </si>
  <si>
    <t>08600000190</t>
  </si>
  <si>
    <t>08600000150</t>
  </si>
  <si>
    <t>08600000195</t>
  </si>
  <si>
    <t>08600000735</t>
  </si>
  <si>
    <t>08600000715</t>
  </si>
  <si>
    <t>08600000740</t>
  </si>
  <si>
    <t>08600000745</t>
  </si>
  <si>
    <t>08600000720</t>
  </si>
  <si>
    <t>08600000755</t>
  </si>
  <si>
    <t>08600000730</t>
  </si>
  <si>
    <t>08600000750</t>
  </si>
  <si>
    <t>08600000725</t>
  </si>
  <si>
    <t>08600000205</t>
  </si>
  <si>
    <t>08600000220</t>
  </si>
  <si>
    <t>08600000210</t>
  </si>
  <si>
    <t>08600000225</t>
  </si>
  <si>
    <t>08600000215</t>
  </si>
  <si>
    <t>08600000230</t>
  </si>
  <si>
    <t>08600000760</t>
  </si>
  <si>
    <t>08600000110</t>
  </si>
  <si>
    <t>08030000100</t>
  </si>
  <si>
    <t>08610000140</t>
  </si>
  <si>
    <t>08600000070</t>
  </si>
  <si>
    <t>08030000105</t>
  </si>
  <si>
    <t>08610000145</t>
  </si>
  <si>
    <t>08600000075</t>
  </si>
  <si>
    <t>08030000210</t>
  </si>
  <si>
    <t>08610000155</t>
  </si>
  <si>
    <t>08600000975</t>
  </si>
  <si>
    <t>08030000110</t>
  </si>
  <si>
    <t>08610000150</t>
  </si>
  <si>
    <t>08600000080</t>
  </si>
  <si>
    <t>08030000215</t>
  </si>
  <si>
    <t>08610000160</t>
  </si>
  <si>
    <t>08600000980</t>
  </si>
  <si>
    <t>08030000220</t>
  </si>
  <si>
    <t>08610000165</t>
  </si>
  <si>
    <t>08600000985</t>
  </si>
  <si>
    <t>08030000115</t>
  </si>
  <si>
    <t>08610000152</t>
  </si>
  <si>
    <t>08600000085</t>
  </si>
  <si>
    <t>08030000225</t>
  </si>
  <si>
    <t>08610000166</t>
  </si>
  <si>
    <t>08030000230</t>
  </si>
  <si>
    <t>08610000167</t>
  </si>
  <si>
    <t>08030000120</t>
  </si>
  <si>
    <t>08610000153</t>
  </si>
  <si>
    <t>08600000090</t>
  </si>
  <si>
    <t>08030000235</t>
  </si>
  <si>
    <t>08610000168</t>
  </si>
  <si>
    <t>08030000240</t>
  </si>
  <si>
    <t>08030000125</t>
  </si>
  <si>
    <t>08610000154</t>
  </si>
  <si>
    <t>08600000095</t>
  </si>
  <si>
    <t>08030000243</t>
  </si>
  <si>
    <t>08030000245</t>
  </si>
  <si>
    <t>08600000100</t>
  </si>
  <si>
    <t>08600000105</t>
  </si>
  <si>
    <t>08030000460</t>
  </si>
  <si>
    <t>08610000095</t>
  </si>
  <si>
    <t>08600000410</t>
  </si>
  <si>
    <t>08030000465</t>
  </si>
  <si>
    <t>08610000100</t>
  </si>
  <si>
    <t>08600000415</t>
  </si>
  <si>
    <t>08030000470</t>
  </si>
  <si>
    <t>08610000105</t>
  </si>
  <si>
    <t>08600000420</t>
  </si>
  <si>
    <t>08030000490</t>
  </si>
  <si>
    <t>08610000110</t>
  </si>
  <si>
    <t>08610000500</t>
  </si>
  <si>
    <t>08610000115</t>
  </si>
  <si>
    <t>08610000501</t>
  </si>
  <si>
    <t>08610000120</t>
  </si>
  <si>
    <t>08030000480</t>
  </si>
  <si>
    <t>08030000485</t>
  </si>
  <si>
    <t>08600000550</t>
  </si>
  <si>
    <t>08610000125</t>
  </si>
  <si>
    <t>08600000555</t>
  </si>
  <si>
    <t>08610000130</t>
  </si>
  <si>
    <t>08600000560</t>
  </si>
  <si>
    <t>08610000135</t>
  </si>
  <si>
    <t>08610000170</t>
  </si>
  <si>
    <t>08610000175</t>
  </si>
  <si>
    <t>08610000180</t>
  </si>
  <si>
    <t>08030000620</t>
  </si>
  <si>
    <t>08610000450</t>
  </si>
  <si>
    <t>08600000835</t>
  </si>
  <si>
    <t>08030000625</t>
  </si>
  <si>
    <t>08610000451</t>
  </si>
  <si>
    <t>08600000840</t>
  </si>
  <si>
    <t>08030000630</t>
  </si>
  <si>
    <t>08610000452</t>
  </si>
  <si>
    <t>08600000845</t>
  </si>
  <si>
    <t>08600000990</t>
  </si>
  <si>
    <t>08600000995</t>
  </si>
  <si>
    <t>08600001000</t>
  </si>
  <si>
    <t>08600001005</t>
  </si>
  <si>
    <t>08600001010</t>
  </si>
  <si>
    <t>08600001015</t>
  </si>
  <si>
    <t>08600001020</t>
  </si>
  <si>
    <t>08600001025</t>
  </si>
  <si>
    <t>08600000465</t>
  </si>
  <si>
    <t>08030000250</t>
  </si>
  <si>
    <t>08610000185</t>
  </si>
  <si>
    <t>08600000425</t>
  </si>
  <si>
    <t>08030000255</t>
  </si>
  <si>
    <t>08610000190</t>
  </si>
  <si>
    <t>08600000430</t>
  </si>
  <si>
    <t>08030000260</t>
  </si>
  <si>
    <t>08610000195</t>
  </si>
  <si>
    <t>08600000435</t>
  </si>
  <si>
    <t>08030000265</t>
  </si>
  <si>
    <t>08600000440</t>
  </si>
  <si>
    <t>08030000270</t>
  </si>
  <si>
    <t>08600000445</t>
  </si>
  <si>
    <t>08030000275</t>
  </si>
  <si>
    <t>08600000450</t>
  </si>
  <si>
    <t>08600000455</t>
  </si>
  <si>
    <t>08600000460</t>
  </si>
  <si>
    <t>08600001030</t>
  </si>
  <si>
    <t>08600000285</t>
  </si>
  <si>
    <t>08600000360</t>
  </si>
  <si>
    <t>08600000365</t>
  </si>
  <si>
    <t>08030000155</t>
  </si>
  <si>
    <t>08610000200</t>
  </si>
  <si>
    <t>08600000245</t>
  </si>
  <si>
    <t>08610000300</t>
  </si>
  <si>
    <t>08600000805</t>
  </si>
  <si>
    <t>08030000405</t>
  </si>
  <si>
    <t>08600000775</t>
  </si>
  <si>
    <t>08030000430</t>
  </si>
  <si>
    <t>08610000320</t>
  </si>
  <si>
    <t>08030000160</t>
  </si>
  <si>
    <t>08610000205</t>
  </si>
  <si>
    <t>08600000250</t>
  </si>
  <si>
    <t>08600000810</t>
  </si>
  <si>
    <t>08030000410</t>
  </si>
  <si>
    <t>08600000780</t>
  </si>
  <si>
    <t>08030000435</t>
  </si>
  <si>
    <t>08030000180</t>
  </si>
  <si>
    <t>08610000230</t>
  </si>
  <si>
    <t>08600000290</t>
  </si>
  <si>
    <t>08600000370</t>
  </si>
  <si>
    <t>08600000380</t>
  </si>
  <si>
    <t>08600000815</t>
  </si>
  <si>
    <t>08030000415</t>
  </si>
  <si>
    <t>08610000305</t>
  </si>
  <si>
    <t>08600000785</t>
  </si>
  <si>
    <t>08030000440</t>
  </si>
  <si>
    <t>08610000325</t>
  </si>
  <si>
    <t>08030000165</t>
  </si>
  <si>
    <t>08610000210</t>
  </si>
  <si>
    <t>08600000255</t>
  </si>
  <si>
    <t>08600000830</t>
  </si>
  <si>
    <t>08030000425</t>
  </si>
  <si>
    <t>08610000310</t>
  </si>
  <si>
    <t>08600000800</t>
  </si>
  <si>
    <t>08030000450</t>
  </si>
  <si>
    <t>08610000330</t>
  </si>
  <si>
    <t>08600000820</t>
  </si>
  <si>
    <t>08600000790</t>
  </si>
  <si>
    <t>08030000185</t>
  </si>
  <si>
    <t>08610000235</t>
  </si>
  <si>
    <t>08600000295</t>
  </si>
  <si>
    <t>08600000390</t>
  </si>
  <si>
    <t>08600000400</t>
  </si>
  <si>
    <t>08030000190</t>
  </si>
  <si>
    <t>08610000240</t>
  </si>
  <si>
    <t>08600000300</t>
  </si>
  <si>
    <t>08600000405</t>
  </si>
  <si>
    <t>08600000395</t>
  </si>
  <si>
    <t>08600000825</t>
  </si>
  <si>
    <t>08030000420</t>
  </si>
  <si>
    <t>08600000795</t>
  </si>
  <si>
    <t>08030000445</t>
  </si>
  <si>
    <t>08600000375</t>
  </si>
  <si>
    <t>08600000385</t>
  </si>
  <si>
    <t>08030000170</t>
  </si>
  <si>
    <t>08610000215</t>
  </si>
  <si>
    <t>08600000260</t>
  </si>
  <si>
    <t>08030000195</t>
  </si>
  <si>
    <t>08600000305</t>
  </si>
  <si>
    <t>08030000200</t>
  </si>
  <si>
    <t>08600000310</t>
  </si>
  <si>
    <t>08030000173</t>
  </si>
  <si>
    <t>08610000220</t>
  </si>
  <si>
    <t>08600000265</t>
  </si>
  <si>
    <t>08600000315</t>
  </si>
  <si>
    <t>08030000203</t>
  </si>
  <si>
    <t>08600000320</t>
  </si>
  <si>
    <t>08030000205</t>
  </si>
  <si>
    <t>08600000325</t>
  </si>
  <si>
    <t>08030000175</t>
  </si>
  <si>
    <t>08610000225</t>
  </si>
  <si>
    <t>08600000270</t>
  </si>
  <si>
    <t>08030000207</t>
  </si>
  <si>
    <t>08600000330</t>
  </si>
  <si>
    <t>08030000209</t>
  </si>
  <si>
    <t>08600000335</t>
  </si>
  <si>
    <t>08600000275</t>
  </si>
  <si>
    <t>08600000340</t>
  </si>
  <si>
    <t>08600000345</t>
  </si>
  <si>
    <t>08600000280</t>
  </si>
  <si>
    <t>08600000350</t>
  </si>
  <si>
    <t>08600000355</t>
  </si>
  <si>
    <t>08600000620</t>
  </si>
  <si>
    <t>08600000630</t>
  </si>
  <si>
    <t>08030000360</t>
  </si>
  <si>
    <t>08610000335</t>
  </si>
  <si>
    <t>08600000565</t>
  </si>
  <si>
    <t>08030000380</t>
  </si>
  <si>
    <t>08610000355</t>
  </si>
  <si>
    <t>08600000635</t>
  </si>
  <si>
    <t>08030000362</t>
  </si>
  <si>
    <t>08600000570</t>
  </si>
  <si>
    <t>08030000382</t>
  </si>
  <si>
    <t>08031000019</t>
  </si>
  <si>
    <t>08600000625</t>
  </si>
  <si>
    <t>08030000350</t>
  </si>
  <si>
    <t>08600000640</t>
  </si>
  <si>
    <t>08030000355</t>
  </si>
  <si>
    <t>08610000340</t>
  </si>
  <si>
    <t>08600000575</t>
  </si>
  <si>
    <t>08030000385</t>
  </si>
  <si>
    <t>08600000645</t>
  </si>
  <si>
    <t>08030000365</t>
  </si>
  <si>
    <t>08610000345</t>
  </si>
  <si>
    <t>08600000580</t>
  </si>
  <si>
    <t>08030000390</t>
  </si>
  <si>
    <t>08610000360</t>
  </si>
  <si>
    <t>08031000010</t>
  </si>
  <si>
    <t>08600000655</t>
  </si>
  <si>
    <t>08030000375</t>
  </si>
  <si>
    <t>08610000350</t>
  </si>
  <si>
    <t>08600000590</t>
  </si>
  <si>
    <t>08030000400</t>
  </si>
  <si>
    <t>08610000370</t>
  </si>
  <si>
    <t>08610000365</t>
  </si>
  <si>
    <t>08600000650</t>
  </si>
  <si>
    <t>08030000370</t>
  </si>
  <si>
    <t>08600000585</t>
  </si>
  <si>
    <t>08030000395</t>
  </si>
  <si>
    <t>08600000660</t>
  </si>
  <si>
    <t>08030000376</t>
  </si>
  <si>
    <t>08600000595</t>
  </si>
  <si>
    <t>08030000401</t>
  </si>
  <si>
    <t>08600000665</t>
  </si>
  <si>
    <t>08030000377</t>
  </si>
  <si>
    <t>08600000600</t>
  </si>
  <si>
    <t>08030000402</t>
  </si>
  <si>
    <t>08600000670</t>
  </si>
  <si>
    <t>08030000378</t>
  </si>
  <si>
    <t>08600000605</t>
  </si>
  <si>
    <t>08030000403</t>
  </si>
  <si>
    <t>08600000675</t>
  </si>
  <si>
    <t>08600000610</t>
  </si>
  <si>
    <t>08600000680</t>
  </si>
  <si>
    <t>08600000615</t>
  </si>
  <si>
    <t>08600000001</t>
  </si>
  <si>
    <t>08600000005</t>
  </si>
  <si>
    <t>08600000010</t>
  </si>
  <si>
    <t>08600000015</t>
  </si>
  <si>
    <t>08600000020</t>
  </si>
  <si>
    <t>08600000025</t>
  </si>
  <si>
    <t>08600000030</t>
  </si>
  <si>
    <t>08600000035</t>
  </si>
  <si>
    <t>08600000040</t>
  </si>
  <si>
    <t>08600000045</t>
  </si>
  <si>
    <t>08600000050</t>
  </si>
  <si>
    <t>08600000055</t>
  </si>
  <si>
    <t>08600000060</t>
  </si>
  <si>
    <t>08600000065</t>
  </si>
  <si>
    <t>08030000015</t>
  </si>
  <si>
    <t>08030000020</t>
  </si>
  <si>
    <t>08610000016</t>
  </si>
  <si>
    <t>08030000025</t>
  </si>
  <si>
    <t>08610000017</t>
  </si>
  <si>
    <t>08030000030</t>
  </si>
  <si>
    <t>08610000018</t>
  </si>
  <si>
    <t>08030000631</t>
  </si>
  <si>
    <t>08030000035</t>
  </si>
  <si>
    <t>08610000005</t>
  </si>
  <si>
    <t>08030000632</t>
  </si>
  <si>
    <t>08030000040</t>
  </si>
  <si>
    <t>08610000010</t>
  </si>
  <si>
    <t>08030000633</t>
  </si>
  <si>
    <t>08030000045</t>
  </si>
  <si>
    <t>08610000015</t>
  </si>
  <si>
    <t>08030000050</t>
  </si>
  <si>
    <t>08610000011</t>
  </si>
  <si>
    <t>08030000055</t>
  </si>
  <si>
    <t>08610000012</t>
  </si>
  <si>
    <t>08030000060</t>
  </si>
  <si>
    <t>08600000915</t>
  </si>
  <si>
    <t>08600000890</t>
  </si>
  <si>
    <t>08600000950</t>
  </si>
  <si>
    <t>08600000895</t>
  </si>
  <si>
    <t>08600000955</t>
  </si>
  <si>
    <t>08600000900</t>
  </si>
  <si>
    <t>08600000960</t>
  </si>
  <si>
    <t>08600000905</t>
  </si>
  <si>
    <t>08600000965</t>
  </si>
  <si>
    <t>08600000910</t>
  </si>
  <si>
    <t>08600000970</t>
  </si>
  <si>
    <t>08600000935</t>
  </si>
  <si>
    <t>08030000280</t>
  </si>
  <si>
    <t>08610000245</t>
  </si>
  <si>
    <t>08600000920</t>
  </si>
  <si>
    <t>08030000520</t>
  </si>
  <si>
    <t>08610000375</t>
  </si>
  <si>
    <t>08030000535</t>
  </si>
  <si>
    <t>08610000390</t>
  </si>
  <si>
    <t>08600000940</t>
  </si>
  <si>
    <t>08030000285</t>
  </si>
  <si>
    <t>08610000250</t>
  </si>
  <si>
    <t>08600000925</t>
  </si>
  <si>
    <t>08030000525</t>
  </si>
  <si>
    <t>08610000380</t>
  </si>
  <si>
    <t>08030000540</t>
  </si>
  <si>
    <t>08610000395</t>
  </si>
  <si>
    <t>08600000945</t>
  </si>
  <si>
    <t>08030000290</t>
  </si>
  <si>
    <t>08610000255</t>
  </si>
  <si>
    <t>08600000930</t>
  </si>
  <si>
    <t>08030000530</t>
  </si>
  <si>
    <t>08610000385</t>
  </si>
  <si>
    <t>08030000545</t>
  </si>
  <si>
    <t>08610000400</t>
  </si>
  <si>
    <t>08030000277</t>
  </si>
  <si>
    <t>08030000299</t>
  </si>
  <si>
    <t>08030000291</t>
  </si>
  <si>
    <t>08500000095</t>
  </si>
  <si>
    <t>08610000405</t>
  </si>
  <si>
    <t>08500000100</t>
  </si>
  <si>
    <t>08610000410</t>
  </si>
  <si>
    <t>08500000105</t>
  </si>
  <si>
    <t>08610000415</t>
  </si>
  <si>
    <t>08500000106</t>
  </si>
  <si>
    <t>08500000107</t>
  </si>
  <si>
    <t>08500000108</t>
  </si>
  <si>
    <t>08610000420</t>
  </si>
  <si>
    <t>08610000425</t>
  </si>
  <si>
    <t>08610000430</t>
  </si>
  <si>
    <t>08610000435</t>
  </si>
  <si>
    <t>08610000440</t>
  </si>
  <si>
    <t>08610000445</t>
  </si>
  <si>
    <t>08600000860</t>
  </si>
  <si>
    <t>08600000865</t>
  </si>
  <si>
    <t>08600000870</t>
  </si>
  <si>
    <t>08600000875</t>
  </si>
  <si>
    <t>08600000880</t>
  </si>
  <si>
    <t>08600000885</t>
  </si>
  <si>
    <t>08600000850</t>
  </si>
  <si>
    <t>08600000855</t>
  </si>
  <si>
    <t>08030000500</t>
  </si>
  <si>
    <t>08030000505</t>
  </si>
  <si>
    <t>08030000510</t>
  </si>
  <si>
    <t>08030000515</t>
  </si>
  <si>
    <t>09008000055</t>
  </si>
  <si>
    <t>09008000050</t>
  </si>
  <si>
    <t>09008000060</t>
  </si>
  <si>
    <t>09008000045</t>
  </si>
  <si>
    <t>09008000046</t>
  </si>
  <si>
    <t>02015000040</t>
  </si>
  <si>
    <t>02015000010</t>
  </si>
  <si>
    <t>02015000020</t>
  </si>
  <si>
    <t>02015000030</t>
  </si>
  <si>
    <t>01003000800</t>
  </si>
  <si>
    <t>01003000805</t>
  </si>
  <si>
    <t>01444000026</t>
  </si>
  <si>
    <t>01444000025</t>
  </si>
  <si>
    <t>01025100100</t>
  </si>
  <si>
    <t>03050000192</t>
  </si>
  <si>
    <t>03050000193</t>
  </si>
  <si>
    <t>01031100035</t>
  </si>
  <si>
    <t>01031100040</t>
  </si>
  <si>
    <t>01444000065</t>
  </si>
  <si>
    <t>01444000070</t>
  </si>
  <si>
    <t>01444000022</t>
  </si>
  <si>
    <t>01444000020</t>
  </si>
  <si>
    <t>01003000044</t>
  </si>
  <si>
    <t>01444000055</t>
  </si>
  <si>
    <t>01444000060</t>
  </si>
  <si>
    <t>01003000500</t>
  </si>
  <si>
    <t>01003000100</t>
  </si>
  <si>
    <t>01003000510</t>
  </si>
  <si>
    <t>01003000110</t>
  </si>
  <si>
    <t>01003000120</t>
  </si>
  <si>
    <t>01003000130</t>
  </si>
  <si>
    <t>01003000520</t>
  </si>
  <si>
    <t>01003000140</t>
  </si>
  <si>
    <t>01003000700</t>
  </si>
  <si>
    <t>01003000200</t>
  </si>
  <si>
    <t>01003000710</t>
  </si>
  <si>
    <t>01444000048</t>
  </si>
  <si>
    <t>01003000210</t>
  </si>
  <si>
    <t>01003000220</t>
  </si>
  <si>
    <t>01003000230</t>
  </si>
  <si>
    <t>01003000720</t>
  </si>
  <si>
    <t>01003000240</t>
  </si>
  <si>
    <t>01003000005</t>
  </si>
  <si>
    <t>01003000010</t>
  </si>
  <si>
    <t>01003000015</t>
  </si>
  <si>
    <t>01003000020</t>
  </si>
  <si>
    <t>01003000025</t>
  </si>
  <si>
    <t>01003000030</t>
  </si>
  <si>
    <t>01003000035</t>
  </si>
  <si>
    <t>01003000040</t>
  </si>
  <si>
    <t>01003000045</t>
  </si>
  <si>
    <t>01003000050</t>
  </si>
  <si>
    <t>01444000109</t>
  </si>
  <si>
    <t>01444000110</t>
  </si>
  <si>
    <t>01003000900</t>
  </si>
  <si>
    <t>01003000910</t>
  </si>
  <si>
    <t>01003000750</t>
  </si>
  <si>
    <t>01444000045</t>
  </si>
  <si>
    <t>01040000080</t>
  </si>
  <si>
    <t>01444000047</t>
  </si>
  <si>
    <t>01003000930</t>
  </si>
  <si>
    <t>01003000952</t>
  </si>
  <si>
    <t>01003000950</t>
  </si>
  <si>
    <t>01003000970</t>
  </si>
  <si>
    <t>01003000990</t>
  </si>
  <si>
    <t>01003000960</t>
  </si>
  <si>
    <t>01025000090</t>
  </si>
  <si>
    <t>01025000100</t>
  </si>
  <si>
    <t>01025000070</t>
  </si>
  <si>
    <t>01025000080</t>
  </si>
  <si>
    <t>01025000130</t>
  </si>
  <si>
    <t>01025000133</t>
  </si>
  <si>
    <t>01025000132</t>
  </si>
  <si>
    <t>01025000110</t>
  </si>
  <si>
    <t>01025000134</t>
  </si>
  <si>
    <t>01025000120</t>
  </si>
  <si>
    <t>01025000190</t>
  </si>
  <si>
    <t>01025000170</t>
  </si>
  <si>
    <t>01025000180</t>
  </si>
  <si>
    <t>01025000160</t>
  </si>
  <si>
    <t>01025000140</t>
  </si>
  <si>
    <t>01025000150</t>
  </si>
  <si>
    <t>01025000030</t>
  </si>
  <si>
    <t>01025000050</t>
  </si>
  <si>
    <t>01025000063</t>
  </si>
  <si>
    <t>01025000040</t>
  </si>
  <si>
    <t>01025000062</t>
  </si>
  <si>
    <t>01025000022</t>
  </si>
  <si>
    <t>01025000060</t>
  </si>
  <si>
    <t>01025000065</t>
  </si>
  <si>
    <t>01025000066</t>
  </si>
  <si>
    <t>01025000067</t>
  </si>
  <si>
    <t>01025000020</t>
  </si>
  <si>
    <t>01025000068</t>
  </si>
  <si>
    <t>01025000203</t>
  </si>
  <si>
    <t>01025000202</t>
  </si>
  <si>
    <t>01025000201</t>
  </si>
  <si>
    <t>01025000204</t>
  </si>
  <si>
    <t>01025000205</t>
  </si>
  <si>
    <t>01025000206</t>
  </si>
  <si>
    <t>01025000200</t>
  </si>
  <si>
    <t>01025000207</t>
  </si>
  <si>
    <t>01025000019</t>
  </si>
  <si>
    <t>01025000017</t>
  </si>
  <si>
    <t>01025000016</t>
  </si>
  <si>
    <t>01025000012</t>
  </si>
  <si>
    <t>01025000013</t>
  </si>
  <si>
    <t>01025000014</t>
  </si>
  <si>
    <t>01025000018</t>
  </si>
  <si>
    <t>01025000015</t>
  </si>
  <si>
    <t>01444000030</t>
  </si>
  <si>
    <t>01015000035</t>
  </si>
  <si>
    <t>01025000083</t>
  </si>
  <si>
    <t>01025000082</t>
  </si>
  <si>
    <t>01003000995</t>
  </si>
  <si>
    <t>01011001010</t>
  </si>
  <si>
    <t>01011001015</t>
  </si>
  <si>
    <t>01011001005</t>
  </si>
  <si>
    <t>01011001020</t>
  </si>
  <si>
    <t>01040000502</t>
  </si>
  <si>
    <t>01444000054</t>
  </si>
  <si>
    <t>01444000058</t>
  </si>
  <si>
    <t>01444000056</t>
  </si>
  <si>
    <t>01444000052</t>
  </si>
  <si>
    <t>01003000756</t>
  </si>
  <si>
    <t>01040000503</t>
  </si>
  <si>
    <t>01003000755</t>
  </si>
  <si>
    <t>01444000100</t>
  </si>
  <si>
    <t>01444000101</t>
  </si>
  <si>
    <t>01444000005</t>
  </si>
  <si>
    <t>01444000071</t>
  </si>
  <si>
    <t>01444000102</t>
  </si>
  <si>
    <t>01444000010</t>
  </si>
  <si>
    <t>01444000011</t>
  </si>
  <si>
    <t>01444000008</t>
  </si>
  <si>
    <t>01444000103</t>
  </si>
  <si>
    <t>01444000104</t>
  </si>
  <si>
    <t>01444000105</t>
  </si>
  <si>
    <t>01444000106</t>
  </si>
  <si>
    <t>01444000107</t>
  </si>
  <si>
    <t>01444000108</t>
  </si>
  <si>
    <t>01444000200</t>
  </si>
  <si>
    <t>01444000201</t>
  </si>
  <si>
    <t>01444000202</t>
  </si>
  <si>
    <t>01444000203</t>
  </si>
  <si>
    <t>01444000040</t>
  </si>
  <si>
    <t>01444000035</t>
  </si>
  <si>
    <t>01444000050</t>
  </si>
  <si>
    <t>01025100105</t>
  </si>
  <si>
    <t>05015000001</t>
  </si>
  <si>
    <t>05015000002</t>
  </si>
  <si>
    <t>05015000003</t>
  </si>
  <si>
    <t>05015000004</t>
  </si>
  <si>
    <t>05015000179</t>
  </si>
  <si>
    <t>05015000071</t>
  </si>
  <si>
    <t>05015000525</t>
  </si>
  <si>
    <t>05015000196</t>
  </si>
  <si>
    <t>05015000197</t>
  </si>
  <si>
    <t>03038000501</t>
  </si>
  <si>
    <t>03059000452</t>
  </si>
  <si>
    <t>05022000992</t>
  </si>
  <si>
    <t>05022000991</t>
  </si>
  <si>
    <t>08400003545</t>
  </si>
  <si>
    <t>03011600115</t>
  </si>
  <si>
    <t>03011600105</t>
  </si>
  <si>
    <t>03011600110</t>
  </si>
  <si>
    <t>03047600090</t>
  </si>
  <si>
    <t>03047600075</t>
  </si>
  <si>
    <t>03047600070</t>
  </si>
  <si>
    <t>02007000016</t>
  </si>
  <si>
    <t>02007000025</t>
  </si>
  <si>
    <t>02007000027</t>
  </si>
  <si>
    <t>02007000030</t>
  </si>
  <si>
    <t>02007000035</t>
  </si>
  <si>
    <t>02007000050</t>
  </si>
  <si>
    <t>02007000055</t>
  </si>
  <si>
    <t>02007000060</t>
  </si>
  <si>
    <t>02007000065</t>
  </si>
  <si>
    <t>02007000068</t>
  </si>
  <si>
    <t>02007000075</t>
  </si>
  <si>
    <t>02007000080</t>
  </si>
  <si>
    <t>02007000090</t>
  </si>
  <si>
    <t>02007000100</t>
  </si>
  <si>
    <t>02007000105</t>
  </si>
  <si>
    <t>02007000115</t>
  </si>
  <si>
    <t>02007000125</t>
  </si>
  <si>
    <t>02007000130</t>
  </si>
  <si>
    <t>02007000140</t>
  </si>
  <si>
    <t>02007000141</t>
  </si>
  <si>
    <t>02007000142</t>
  </si>
  <si>
    <t>02007000150</t>
  </si>
  <si>
    <t>02007000155</t>
  </si>
  <si>
    <t>02007000165</t>
  </si>
  <si>
    <t>02007000175</t>
  </si>
  <si>
    <t>02007000180</t>
  </si>
  <si>
    <t>02007000190</t>
  </si>
  <si>
    <t>02007000535</t>
  </si>
  <si>
    <t>02007000540</t>
  </si>
  <si>
    <t>02007000545</t>
  </si>
  <si>
    <t>02007000550</t>
  </si>
  <si>
    <t>02007000555</t>
  </si>
  <si>
    <t>02007000595</t>
  </si>
  <si>
    <t>02007000605</t>
  </si>
  <si>
    <t>02007000608</t>
  </si>
  <si>
    <t>02007000615</t>
  </si>
  <si>
    <t>02007000618</t>
  </si>
  <si>
    <t>02007000625</t>
  </si>
  <si>
    <t>02007000635</t>
  </si>
  <si>
    <t>02007000655</t>
  </si>
  <si>
    <t>02007000665</t>
  </si>
  <si>
    <t>02007000680</t>
  </si>
  <si>
    <t>02007000685</t>
  </si>
  <si>
    <t>02007000695</t>
  </si>
  <si>
    <t>02007000698</t>
  </si>
  <si>
    <t>02007000699</t>
  </si>
  <si>
    <t>02007000005</t>
  </si>
  <si>
    <t>02007000010</t>
  </si>
  <si>
    <t>02007000570</t>
  </si>
  <si>
    <t>02007000560</t>
  </si>
  <si>
    <t>02007000015</t>
  </si>
  <si>
    <t>02007000040</t>
  </si>
  <si>
    <t>02007000042</t>
  </si>
  <si>
    <t>02007000820</t>
  </si>
  <si>
    <t>02007001033</t>
  </si>
  <si>
    <t>02007000825</t>
  </si>
  <si>
    <t>02007001034</t>
  </si>
  <si>
    <t>02007000830</t>
  </si>
  <si>
    <t>02007001035</t>
  </si>
  <si>
    <t>02007000835</t>
  </si>
  <si>
    <t>02007000840</t>
  </si>
  <si>
    <t>02007000845</t>
  </si>
  <si>
    <t>02007000850</t>
  </si>
  <si>
    <t>02007000855</t>
  </si>
  <si>
    <t>02007000860</t>
  </si>
  <si>
    <t>02007000865</t>
  </si>
  <si>
    <t>02007000870</t>
  </si>
  <si>
    <t>02007000875</t>
  </si>
  <si>
    <t>02007000880</t>
  </si>
  <si>
    <t>02007000885</t>
  </si>
  <si>
    <t>02007000890</t>
  </si>
  <si>
    <t>02007000765</t>
  </si>
  <si>
    <t>02007001036</t>
  </si>
  <si>
    <t>02007000770</t>
  </si>
  <si>
    <t>02007001037</t>
  </si>
  <si>
    <t>02007000775</t>
  </si>
  <si>
    <t>02007001038</t>
  </si>
  <si>
    <t>02007000780</t>
  </si>
  <si>
    <t>02007000785</t>
  </si>
  <si>
    <t>02007000790</t>
  </si>
  <si>
    <t>02007000795</t>
  </si>
  <si>
    <t>02007000800</t>
  </si>
  <si>
    <t>02007000805</t>
  </si>
  <si>
    <t>02007000810</t>
  </si>
  <si>
    <t>02007000815</t>
  </si>
  <si>
    <t>02007000725</t>
  </si>
  <si>
    <t>02007000730</t>
  </si>
  <si>
    <t>02007000735</t>
  </si>
  <si>
    <t>02007000740</t>
  </si>
  <si>
    <t>02007000745</t>
  </si>
  <si>
    <t>02007000750</t>
  </si>
  <si>
    <t>02007000755</t>
  </si>
  <si>
    <t>02007000760</t>
  </si>
  <si>
    <t>02015000620</t>
  </si>
  <si>
    <t>02015000630</t>
  </si>
  <si>
    <t>02015000625</t>
  </si>
  <si>
    <t>02015000650</t>
  </si>
  <si>
    <t>02015000635</t>
  </si>
  <si>
    <t>02015000660</t>
  </si>
  <si>
    <t>02015000670</t>
  </si>
  <si>
    <t>02015000680</t>
  </si>
  <si>
    <t>02010000180</t>
  </si>
  <si>
    <t>02010000185</t>
  </si>
  <si>
    <t>02010000190</t>
  </si>
  <si>
    <t>02010000195</t>
  </si>
  <si>
    <t>02010000160</t>
  </si>
  <si>
    <t>02010000170</t>
  </si>
  <si>
    <t>02010000165</t>
  </si>
  <si>
    <t>02010000150</t>
  </si>
  <si>
    <t>02010000210</t>
  </si>
  <si>
    <t>02010000175</t>
  </si>
  <si>
    <t>02010000155</t>
  </si>
  <si>
    <t>02010000145</t>
  </si>
  <si>
    <t>02010000510</t>
  </si>
  <si>
    <t>02010000520</t>
  </si>
  <si>
    <t>02010000515</t>
  </si>
  <si>
    <t>02010000500</t>
  </si>
  <si>
    <t>02010000530</t>
  </si>
  <si>
    <t>02010000525</t>
  </si>
  <si>
    <t>02010000505</t>
  </si>
  <si>
    <t>02010000310</t>
  </si>
  <si>
    <t>02010000300</t>
  </si>
  <si>
    <t>02010000305</t>
  </si>
  <si>
    <t>08400002450</t>
  </si>
  <si>
    <t>08400002455</t>
  </si>
  <si>
    <t>03042000113</t>
  </si>
  <si>
    <t>03050000141</t>
  </si>
  <si>
    <t>03050000142</t>
  </si>
  <si>
    <t>03050000181</t>
  </si>
  <si>
    <t>03050000191</t>
  </si>
  <si>
    <t>03050000121</t>
  </si>
  <si>
    <t>03050000150</t>
  </si>
  <si>
    <t>03042000117</t>
  </si>
  <si>
    <t>03042000115</t>
  </si>
  <si>
    <t>03042000112</t>
  </si>
  <si>
    <t>03042000111</t>
  </si>
  <si>
    <t>03042000122</t>
  </si>
  <si>
    <t>06010000050</t>
  </si>
  <si>
    <t>06010000860</t>
  </si>
  <si>
    <t>06010000855</t>
  </si>
  <si>
    <t>03010000165</t>
  </si>
  <si>
    <t>03010000185</t>
  </si>
  <si>
    <t>03010000175</t>
  </si>
  <si>
    <t>03018607200</t>
  </si>
  <si>
    <t>03018607205</t>
  </si>
  <si>
    <t>05015000260</t>
  </si>
  <si>
    <t>05015000087</t>
  </si>
  <si>
    <t>05015000091</t>
  </si>
  <si>
    <t>05015000089</t>
  </si>
  <si>
    <t>05015000149</t>
  </si>
  <si>
    <t>05015000122</t>
  </si>
  <si>
    <t>05015000109</t>
  </si>
  <si>
    <t>05015000110</t>
  </si>
  <si>
    <t>05015000019</t>
  </si>
  <si>
    <t>05015000043</t>
  </si>
  <si>
    <t>05015000018</t>
  </si>
  <si>
    <t>05015000015</t>
  </si>
  <si>
    <t>05015000016</t>
  </si>
  <si>
    <t>05015000020</t>
  </si>
  <si>
    <t>05015000021</t>
  </si>
  <si>
    <t>05015000022</t>
  </si>
  <si>
    <t>03047600080</t>
  </si>
  <si>
    <t>03047600060</t>
  </si>
  <si>
    <t>03047600055</t>
  </si>
  <si>
    <t>05015000006</t>
  </si>
  <si>
    <t>05015000008</t>
  </si>
  <si>
    <t>05015000005</t>
  </si>
  <si>
    <t>03047600095</t>
  </si>
  <si>
    <t>05015000148</t>
  </si>
  <si>
    <t>05015000040</t>
  </si>
  <si>
    <t>05015000041</t>
  </si>
  <si>
    <t>05015000527</t>
  </si>
  <si>
    <t>05015000526</t>
  </si>
  <si>
    <t>05015000186</t>
  </si>
  <si>
    <t>05015000144</t>
  </si>
  <si>
    <t>05015000185</t>
  </si>
  <si>
    <t>03005000024</t>
  </si>
  <si>
    <t>03005000030</t>
  </si>
  <si>
    <t>03005000023</t>
  </si>
  <si>
    <t>03005000022</t>
  </si>
  <si>
    <t>09910000025</t>
  </si>
  <si>
    <t>09910000030</t>
  </si>
  <si>
    <t>03011600141</t>
  </si>
  <si>
    <t>03011600132</t>
  </si>
  <si>
    <t>03011600137</t>
  </si>
  <si>
    <t>06050000500</t>
  </si>
  <si>
    <t>03062000071</t>
  </si>
  <si>
    <t>03010000225</t>
  </si>
  <si>
    <t>03062000081</t>
  </si>
  <si>
    <t>03010000205</t>
  </si>
  <si>
    <t>03062000091</t>
  </si>
  <si>
    <t>03010000215</t>
  </si>
  <si>
    <t>03062000110</t>
  </si>
  <si>
    <t>03062000100</t>
  </si>
  <si>
    <t>03062000105</t>
  </si>
  <si>
    <t>09910000080</t>
  </si>
  <si>
    <t>05010000404</t>
  </si>
  <si>
    <t>05010000402</t>
  </si>
  <si>
    <t>09910000065</t>
  </si>
  <si>
    <t>09910000060</t>
  </si>
  <si>
    <t>09910000075</t>
  </si>
  <si>
    <t>09910000070</t>
  </si>
  <si>
    <t>03018100090</t>
  </si>
  <si>
    <t>03018100102</t>
  </si>
  <si>
    <t>03018100100</t>
  </si>
  <si>
    <t>03018100103</t>
  </si>
  <si>
    <t>03018100101</t>
  </si>
  <si>
    <t>03015000061</t>
  </si>
  <si>
    <t>03057000010</t>
  </si>
  <si>
    <t>03057000020</t>
  </si>
  <si>
    <t>02010000400</t>
  </si>
  <si>
    <t>05022000731</t>
  </si>
  <si>
    <t>05015000528</t>
  </si>
  <si>
    <t>05015000529</t>
  </si>
  <si>
    <t>05015000213</t>
  </si>
  <si>
    <t>05022000735</t>
  </si>
  <si>
    <t>05015000132</t>
  </si>
  <si>
    <t>05015000164</t>
  </si>
  <si>
    <t>05015000065</t>
  </si>
  <si>
    <t>05015000066</t>
  </si>
  <si>
    <t>05022000985</t>
  </si>
  <si>
    <t>05015000227</t>
  </si>
  <si>
    <t>03017700121</t>
  </si>
  <si>
    <t>03017700122</t>
  </si>
  <si>
    <t>05022000730</t>
  </si>
  <si>
    <t>05021000105</t>
  </si>
  <si>
    <t>05015000205</t>
  </si>
  <si>
    <t>05015000107</t>
  </si>
  <si>
    <t>05015000108</t>
  </si>
  <si>
    <t>05015000118</t>
  </si>
  <si>
    <t>05015000202</t>
  </si>
  <si>
    <t>05015000203</t>
  </si>
  <si>
    <t>05015000192</t>
  </si>
  <si>
    <t>05015000200</t>
  </si>
  <si>
    <t>05015000201</t>
  </si>
  <si>
    <t>05015000195</t>
  </si>
  <si>
    <t>05015000190</t>
  </si>
  <si>
    <t>05015000191</t>
  </si>
  <si>
    <t>05015000194</t>
  </si>
  <si>
    <t>05015000193</t>
  </si>
  <si>
    <t>05015000204</t>
  </si>
  <si>
    <t>05015000105</t>
  </si>
  <si>
    <t>05015000106</t>
  </si>
  <si>
    <t>05015000075</t>
  </si>
  <si>
    <t>05015000076</t>
  </si>
  <si>
    <t>05015000506</t>
  </si>
  <si>
    <t>05021000053</t>
  </si>
  <si>
    <t>05015000212</t>
  </si>
  <si>
    <t>05015000211</t>
  </si>
  <si>
    <t>05015000079</t>
  </si>
  <si>
    <t>05015000080</t>
  </si>
  <si>
    <t>05015000174</t>
  </si>
  <si>
    <t>05015000173</t>
  </si>
  <si>
    <t>05015000508</t>
  </si>
  <si>
    <t>05015000510</t>
  </si>
  <si>
    <t>05015000029</t>
  </si>
  <si>
    <t>05015000030</t>
  </si>
  <si>
    <t>05015000031</t>
  </si>
  <si>
    <t>05015000032</t>
  </si>
  <si>
    <t>05015000226</t>
  </si>
  <si>
    <t>05015000229</t>
  </si>
  <si>
    <t>05015000086</t>
  </si>
  <si>
    <t>05015000084</t>
  </si>
  <si>
    <t>05015000085</t>
  </si>
  <si>
    <t>05015000145</t>
  </si>
  <si>
    <t>05015000133</t>
  </si>
  <si>
    <t>05015000119</t>
  </si>
  <si>
    <t>05015000134</t>
  </si>
  <si>
    <t>05015000136</t>
  </si>
  <si>
    <t>05015000137</t>
  </si>
  <si>
    <t>05015000138</t>
  </si>
  <si>
    <t>05015000245</t>
  </si>
  <si>
    <t>05015000243</t>
  </si>
  <si>
    <t>05015000244</t>
  </si>
  <si>
    <t>05015000153</t>
  </si>
  <si>
    <t>05015000152</t>
  </si>
  <si>
    <t>05015000531</t>
  </si>
  <si>
    <t>05021000117</t>
  </si>
  <si>
    <t>05021000115</t>
  </si>
  <si>
    <t>05015000198</t>
  </si>
  <si>
    <t>03033000110</t>
  </si>
  <si>
    <t>05021000133</t>
  </si>
  <si>
    <t>05021000135</t>
  </si>
  <si>
    <t>05021000575</t>
  </si>
  <si>
    <t>09500000110</t>
  </si>
  <si>
    <t>03038000805</t>
  </si>
  <si>
    <t>05021000136</t>
  </si>
  <si>
    <t>06010000800</t>
  </si>
  <si>
    <t>03026000200</t>
  </si>
  <si>
    <t>03005300005</t>
  </si>
  <si>
    <t>03019500023</t>
  </si>
  <si>
    <t>03019500021</t>
  </si>
  <si>
    <t>03019500022</t>
  </si>
  <si>
    <t>05021000705</t>
  </si>
  <si>
    <t>09500000360</t>
  </si>
  <si>
    <t>09500000105</t>
  </si>
  <si>
    <t>09500000350</t>
  </si>
  <si>
    <t>03027000150</t>
  </si>
  <si>
    <t>03027000020</t>
  </si>
  <si>
    <t>03027000130</t>
  </si>
  <si>
    <t>03027000140</t>
  </si>
  <si>
    <t>03027000010</t>
  </si>
  <si>
    <t>03038000795</t>
  </si>
  <si>
    <t>01016000230</t>
  </si>
  <si>
    <t>01016000241</t>
  </si>
  <si>
    <t>01016000235</t>
  </si>
  <si>
    <t>01016000240</t>
  </si>
  <si>
    <t>01016000200</t>
  </si>
  <si>
    <t>01016000205</t>
  </si>
  <si>
    <t>01016000210</t>
  </si>
  <si>
    <t>01016000215</t>
  </si>
  <si>
    <t>01016000220</t>
  </si>
  <si>
    <t>01016000225</t>
  </si>
  <si>
    <t>03058000131</t>
  </si>
  <si>
    <t>03019300040</t>
  </si>
  <si>
    <t>03019300045</t>
  </si>
  <si>
    <t>06010000518</t>
  </si>
  <si>
    <t>03047300065</t>
  </si>
  <si>
    <t>03047300067</t>
  </si>
  <si>
    <t>06010000400</t>
  </si>
  <si>
    <t>06010000405</t>
  </si>
  <si>
    <t>06010000410</t>
  </si>
  <si>
    <t>06010000419</t>
  </si>
  <si>
    <t>06010000415</t>
  </si>
  <si>
    <t>06010000420</t>
  </si>
  <si>
    <t>06010000425</t>
  </si>
  <si>
    <t>06010000418</t>
  </si>
  <si>
    <t>06010000520</t>
  </si>
  <si>
    <t>06010000500</t>
  </si>
  <si>
    <t>06010000510</t>
  </si>
  <si>
    <t>06010000517</t>
  </si>
  <si>
    <t>06010000516</t>
  </si>
  <si>
    <t>01031100045</t>
  </si>
  <si>
    <t>02020000005</t>
  </si>
  <si>
    <t>02020000010</t>
  </si>
  <si>
    <t>02020000015</t>
  </si>
  <si>
    <t>01031100050</t>
  </si>
  <si>
    <t>01031100055</t>
  </si>
  <si>
    <t>01031100060</t>
  </si>
  <si>
    <t>01031100065</t>
  </si>
  <si>
    <t>01031100110</t>
  </si>
  <si>
    <t>01031100115</t>
  </si>
  <si>
    <t>01031100120</t>
  </si>
  <si>
    <t>01031100125</t>
  </si>
  <si>
    <t>01031100102</t>
  </si>
  <si>
    <t>01031100105</t>
  </si>
  <si>
    <t>01031100080</t>
  </si>
  <si>
    <t>01031100085</t>
  </si>
  <si>
    <t>01031100090</t>
  </si>
  <si>
    <t>01031100095</t>
  </si>
  <si>
    <t>01040000301</t>
  </si>
  <si>
    <t>01040000302</t>
  </si>
  <si>
    <t>01040000300</t>
  </si>
  <si>
    <t>08400003010</t>
  </si>
  <si>
    <t>01015000015</t>
  </si>
  <si>
    <t>01015000005</t>
  </si>
  <si>
    <t>01015000010</t>
  </si>
  <si>
    <t>01015000020</t>
  </si>
  <si>
    <t>01015000025</t>
  </si>
  <si>
    <t>01015000030</t>
  </si>
  <si>
    <t>01004000080</t>
  </si>
  <si>
    <t>01004000075</t>
  </si>
  <si>
    <t>03033000103</t>
  </si>
  <si>
    <t>03032000120</t>
  </si>
  <si>
    <t>03032000140</t>
  </si>
  <si>
    <t>01041000025</t>
  </si>
  <si>
    <t>01041000015</t>
  </si>
  <si>
    <t>01041000020</t>
  </si>
  <si>
    <t>03019500040</t>
  </si>
  <si>
    <t>03019500050</t>
  </si>
  <si>
    <t>03019500060</t>
  </si>
  <si>
    <t>03019500039</t>
  </si>
  <si>
    <t>03019500032</t>
  </si>
  <si>
    <t>03019500034</t>
  </si>
  <si>
    <t>03019500036</t>
  </si>
  <si>
    <t>03019502080</t>
  </si>
  <si>
    <t>03019502075</t>
  </si>
  <si>
    <t>03019502085</t>
  </si>
  <si>
    <t>03019502095</t>
  </si>
  <si>
    <t>03019502090</t>
  </si>
  <si>
    <t>03019503000</t>
  </si>
  <si>
    <t>06050000129</t>
  </si>
  <si>
    <t>06050000130</t>
  </si>
  <si>
    <t>06050000131</t>
  </si>
  <si>
    <t>06050000132</t>
  </si>
  <si>
    <t>06050000045</t>
  </si>
  <si>
    <t>06050000047</t>
  </si>
  <si>
    <t>06050000050</t>
  </si>
  <si>
    <t>06050000052</t>
  </si>
  <si>
    <t>06050000053</t>
  </si>
  <si>
    <t>06050000054</t>
  </si>
  <si>
    <t>06050000502</t>
  </si>
  <si>
    <t>06050000097</t>
  </si>
  <si>
    <t>06050000501</t>
  </si>
  <si>
    <t>06050000087</t>
  </si>
  <si>
    <t>06050000088</t>
  </si>
  <si>
    <t>06050000090</t>
  </si>
  <si>
    <t>06050000092</t>
  </si>
  <si>
    <t>06050000094</t>
  </si>
  <si>
    <t>06050000095</t>
  </si>
  <si>
    <t>06050000096</t>
  </si>
  <si>
    <t>06070000085</t>
  </si>
  <si>
    <t>03040000020</t>
  </si>
  <si>
    <t>03040000018</t>
  </si>
  <si>
    <t>03040000016</t>
  </si>
  <si>
    <t>09500000068</t>
  </si>
  <si>
    <t>06010000850</t>
  </si>
  <si>
    <t>03063000095</t>
  </si>
  <si>
    <t>06010000853</t>
  </si>
  <si>
    <t>03033000105</t>
  </si>
  <si>
    <t>03033000040</t>
  </si>
  <si>
    <t>03015000040</t>
  </si>
  <si>
    <t>03033000060</t>
  </si>
  <si>
    <t>03033000050</t>
  </si>
  <si>
    <t>03033000111</t>
  </si>
  <si>
    <t>03033000055</t>
  </si>
  <si>
    <t>03033000056</t>
  </si>
  <si>
    <t>03033000030</t>
  </si>
  <si>
    <t>03042000255</t>
  </si>
  <si>
    <t>03042000098</t>
  </si>
  <si>
    <t>03042000120</t>
  </si>
  <si>
    <t>03042000106</t>
  </si>
  <si>
    <t>03042000121</t>
  </si>
  <si>
    <t>03042000104</t>
  </si>
  <si>
    <t>03042000102</t>
  </si>
  <si>
    <t>03042000108</t>
  </si>
  <si>
    <t>03042000251</t>
  </si>
  <si>
    <t>03042000250</t>
  </si>
  <si>
    <t>03042000107</t>
  </si>
  <si>
    <t>03042000032</t>
  </si>
  <si>
    <t>03042000253</t>
  </si>
  <si>
    <t>03042000254</t>
  </si>
  <si>
    <t>03042000105</t>
  </si>
  <si>
    <t>03042000103</t>
  </si>
  <si>
    <t>03042000118</t>
  </si>
  <si>
    <t>06070000082</t>
  </si>
  <si>
    <t>06070000075</t>
  </si>
  <si>
    <t>06070000080</t>
  </si>
  <si>
    <t>06070000065</t>
  </si>
  <si>
    <t>06070000070</t>
  </si>
  <si>
    <t>06050000030</t>
  </si>
  <si>
    <t>06050000035</t>
  </si>
  <si>
    <t>06050000034</t>
  </si>
  <si>
    <t>06050000036</t>
  </si>
  <si>
    <t>06050000098</t>
  </si>
  <si>
    <t>06050000105</t>
  </si>
  <si>
    <t>06050000099</t>
  </si>
  <si>
    <t>06050000110</t>
  </si>
  <si>
    <t>06050000100</t>
  </si>
  <si>
    <t>06050000118</t>
  </si>
  <si>
    <t>06050000116</t>
  </si>
  <si>
    <t>06050000121</t>
  </si>
  <si>
    <t>06050000119</t>
  </si>
  <si>
    <t>06050000117</t>
  </si>
  <si>
    <t>06050000120</t>
  </si>
  <si>
    <t>06050000020</t>
  </si>
  <si>
    <t>06050000134</t>
  </si>
  <si>
    <t>06050000025</t>
  </si>
  <si>
    <t>06050000136</t>
  </si>
  <si>
    <t>06050000026</t>
  </si>
  <si>
    <t>06050000138</t>
  </si>
  <si>
    <t>06050000027</t>
  </si>
  <si>
    <t>06050000123</t>
  </si>
  <si>
    <t>06050000125</t>
  </si>
  <si>
    <t>06050000122</t>
  </si>
  <si>
    <t>06050000124</t>
  </si>
  <si>
    <t>06050000079</t>
  </si>
  <si>
    <t>06050000081</t>
  </si>
  <si>
    <t>06050000005</t>
  </si>
  <si>
    <t>06050000019</t>
  </si>
  <si>
    <t>06050000011</t>
  </si>
  <si>
    <t>06050000065</t>
  </si>
  <si>
    <t>06050000072</t>
  </si>
  <si>
    <t>06050000067</t>
  </si>
  <si>
    <t>06050000068</t>
  </si>
  <si>
    <t>06050000112</t>
  </si>
  <si>
    <t>06050000111</t>
  </si>
  <si>
    <t>06050000057</t>
  </si>
  <si>
    <t>06050000083</t>
  </si>
  <si>
    <t>06050000040</t>
  </si>
  <si>
    <t>06050000017</t>
  </si>
  <si>
    <t>06050000013</t>
  </si>
  <si>
    <t>06050000066</t>
  </si>
  <si>
    <t>06050000080</t>
  </si>
  <si>
    <t>06050000071</t>
  </si>
  <si>
    <t>06050000073</t>
  </si>
  <si>
    <t>06050000113</t>
  </si>
  <si>
    <t>06050000061</t>
  </si>
  <si>
    <t>06050000082</t>
  </si>
  <si>
    <t>06050000016</t>
  </si>
  <si>
    <t>06050000077</t>
  </si>
  <si>
    <t>06050000089</t>
  </si>
  <si>
    <t>06050000086</t>
  </si>
  <si>
    <t>06050000062</t>
  </si>
  <si>
    <t>06050000114</t>
  </si>
  <si>
    <t>06050000084</t>
  </si>
  <si>
    <t>01003001011</t>
  </si>
  <si>
    <t>02002000820</t>
  </si>
  <si>
    <t>03038000431</t>
  </si>
  <si>
    <t>03032000110</t>
  </si>
  <si>
    <t>03038000441</t>
  </si>
  <si>
    <t>03038000401</t>
  </si>
  <si>
    <t>03034000181</t>
  </si>
  <si>
    <t>03034000161</t>
  </si>
  <si>
    <t>03034000141</t>
  </si>
  <si>
    <t>03034000121</t>
  </si>
  <si>
    <t>05022000555</t>
  </si>
  <si>
    <t>05022000560</t>
  </si>
  <si>
    <t>03038000221</t>
  </si>
  <si>
    <t>05022001002</t>
  </si>
  <si>
    <t>03038000435</t>
  </si>
  <si>
    <t>03038000855</t>
  </si>
  <si>
    <t>05015000210</t>
  </si>
  <si>
    <t>05015000265</t>
  </si>
  <si>
    <t>05015000209</t>
  </si>
  <si>
    <t>05015000504</t>
  </si>
  <si>
    <t>05015000270</t>
  </si>
  <si>
    <t>05015000051</t>
  </si>
  <si>
    <t>05015000180</t>
  </si>
  <si>
    <t>05015000121</t>
  </si>
  <si>
    <t>05015000120</t>
  </si>
  <si>
    <t>05015000124</t>
  </si>
  <si>
    <t>05015000125</t>
  </si>
  <si>
    <t>05015000532</t>
  </si>
  <si>
    <t>05015000524</t>
  </si>
  <si>
    <t>05015000522</t>
  </si>
  <si>
    <t>05015000231</t>
  </si>
  <si>
    <t>05015000533</t>
  </si>
  <si>
    <t>05015000232</t>
  </si>
  <si>
    <t>05015000233</t>
  </si>
  <si>
    <t>05015000234</t>
  </si>
  <si>
    <t>05015000224</t>
  </si>
  <si>
    <t>05015000225</t>
  </si>
  <si>
    <t>05015000183</t>
  </si>
  <si>
    <t>05015000070</t>
  </si>
  <si>
    <t>05015000074</t>
  </si>
  <si>
    <t>05015000073</t>
  </si>
  <si>
    <t>05015000182</t>
  </si>
  <si>
    <t>05015000160</t>
  </si>
  <si>
    <t>05015000184</t>
  </si>
  <si>
    <t>05015000161</t>
  </si>
  <si>
    <t>05015000069</t>
  </si>
  <si>
    <t>05015000237</t>
  </si>
  <si>
    <t>05015000214</t>
  </si>
  <si>
    <t>05015000239</t>
  </si>
  <si>
    <t>05015000216</t>
  </si>
  <si>
    <t>05015000246</t>
  </si>
  <si>
    <t>05015000217</t>
  </si>
  <si>
    <t>05015000223</t>
  </si>
  <si>
    <t>05015000247</t>
  </si>
  <si>
    <t>05015000249</t>
  </si>
  <si>
    <t>05015000215</t>
  </si>
  <si>
    <t>05015000238</t>
  </si>
  <si>
    <t>05015000248</t>
  </si>
  <si>
    <t>05015000254</t>
  </si>
  <si>
    <t>05015000236</t>
  </si>
  <si>
    <t>05015000054</t>
  </si>
  <si>
    <t>05015000055</t>
  </si>
  <si>
    <t>05015000056</t>
  </si>
  <si>
    <t>05015000222</t>
  </si>
  <si>
    <t>05015000181</t>
  </si>
  <si>
    <t>05015000048</t>
  </si>
  <si>
    <t>05015000047</t>
  </si>
  <si>
    <t>05015000049</t>
  </si>
  <si>
    <t>05015000050</t>
  </si>
  <si>
    <t>05015000052</t>
  </si>
  <si>
    <t>03034000201</t>
  </si>
  <si>
    <t>05022000997</t>
  </si>
  <si>
    <t>03010000275</t>
  </si>
  <si>
    <t>05022000826</t>
  </si>
  <si>
    <t>05022000835</t>
  </si>
  <si>
    <t>05022000996</t>
  </si>
  <si>
    <t>03034000205</t>
  </si>
  <si>
    <t>03034000206</t>
  </si>
  <si>
    <t>05023000005</t>
  </si>
  <si>
    <t>01004000090</t>
  </si>
  <si>
    <t>01004000085</t>
  </si>
  <si>
    <t>03005000025</t>
  </si>
  <si>
    <t>01004000110</t>
  </si>
  <si>
    <t>01004000105</t>
  </si>
  <si>
    <t>03050000299</t>
  </si>
  <si>
    <t>03050000297</t>
  </si>
  <si>
    <t>03042000096</t>
  </si>
  <si>
    <t>03042000100</t>
  </si>
  <si>
    <t>03042000092</t>
  </si>
  <si>
    <t>03042000094</t>
  </si>
  <si>
    <t>03042000110</t>
  </si>
  <si>
    <t>03042000109</t>
  </si>
  <si>
    <t>03050000301</t>
  </si>
  <si>
    <t>01011001025</t>
  </si>
  <si>
    <t>03042000099</t>
  </si>
  <si>
    <t>03042000097</t>
  </si>
  <si>
    <t>03050000295</t>
  </si>
  <si>
    <t>03050000283</t>
  </si>
  <si>
    <t>03050000292</t>
  </si>
  <si>
    <t>03050000300</t>
  </si>
  <si>
    <t>03050000284</t>
  </si>
  <si>
    <t>03050000282</t>
  </si>
  <si>
    <t>03050000285</t>
  </si>
  <si>
    <t>03050000311</t>
  </si>
  <si>
    <t>03050000290</t>
  </si>
  <si>
    <t>03050000291</t>
  </si>
  <si>
    <t>03050000286</t>
  </si>
  <si>
    <t>03050000287</t>
  </si>
  <si>
    <t>03050000289</t>
  </si>
  <si>
    <t>03050000288</t>
  </si>
  <si>
    <t>03050000293</t>
  </si>
  <si>
    <t>03050000294</t>
  </si>
  <si>
    <t>03050000296</t>
  </si>
  <si>
    <t>03050000302</t>
  </si>
  <si>
    <t>03050000304</t>
  </si>
  <si>
    <t>01019000035</t>
  </si>
  <si>
    <t>01019000040</t>
  </si>
  <si>
    <t>01019000030</t>
  </si>
  <si>
    <t>01019000020</t>
  </si>
  <si>
    <t>03034000260</t>
  </si>
  <si>
    <t>03034000261</t>
  </si>
  <si>
    <t>03034000241</t>
  </si>
  <si>
    <t>06050000368</t>
  </si>
  <si>
    <t>06050000369</t>
  </si>
  <si>
    <t>06050000367</t>
  </si>
  <si>
    <t>06050000366</t>
  </si>
  <si>
    <t>02002000825</t>
  </si>
  <si>
    <t>03070000002</t>
  </si>
  <si>
    <t>03070000015</t>
  </si>
  <si>
    <t>03070000010</t>
  </si>
  <si>
    <t>03070000005</t>
  </si>
  <si>
    <t>03038000517</t>
  </si>
  <si>
    <t>03038000521</t>
  </si>
  <si>
    <t>09004000005</t>
  </si>
  <si>
    <t>09004000010</t>
  </si>
  <si>
    <t>05012000360</t>
  </si>
  <si>
    <t>05012000500</t>
  </si>
  <si>
    <t>09020000330</t>
  </si>
  <si>
    <t>09020000335</t>
  </si>
  <si>
    <t>09020000340</t>
  </si>
  <si>
    <t>09020000345</t>
  </si>
  <si>
    <t>09020000350</t>
  </si>
  <si>
    <t>09020000355</t>
  </si>
  <si>
    <t>09020000370</t>
  </si>
  <si>
    <t>09020000375</t>
  </si>
  <si>
    <t>08050001120</t>
  </si>
  <si>
    <t>09020000390</t>
  </si>
  <si>
    <t>08050001200</t>
  </si>
  <si>
    <t>08050001110</t>
  </si>
  <si>
    <t>08050001115</t>
  </si>
  <si>
    <t>09020000385</t>
  </si>
  <si>
    <t>08050001150</t>
  </si>
  <si>
    <t>09020000420</t>
  </si>
  <si>
    <t>09020000425</t>
  </si>
  <si>
    <t>09020000430</t>
  </si>
  <si>
    <t>09020000435</t>
  </si>
  <si>
    <t>09020000440</t>
  </si>
  <si>
    <t>09020000445</t>
  </si>
  <si>
    <t>09020000465</t>
  </si>
  <si>
    <t>09020000470</t>
  </si>
  <si>
    <t>09020000475</t>
  </si>
  <si>
    <t>08050001000</t>
  </si>
  <si>
    <t>09000005117</t>
  </si>
  <si>
    <t>09000005122</t>
  </si>
  <si>
    <t>09000005123</t>
  </si>
  <si>
    <t>09000005125</t>
  </si>
  <si>
    <t>09000005130</t>
  </si>
  <si>
    <t>09110000005</t>
  </si>
  <si>
    <t>09110000010</t>
  </si>
  <si>
    <t>09110000015</t>
  </si>
  <si>
    <t>09020000300</t>
  </si>
  <si>
    <t>09020000305</t>
  </si>
  <si>
    <t>09020000310</t>
  </si>
  <si>
    <t>09020000315</t>
  </si>
  <si>
    <t>09020000320</t>
  </si>
  <si>
    <t>09020000325</t>
  </si>
  <si>
    <t>08050001205</t>
  </si>
  <si>
    <t>09110000075</t>
  </si>
  <si>
    <t>09110000020</t>
  </si>
  <si>
    <t>09110000025</t>
  </si>
  <si>
    <t>08050001100</t>
  </si>
  <si>
    <t>08050001350</t>
  </si>
  <si>
    <t>09020000480</t>
  </si>
  <si>
    <t>09020000485</t>
  </si>
  <si>
    <t>09020000490</t>
  </si>
  <si>
    <t>09020000495</t>
  </si>
  <si>
    <t>09020000500</t>
  </si>
  <si>
    <t>09020000505</t>
  </si>
  <si>
    <t>09020000575</t>
  </si>
  <si>
    <t>09020000580</t>
  </si>
  <si>
    <t>09020000585</t>
  </si>
  <si>
    <t>09020000590</t>
  </si>
  <si>
    <t>09020000595</t>
  </si>
  <si>
    <t>09020000600</t>
  </si>
  <si>
    <t>09020000615</t>
  </si>
  <si>
    <t>09020000620</t>
  </si>
  <si>
    <t>09020000625</t>
  </si>
  <si>
    <t>09000005170</t>
  </si>
  <si>
    <t>09000005174</t>
  </si>
  <si>
    <t>09000005180</t>
  </si>
  <si>
    <t>09000005183</t>
  </si>
  <si>
    <t>09000005187</t>
  </si>
  <si>
    <t>09000005190</t>
  </si>
  <si>
    <t>09110000030</t>
  </si>
  <si>
    <t>09110000035</t>
  </si>
  <si>
    <t>09110000040</t>
  </si>
  <si>
    <t>09020000515</t>
  </si>
  <si>
    <t>09020000520</t>
  </si>
  <si>
    <t>09020000525</t>
  </si>
  <si>
    <t>09020000530</t>
  </si>
  <si>
    <t>09020000535</t>
  </si>
  <si>
    <t>09020000540</t>
  </si>
  <si>
    <t>09020000560</t>
  </si>
  <si>
    <t>09020000565</t>
  </si>
  <si>
    <t>09020000570</t>
  </si>
  <si>
    <t>08050001010</t>
  </si>
  <si>
    <t>09110000045</t>
  </si>
  <si>
    <t>09000005040</t>
  </si>
  <si>
    <t>09000005045</t>
  </si>
  <si>
    <t>09000005052</t>
  </si>
  <si>
    <t>09000005176</t>
  </si>
  <si>
    <t>09110000050</t>
  </si>
  <si>
    <t>09110000055</t>
  </si>
  <si>
    <t>09110000060</t>
  </si>
  <si>
    <t>08050001353</t>
  </si>
  <si>
    <t>08050001351</t>
  </si>
  <si>
    <t>08050001352</t>
  </si>
  <si>
    <t>08050000999</t>
  </si>
  <si>
    <t>08050001310</t>
  </si>
  <si>
    <t>08050001315</t>
  </si>
  <si>
    <t>09110000065</t>
  </si>
  <si>
    <t>09110000070</t>
  </si>
  <si>
    <t>08050001300</t>
  </si>
  <si>
    <t>09020000630</t>
  </si>
  <si>
    <t>09020000635</t>
  </si>
  <si>
    <t>09020000640</t>
  </si>
  <si>
    <t>09020000645</t>
  </si>
  <si>
    <t>09020000650</t>
  </si>
  <si>
    <t>09020000655</t>
  </si>
  <si>
    <t>09020000660</t>
  </si>
  <si>
    <t>09020000665</t>
  </si>
  <si>
    <t>09020000670</t>
  </si>
  <si>
    <t>09020000675</t>
  </si>
  <si>
    <t>09020000130</t>
  </si>
  <si>
    <t>09020000120</t>
  </si>
  <si>
    <t>09020000125</t>
  </si>
  <si>
    <t>09020000005</t>
  </si>
  <si>
    <t>09020000010</t>
  </si>
  <si>
    <t>09020000015</t>
  </si>
  <si>
    <t>09020000020</t>
  </si>
  <si>
    <t>09020000025</t>
  </si>
  <si>
    <t>09020000030</t>
  </si>
  <si>
    <t>09020000035</t>
  </si>
  <si>
    <t>09020000040</t>
  </si>
  <si>
    <t>09020000690</t>
  </si>
  <si>
    <t>09020000045</t>
  </si>
  <si>
    <t>09020000700</t>
  </si>
  <si>
    <t>09020000050</t>
  </si>
  <si>
    <t>09020000680</t>
  </si>
  <si>
    <t>09020000055</t>
  </si>
  <si>
    <t>09020000725</t>
  </si>
  <si>
    <t>09020000060</t>
  </si>
  <si>
    <t>09020000720</t>
  </si>
  <si>
    <t>09020000065</t>
  </si>
  <si>
    <t>09020000070</t>
  </si>
  <si>
    <t>09020000715</t>
  </si>
  <si>
    <t>09020000075</t>
  </si>
  <si>
    <t>09020000080</t>
  </si>
  <si>
    <t>09020000710</t>
  </si>
  <si>
    <t>09020000085</t>
  </si>
  <si>
    <t>09020000090</t>
  </si>
  <si>
    <t>09020000095</t>
  </si>
  <si>
    <t>09020000100</t>
  </si>
  <si>
    <t>09020000105</t>
  </si>
  <si>
    <t>09020000110</t>
  </si>
  <si>
    <t>03005600110</t>
  </si>
  <si>
    <t>06010000810</t>
  </si>
  <si>
    <t>03005600080</t>
  </si>
  <si>
    <t>06010000815</t>
  </si>
  <si>
    <t>03005600100</t>
  </si>
  <si>
    <t>09040000005</t>
  </si>
  <si>
    <t>09040000010</t>
  </si>
  <si>
    <t>09040000015</t>
  </si>
  <si>
    <t>09040000020</t>
  </si>
  <si>
    <t>09040000025</t>
  </si>
  <si>
    <t>09040000030</t>
  </si>
  <si>
    <t>09120000005</t>
  </si>
  <si>
    <t>09120000010</t>
  </si>
  <si>
    <t>09120000015</t>
  </si>
  <si>
    <t>09120000020</t>
  </si>
  <si>
    <t>09040000050</t>
  </si>
  <si>
    <t>09040000055</t>
  </si>
  <si>
    <t>09040000060</t>
  </si>
  <si>
    <t>09040000065</t>
  </si>
  <si>
    <t>09040000070</t>
  </si>
  <si>
    <t>09040000075</t>
  </si>
  <si>
    <t>09040000080</t>
  </si>
  <si>
    <t>09040000085</t>
  </si>
  <si>
    <t>09040000090</t>
  </si>
  <si>
    <t>09040000095</t>
  </si>
  <si>
    <t>09040000100</t>
  </si>
  <si>
    <t>09040000105</t>
  </si>
  <si>
    <t>09040000110</t>
  </si>
  <si>
    <t>09040000115</t>
  </si>
  <si>
    <t>09040000120</t>
  </si>
  <si>
    <t>09040000125</t>
  </si>
  <si>
    <t>09120000030</t>
  </si>
  <si>
    <t>09120000025</t>
  </si>
  <si>
    <t>09120000035</t>
  </si>
  <si>
    <t>09120000040</t>
  </si>
  <si>
    <t>09120000045</t>
  </si>
  <si>
    <t>09120000050</t>
  </si>
  <si>
    <t>09120000055</t>
  </si>
  <si>
    <t>09040000190</t>
  </si>
  <si>
    <t>09040000185</t>
  </si>
  <si>
    <t>09040000240</t>
  </si>
  <si>
    <t>09040000180</t>
  </si>
  <si>
    <t>09040000225</t>
  </si>
  <si>
    <t>09040000220</t>
  </si>
  <si>
    <t>09040000230</t>
  </si>
  <si>
    <t>09040000170</t>
  </si>
  <si>
    <t>09040000195</t>
  </si>
  <si>
    <t>09040000235</t>
  </si>
  <si>
    <t>09040000175</t>
  </si>
  <si>
    <t>09040000215</t>
  </si>
  <si>
    <t>09040000265</t>
  </si>
  <si>
    <t>09010000580</t>
  </si>
  <si>
    <t>09040000260</t>
  </si>
  <si>
    <t>09040000285</t>
  </si>
  <si>
    <t>09040000255</t>
  </si>
  <si>
    <t>09040000245</t>
  </si>
  <si>
    <t>09040000270</t>
  </si>
  <si>
    <t>09040000280</t>
  </si>
  <si>
    <t>09040000250</t>
  </si>
  <si>
    <t>09040000375</t>
  </si>
  <si>
    <t>09040000385</t>
  </si>
  <si>
    <t>09040000380</t>
  </si>
  <si>
    <t>09040000365</t>
  </si>
  <si>
    <t>09040000390</t>
  </si>
  <si>
    <t>09040000370</t>
  </si>
  <si>
    <t>09120000060</t>
  </si>
  <si>
    <t>09120000065</t>
  </si>
  <si>
    <t>09120000070</t>
  </si>
  <si>
    <t>09000000847</t>
  </si>
  <si>
    <t>09000000848</t>
  </si>
  <si>
    <t>09040000295</t>
  </si>
  <si>
    <t>09040000300</t>
  </si>
  <si>
    <t>09040000305</t>
  </si>
  <si>
    <t>09040000310</t>
  </si>
  <si>
    <t>09040000315</t>
  </si>
  <si>
    <t>09040000320</t>
  </si>
  <si>
    <t>09040000340</t>
  </si>
  <si>
    <t>09040000345</t>
  </si>
  <si>
    <t>09040000350</t>
  </si>
  <si>
    <t>09040000355</t>
  </si>
  <si>
    <t>09120000075</t>
  </si>
  <si>
    <t>09120000080</t>
  </si>
  <si>
    <t>09120000085</t>
  </si>
  <si>
    <t>09010000835</t>
  </si>
  <si>
    <t>09010000840</t>
  </si>
  <si>
    <t>09010000845</t>
  </si>
  <si>
    <t>09010000175</t>
  </si>
  <si>
    <t>09010000170</t>
  </si>
  <si>
    <t>09010000160</t>
  </si>
  <si>
    <t>09040000415</t>
  </si>
  <si>
    <t>09040000425</t>
  </si>
  <si>
    <t>09040000420</t>
  </si>
  <si>
    <t>09040000405</t>
  </si>
  <si>
    <t>09040000430</t>
  </si>
  <si>
    <t>09040000410</t>
  </si>
  <si>
    <t>09040000445</t>
  </si>
  <si>
    <t>09040000455</t>
  </si>
  <si>
    <t>09040000450</t>
  </si>
  <si>
    <t>09040000435</t>
  </si>
  <si>
    <t>09040000460</t>
  </si>
  <si>
    <t>09040000440</t>
  </si>
  <si>
    <t>09040000475</t>
  </si>
  <si>
    <t>09040000465</t>
  </si>
  <si>
    <t>09040000470</t>
  </si>
  <si>
    <t>09040000490</t>
  </si>
  <si>
    <t>09040000480</t>
  </si>
  <si>
    <t>09040000485</t>
  </si>
  <si>
    <t>09040000785</t>
  </si>
  <si>
    <t>09040000790</t>
  </si>
  <si>
    <t>09040000795</t>
  </si>
  <si>
    <t>09040000800</t>
  </si>
  <si>
    <t>09040000805</t>
  </si>
  <si>
    <t>09040000810</t>
  </si>
  <si>
    <t>09040000815</t>
  </si>
  <si>
    <t>09040000820</t>
  </si>
  <si>
    <t>09040000825</t>
  </si>
  <si>
    <t>09040000830</t>
  </si>
  <si>
    <t>09040000835</t>
  </si>
  <si>
    <t>09040000840</t>
  </si>
  <si>
    <t>09040000845</t>
  </si>
  <si>
    <t>09040000850</t>
  </si>
  <si>
    <t>09040000855</t>
  </si>
  <si>
    <t>09040000860</t>
  </si>
  <si>
    <t>09040000865</t>
  </si>
  <si>
    <t>09040000870</t>
  </si>
  <si>
    <t>09040000875</t>
  </si>
  <si>
    <t>09040000880</t>
  </si>
  <si>
    <t>09040000885</t>
  </si>
  <si>
    <t>09040000890</t>
  </si>
  <si>
    <t>09040000895</t>
  </si>
  <si>
    <t>09040000900</t>
  </si>
  <si>
    <t>09040000905</t>
  </si>
  <si>
    <t>09040000910</t>
  </si>
  <si>
    <t>09040000915</t>
  </si>
  <si>
    <t>09040000920</t>
  </si>
  <si>
    <t>09040000925</t>
  </si>
  <si>
    <t>09040000930</t>
  </si>
  <si>
    <t>09040000935</t>
  </si>
  <si>
    <t>09040000940</t>
  </si>
  <si>
    <t>09040000945</t>
  </si>
  <si>
    <t>09040000950</t>
  </si>
  <si>
    <t>09040000955</t>
  </si>
  <si>
    <t>09040000960</t>
  </si>
  <si>
    <t>09040000965</t>
  </si>
  <si>
    <t>09040000970</t>
  </si>
  <si>
    <t>09040000975</t>
  </si>
  <si>
    <t>09040000980</t>
  </si>
  <si>
    <t>09040000985</t>
  </si>
  <si>
    <t>09040000990</t>
  </si>
  <si>
    <t>09040000995</t>
  </si>
  <si>
    <t>09040001000</t>
  </si>
  <si>
    <t>09040001005</t>
  </si>
  <si>
    <t>09040001010</t>
  </si>
  <si>
    <t>09040001015</t>
  </si>
  <si>
    <t>09040001020</t>
  </si>
  <si>
    <t>09040001025</t>
  </si>
  <si>
    <t>09040001030</t>
  </si>
  <si>
    <t>09040001035</t>
  </si>
  <si>
    <t>09040001040</t>
  </si>
  <si>
    <t>09040001045</t>
  </si>
  <si>
    <t>09040001050</t>
  </si>
  <si>
    <t>09040001055</t>
  </si>
  <si>
    <t>09040001060</t>
  </si>
  <si>
    <t>09040001065</t>
  </si>
  <si>
    <t>09040001070</t>
  </si>
  <si>
    <t>09040001075</t>
  </si>
  <si>
    <t>09040001080</t>
  </si>
  <si>
    <t>09010001120</t>
  </si>
  <si>
    <t>09040000495</t>
  </si>
  <si>
    <t>09040000500</t>
  </si>
  <si>
    <t>09040000505</t>
  </si>
  <si>
    <t>09040000510</t>
  </si>
  <si>
    <t>09040000515</t>
  </si>
  <si>
    <t>09040000520</t>
  </si>
  <si>
    <t>09040000540</t>
  </si>
  <si>
    <t>09040000545</t>
  </si>
  <si>
    <t>09040000550</t>
  </si>
  <si>
    <t>09120000090</t>
  </si>
  <si>
    <t>09010000680</t>
  </si>
  <si>
    <t>09120000095</t>
  </si>
  <si>
    <t>09120000100</t>
  </si>
  <si>
    <t>09040000565</t>
  </si>
  <si>
    <t>09040000575</t>
  </si>
  <si>
    <t>09040000570</t>
  </si>
  <si>
    <t>09040000555</t>
  </si>
  <si>
    <t>09040000580</t>
  </si>
  <si>
    <t>09120000105</t>
  </si>
  <si>
    <t>09120000110</t>
  </si>
  <si>
    <t>09040000560</t>
  </si>
  <si>
    <t>09120000115</t>
  </si>
  <si>
    <t>09040000610</t>
  </si>
  <si>
    <t>09040000620</t>
  </si>
  <si>
    <t>09040000615</t>
  </si>
  <si>
    <t>09040000600</t>
  </si>
  <si>
    <t>09040000625</t>
  </si>
  <si>
    <t>09120000120</t>
  </si>
  <si>
    <t>09120000125</t>
  </si>
  <si>
    <t>09040000605</t>
  </si>
  <si>
    <t>09120000130</t>
  </si>
  <si>
    <t>09120000135</t>
  </si>
  <si>
    <t>09120000140</t>
  </si>
  <si>
    <t>09120000145</t>
  </si>
  <si>
    <t>09040000655</t>
  </si>
  <si>
    <t>09040000665</t>
  </si>
  <si>
    <t>09040000660</t>
  </si>
  <si>
    <t>09040000700</t>
  </si>
  <si>
    <t>09040000695</t>
  </si>
  <si>
    <t>09040000645</t>
  </si>
  <si>
    <t>09040000710</t>
  </si>
  <si>
    <t>09040000670</t>
  </si>
  <si>
    <t>09040000650</t>
  </si>
  <si>
    <t>09040000690</t>
  </si>
  <si>
    <t>09040000705</t>
  </si>
  <si>
    <t>09040000715</t>
  </si>
  <si>
    <t>09030000450</t>
  </si>
  <si>
    <t>09030000455</t>
  </si>
  <si>
    <t>09030000460</t>
  </si>
  <si>
    <t>09030000465</t>
  </si>
  <si>
    <t>09030000470</t>
  </si>
  <si>
    <t>09030000475</t>
  </si>
  <si>
    <t>09030000480</t>
  </si>
  <si>
    <t>09030000485</t>
  </si>
  <si>
    <t>09030000490</t>
  </si>
  <si>
    <t>09030000100</t>
  </si>
  <si>
    <t>09030000105</t>
  </si>
  <si>
    <t>09030000110</t>
  </si>
  <si>
    <t>09030000115</t>
  </si>
  <si>
    <t>09030000120</t>
  </si>
  <si>
    <t>09030000125</t>
  </si>
  <si>
    <t>09030000130</t>
  </si>
  <si>
    <t>09030000135</t>
  </si>
  <si>
    <t>09030000140</t>
  </si>
  <si>
    <t>09030000400</t>
  </si>
  <si>
    <t>09030000405</t>
  </si>
  <si>
    <t>09030000410</t>
  </si>
  <si>
    <t>09030000415</t>
  </si>
  <si>
    <t>09030000420</t>
  </si>
  <si>
    <t>09030000425</t>
  </si>
  <si>
    <t>09030000005</t>
  </si>
  <si>
    <t>09030000010</t>
  </si>
  <si>
    <t>09030000015</t>
  </si>
  <si>
    <t>09030000020</t>
  </si>
  <si>
    <t>09030000025</t>
  </si>
  <si>
    <t>09030000030</t>
  </si>
  <si>
    <t>09040000735</t>
  </si>
  <si>
    <t>09040000745</t>
  </si>
  <si>
    <t>09040000740</t>
  </si>
  <si>
    <t>09040000725</t>
  </si>
  <si>
    <t>09040000750</t>
  </si>
  <si>
    <t>09040000730</t>
  </si>
  <si>
    <t>09120000150</t>
  </si>
  <si>
    <t>09120000155</t>
  </si>
  <si>
    <t>09120000160</t>
  </si>
  <si>
    <t>09040000780</t>
  </si>
  <si>
    <t>09040000770</t>
  </si>
  <si>
    <t>09040000775</t>
  </si>
  <si>
    <t>08410000035</t>
  </si>
  <si>
    <t>08410000005</t>
  </si>
  <si>
    <t>08410000020</t>
  </si>
  <si>
    <t>08410000030</t>
  </si>
  <si>
    <t>08410000025</t>
  </si>
  <si>
    <t>08410000010</t>
  </si>
  <si>
    <t>08410000015</t>
  </si>
  <si>
    <t>08070000775</t>
  </si>
  <si>
    <t>08070000774</t>
  </si>
  <si>
    <t>08070000776</t>
  </si>
  <si>
    <t>08300000815</t>
  </si>
  <si>
    <t>08300000800</t>
  </si>
  <si>
    <t>08300000805</t>
  </si>
  <si>
    <t>08300000810</t>
  </si>
  <si>
    <t>08070000773</t>
  </si>
  <si>
    <t>08070000640</t>
  </si>
  <si>
    <t>08300002220</t>
  </si>
  <si>
    <t>08070000510</t>
  </si>
  <si>
    <t>08070000630</t>
  </si>
  <si>
    <t>08300002300</t>
  </si>
  <si>
    <t>08300002305</t>
  </si>
  <si>
    <t>08300002350</t>
  </si>
  <si>
    <t>08300002400</t>
  </si>
  <si>
    <t>08070000530</t>
  </si>
  <si>
    <t>08070000540</t>
  </si>
  <si>
    <t>08070000550</t>
  </si>
  <si>
    <t>08300002450</t>
  </si>
  <si>
    <t>08070000650</t>
  </si>
  <si>
    <t>08300000370</t>
  </si>
  <si>
    <t>08300000300</t>
  </si>
  <si>
    <t>08300000305</t>
  </si>
  <si>
    <t>08300000310</t>
  </si>
  <si>
    <t>08300000315</t>
  </si>
  <si>
    <t>08300000320</t>
  </si>
  <si>
    <t>08300000350</t>
  </si>
  <si>
    <t>08300000355</t>
  </si>
  <si>
    <t>08300000360</t>
  </si>
  <si>
    <t>08300000365</t>
  </si>
  <si>
    <t>08300000400</t>
  </si>
  <si>
    <t>08300000450</t>
  </si>
  <si>
    <t>08300000550</t>
  </si>
  <si>
    <t>08300000600</t>
  </si>
  <si>
    <t>08300000605</t>
  </si>
  <si>
    <t>08300000610</t>
  </si>
  <si>
    <t>08300000615</t>
  </si>
  <si>
    <t>08300000620</t>
  </si>
  <si>
    <t>08300000650</t>
  </si>
  <si>
    <t>08300000655</t>
  </si>
  <si>
    <t>08300000660</t>
  </si>
  <si>
    <t>08300000665</t>
  </si>
  <si>
    <t>08300000500</t>
  </si>
  <si>
    <t>08070000300</t>
  </si>
  <si>
    <t>08070000310</t>
  </si>
  <si>
    <t>08070000320</t>
  </si>
  <si>
    <t>08070000330</t>
  </si>
  <si>
    <t>08070000340</t>
  </si>
  <si>
    <t>08070000350</t>
  </si>
  <si>
    <t>08070000360</t>
  </si>
  <si>
    <t>08070000370</t>
  </si>
  <si>
    <t>08070000450</t>
  </si>
  <si>
    <t>08070000460</t>
  </si>
  <si>
    <t>08070000470</t>
  </si>
  <si>
    <t>08070000480</t>
  </si>
  <si>
    <t>08070000490</t>
  </si>
  <si>
    <t>08070000500</t>
  </si>
  <si>
    <t>08070000505</t>
  </si>
  <si>
    <t>08070000570</t>
  </si>
  <si>
    <t>08070000580</t>
  </si>
  <si>
    <t>08070000590</t>
  </si>
  <si>
    <t>08300000700</t>
  </si>
  <si>
    <t>08300000705</t>
  </si>
  <si>
    <t>08300000710</t>
  </si>
  <si>
    <t>08300000715</t>
  </si>
  <si>
    <t>08300000720</t>
  </si>
  <si>
    <t>08300000750</t>
  </si>
  <si>
    <t>08300000755</t>
  </si>
  <si>
    <t>08300000760</t>
  </si>
  <si>
    <t>08300000765</t>
  </si>
  <si>
    <t>08300000770</t>
  </si>
  <si>
    <t>08300000850</t>
  </si>
  <si>
    <t>08300000900</t>
  </si>
  <si>
    <t>08070000600</t>
  </si>
  <si>
    <t>08070000610</t>
  </si>
  <si>
    <t>08070000612</t>
  </si>
  <si>
    <t>08070000560</t>
  </si>
  <si>
    <t>08070000772</t>
  </si>
  <si>
    <t>08070000771</t>
  </si>
  <si>
    <t>08300003300</t>
  </si>
  <si>
    <t>08070000613</t>
  </si>
  <si>
    <t>08070000614</t>
  </si>
  <si>
    <t>08070000616</t>
  </si>
  <si>
    <t>08070000615</t>
  </si>
  <si>
    <t>08300002310</t>
  </si>
  <si>
    <t>08300002130</t>
  </si>
  <si>
    <t>08300002150</t>
  </si>
  <si>
    <t>08300002210</t>
  </si>
  <si>
    <t>08300002170</t>
  </si>
  <si>
    <t>08300002110</t>
  </si>
  <si>
    <t>08300002010</t>
  </si>
  <si>
    <t>08070000408</t>
  </si>
  <si>
    <t>08300002205</t>
  </si>
  <si>
    <t>08300002200</t>
  </si>
  <si>
    <t>08300002105</t>
  </si>
  <si>
    <t>08300002100</t>
  </si>
  <si>
    <t>08070000410</t>
  </si>
  <si>
    <t>08070000412</t>
  </si>
  <si>
    <t>08070000414</t>
  </si>
  <si>
    <t>08070000415</t>
  </si>
  <si>
    <t>08070000660</t>
  </si>
  <si>
    <t>08070000670</t>
  </si>
  <si>
    <t>08070000690</t>
  </si>
  <si>
    <t>08070000663</t>
  </si>
  <si>
    <t>08070000700</t>
  </si>
  <si>
    <t>08070000710</t>
  </si>
  <si>
    <t>08070000712</t>
  </si>
  <si>
    <t>08070000714</t>
  </si>
  <si>
    <t>08300002315</t>
  </si>
  <si>
    <t>08300002320</t>
  </si>
  <si>
    <t>08300001010</t>
  </si>
  <si>
    <t>08300000950</t>
  </si>
  <si>
    <t>08300001120</t>
  </si>
  <si>
    <t>08300001110</t>
  </si>
  <si>
    <t>08300001050</t>
  </si>
  <si>
    <t>08300001100</t>
  </si>
  <si>
    <t>08300001015</t>
  </si>
  <si>
    <t>08300000955</t>
  </si>
  <si>
    <t>08070000402</t>
  </si>
  <si>
    <t>08070000405</t>
  </si>
  <si>
    <t>08070000375</t>
  </si>
  <si>
    <t>08070000380</t>
  </si>
  <si>
    <t>08070000401</t>
  </si>
  <si>
    <t>08070000390</t>
  </si>
  <si>
    <t>08070000400</t>
  </si>
  <si>
    <t>08070000406</t>
  </si>
  <si>
    <t>08070000040</t>
  </si>
  <si>
    <t>08070000045</t>
  </si>
  <si>
    <t>08070000770</t>
  </si>
  <si>
    <t>08070000520</t>
  </si>
  <si>
    <t>08300001025</t>
  </si>
  <si>
    <t>08300001020</t>
  </si>
  <si>
    <t>08300001000</t>
  </si>
  <si>
    <t>08300001005</t>
  </si>
  <si>
    <t>08300002500</t>
  </si>
  <si>
    <t>08300002505</t>
  </si>
  <si>
    <t>08300002510</t>
  </si>
  <si>
    <t>08300001400</t>
  </si>
  <si>
    <t>08070000778</t>
  </si>
  <si>
    <t>08300001200</t>
  </si>
  <si>
    <t>08070000661</t>
  </si>
  <si>
    <t>08300002000</t>
  </si>
  <si>
    <t>08300002005</t>
  </si>
  <si>
    <t>08300001670</t>
  </si>
  <si>
    <t>08300001660</t>
  </si>
  <si>
    <t>08300001665</t>
  </si>
  <si>
    <t>08300001650</t>
  </si>
  <si>
    <t>08300001655</t>
  </si>
  <si>
    <t>08300002325</t>
  </si>
  <si>
    <t>08070000777</t>
  </si>
  <si>
    <t>08300002175</t>
  </si>
  <si>
    <t>08070000756</t>
  </si>
  <si>
    <t>08070000757</t>
  </si>
  <si>
    <t>08070000720</t>
  </si>
  <si>
    <t>08070000080</t>
  </si>
  <si>
    <t>08070000060</t>
  </si>
  <si>
    <t>08070000730</t>
  </si>
  <si>
    <t>08070000070</t>
  </si>
  <si>
    <t>08070000735</t>
  </si>
  <si>
    <t>08070000065</t>
  </si>
  <si>
    <t>08300002405</t>
  </si>
  <si>
    <t>08300001500</t>
  </si>
  <si>
    <t>08300002330</t>
  </si>
  <si>
    <t>08070000420</t>
  </si>
  <si>
    <t>08070000430</t>
  </si>
  <si>
    <t>08070000435</t>
  </si>
  <si>
    <t>08070000440</t>
  </si>
  <si>
    <t>08300001550</t>
  </si>
  <si>
    <t>08300001555</t>
  </si>
  <si>
    <t>08300001560</t>
  </si>
  <si>
    <t>08300001565</t>
  </si>
  <si>
    <t>08300001570</t>
  </si>
  <si>
    <t>08070000446</t>
  </si>
  <si>
    <t>08070000443</t>
  </si>
  <si>
    <t>08070000444</t>
  </si>
  <si>
    <t>08070000445</t>
  </si>
  <si>
    <t>08070000760</t>
  </si>
  <si>
    <t>08070000761</t>
  </si>
  <si>
    <t>08070000762</t>
  </si>
  <si>
    <t>08070000763</t>
  </si>
  <si>
    <t>08300000005</t>
  </si>
  <si>
    <t>08300000010</t>
  </si>
  <si>
    <t>08300000015</t>
  </si>
  <si>
    <t>08300000020</t>
  </si>
  <si>
    <t>08300000025</t>
  </si>
  <si>
    <t>08300000030</t>
  </si>
  <si>
    <t>08300000035</t>
  </si>
  <si>
    <t>08300000060</t>
  </si>
  <si>
    <t>08300000065</t>
  </si>
  <si>
    <t>08300000070</t>
  </si>
  <si>
    <t>08300000075</t>
  </si>
  <si>
    <t>08300000080</t>
  </si>
  <si>
    <t>08300000085</t>
  </si>
  <si>
    <t>08300000090</t>
  </si>
  <si>
    <t>08300000120</t>
  </si>
  <si>
    <t>08300000125</t>
  </si>
  <si>
    <t>08300000130</t>
  </si>
  <si>
    <t>08300000135</t>
  </si>
  <si>
    <t>08300000140</t>
  </si>
  <si>
    <t>08300000145</t>
  </si>
  <si>
    <t>08300000150</t>
  </si>
  <si>
    <t>08300000170</t>
  </si>
  <si>
    <t>08300000175</t>
  </si>
  <si>
    <t>08300000180</t>
  </si>
  <si>
    <t>08300000185</t>
  </si>
  <si>
    <t>08300000190</t>
  </si>
  <si>
    <t>08300000200</t>
  </si>
  <si>
    <t>08300000205</t>
  </si>
  <si>
    <t>08300000255</t>
  </si>
  <si>
    <t>08300000230</t>
  </si>
  <si>
    <t>08300000235</t>
  </si>
  <si>
    <t>08300000240</t>
  </si>
  <si>
    <t>08070000100</t>
  </si>
  <si>
    <t>08070000110</t>
  </si>
  <si>
    <t>08070000120</t>
  </si>
  <si>
    <t>08070000130</t>
  </si>
  <si>
    <t>08070000140</t>
  </si>
  <si>
    <t>08070000150</t>
  </si>
  <si>
    <t>08070000160</t>
  </si>
  <si>
    <t>08070000170</t>
  </si>
  <si>
    <t>08070000180</t>
  </si>
  <si>
    <t>08070000190</t>
  </si>
  <si>
    <t>08070000200</t>
  </si>
  <si>
    <t>08070000210</t>
  </si>
  <si>
    <t>08070000220</t>
  </si>
  <si>
    <t>08070000222</t>
  </si>
  <si>
    <t>08070000230</t>
  </si>
  <si>
    <t>08070000240</t>
  </si>
  <si>
    <t>08070000250</t>
  </si>
  <si>
    <t>08070000260</t>
  </si>
  <si>
    <t>08070000265</t>
  </si>
  <si>
    <t>08070000270</t>
  </si>
  <si>
    <t>08070000280</t>
  </si>
  <si>
    <t>08070000290</t>
  </si>
  <si>
    <t>08070000292</t>
  </si>
  <si>
    <t>08070000620</t>
  </si>
  <si>
    <t>08070000622</t>
  </si>
  <si>
    <t>08070000623</t>
  </si>
  <si>
    <t>02002000180</t>
  </si>
  <si>
    <t>02002000200</t>
  </si>
  <si>
    <t>02002000205</t>
  </si>
  <si>
    <t>02002000210</t>
  </si>
  <si>
    <t>02002000225</t>
  </si>
  <si>
    <t>02002000235</t>
  </si>
  <si>
    <t>02002000240</t>
  </si>
  <si>
    <t>02002000250</t>
  </si>
  <si>
    <t>02002000245</t>
  </si>
  <si>
    <t>02002000270</t>
  </si>
  <si>
    <t>02002000275</t>
  </si>
  <si>
    <t>05022000725</t>
  </si>
  <si>
    <t>02002000005</t>
  </si>
  <si>
    <t>02002000020</t>
  </si>
  <si>
    <t>02002000025</t>
  </si>
  <si>
    <t>02002000030</t>
  </si>
  <si>
    <t>02002000045</t>
  </si>
  <si>
    <t>02002000050</t>
  </si>
  <si>
    <t>02002000060</t>
  </si>
  <si>
    <t>02002000065</t>
  </si>
  <si>
    <t>02002000070</t>
  </si>
  <si>
    <t>02002000075</t>
  </si>
  <si>
    <t>02002000105</t>
  </si>
  <si>
    <t>02002000155</t>
  </si>
  <si>
    <t>02002000160</t>
  </si>
  <si>
    <t>02002000165</t>
  </si>
  <si>
    <t>05022000720</t>
  </si>
  <si>
    <t>03062100146</t>
  </si>
  <si>
    <t>05015000116</t>
  </si>
  <si>
    <t>05015000117</t>
  </si>
  <si>
    <t>05015000083</t>
  </si>
  <si>
    <t>05015000082</t>
  </si>
  <si>
    <t>05015000081</t>
  </si>
  <si>
    <t>09008000040</t>
  </si>
  <si>
    <t>09008000035</t>
  </si>
  <si>
    <t>09008000025</t>
  </si>
  <si>
    <t>09008000030</t>
  </si>
  <si>
    <t>05022000998</t>
  </si>
  <si>
    <t>03016500767</t>
  </si>
  <si>
    <t>03016501025</t>
  </si>
  <si>
    <t>01031101000</t>
  </si>
  <si>
    <t>06070000090</t>
  </si>
  <si>
    <t>05010000305</t>
  </si>
  <si>
    <t>05010000306</t>
  </si>
  <si>
    <t>08200001590</t>
  </si>
  <si>
    <t>08200001595</t>
  </si>
  <si>
    <t>07040000250</t>
  </si>
  <si>
    <t>08200002500</t>
  </si>
  <si>
    <t>08200002430</t>
  </si>
  <si>
    <t>08800000015</t>
  </si>
  <si>
    <t>05010000300</t>
  </si>
  <si>
    <t>05010000301</t>
  </si>
  <si>
    <t>08200002400</t>
  </si>
  <si>
    <t>07040000130</t>
  </si>
  <si>
    <t>08200002370</t>
  </si>
  <si>
    <t>05020000025</t>
  </si>
  <si>
    <t>05020000030</t>
  </si>
  <si>
    <t>05020000045</t>
  </si>
  <si>
    <t>05020000035</t>
  </si>
  <si>
    <t>05020000050</t>
  </si>
  <si>
    <t>05020000040</t>
  </si>
  <si>
    <t>05020000055</t>
  </si>
  <si>
    <t>05020000005</t>
  </si>
  <si>
    <t>05020000010</t>
  </si>
  <si>
    <t>05020000020</t>
  </si>
  <si>
    <t>08200000150</t>
  </si>
  <si>
    <t>08200000155</t>
  </si>
  <si>
    <t>08200000160</t>
  </si>
  <si>
    <t>08200000165</t>
  </si>
  <si>
    <t>08200000200</t>
  </si>
  <si>
    <t>08200000205</t>
  </si>
  <si>
    <t>08200000210</t>
  </si>
  <si>
    <t>08200000215</t>
  </si>
  <si>
    <t>08200000250</t>
  </si>
  <si>
    <t>08200000300</t>
  </si>
  <si>
    <t>08200000350</t>
  </si>
  <si>
    <t>08200000355</t>
  </si>
  <si>
    <t>08200000360</t>
  </si>
  <si>
    <t>08200000365</t>
  </si>
  <si>
    <t>08200000400</t>
  </si>
  <si>
    <t>08200000405</t>
  </si>
  <si>
    <t>08200000410</t>
  </si>
  <si>
    <t>08200000415</t>
  </si>
  <si>
    <t>07040000005</t>
  </si>
  <si>
    <t>07040000015</t>
  </si>
  <si>
    <t>07040000010</t>
  </si>
  <si>
    <t>07040000020</t>
  </si>
  <si>
    <t>07040000415</t>
  </si>
  <si>
    <t>07040000025</t>
  </si>
  <si>
    <t>07040000035</t>
  </si>
  <si>
    <t>07040000420</t>
  </si>
  <si>
    <t>07040000030</t>
  </si>
  <si>
    <t>07040000430</t>
  </si>
  <si>
    <t>07040000435</t>
  </si>
  <si>
    <t>07040000300</t>
  </si>
  <si>
    <t>05010000320</t>
  </si>
  <si>
    <t>08200000450</t>
  </si>
  <si>
    <t>08200000455</t>
  </si>
  <si>
    <t>08200000460</t>
  </si>
  <si>
    <t>08200000465</t>
  </si>
  <si>
    <t>08200000500</t>
  </si>
  <si>
    <t>08200000505</t>
  </si>
  <si>
    <t>08200000510</t>
  </si>
  <si>
    <t>08200000515</t>
  </si>
  <si>
    <t>08200000520</t>
  </si>
  <si>
    <t>07040000135</t>
  </si>
  <si>
    <t>07040000140</t>
  </si>
  <si>
    <t>07040000145</t>
  </si>
  <si>
    <t>07040000555</t>
  </si>
  <si>
    <t>07040000150</t>
  </si>
  <si>
    <t>07040000560</t>
  </si>
  <si>
    <t>07040000340</t>
  </si>
  <si>
    <t>08200000550</t>
  </si>
  <si>
    <t>08200000555</t>
  </si>
  <si>
    <t>08200000560</t>
  </si>
  <si>
    <t>08200000565</t>
  </si>
  <si>
    <t>08200000600</t>
  </si>
  <si>
    <t>08200000605</t>
  </si>
  <si>
    <t>08200000610</t>
  </si>
  <si>
    <t>08200000615</t>
  </si>
  <si>
    <t>08200000650</t>
  </si>
  <si>
    <t>08200000655</t>
  </si>
  <si>
    <t>08200000660</t>
  </si>
  <si>
    <t>08200000665</t>
  </si>
  <si>
    <t>08200000700</t>
  </si>
  <si>
    <t>08200000705</t>
  </si>
  <si>
    <t>08200000710</t>
  </si>
  <si>
    <t>08200000715</t>
  </si>
  <si>
    <t>07040000040</t>
  </si>
  <si>
    <t>07040000045</t>
  </si>
  <si>
    <t>07040000050</t>
  </si>
  <si>
    <t>07040000625</t>
  </si>
  <si>
    <t>07040000055</t>
  </si>
  <si>
    <t>07040000455</t>
  </si>
  <si>
    <t>07040000450</t>
  </si>
  <si>
    <t>07040000060</t>
  </si>
  <si>
    <t>07040000070</t>
  </si>
  <si>
    <t>07040000065</t>
  </si>
  <si>
    <t>07040000075</t>
  </si>
  <si>
    <t>07040000460</t>
  </si>
  <si>
    <t>07040000310</t>
  </si>
  <si>
    <t>07040000305</t>
  </si>
  <si>
    <t>08200002550</t>
  </si>
  <si>
    <t>07040000210</t>
  </si>
  <si>
    <t>07040000205</t>
  </si>
  <si>
    <t>07040000220</t>
  </si>
  <si>
    <t>07040000215</t>
  </si>
  <si>
    <t>08200002345</t>
  </si>
  <si>
    <t>08200002340</t>
  </si>
  <si>
    <t>08200002280</t>
  </si>
  <si>
    <t>08200002315</t>
  </si>
  <si>
    <t>08200002310</t>
  </si>
  <si>
    <t>08900000530</t>
  </si>
  <si>
    <t>08900000535</t>
  </si>
  <si>
    <t>08900000540</t>
  </si>
  <si>
    <t>08900000545</t>
  </si>
  <si>
    <t>08900000550</t>
  </si>
  <si>
    <t>08900000555</t>
  </si>
  <si>
    <t>08900000560</t>
  </si>
  <si>
    <t>08900000565</t>
  </si>
  <si>
    <t>08900000390</t>
  </si>
  <si>
    <t>08900000435</t>
  </si>
  <si>
    <t>08900000350</t>
  </si>
  <si>
    <t>08900000395</t>
  </si>
  <si>
    <t>08900000355</t>
  </si>
  <si>
    <t>08900000400</t>
  </si>
  <si>
    <t>08900000360</t>
  </si>
  <si>
    <t>08900000405</t>
  </si>
  <si>
    <t>08900000365</t>
  </si>
  <si>
    <t>08900002000</t>
  </si>
  <si>
    <t>08900000410</t>
  </si>
  <si>
    <t>08900002001</t>
  </si>
  <si>
    <t>08900000370</t>
  </si>
  <si>
    <t>08900000415</t>
  </si>
  <si>
    <t>08900002009</t>
  </si>
  <si>
    <t>08900000375</t>
  </si>
  <si>
    <t>08900000420</t>
  </si>
  <si>
    <t>08900000380</t>
  </si>
  <si>
    <t>08900000425</t>
  </si>
  <si>
    <t>08900000385</t>
  </si>
  <si>
    <t>08900000430</t>
  </si>
  <si>
    <t>08900000480</t>
  </si>
  <si>
    <t>08900000525</t>
  </si>
  <si>
    <t>08900000440</t>
  </si>
  <si>
    <t>08900000445</t>
  </si>
  <si>
    <t>08900000485</t>
  </si>
  <si>
    <t>08900000450</t>
  </si>
  <si>
    <t>08900000490</t>
  </si>
  <si>
    <t>08900000455</t>
  </si>
  <si>
    <t>08900002003</t>
  </si>
  <si>
    <t>08900000495</t>
  </si>
  <si>
    <t>08900000500</t>
  </si>
  <si>
    <t>08900000460</t>
  </si>
  <si>
    <t>08900002002</t>
  </si>
  <si>
    <t>08900000505</t>
  </si>
  <si>
    <t>08900000510</t>
  </si>
  <si>
    <t>08900000515</t>
  </si>
  <si>
    <t>08900000465</t>
  </si>
  <si>
    <t>08900000470</t>
  </si>
  <si>
    <t>08900000520</t>
  </si>
  <si>
    <t>08900000475</t>
  </si>
  <si>
    <t>08900002011</t>
  </si>
  <si>
    <t>08900002010</t>
  </si>
  <si>
    <t>08900000840</t>
  </si>
  <si>
    <t>08900000760</t>
  </si>
  <si>
    <t>08900000800</t>
  </si>
  <si>
    <t>08900000720</t>
  </si>
  <si>
    <t>08900000805</t>
  </si>
  <si>
    <t>08900000725</t>
  </si>
  <si>
    <t>08900000810</t>
  </si>
  <si>
    <t>08900000730</t>
  </si>
  <si>
    <t>08900002005</t>
  </si>
  <si>
    <t>08900000815</t>
  </si>
  <si>
    <t>08900000735</t>
  </si>
  <si>
    <t>08900000764</t>
  </si>
  <si>
    <t>08900000770</t>
  </si>
  <si>
    <t>08900000765</t>
  </si>
  <si>
    <t>08900000820</t>
  </si>
  <si>
    <t>08900002006</t>
  </si>
  <si>
    <t>08900000740</t>
  </si>
  <si>
    <t>08900002004</t>
  </si>
  <si>
    <t>08900002007</t>
  </si>
  <si>
    <t>08900000775</t>
  </si>
  <si>
    <t>08900000780</t>
  </si>
  <si>
    <t>08900000825</t>
  </si>
  <si>
    <t>08900000745</t>
  </si>
  <si>
    <t>08900000790</t>
  </si>
  <si>
    <t>08900000785</t>
  </si>
  <si>
    <t>08900000830</t>
  </si>
  <si>
    <t>08900000750</t>
  </si>
  <si>
    <t>08900000795</t>
  </si>
  <si>
    <t>08900000835</t>
  </si>
  <si>
    <t>08900000755</t>
  </si>
  <si>
    <t>08900000610</t>
  </si>
  <si>
    <t>08900000570</t>
  </si>
  <si>
    <t>08900000575</t>
  </si>
  <si>
    <t>08900000580</t>
  </si>
  <si>
    <t>08900000585</t>
  </si>
  <si>
    <t>08900000590</t>
  </si>
  <si>
    <t>08900000595</t>
  </si>
  <si>
    <t>08900000600</t>
  </si>
  <si>
    <t>08900000605</t>
  </si>
  <si>
    <t>08900000615</t>
  </si>
  <si>
    <t>08900000660</t>
  </si>
  <si>
    <t>08900000620</t>
  </si>
  <si>
    <t>08900000665</t>
  </si>
  <si>
    <t>08900000670</t>
  </si>
  <si>
    <t>08900000625</t>
  </si>
  <si>
    <t>08900000630</t>
  </si>
  <si>
    <t>08900002008</t>
  </si>
  <si>
    <t>08900000635</t>
  </si>
  <si>
    <t>08900000640</t>
  </si>
  <si>
    <t>08900000645</t>
  </si>
  <si>
    <t>08900000650</t>
  </si>
  <si>
    <t>08900000275</t>
  </si>
  <si>
    <t>08900000175</t>
  </si>
  <si>
    <t>08900000225</t>
  </si>
  <si>
    <t>08900000280</t>
  </si>
  <si>
    <t>08900000180</t>
  </si>
  <si>
    <t>08900000230</t>
  </si>
  <si>
    <t>08900000285</t>
  </si>
  <si>
    <t>08900000185</t>
  </si>
  <si>
    <t>08900000235</t>
  </si>
  <si>
    <t>08900000290</t>
  </si>
  <si>
    <t>08900000190</t>
  </si>
  <si>
    <t>08900000240</t>
  </si>
  <si>
    <t>08900000295</t>
  </si>
  <si>
    <t>08900000195</t>
  </si>
  <si>
    <t>08900000245</t>
  </si>
  <si>
    <t>08900000300</t>
  </si>
  <si>
    <t>08900000250</t>
  </si>
  <si>
    <t>08900000305</t>
  </si>
  <si>
    <t>08900000200</t>
  </si>
  <si>
    <t>08900000255</t>
  </si>
  <si>
    <t>08900000310</t>
  </si>
  <si>
    <t>08900000205</t>
  </si>
  <si>
    <t>08900000260</t>
  </si>
  <si>
    <t>08900000315</t>
  </si>
  <si>
    <t>08900000210</t>
  </si>
  <si>
    <t>08900000265</t>
  </si>
  <si>
    <t>08900000320</t>
  </si>
  <si>
    <t>08900000215</t>
  </si>
  <si>
    <t>08900000270</t>
  </si>
  <si>
    <t>08900000220</t>
  </si>
  <si>
    <t>08900000130</t>
  </si>
  <si>
    <t>08900000020</t>
  </si>
  <si>
    <t>08900000070</t>
  </si>
  <si>
    <t>08900000135</t>
  </si>
  <si>
    <t>08900000025</t>
  </si>
  <si>
    <t>08900000075</t>
  </si>
  <si>
    <t>08900000140</t>
  </si>
  <si>
    <t>08900000030</t>
  </si>
  <si>
    <t>08900000080</t>
  </si>
  <si>
    <t>08900000145</t>
  </si>
  <si>
    <t>08900000035</t>
  </si>
  <si>
    <t>08900000085</t>
  </si>
  <si>
    <t>08900000150</t>
  </si>
  <si>
    <t>08900000040</t>
  </si>
  <si>
    <t>08900000090</t>
  </si>
  <si>
    <t>08900000095</t>
  </si>
  <si>
    <t>08900000155</t>
  </si>
  <si>
    <t>08900000160</t>
  </si>
  <si>
    <t>08900000100</t>
  </si>
  <si>
    <t>08900000165</t>
  </si>
  <si>
    <t>08900000105</t>
  </si>
  <si>
    <t>08900000045</t>
  </si>
  <si>
    <t>08900000170</t>
  </si>
  <si>
    <t>08900000110</t>
  </si>
  <si>
    <t>08900000000</t>
  </si>
  <si>
    <t>08900000050</t>
  </si>
  <si>
    <t>08900000115</t>
  </si>
  <si>
    <t>08900000005</t>
  </si>
  <si>
    <t>08900000055</t>
  </si>
  <si>
    <t>08900000120</t>
  </si>
  <si>
    <t>08900000010</t>
  </si>
  <si>
    <t>08900000060</t>
  </si>
  <si>
    <t>08900000125</t>
  </si>
  <si>
    <t>08900000015</t>
  </si>
  <si>
    <t>08900000065</t>
  </si>
  <si>
    <t>08900000675</t>
  </si>
  <si>
    <t>08900000680</t>
  </si>
  <si>
    <t>08900000685</t>
  </si>
  <si>
    <t>08900000690</t>
  </si>
  <si>
    <t>08900000695</t>
  </si>
  <si>
    <t>08900000700</t>
  </si>
  <si>
    <t>08900000705</t>
  </si>
  <si>
    <t>08900000710</t>
  </si>
  <si>
    <t>08900000715</t>
  </si>
  <si>
    <t>08900000855</t>
  </si>
  <si>
    <t>08900000865</t>
  </si>
  <si>
    <t>08900000860</t>
  </si>
  <si>
    <t>08900000845</t>
  </si>
  <si>
    <t>08900000930</t>
  </si>
  <si>
    <t>08900000870</t>
  </si>
  <si>
    <t>08900000875</t>
  </si>
  <si>
    <t>08900000890</t>
  </si>
  <si>
    <t>08900000895</t>
  </si>
  <si>
    <t>08900000880</t>
  </si>
  <si>
    <t>08900000850</t>
  </si>
  <si>
    <t>08900000900</t>
  </si>
  <si>
    <t>08900000885</t>
  </si>
  <si>
    <t>08900000905</t>
  </si>
  <si>
    <t>08900000910</t>
  </si>
  <si>
    <t>08900000915</t>
  </si>
  <si>
    <t>08900000920</t>
  </si>
  <si>
    <t>08900000925</t>
  </si>
  <si>
    <t>08200002070</t>
  </si>
  <si>
    <t>08200002075</t>
  </si>
  <si>
    <t>05010000310</t>
  </si>
  <si>
    <t>08200002045</t>
  </si>
  <si>
    <t>05010000363</t>
  </si>
  <si>
    <t>05010000364</t>
  </si>
  <si>
    <t>05010000365</t>
  </si>
  <si>
    <t>05010000311</t>
  </si>
  <si>
    <t>05010000325</t>
  </si>
  <si>
    <t>05020000520</t>
  </si>
  <si>
    <t>05020000525</t>
  </si>
  <si>
    <t>05020000500</t>
  </si>
  <si>
    <t>05020000505</t>
  </si>
  <si>
    <t>05020000510</t>
  </si>
  <si>
    <t>05020000515</t>
  </si>
  <si>
    <t>08200002210</t>
  </si>
  <si>
    <t>08200002230</t>
  </si>
  <si>
    <t>08200002225</t>
  </si>
  <si>
    <t>08200002215</t>
  </si>
  <si>
    <t>08200002220</t>
  </si>
  <si>
    <t>08200002185</t>
  </si>
  <si>
    <t>08200002180</t>
  </si>
  <si>
    <t>05010000350</t>
  </si>
  <si>
    <t>05010000355</t>
  </si>
  <si>
    <t>05010000360</t>
  </si>
  <si>
    <t>05010000362</t>
  </si>
  <si>
    <t>07040000225</t>
  </si>
  <si>
    <t>08900000340</t>
  </si>
  <si>
    <t>08900000325</t>
  </si>
  <si>
    <t>08900000335</t>
  </si>
  <si>
    <t>08900000345</t>
  </si>
  <si>
    <t>08900000330</t>
  </si>
  <si>
    <t>07030000045</t>
  </si>
  <si>
    <t>08800000243</t>
  </si>
  <si>
    <t>03016500700</t>
  </si>
  <si>
    <t>08200002490</t>
  </si>
  <si>
    <t>08200001000</t>
  </si>
  <si>
    <t>08200001030</t>
  </si>
  <si>
    <t>07040000120</t>
  </si>
  <si>
    <t>07040000095</t>
  </si>
  <si>
    <t>07040000125</t>
  </si>
  <si>
    <t>07040000100</t>
  </si>
  <si>
    <t>08200000965</t>
  </si>
  <si>
    <t>08200000915</t>
  </si>
  <si>
    <t>07040000536</t>
  </si>
  <si>
    <t>08200000815</t>
  </si>
  <si>
    <t>08200000765</t>
  </si>
  <si>
    <t>07040000505</t>
  </si>
  <si>
    <t>07040000535</t>
  </si>
  <si>
    <t>07040000510</t>
  </si>
  <si>
    <t>08200000870</t>
  </si>
  <si>
    <t>08200000850</t>
  </si>
  <si>
    <t>07040000325</t>
  </si>
  <si>
    <t>07040000315</t>
  </si>
  <si>
    <t>07040000330</t>
  </si>
  <si>
    <t>07040000320</t>
  </si>
  <si>
    <t>08200000950</t>
  </si>
  <si>
    <t>08200000900</t>
  </si>
  <si>
    <t>07040000105</t>
  </si>
  <si>
    <t>08200000800</t>
  </si>
  <si>
    <t>07040000080</t>
  </si>
  <si>
    <t>08200000750</t>
  </si>
  <si>
    <t>08200000955</t>
  </si>
  <si>
    <t>08200000905</t>
  </si>
  <si>
    <t>07040000110</t>
  </si>
  <si>
    <t>08200000805</t>
  </si>
  <si>
    <t>07040000085</t>
  </si>
  <si>
    <t>08200000755</t>
  </si>
  <si>
    <t>07040000089</t>
  </si>
  <si>
    <t>07040000115</t>
  </si>
  <si>
    <t>07040000090</t>
  </si>
  <si>
    <t>08200000960</t>
  </si>
  <si>
    <t>08200000910</t>
  </si>
  <si>
    <t>08200000810</t>
  </si>
  <si>
    <t>08200000760</t>
  </si>
  <si>
    <t>08200001120</t>
  </si>
  <si>
    <t>08200001090</t>
  </si>
  <si>
    <t>08200001060</t>
  </si>
  <si>
    <t>08200001150</t>
  </si>
  <si>
    <t>08200001185</t>
  </si>
  <si>
    <t>07040000335</t>
  </si>
  <si>
    <t>08200001560</t>
  </si>
  <si>
    <t>05020000350</t>
  </si>
  <si>
    <t>05020000470</t>
  </si>
  <si>
    <t>05020000355</t>
  </si>
  <si>
    <t>05020000360</t>
  </si>
  <si>
    <t>05020000365</t>
  </si>
  <si>
    <t>05020000370</t>
  </si>
  <si>
    <t>05020000375</t>
  </si>
  <si>
    <t>08200001380</t>
  </si>
  <si>
    <t>05020000380</t>
  </si>
  <si>
    <t>05020000385</t>
  </si>
  <si>
    <t>05020000305</t>
  </si>
  <si>
    <t>05020000312</t>
  </si>
  <si>
    <t>05020000310</t>
  </si>
  <si>
    <t>05020000315</t>
  </si>
  <si>
    <t>05020000317</t>
  </si>
  <si>
    <t>05020000320</t>
  </si>
  <si>
    <t>05020000323</t>
  </si>
  <si>
    <t>05020000325</t>
  </si>
  <si>
    <t>05020000322</t>
  </si>
  <si>
    <t>07040000170</t>
  </si>
  <si>
    <t>07040000585</t>
  </si>
  <si>
    <t>08200001280</t>
  </si>
  <si>
    <t>07040000580</t>
  </si>
  <si>
    <t>07040000345</t>
  </si>
  <si>
    <t>08200001270</t>
  </si>
  <si>
    <t>07040000155</t>
  </si>
  <si>
    <t>07040000160</t>
  </si>
  <si>
    <t>07040000165</t>
  </si>
  <si>
    <t>08200001275</t>
  </si>
  <si>
    <t>07040000575</t>
  </si>
  <si>
    <t>08200001330</t>
  </si>
  <si>
    <t>08200001320</t>
  </si>
  <si>
    <t>08200001300</t>
  </si>
  <si>
    <t>08200001325</t>
  </si>
  <si>
    <t>03016500761</t>
  </si>
  <si>
    <t>03016500750</t>
  </si>
  <si>
    <t>03016500755</t>
  </si>
  <si>
    <t>03016500760</t>
  </si>
  <si>
    <t>08800000248</t>
  </si>
  <si>
    <t>07040000885</t>
  </si>
  <si>
    <t>08200002100</t>
  </si>
  <si>
    <t>08200002105</t>
  </si>
  <si>
    <t>05010000369</t>
  </si>
  <si>
    <t>05010000367</t>
  </si>
  <si>
    <t>05010000368</t>
  </si>
  <si>
    <t>08200002110</t>
  </si>
  <si>
    <t>08200002115</t>
  </si>
  <si>
    <t>08200002255</t>
  </si>
  <si>
    <t>08200002250</t>
  </si>
  <si>
    <t>08200002235</t>
  </si>
  <si>
    <t>08200002190</t>
  </si>
  <si>
    <t>05010000370</t>
  </si>
  <si>
    <t>05010000372</t>
  </si>
  <si>
    <t>05010000375</t>
  </si>
  <si>
    <t>07040000195</t>
  </si>
  <si>
    <t>07040000200</t>
  </si>
  <si>
    <t>08200002465</t>
  </si>
  <si>
    <t>08200002460</t>
  </si>
  <si>
    <t>07040000190</t>
  </si>
  <si>
    <t>08200001215</t>
  </si>
  <si>
    <t>07040000605</t>
  </si>
  <si>
    <t>08200001220</t>
  </si>
  <si>
    <t>08400000130</t>
  </si>
  <si>
    <t>07040000350</t>
  </si>
  <si>
    <t>08200001200</t>
  </si>
  <si>
    <t>07040000175</t>
  </si>
  <si>
    <t>08200001205</t>
  </si>
  <si>
    <t>07040000180</t>
  </si>
  <si>
    <t>07040000185</t>
  </si>
  <si>
    <t>08200001210</t>
  </si>
  <si>
    <t>08800000221</t>
  </si>
  <si>
    <t>05010000315</t>
  </si>
  <si>
    <t>09010000212</t>
  </si>
  <si>
    <t>09010000214</t>
  </si>
  <si>
    <t>08200002155</t>
  </si>
  <si>
    <t>08200001250</t>
  </si>
  <si>
    <t>08200001350</t>
  </si>
  <si>
    <t>08200001355</t>
  </si>
  <si>
    <t>08200001440</t>
  </si>
  <si>
    <t>08200001500</t>
  </si>
  <si>
    <t>08200001410</t>
  </si>
  <si>
    <t>08200001385</t>
  </si>
  <si>
    <t>05020001040</t>
  </si>
  <si>
    <t>05020001045</t>
  </si>
  <si>
    <t>05020001050</t>
  </si>
  <si>
    <t>05020001055</t>
  </si>
  <si>
    <t>05020000100</t>
  </si>
  <si>
    <t>05020000105</t>
  </si>
  <si>
    <t>05020000110</t>
  </si>
  <si>
    <t>08200000005</t>
  </si>
  <si>
    <t>08200000010</t>
  </si>
  <si>
    <t>08200000015</t>
  </si>
  <si>
    <t>08200000020</t>
  </si>
  <si>
    <t>08200000025</t>
  </si>
  <si>
    <t>08200000030</t>
  </si>
  <si>
    <t>08200000100</t>
  </si>
  <si>
    <t>08200000105</t>
  </si>
  <si>
    <t>08200000110</t>
  </si>
  <si>
    <t>08200000115</t>
  </si>
  <si>
    <t>08200000050</t>
  </si>
  <si>
    <t>08200000055</t>
  </si>
  <si>
    <t>08200000060</t>
  </si>
  <si>
    <t>08200000065</t>
  </si>
  <si>
    <t>08200000070</t>
  </si>
  <si>
    <t>08200000075</t>
  </si>
  <si>
    <t>08200000067</t>
  </si>
  <si>
    <t>07030000025</t>
  </si>
  <si>
    <t>07030000030</t>
  </si>
  <si>
    <t>07030000020</t>
  </si>
  <si>
    <t>07030000005</t>
  </si>
  <si>
    <t>07030000010</t>
  </si>
  <si>
    <t>07030000015</t>
  </si>
  <si>
    <t>07030000035</t>
  </si>
  <si>
    <t>07030000040</t>
  </si>
  <si>
    <t>05010000400</t>
  </si>
  <si>
    <t>08200002580</t>
  </si>
  <si>
    <t>03019200015</t>
  </si>
  <si>
    <t>03019200040</t>
  </si>
  <si>
    <t>03019200030</t>
  </si>
  <si>
    <t>03019200055</t>
  </si>
  <si>
    <t>03019200020</t>
  </si>
  <si>
    <t>03019200045</t>
  </si>
  <si>
    <t>03019200025</t>
  </si>
  <si>
    <t>03019200050</t>
  </si>
  <si>
    <t>03019200010</t>
  </si>
  <si>
    <t>03019200035</t>
  </si>
  <si>
    <t>03019200075</t>
  </si>
  <si>
    <t>03019200080</t>
  </si>
  <si>
    <t>03019200081</t>
  </si>
  <si>
    <t>03019202505</t>
  </si>
  <si>
    <t>03019202450</t>
  </si>
  <si>
    <t>03019202500</t>
  </si>
  <si>
    <t>03019200210</t>
  </si>
  <si>
    <t>03019200221</t>
  </si>
  <si>
    <t>03019200200</t>
  </si>
  <si>
    <t>03019200205</t>
  </si>
  <si>
    <t>03019200300</t>
  </si>
  <si>
    <t>03019200405</t>
  </si>
  <si>
    <t>03019200410</t>
  </si>
  <si>
    <t>03019200400</t>
  </si>
  <si>
    <t>03019200500</t>
  </si>
  <si>
    <t>03019200425</t>
  </si>
  <si>
    <t>03019200600</t>
  </si>
  <si>
    <t>03019200615</t>
  </si>
  <si>
    <t>03019200605</t>
  </si>
  <si>
    <t>03019200610</t>
  </si>
  <si>
    <t>03019200700</t>
  </si>
  <si>
    <t>03019200705</t>
  </si>
  <si>
    <t>03019200710</t>
  </si>
  <si>
    <t>03019200805</t>
  </si>
  <si>
    <t>03019200800</t>
  </si>
  <si>
    <t>03019200810</t>
  </si>
  <si>
    <t>03019200665</t>
  </si>
  <si>
    <t>03019200650</t>
  </si>
  <si>
    <t>03019200655</t>
  </si>
  <si>
    <t>03019200660</t>
  </si>
  <si>
    <t>03019201000</t>
  </si>
  <si>
    <t>03019201050</t>
  </si>
  <si>
    <t>03019210031</t>
  </si>
  <si>
    <t>03019201100</t>
  </si>
  <si>
    <t>03019201115</t>
  </si>
  <si>
    <t>03019201105</t>
  </si>
  <si>
    <t>03019201110</t>
  </si>
  <si>
    <t>03019201255</t>
  </si>
  <si>
    <t>03019201250</t>
  </si>
  <si>
    <t>03019201200</t>
  </si>
  <si>
    <t>03019201280</t>
  </si>
  <si>
    <t>03019201290</t>
  </si>
  <si>
    <t>03019201300</t>
  </si>
  <si>
    <t>03019201400</t>
  </si>
  <si>
    <t>03019201420</t>
  </si>
  <si>
    <t>03019201428</t>
  </si>
  <si>
    <t>03019201410</t>
  </si>
  <si>
    <t>03019201424</t>
  </si>
  <si>
    <t>03019201426</t>
  </si>
  <si>
    <t>03019201405</t>
  </si>
  <si>
    <t>03019201422</t>
  </si>
  <si>
    <t>03019201430</t>
  </si>
  <si>
    <t>03019201510</t>
  </si>
  <si>
    <t>03019201500</t>
  </si>
  <si>
    <t>03019201505</t>
  </si>
  <si>
    <t>03019201499</t>
  </si>
  <si>
    <t>03019201710</t>
  </si>
  <si>
    <t>03019201700</t>
  </si>
  <si>
    <t>03019201705</t>
  </si>
  <si>
    <t>03019202000</t>
  </si>
  <si>
    <t>03019201990</t>
  </si>
  <si>
    <t>03019201770</t>
  </si>
  <si>
    <t>03019200098</t>
  </si>
  <si>
    <t>03019200095</t>
  </si>
  <si>
    <t>03019200096</t>
  </si>
  <si>
    <t>03019201610</t>
  </si>
  <si>
    <t>03019201600</t>
  </si>
  <si>
    <t>03019201605</t>
  </si>
  <si>
    <t>03019202510</t>
  </si>
  <si>
    <t>03019202550</t>
  </si>
  <si>
    <t>05015000516</t>
  </si>
  <si>
    <t>05015000518</t>
  </si>
  <si>
    <t>05015000512</t>
  </si>
  <si>
    <t>05015000514</t>
  </si>
  <si>
    <t>03062000130</t>
  </si>
  <si>
    <t>03062000120</t>
  </si>
  <si>
    <t>03062000150</t>
  </si>
  <si>
    <t>03062000140</t>
  </si>
  <si>
    <t>03010000506</t>
  </si>
  <si>
    <t>03010000507</t>
  </si>
  <si>
    <t>06070000052</t>
  </si>
  <si>
    <t>06070000051</t>
  </si>
  <si>
    <t>03017400030</t>
  </si>
  <si>
    <t>03017400010</t>
  </si>
  <si>
    <t>03017400020</t>
  </si>
  <si>
    <t>03017400005</t>
  </si>
  <si>
    <t>03016003510</t>
  </si>
  <si>
    <t>03016003520</t>
  </si>
  <si>
    <t>03016003530</t>
  </si>
  <si>
    <t>03016003540</t>
  </si>
  <si>
    <t>03016003500</t>
  </si>
  <si>
    <t>03016510025</t>
  </si>
  <si>
    <t>03016008000</t>
  </si>
  <si>
    <t>03016510030</t>
  </si>
  <si>
    <t>03016008010</t>
  </si>
  <si>
    <t>03016008020</t>
  </si>
  <si>
    <t>03016008030</t>
  </si>
  <si>
    <t>03016510005</t>
  </si>
  <si>
    <t>03016006000</t>
  </si>
  <si>
    <t>03016510010</t>
  </si>
  <si>
    <t>03016510015</t>
  </si>
  <si>
    <t>03016510020</t>
  </si>
  <si>
    <t>03010000015</t>
  </si>
  <si>
    <t>03010000025</t>
  </si>
  <si>
    <t>03010000026</t>
  </si>
  <si>
    <t>03010000027</t>
  </si>
  <si>
    <t>03010000005</t>
  </si>
  <si>
    <t>03010000065</t>
  </si>
  <si>
    <t>03010000066</t>
  </si>
  <si>
    <t>03010000067</t>
  </si>
  <si>
    <t>03010000063</t>
  </si>
  <si>
    <t>03010000064</t>
  </si>
  <si>
    <t>03010000035</t>
  </si>
  <si>
    <t>03010000045</t>
  </si>
  <si>
    <t>03010000055</t>
  </si>
  <si>
    <t>03016410010</t>
  </si>
  <si>
    <t>03010000029</t>
  </si>
  <si>
    <t>03010000028</t>
  </si>
  <si>
    <t>03016500762</t>
  </si>
  <si>
    <t>08800000251</t>
  </si>
  <si>
    <t>08800000249</t>
  </si>
  <si>
    <t>08800000252</t>
  </si>
  <si>
    <t>08800000250</t>
  </si>
  <si>
    <t>08800000256</t>
  </si>
  <si>
    <t>08800000255</t>
  </si>
  <si>
    <t>08800000253</t>
  </si>
  <si>
    <t>08800000254</t>
  </si>
  <si>
    <t>08800000259</t>
  </si>
  <si>
    <t>08800000257</t>
  </si>
  <si>
    <t>08800000260</t>
  </si>
  <si>
    <t>08800000258</t>
  </si>
  <si>
    <t>08800000028</t>
  </si>
  <si>
    <t>03016500600</t>
  </si>
  <si>
    <t>03016500300</t>
  </si>
  <si>
    <t>03010000076</t>
  </si>
  <si>
    <t>03016500405</t>
  </si>
  <si>
    <t>03010000068</t>
  </si>
  <si>
    <t>03010000070</t>
  </si>
  <si>
    <t>03010000085</t>
  </si>
  <si>
    <t>03010000075</t>
  </si>
  <si>
    <t>05021000118</t>
  </si>
  <si>
    <t>05022000100</t>
  </si>
  <si>
    <t>05015000534</t>
  </si>
  <si>
    <t>05015000535</t>
  </si>
  <si>
    <t>05015000536</t>
  </si>
  <si>
    <t>05015000537</t>
  </si>
  <si>
    <t>05015000538</t>
  </si>
  <si>
    <t>03038000340</t>
  </si>
  <si>
    <t>03038000858</t>
  </si>
  <si>
    <t>03038000859</t>
  </si>
  <si>
    <t>06010000350</t>
  </si>
  <si>
    <t>08410000061</t>
  </si>
  <si>
    <t>03011000421</t>
  </si>
  <si>
    <t>03015305000</t>
  </si>
  <si>
    <t>03015300005</t>
  </si>
  <si>
    <t>03042000258</t>
  </si>
  <si>
    <t>04010000023</t>
  </si>
  <si>
    <t>09500000195</t>
  </si>
  <si>
    <t>09500000120</t>
  </si>
  <si>
    <t>09500000285</t>
  </si>
  <si>
    <t>03038000561</t>
  </si>
  <si>
    <t>03038000581</t>
  </si>
  <si>
    <t>03038000541</t>
  </si>
  <si>
    <t>03038000601</t>
  </si>
  <si>
    <t>06050000408</t>
  </si>
  <si>
    <t>05015000520</t>
  </si>
  <si>
    <t>05015000502</t>
  </si>
  <si>
    <t>08400003540</t>
  </si>
  <si>
    <t>08900001490</t>
  </si>
  <si>
    <t>08900001480</t>
  </si>
  <si>
    <t>08900001495</t>
  </si>
  <si>
    <t>08900001485</t>
  </si>
  <si>
    <t>08900001500</t>
  </si>
  <si>
    <t>08900001505</t>
  </si>
  <si>
    <t>08900001400</t>
  </si>
  <si>
    <t>08900001405</t>
  </si>
  <si>
    <t>08900001410</t>
  </si>
  <si>
    <t>08900001415</t>
  </si>
  <si>
    <t>08900001430</t>
  </si>
  <si>
    <t>08900001420</t>
  </si>
  <si>
    <t>08900001425</t>
  </si>
  <si>
    <t>08900001445</t>
  </si>
  <si>
    <t>08900001435</t>
  </si>
  <si>
    <t>08900001440</t>
  </si>
  <si>
    <t>08900001460</t>
  </si>
  <si>
    <t>08900001450</t>
  </si>
  <si>
    <t>08900001455</t>
  </si>
  <si>
    <t>08900001475</t>
  </si>
  <si>
    <t>08900001465</t>
  </si>
  <si>
    <t>08900001470</t>
  </si>
  <si>
    <t>03042000244</t>
  </si>
  <si>
    <t>03062100144</t>
  </si>
  <si>
    <t>03050000265</t>
  </si>
  <si>
    <t>03018700021</t>
  </si>
  <si>
    <t>03018700020</t>
  </si>
  <si>
    <t>03018700031</t>
  </si>
  <si>
    <t>03018700030</t>
  </si>
  <si>
    <t>03018700045</t>
  </si>
  <si>
    <t>03050000260</t>
  </si>
  <si>
    <t>03018700046</t>
  </si>
  <si>
    <t>03018700040</t>
  </si>
  <si>
    <t>04010000030</t>
  </si>
  <si>
    <t>01003000090</t>
  </si>
  <si>
    <t>01003000080</t>
  </si>
  <si>
    <t>01003000085</t>
  </si>
  <si>
    <t>08060000655</t>
  </si>
  <si>
    <t>08060000650</t>
  </si>
  <si>
    <t>08060000640</t>
  </si>
  <si>
    <t>08060000645</t>
  </si>
  <si>
    <t>02002000800</t>
  </si>
  <si>
    <t>02002000805</t>
  </si>
  <si>
    <t>01044000369</t>
  </si>
  <si>
    <t>01044000370</t>
  </si>
  <si>
    <t>01044000371</t>
  </si>
  <si>
    <t>01044000372</t>
  </si>
  <si>
    <t>01044000375</t>
  </si>
  <si>
    <t>01044000376</t>
  </si>
  <si>
    <t>01044000377</t>
  </si>
  <si>
    <t>01044000379</t>
  </si>
  <si>
    <t>01044000382</t>
  </si>
  <si>
    <t>01044000380</t>
  </si>
  <si>
    <t>01044000384</t>
  </si>
  <si>
    <t>01044000385</t>
  </si>
  <si>
    <t>01044000386</t>
  </si>
  <si>
    <t>01044000387</t>
  </si>
  <si>
    <t>01044000388</t>
  </si>
  <si>
    <t>01044000390</t>
  </si>
  <si>
    <t>01044000395</t>
  </si>
  <si>
    <t>01044000396</t>
  </si>
  <si>
    <t>01044000404</t>
  </si>
  <si>
    <t>01044000400</t>
  </si>
  <si>
    <t>01044000103</t>
  </si>
  <si>
    <t>01044000108</t>
  </si>
  <si>
    <t>01044000110</t>
  </si>
  <si>
    <t>01044000150</t>
  </si>
  <si>
    <t>01044000153</t>
  </si>
  <si>
    <t>01044000155</t>
  </si>
  <si>
    <t>01044000157</t>
  </si>
  <si>
    <t>01044000160</t>
  </si>
  <si>
    <t>01044000163</t>
  </si>
  <si>
    <t>01044000165</t>
  </si>
  <si>
    <t>01044000166</t>
  </si>
  <si>
    <t>01044000170</t>
  </si>
  <si>
    <t>01044000173</t>
  </si>
  <si>
    <t>01044000175</t>
  </si>
  <si>
    <t>01044000177</t>
  </si>
  <si>
    <t>01044000180</t>
  </si>
  <si>
    <t>01044000183</t>
  </si>
  <si>
    <t>01044000200</t>
  </si>
  <si>
    <t>01044000210</t>
  </si>
  <si>
    <t>01044000215</t>
  </si>
  <si>
    <t>01044000220</t>
  </si>
  <si>
    <t>01044000223</t>
  </si>
  <si>
    <t>01044000225</t>
  </si>
  <si>
    <t>01044000230</t>
  </si>
  <si>
    <t>01044000235</t>
  </si>
  <si>
    <t>01044000240</t>
  </si>
  <si>
    <t>01044000112</t>
  </si>
  <si>
    <t>01044000115</t>
  </si>
  <si>
    <t>01044000125</t>
  </si>
  <si>
    <t>01044000250</t>
  </si>
  <si>
    <t>01044000320</t>
  </si>
  <si>
    <t>01044000330</t>
  </si>
  <si>
    <t>01044000333</t>
  </si>
  <si>
    <t>01044000335</t>
  </si>
  <si>
    <t>01044000337</t>
  </si>
  <si>
    <t>01044000300</t>
  </si>
  <si>
    <t>01044000310</t>
  </si>
  <si>
    <t>01044000313</t>
  </si>
  <si>
    <t>01044000315</t>
  </si>
  <si>
    <t>01044000316</t>
  </si>
  <si>
    <t>01044000340</t>
  </si>
  <si>
    <t>01044000350</t>
  </si>
  <si>
    <t>01044000355</t>
  </si>
  <si>
    <t>01044000360</t>
  </si>
  <si>
    <t>01044000365</t>
  </si>
  <si>
    <t>03042000058</t>
  </si>
  <si>
    <t>03042000060</t>
  </si>
  <si>
    <t>03035000038</t>
  </si>
  <si>
    <t>03015000025</t>
  </si>
  <si>
    <t>03015000020</t>
  </si>
  <si>
    <t>03015000055</t>
  </si>
  <si>
    <t>03015300105</t>
  </si>
  <si>
    <t>03015200020</t>
  </si>
  <si>
    <t>03015300001</t>
  </si>
  <si>
    <t>08410000055</t>
  </si>
  <si>
    <t>08300003505</t>
  </si>
  <si>
    <t>06070100005</t>
  </si>
  <si>
    <t>06070100010</t>
  </si>
  <si>
    <t>08300003500</t>
  </si>
  <si>
    <t>03015000015</t>
  </si>
  <si>
    <t>03015000010</t>
  </si>
  <si>
    <t>03015000050</t>
  </si>
  <si>
    <t>03015300100</t>
  </si>
  <si>
    <t>03015200010</t>
  </si>
  <si>
    <t>03015300002</t>
  </si>
  <si>
    <t>06070000045</t>
  </si>
  <si>
    <t>03015000005</t>
  </si>
  <si>
    <t>08410000060</t>
  </si>
  <si>
    <t>03015000060</t>
  </si>
  <si>
    <t>03038000621</t>
  </si>
  <si>
    <t>03038000641</t>
  </si>
  <si>
    <t>03038000645</t>
  </si>
  <si>
    <t>01010300100</t>
  </si>
  <si>
    <t>01010300110</t>
  </si>
  <si>
    <t>01010300150</t>
  </si>
  <si>
    <t>08800000233</t>
  </si>
  <si>
    <t>08800000234</t>
  </si>
  <si>
    <t>03010000195</t>
  </si>
  <si>
    <t>09500000180</t>
  </si>
  <si>
    <t>03017700028</t>
  </si>
  <si>
    <t>03017700027</t>
  </si>
  <si>
    <t>08005000035</t>
  </si>
  <si>
    <t>03017700030</t>
  </si>
  <si>
    <t>03017700110</t>
  </si>
  <si>
    <t>06010000700</t>
  </si>
  <si>
    <t>03017700010</t>
  </si>
  <si>
    <t>03017700025</t>
  </si>
  <si>
    <t>03017700120</t>
  </si>
  <si>
    <t>06010000705</t>
  </si>
  <si>
    <t>03017700020</t>
  </si>
  <si>
    <t>03017700026</t>
  </si>
  <si>
    <t>03010000200</t>
  </si>
  <si>
    <t>03017700023</t>
  </si>
  <si>
    <t>09500000165</t>
  </si>
  <si>
    <t>09500000155</t>
  </si>
  <si>
    <t>09500000160</t>
  </si>
  <si>
    <t>09500000162</t>
  </si>
  <si>
    <t>09500000170</t>
  </si>
  <si>
    <t>02010000005</t>
  </si>
  <si>
    <t>02010000025</t>
  </si>
  <si>
    <t>02010000105</t>
  </si>
  <si>
    <t>02010000125</t>
  </si>
  <si>
    <t>03032000206</t>
  </si>
  <si>
    <t>03038000857</t>
  </si>
  <si>
    <t>09008000005</t>
  </si>
  <si>
    <t>09008000010</t>
  </si>
  <si>
    <t>02010000050</t>
  </si>
  <si>
    <t>01011000028</t>
  </si>
  <si>
    <t>01011000027</t>
  </si>
  <si>
    <t>01011000330</t>
  </si>
  <si>
    <t>01011000332</t>
  </si>
  <si>
    <t>01011000315</t>
  </si>
  <si>
    <t>01011000310</t>
  </si>
  <si>
    <t>01011000325</t>
  </si>
  <si>
    <t>01011000300</t>
  </si>
  <si>
    <t>01011000305</t>
  </si>
  <si>
    <t>09008000020</t>
  </si>
  <si>
    <t>09008000015</t>
  </si>
  <si>
    <t>05012000070</t>
  </si>
  <si>
    <t>05012000067</t>
  </si>
  <si>
    <t>05012002121</t>
  </si>
  <si>
    <t>05012002122</t>
  </si>
  <si>
    <t>05012002123</t>
  </si>
  <si>
    <t>05012002110</t>
  </si>
  <si>
    <t>05012002133</t>
  </si>
  <si>
    <t>05012000225</t>
  </si>
  <si>
    <t>05012000210</t>
  </si>
  <si>
    <t>05012002115</t>
  </si>
  <si>
    <t>05012000215</t>
  </si>
  <si>
    <t>05012000100</t>
  </si>
  <si>
    <t>05012000090</t>
  </si>
  <si>
    <t>05012000045</t>
  </si>
  <si>
    <t>05012000050</t>
  </si>
  <si>
    <t>05012000030</t>
  </si>
  <si>
    <t>05012000035</t>
  </si>
  <si>
    <t>05012000037</t>
  </si>
  <si>
    <t>05012000040</t>
  </si>
  <si>
    <t>05012000060</t>
  </si>
  <si>
    <t>05012000055</t>
  </si>
  <si>
    <t>05012000150</t>
  </si>
  <si>
    <t>05012000120</t>
  </si>
  <si>
    <t>05012000130</t>
  </si>
  <si>
    <t>05012000140</t>
  </si>
  <si>
    <t>05012002100</t>
  </si>
  <si>
    <t>05012002075</t>
  </si>
  <si>
    <t>05012002080</t>
  </si>
  <si>
    <t>05012002090</t>
  </si>
  <si>
    <t>05012002138</t>
  </si>
  <si>
    <t>05012002139</t>
  </si>
  <si>
    <t>05012002140</t>
  </si>
  <si>
    <t>05012002141</t>
  </si>
  <si>
    <t>05012002142</t>
  </si>
  <si>
    <t>05012002125</t>
  </si>
  <si>
    <t>05012002124</t>
  </si>
  <si>
    <t>05012002151</t>
  </si>
  <si>
    <t>05012002152</t>
  </si>
  <si>
    <t>05012002148</t>
  </si>
  <si>
    <t>05012002149</t>
  </si>
  <si>
    <t>05012002150</t>
  </si>
  <si>
    <t>05012002143</t>
  </si>
  <si>
    <t>05012002144</t>
  </si>
  <si>
    <t>05012002145</t>
  </si>
  <si>
    <t>05012002146</t>
  </si>
  <si>
    <t>05012002147</t>
  </si>
  <si>
    <t>05012000080</t>
  </si>
  <si>
    <t>03062100145</t>
  </si>
  <si>
    <t>03034000301</t>
  </si>
  <si>
    <t>06070000015</t>
  </si>
  <si>
    <t>03036000050</t>
  </si>
  <si>
    <t>06070000020</t>
  </si>
  <si>
    <t>06070000025</t>
  </si>
  <si>
    <t>03033000107</t>
  </si>
  <si>
    <t>03016302510</t>
  </si>
  <si>
    <t>03016302520</t>
  </si>
  <si>
    <t>03016302530</t>
  </si>
  <si>
    <t>03016302540</t>
  </si>
  <si>
    <t>03016308000</t>
  </si>
  <si>
    <t>03016308010</t>
  </si>
  <si>
    <t>03016308020</t>
  </si>
  <si>
    <t>03016308030</t>
  </si>
  <si>
    <t>03010000098</t>
  </si>
  <si>
    <t>03010000105</t>
  </si>
  <si>
    <t>03010000115</t>
  </si>
  <si>
    <t>03010000125</t>
  </si>
  <si>
    <t>03010000095</t>
  </si>
  <si>
    <t>03010000135</t>
  </si>
  <si>
    <t>03010000137</t>
  </si>
  <si>
    <t>03010000139</t>
  </si>
  <si>
    <t>03010000141</t>
  </si>
  <si>
    <t>03010000132</t>
  </si>
  <si>
    <t>05012002120</t>
  </si>
  <si>
    <t>05012000305</t>
  </si>
  <si>
    <t>03034000321</t>
  </si>
  <si>
    <t>05015000251</t>
  </si>
  <si>
    <t>05015000252</t>
  </si>
  <si>
    <t>03038000681</t>
  </si>
  <si>
    <t>03038000661</t>
  </si>
  <si>
    <t>03038000701</t>
  </si>
  <si>
    <t>03015305005</t>
  </si>
  <si>
    <t>03017900500</t>
  </si>
  <si>
    <t>03017900520</t>
  </si>
  <si>
    <t>03037000462</t>
  </si>
  <si>
    <t>03037000301</t>
  </si>
  <si>
    <t>03037000302</t>
  </si>
  <si>
    <t>03037000461</t>
  </si>
  <si>
    <t>03037000305</t>
  </si>
  <si>
    <t>04010000095</t>
  </si>
  <si>
    <t>01040000020</t>
  </si>
  <si>
    <t>05023000025</t>
  </si>
  <si>
    <t>02002000660</t>
  </si>
  <si>
    <t>02002000650</t>
  </si>
  <si>
    <t>02002000620</t>
  </si>
  <si>
    <t>02002000630</t>
  </si>
  <si>
    <t>02002000520</t>
  </si>
  <si>
    <t>02002000515</t>
  </si>
  <si>
    <t>03019500030</t>
  </si>
  <si>
    <t>03019500020</t>
  </si>
  <si>
    <t>03019500010</t>
  </si>
  <si>
    <t>03034000326</t>
  </si>
  <si>
    <t>03037000303</t>
  </si>
  <si>
    <t>03037000306</t>
  </si>
  <si>
    <t>03005900010</t>
  </si>
  <si>
    <t>03019000535</t>
  </si>
  <si>
    <t>01003000095</t>
  </si>
  <si>
    <t>03019000520</t>
  </si>
  <si>
    <t>03019000540</t>
  </si>
  <si>
    <t>03019000525</t>
  </si>
  <si>
    <t>03019300065</t>
  </si>
  <si>
    <t>03019000545</t>
  </si>
  <si>
    <t>03019000530</t>
  </si>
  <si>
    <t>03019000500</t>
  </si>
  <si>
    <t>03019000505</t>
  </si>
  <si>
    <t>03019000510</t>
  </si>
  <si>
    <t>03019000515</t>
  </si>
  <si>
    <t>03042000116</t>
  </si>
  <si>
    <t>09500000255</t>
  </si>
  <si>
    <t>03042000114</t>
  </si>
  <si>
    <t>03042000119</t>
  </si>
  <si>
    <t>01010902060</t>
  </si>
  <si>
    <t>01010900527</t>
  </si>
  <si>
    <t>01010900528</t>
  </si>
  <si>
    <t>01010900525</t>
  </si>
  <si>
    <t>01010900530</t>
  </si>
  <si>
    <t>01010902070</t>
  </si>
  <si>
    <t>01011000014</t>
  </si>
  <si>
    <t>01011000030</t>
  </si>
  <si>
    <t>01011000010</t>
  </si>
  <si>
    <t>01011000031</t>
  </si>
  <si>
    <t>01011000032</t>
  </si>
  <si>
    <t>01011000034</t>
  </si>
  <si>
    <t>01011000036</t>
  </si>
  <si>
    <t>01011000038</t>
  </si>
  <si>
    <t>01011000039</t>
  </si>
  <si>
    <t>01011000040</t>
  </si>
  <si>
    <t>01011000042</t>
  </si>
  <si>
    <t>01011000044</t>
  </si>
  <si>
    <t>01011000046</t>
  </si>
  <si>
    <t>01011000005</t>
  </si>
  <si>
    <t>01010900520</t>
  </si>
  <si>
    <t>01010900500</t>
  </si>
  <si>
    <t>01010902010</t>
  </si>
  <si>
    <t>01011000013</t>
  </si>
  <si>
    <t>01011000012</t>
  </si>
  <si>
    <t>01011001026</t>
  </si>
  <si>
    <t>01011000015</t>
  </si>
  <si>
    <t>01011000016</t>
  </si>
  <si>
    <t>01011000017</t>
  </si>
  <si>
    <t>01011000018</t>
  </si>
  <si>
    <t>01011000003</t>
  </si>
  <si>
    <t>01011000020</t>
  </si>
  <si>
    <t>01011000025</t>
  </si>
  <si>
    <t>03016000075</t>
  </si>
  <si>
    <t>03016000070</t>
  </si>
  <si>
    <t>04010000300</t>
  </si>
  <si>
    <t>09500000190</t>
  </si>
  <si>
    <t>03028000040</t>
  </si>
  <si>
    <t>03028000010</t>
  </si>
  <si>
    <t>03028000020</t>
  </si>
  <si>
    <t>03028000030</t>
  </si>
  <si>
    <t>03028000060</t>
  </si>
  <si>
    <t>03028000070</t>
  </si>
  <si>
    <t>03028000080</t>
  </si>
  <si>
    <t>03028000050</t>
  </si>
  <si>
    <t>03028000140</t>
  </si>
  <si>
    <t>03028000120</t>
  </si>
  <si>
    <t>03028000130</t>
  </si>
  <si>
    <t>03063000850</t>
  </si>
  <si>
    <t>09500000185</t>
  </si>
  <si>
    <t>03030000020</t>
  </si>
  <si>
    <t>03030000025</t>
  </si>
  <si>
    <t>03030000030</t>
  </si>
  <si>
    <t>09500000270</t>
  </si>
  <si>
    <t>09500000265</t>
  </si>
  <si>
    <t>03034000029</t>
  </si>
  <si>
    <t>06010000820</t>
  </si>
  <si>
    <t>03005000026</t>
  </si>
  <si>
    <t>05015000102</t>
  </si>
  <si>
    <t>05015000103</t>
  </si>
  <si>
    <t>05015000104</t>
  </si>
  <si>
    <t>05015000100</t>
  </si>
  <si>
    <t>05015000090</t>
  </si>
  <si>
    <t>05015000099</t>
  </si>
  <si>
    <t>05015000101</t>
  </si>
  <si>
    <t>05015000155</t>
  </si>
  <si>
    <t>05015000156</t>
  </si>
  <si>
    <t>05015000157</t>
  </si>
  <si>
    <t>05015000154</t>
  </si>
  <si>
    <t>05015000061</t>
  </si>
  <si>
    <t>05015000060</t>
  </si>
  <si>
    <t>05015000059</t>
  </si>
  <si>
    <t>05015000057</t>
  </si>
  <si>
    <t>05015000062</t>
  </si>
  <si>
    <t>05015000058</t>
  </si>
  <si>
    <t>05015000077</t>
  </si>
  <si>
    <t>05015000078</t>
  </si>
  <si>
    <t>05015000168</t>
  </si>
  <si>
    <t>05015000167</t>
  </si>
  <si>
    <t>03010000484</t>
  </si>
  <si>
    <t>03010000486</t>
  </si>
  <si>
    <t>05015000169</t>
  </si>
  <si>
    <t>05015000171</t>
  </si>
  <si>
    <t>05015000170</t>
  </si>
  <si>
    <t>05022001001</t>
  </si>
  <si>
    <t>02013000005</t>
  </si>
  <si>
    <t>02013000010</t>
  </si>
  <si>
    <t>03010000500</t>
  </si>
  <si>
    <t>02013000015</t>
  </si>
  <si>
    <t>03010000505</t>
  </si>
  <si>
    <t>02013000030</t>
  </si>
  <si>
    <t>02013000035</t>
  </si>
  <si>
    <t>02013000040</t>
  </si>
  <si>
    <t>03010000480</t>
  </si>
  <si>
    <t>03034000338</t>
  </si>
  <si>
    <t>03017700123</t>
  </si>
  <si>
    <t>02014000030</t>
  </si>
  <si>
    <t>02014000005</t>
  </si>
  <si>
    <t>02014000010</t>
  </si>
  <si>
    <t>02014000020</t>
  </si>
  <si>
    <t>02014000015</t>
  </si>
  <si>
    <t>02014000025</t>
  </si>
  <si>
    <t>05021000300</t>
  </si>
  <si>
    <t>08400002100</t>
  </si>
  <si>
    <t>08400002150</t>
  </si>
  <si>
    <t>08400002200</t>
  </si>
  <si>
    <t>08400002300</t>
  </si>
  <si>
    <t>08400002000</t>
  </si>
  <si>
    <t>08400001000</t>
  </si>
  <si>
    <t>08400002350</t>
  </si>
  <si>
    <t>08400002355</t>
  </si>
  <si>
    <t>08400002400</t>
  </si>
  <si>
    <t>08400002010</t>
  </si>
  <si>
    <t>08400002005</t>
  </si>
  <si>
    <t>08400002405</t>
  </si>
  <si>
    <t>08400002004</t>
  </si>
  <si>
    <t>08400000300</t>
  </si>
  <si>
    <t>01001000398</t>
  </si>
  <si>
    <t>05010000405</t>
  </si>
  <si>
    <t>05022000975</t>
  </si>
  <si>
    <t>05022000980</t>
  </si>
  <si>
    <t>05021000505</t>
  </si>
  <si>
    <t>05021000503</t>
  </si>
  <si>
    <t>01011000277</t>
  </si>
  <si>
    <t>01011000270</t>
  </si>
  <si>
    <t>01011000265</t>
  </si>
  <si>
    <t>01011000275</t>
  </si>
  <si>
    <t>01011000255</t>
  </si>
  <si>
    <t>01011000260</t>
  </si>
  <si>
    <t>05021000051</t>
  </si>
  <si>
    <t>05021000052</t>
  </si>
  <si>
    <t>05015000046</t>
  </si>
  <si>
    <t>05015000187</t>
  </si>
  <si>
    <t>05015000189</t>
  </si>
  <si>
    <t>05015000542</t>
  </si>
  <si>
    <t>05015000188</t>
  </si>
  <si>
    <t>01011000295</t>
  </si>
  <si>
    <t>01011000290</t>
  </si>
  <si>
    <t>01011000026</t>
  </si>
  <si>
    <t>01011000280</t>
  </si>
  <si>
    <t>01011000285</t>
  </si>
  <si>
    <t>01011000297</t>
  </si>
  <si>
    <t>03050000322</t>
  </si>
  <si>
    <t>03050000323</t>
  </si>
  <si>
    <t>03050000324</t>
  </si>
  <si>
    <t>03061000030</t>
  </si>
  <si>
    <t>03061000040</t>
  </si>
  <si>
    <t>01013000015</t>
  </si>
  <si>
    <t>01013000035</t>
  </si>
  <si>
    <t>01013000032</t>
  </si>
  <si>
    <t>01013000025</t>
  </si>
  <si>
    <t>01013000020</t>
  </si>
  <si>
    <t>03032000160</t>
  </si>
  <si>
    <t>03061000050</t>
  </si>
  <si>
    <t>03061000008</t>
  </si>
  <si>
    <t>03061000010</t>
  </si>
  <si>
    <t>03061000005</t>
  </si>
  <si>
    <t>03061000021</t>
  </si>
  <si>
    <t>03061000020</t>
  </si>
  <si>
    <t>03061000025</t>
  </si>
  <si>
    <t>03061000015</t>
  </si>
  <si>
    <t>03061000022</t>
  </si>
  <si>
    <t>03010000395</t>
  </si>
  <si>
    <t>03010000155</t>
  </si>
  <si>
    <t>01014000040</t>
  </si>
  <si>
    <t>01014000035</t>
  </si>
  <si>
    <t>01014000032</t>
  </si>
  <si>
    <t>01014000020</t>
  </si>
  <si>
    <t>01014000005</t>
  </si>
  <si>
    <t>01014000033</t>
  </si>
  <si>
    <t>01014000030</t>
  </si>
  <si>
    <t>01014000025</t>
  </si>
  <si>
    <t>01014000010</t>
  </si>
  <si>
    <t>01014000042</t>
  </si>
  <si>
    <t>01014000015</t>
  </si>
  <si>
    <t>03025000120</t>
  </si>
  <si>
    <t>03025000125</t>
  </si>
  <si>
    <t>04010000305</t>
  </si>
  <si>
    <t>04010000310</t>
  </si>
  <si>
    <t>03042000257</t>
  </si>
  <si>
    <t>06010000070</t>
  </si>
  <si>
    <t>06010000075</t>
  </si>
  <si>
    <t>03018001040</t>
  </si>
  <si>
    <t>03018001045</t>
  </si>
  <si>
    <t>03018003010</t>
  </si>
  <si>
    <t>03018003015</t>
  </si>
  <si>
    <t>03018003020</t>
  </si>
  <si>
    <t>03038000856</t>
  </si>
  <si>
    <t>01014000050</t>
  </si>
  <si>
    <t>01014000057</t>
  </si>
  <si>
    <t>01014000055</t>
  </si>
  <si>
    <t>01014000056</t>
  </si>
  <si>
    <t>01014000043</t>
  </si>
  <si>
    <t>01014000047</t>
  </si>
  <si>
    <t>01014000045</t>
  </si>
  <si>
    <t>08500000085</t>
  </si>
  <si>
    <t>08500000080</t>
  </si>
  <si>
    <t>08500000075</t>
  </si>
  <si>
    <t>08500000065</t>
  </si>
  <si>
    <t>08500000090</t>
  </si>
  <si>
    <t>08500000070</t>
  </si>
  <si>
    <t>03018002000</t>
  </si>
  <si>
    <t>03018002005</t>
  </si>
  <si>
    <t>03018002010</t>
  </si>
  <si>
    <t>03018002014</t>
  </si>
  <si>
    <t>03018002015</t>
  </si>
  <si>
    <t>03018002020</t>
  </si>
  <si>
    <t>03018002022</t>
  </si>
  <si>
    <t>03018002021</t>
  </si>
  <si>
    <t>08500000040</t>
  </si>
  <si>
    <t>08500000035</t>
  </si>
  <si>
    <t>08500000030</t>
  </si>
  <si>
    <t>08500000020</t>
  </si>
  <si>
    <t>08500000050</t>
  </si>
  <si>
    <t>08500000045</t>
  </si>
  <si>
    <t>08500000055</t>
  </si>
  <si>
    <t>08500000025</t>
  </si>
  <si>
    <t>08500000060</t>
  </si>
  <si>
    <t>03018001000</t>
  </si>
  <si>
    <t>03018001005</t>
  </si>
  <si>
    <t>03018001010</t>
  </si>
  <si>
    <t>03018001015</t>
  </si>
  <si>
    <t>03018001020</t>
  </si>
  <si>
    <t>03018001025</t>
  </si>
  <si>
    <t>03018001030</t>
  </si>
  <si>
    <t>03018001032</t>
  </si>
  <si>
    <t>03018001034</t>
  </si>
  <si>
    <t>03025000140</t>
  </si>
  <si>
    <t>03025000150</t>
  </si>
  <si>
    <t>03025200252</t>
  </si>
  <si>
    <t>03025200253</t>
  </si>
  <si>
    <t>03025200254</t>
  </si>
  <si>
    <t>03025200255</t>
  </si>
  <si>
    <t>03025200256</t>
  </si>
  <si>
    <t>03025200257</t>
  </si>
  <si>
    <t>03025200260</t>
  </si>
  <si>
    <t>03025200261</t>
  </si>
  <si>
    <t>03025200262</t>
  </si>
  <si>
    <t>05012000350</t>
  </si>
  <si>
    <t>05012000355</t>
  </si>
  <si>
    <t>03010000265</t>
  </si>
  <si>
    <t>03047600005</t>
  </si>
  <si>
    <t>03047600050</t>
  </si>
  <si>
    <t>03047600010</t>
  </si>
  <si>
    <t>05015000541</t>
  </si>
  <si>
    <t>03047600020</t>
  </si>
  <si>
    <t>05015000072</t>
  </si>
  <si>
    <t>05015000026</t>
  </si>
  <si>
    <t>05015000262</t>
  </si>
  <si>
    <t>05015000024</t>
  </si>
  <si>
    <t>05015000025</t>
  </si>
  <si>
    <t>05015000023</t>
  </si>
  <si>
    <t>03010000255</t>
  </si>
  <si>
    <t>03010000245</t>
  </si>
  <si>
    <t>05015000037</t>
  </si>
  <si>
    <t>03047600045</t>
  </si>
  <si>
    <t>05015000039</t>
  </si>
  <si>
    <t>05015000038</t>
  </si>
  <si>
    <t>05015000540</t>
  </si>
  <si>
    <t>03047600030</t>
  </si>
  <si>
    <t>05015000035</t>
  </si>
  <si>
    <t>03047600040</t>
  </si>
  <si>
    <t>03047600039</t>
  </si>
  <si>
    <t>03047600008</t>
  </si>
  <si>
    <t>05015000011</t>
  </si>
  <si>
    <t>05015000034</t>
  </si>
  <si>
    <t>05015000036</t>
  </si>
  <si>
    <t>05015000033</t>
  </si>
  <si>
    <t>05015000009</t>
  </si>
  <si>
    <t>03010000248</t>
  </si>
  <si>
    <t>05015000028</t>
  </si>
  <si>
    <t>05015000067</t>
  </si>
  <si>
    <t>05015000068</t>
  </si>
  <si>
    <t>05015000010</t>
  </si>
  <si>
    <t>05015000012</t>
  </si>
  <si>
    <t>05015000013</t>
  </si>
  <si>
    <t>05015000123</t>
  </si>
  <si>
    <t>05015000113</t>
  </si>
  <si>
    <t>05015000115</t>
  </si>
  <si>
    <t>05015000114</t>
  </si>
  <si>
    <t>03011600140</t>
  </si>
  <si>
    <t>03011600130</t>
  </si>
  <si>
    <t>03011600135</t>
  </si>
  <si>
    <t>01010300050</t>
  </si>
  <si>
    <t>03063000851</t>
  </si>
  <si>
    <t>06010000030</t>
  </si>
  <si>
    <t>03019503020</t>
  </si>
  <si>
    <t>06070000060</t>
  </si>
  <si>
    <t>06070000055</t>
  </si>
  <si>
    <t>02021000005</t>
  </si>
  <si>
    <t>02021000015</t>
  </si>
  <si>
    <t>02021000010</t>
  </si>
  <si>
    <t>03062100242</t>
  </si>
  <si>
    <t>03062100220</t>
  </si>
  <si>
    <t>03062100240</t>
  </si>
  <si>
    <t>03062100200</t>
  </si>
  <si>
    <t>03062100222</t>
  </si>
  <si>
    <t>03062100219</t>
  </si>
  <si>
    <t>03062100217</t>
  </si>
  <si>
    <t>03062100205</t>
  </si>
  <si>
    <t>03062100210</t>
  </si>
  <si>
    <t>03062100212</t>
  </si>
  <si>
    <t>03062100207</t>
  </si>
  <si>
    <t>03062100215</t>
  </si>
  <si>
    <t>03062100230</t>
  </si>
  <si>
    <t>03062100225</t>
  </si>
  <si>
    <t>05022000994</t>
  </si>
  <si>
    <t xml:space="preserve">Divisa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</si>
</sst>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0"/>
  <sheetViews>
    <sheetView showGridLines="0" workbookViewId="0">
      <selection sqref="A1:D1048576"/>
    </sheetView>
  </sheetViews>
  <sheetFormatPr baseColWidth="10" defaultRowHeight="15" customHeight="1" x14ac:dyDescent="0.25"/>
  <cols>
    <col min="1" max="1" width="18.85546875" bestFit="1" customWidth="1"/>
    <col min="2" max="2" width="65" customWidth="1"/>
    <col min="3" max="3" width="15" bestFit="1" customWidth="1"/>
    <col min="4" max="4" width="13" bestFit="1" customWidth="1"/>
  </cols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tr">
        <f>"02001000200"</f>
        <v>02001000200</v>
      </c>
      <c r="B2" s="2" t="s">
        <v>4</v>
      </c>
      <c r="C2" s="2">
        <v>363</v>
      </c>
      <c r="D2" s="2" t="s">
        <v>5</v>
      </c>
    </row>
    <row r="3" spans="1:4" ht="15" customHeight="1" x14ac:dyDescent="0.25">
      <c r="A3" s="2" t="str">
        <f>"02001000201"</f>
        <v>02001000201</v>
      </c>
      <c r="B3" s="2" t="s">
        <v>6</v>
      </c>
      <c r="C3" s="2">
        <v>387.92</v>
      </c>
      <c r="D3" s="2" t="s">
        <v>5</v>
      </c>
    </row>
    <row r="4" spans="1:4" ht="15" customHeight="1" x14ac:dyDescent="0.25">
      <c r="A4" s="2" t="str">
        <f>"02001000202"</f>
        <v>02001000202</v>
      </c>
      <c r="B4" s="2" t="s">
        <v>7</v>
      </c>
      <c r="C4" s="2">
        <v>387.92</v>
      </c>
      <c r="D4" s="2" t="s">
        <v>5</v>
      </c>
    </row>
    <row r="5" spans="1:4" ht="15" customHeight="1" x14ac:dyDescent="0.25">
      <c r="A5" s="2" t="str">
        <f>"02001000204"</f>
        <v>02001000204</v>
      </c>
      <c r="B5" s="2" t="s">
        <v>8</v>
      </c>
      <c r="C5" s="2">
        <v>394.28</v>
      </c>
      <c r="D5" s="2" t="s">
        <v>5</v>
      </c>
    </row>
    <row r="6" spans="1:4" ht="15" customHeight="1" x14ac:dyDescent="0.25">
      <c r="A6" s="2" t="str">
        <f>"02001000206"</f>
        <v>02001000206</v>
      </c>
      <c r="B6" s="2" t="s">
        <v>9</v>
      </c>
      <c r="C6" s="2">
        <v>403.32</v>
      </c>
      <c r="D6" s="2" t="s">
        <v>5</v>
      </c>
    </row>
    <row r="7" spans="1:4" ht="15" customHeight="1" x14ac:dyDescent="0.25">
      <c r="A7" s="2" t="str">
        <f>"02001000208"</f>
        <v>02001000208</v>
      </c>
      <c r="B7" s="2" t="s">
        <v>10</v>
      </c>
      <c r="C7" s="2">
        <v>430.89</v>
      </c>
      <c r="D7" s="2" t="s">
        <v>5</v>
      </c>
    </row>
    <row r="8" spans="1:4" ht="15" customHeight="1" x14ac:dyDescent="0.25">
      <c r="A8" s="2" t="str">
        <f>"02001000210"</f>
        <v>02001000210</v>
      </c>
      <c r="B8" s="2" t="s">
        <v>11</v>
      </c>
      <c r="C8" s="2">
        <v>463.82</v>
      </c>
      <c r="D8" s="2" t="s">
        <v>5</v>
      </c>
    </row>
    <row r="9" spans="1:4" ht="15" customHeight="1" x14ac:dyDescent="0.25">
      <c r="A9" s="2" t="str">
        <f>"02001000212"</f>
        <v>02001000212</v>
      </c>
      <c r="B9" s="2" t="s">
        <v>12</v>
      </c>
      <c r="C9" s="2">
        <v>496.67</v>
      </c>
      <c r="D9" s="2" t="s">
        <v>5</v>
      </c>
    </row>
    <row r="10" spans="1:4" ht="15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2" t="s">
        <v>5</v>
      </c>
    </row>
    <row r="11" spans="1:4" ht="15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2" t="s">
        <v>5</v>
      </c>
    </row>
    <row r="12" spans="1:4" ht="15" customHeight="1" x14ac:dyDescent="0.25">
      <c r="A12" s="2" t="str">
        <f>"02001000019"</f>
        <v>02001000019</v>
      </c>
      <c r="B12" s="2" t="s">
        <v>15</v>
      </c>
      <c r="C12" s="2">
        <v>355.26</v>
      </c>
      <c r="D12" s="2" t="s">
        <v>5</v>
      </c>
    </row>
    <row r="13" spans="1:4" ht="15" customHeight="1" x14ac:dyDescent="0.25">
      <c r="A13" s="2" t="str">
        <f>"02001000018"</f>
        <v>02001000018</v>
      </c>
      <c r="B13" s="2" t="s">
        <v>16</v>
      </c>
      <c r="C13" s="2">
        <v>367.94</v>
      </c>
      <c r="D13" s="2" t="s">
        <v>5</v>
      </c>
    </row>
    <row r="14" spans="1:4" ht="15" customHeight="1" x14ac:dyDescent="0.25">
      <c r="A14" s="2" t="str">
        <f>"02001000020"</f>
        <v>02001000020</v>
      </c>
      <c r="B14" s="2" t="s">
        <v>17</v>
      </c>
      <c r="C14" s="2">
        <v>380.61</v>
      </c>
      <c r="D14" s="2" t="s">
        <v>5</v>
      </c>
    </row>
    <row r="15" spans="1:4" ht="15" customHeight="1" x14ac:dyDescent="0.25">
      <c r="A15" s="2" t="str">
        <f>"02001000025"</f>
        <v>02001000025</v>
      </c>
      <c r="B15" s="2" t="s">
        <v>18</v>
      </c>
      <c r="C15" s="2">
        <v>393.32</v>
      </c>
      <c r="D15" s="2" t="s">
        <v>5</v>
      </c>
    </row>
    <row r="16" spans="1:4" ht="15" customHeight="1" x14ac:dyDescent="0.25">
      <c r="A16" s="2" t="str">
        <f>"02001000030"</f>
        <v>02001000030</v>
      </c>
      <c r="B16" s="2" t="s">
        <v>19</v>
      </c>
      <c r="C16" s="2">
        <v>405.99</v>
      </c>
      <c r="D16" s="2" t="s">
        <v>5</v>
      </c>
    </row>
    <row r="17" spans="1:4" ht="15" customHeight="1" x14ac:dyDescent="0.25">
      <c r="A17" s="2" t="str">
        <f>"02001000035"</f>
        <v>02001000035</v>
      </c>
      <c r="B17" s="2" t="s">
        <v>20</v>
      </c>
      <c r="C17" s="2">
        <v>418.68</v>
      </c>
      <c r="D17" s="2" t="s">
        <v>5</v>
      </c>
    </row>
    <row r="18" spans="1:4" ht="15" customHeight="1" x14ac:dyDescent="0.25">
      <c r="A18" s="2" t="str">
        <f>"02001000040"</f>
        <v>02001000040</v>
      </c>
      <c r="B18" s="2" t="s">
        <v>21</v>
      </c>
      <c r="C18" s="2">
        <v>431.37</v>
      </c>
      <c r="D18" s="2" t="s">
        <v>5</v>
      </c>
    </row>
    <row r="19" spans="1:4" ht="15" customHeight="1" x14ac:dyDescent="0.25">
      <c r="A19" s="2" t="str">
        <f>"02001000045"</f>
        <v>02001000045</v>
      </c>
      <c r="B19" s="2" t="s">
        <v>22</v>
      </c>
      <c r="C19" s="2">
        <v>469.43</v>
      </c>
      <c r="D19" s="2" t="s">
        <v>5</v>
      </c>
    </row>
    <row r="20" spans="1:4" ht="15" customHeight="1" x14ac:dyDescent="0.25">
      <c r="A20" s="2" t="str">
        <f>"02001010000"</f>
        <v>02001010000</v>
      </c>
      <c r="B20" s="2" t="s">
        <v>23</v>
      </c>
      <c r="C20" s="2">
        <v>166.22</v>
      </c>
      <c r="D20" s="2" t="s">
        <v>5</v>
      </c>
    </row>
    <row r="21" spans="1:4" ht="15" customHeight="1" x14ac:dyDescent="0.25">
      <c r="A21" s="2" t="str">
        <f>"02001010005"</f>
        <v>02001010005</v>
      </c>
      <c r="B21" s="2" t="s">
        <v>24</v>
      </c>
      <c r="C21" s="2">
        <v>166.22</v>
      </c>
      <c r="D21" s="2" t="s">
        <v>5</v>
      </c>
    </row>
    <row r="22" spans="1:4" ht="15" customHeight="1" x14ac:dyDescent="0.25">
      <c r="A22" s="2" t="str">
        <f>"02001010010"</f>
        <v>02001010010</v>
      </c>
      <c r="B22" s="2" t="s">
        <v>25</v>
      </c>
      <c r="C22" s="2">
        <v>166.22</v>
      </c>
      <c r="D22" s="2" t="s">
        <v>5</v>
      </c>
    </row>
    <row r="23" spans="1:4" ht="15" customHeight="1" x14ac:dyDescent="0.25">
      <c r="A23" s="2" t="str">
        <f>"02001010015"</f>
        <v>02001010015</v>
      </c>
      <c r="B23" s="2" t="s">
        <v>26</v>
      </c>
      <c r="C23" s="2">
        <v>166.22</v>
      </c>
      <c r="D23" s="2" t="s">
        <v>5</v>
      </c>
    </row>
    <row r="24" spans="1:4" ht="15" customHeight="1" x14ac:dyDescent="0.25">
      <c r="A24" s="2" t="str">
        <f>"02001010020"</f>
        <v>02001010020</v>
      </c>
      <c r="B24" s="2" t="s">
        <v>27</v>
      </c>
      <c r="C24" s="2">
        <v>166.22</v>
      </c>
      <c r="D24" s="2" t="s">
        <v>5</v>
      </c>
    </row>
    <row r="25" spans="1:4" ht="15" customHeight="1" x14ac:dyDescent="0.25">
      <c r="A25" s="2" t="str">
        <f>"02001010025"</f>
        <v>02001010025</v>
      </c>
      <c r="B25" s="2" t="s">
        <v>28</v>
      </c>
      <c r="C25" s="2">
        <v>166.22</v>
      </c>
      <c r="D25" s="2" t="s">
        <v>5</v>
      </c>
    </row>
    <row r="26" spans="1:4" ht="15" customHeight="1" x14ac:dyDescent="0.25">
      <c r="A26" s="2" t="str">
        <f>"02001010030"</f>
        <v>02001010030</v>
      </c>
      <c r="B26" s="2" t="s">
        <v>29</v>
      </c>
      <c r="C26" s="2">
        <v>191</v>
      </c>
      <c r="D26" s="2" t="s">
        <v>5</v>
      </c>
    </row>
    <row r="27" spans="1:4" ht="15" customHeight="1" x14ac:dyDescent="0.25">
      <c r="A27" s="2" t="str">
        <f>"02001010035"</f>
        <v>02001010035</v>
      </c>
      <c r="B27" s="2" t="s">
        <v>30</v>
      </c>
      <c r="C27" s="2">
        <v>191</v>
      </c>
      <c r="D27" s="2" t="s">
        <v>5</v>
      </c>
    </row>
    <row r="28" spans="1:4" ht="15" customHeight="1" x14ac:dyDescent="0.25">
      <c r="A28" s="2" t="str">
        <f>"02001010040"</f>
        <v>02001010040</v>
      </c>
      <c r="B28" s="2" t="s">
        <v>31</v>
      </c>
      <c r="C28" s="2">
        <v>191</v>
      </c>
      <c r="D28" s="2" t="s">
        <v>5</v>
      </c>
    </row>
    <row r="29" spans="1:4" ht="15" customHeight="1" x14ac:dyDescent="0.25">
      <c r="A29" s="2" t="str">
        <f>"02001010045"</f>
        <v>02001010045</v>
      </c>
      <c r="B29" s="2" t="s">
        <v>32</v>
      </c>
      <c r="C29" s="2">
        <v>191</v>
      </c>
      <c r="D29" s="2" t="s">
        <v>5</v>
      </c>
    </row>
    <row r="30" spans="1:4" ht="15" customHeight="1" x14ac:dyDescent="0.25">
      <c r="A30" s="2" t="str">
        <f>"02001010050"</f>
        <v>02001010050</v>
      </c>
      <c r="B30" s="2" t="s">
        <v>33</v>
      </c>
      <c r="C30" s="2">
        <v>221.33</v>
      </c>
      <c r="D30" s="2" t="s">
        <v>5</v>
      </c>
    </row>
    <row r="31" spans="1:4" ht="15" customHeight="1" x14ac:dyDescent="0.25">
      <c r="A31" s="2" t="str">
        <f>"02001010055"</f>
        <v>02001010055</v>
      </c>
      <c r="B31" s="2" t="s">
        <v>34</v>
      </c>
      <c r="C31" s="2">
        <v>221.33</v>
      </c>
      <c r="D31" s="2" t="s">
        <v>5</v>
      </c>
    </row>
    <row r="32" spans="1:4" ht="15" customHeight="1" x14ac:dyDescent="0.25">
      <c r="A32" s="2" t="str">
        <f>"02001010060"</f>
        <v>02001010060</v>
      </c>
      <c r="B32" s="2" t="s">
        <v>35</v>
      </c>
      <c r="C32" s="2">
        <v>221.33</v>
      </c>
      <c r="D32" s="2" t="s">
        <v>5</v>
      </c>
    </row>
    <row r="33" spans="1:4" ht="15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2" t="s">
        <v>5</v>
      </c>
    </row>
    <row r="34" spans="1:4" ht="15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2" t="s">
        <v>5</v>
      </c>
    </row>
    <row r="35" spans="1:4" ht="15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2" t="s">
        <v>5</v>
      </c>
    </row>
    <row r="36" spans="1:4" ht="15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2" t="s">
        <v>5</v>
      </c>
    </row>
    <row r="37" spans="1:4" ht="15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2" t="s">
        <v>5</v>
      </c>
    </row>
    <row r="38" spans="1:4" ht="15" customHeight="1" x14ac:dyDescent="0.25">
      <c r="A38" s="2" t="str">
        <f>"02001010090"</f>
        <v>02001010090</v>
      </c>
      <c r="B38" s="2" t="s">
        <v>41</v>
      </c>
      <c r="C38" s="2">
        <v>310.56</v>
      </c>
      <c r="D38" s="2" t="s">
        <v>5</v>
      </c>
    </row>
    <row r="39" spans="1:4" ht="15" customHeight="1" x14ac:dyDescent="0.25">
      <c r="A39" s="2" t="str">
        <f>"02001010095"</f>
        <v>02001010095</v>
      </c>
      <c r="B39" s="2" t="s">
        <v>42</v>
      </c>
      <c r="C39" s="2">
        <v>310.56</v>
      </c>
      <c r="D39" s="2" t="s">
        <v>5</v>
      </c>
    </row>
    <row r="40" spans="1:4" ht="15" customHeight="1" x14ac:dyDescent="0.25">
      <c r="A40" s="2" t="str">
        <f>"02001010100"</f>
        <v>02001010100</v>
      </c>
      <c r="B40" s="2" t="s">
        <v>43</v>
      </c>
      <c r="C40" s="2">
        <v>310.56</v>
      </c>
      <c r="D40" s="2" t="s">
        <v>5</v>
      </c>
    </row>
    <row r="41" spans="1:4" ht="15" customHeight="1" x14ac:dyDescent="0.25">
      <c r="A41" s="2" t="str">
        <f>"02001010105"</f>
        <v>02001010105</v>
      </c>
      <c r="B41" s="2" t="s">
        <v>44</v>
      </c>
      <c r="C41" s="2">
        <v>310.56</v>
      </c>
      <c r="D41" s="2" t="s">
        <v>5</v>
      </c>
    </row>
    <row r="42" spans="1:4" ht="15" customHeight="1" x14ac:dyDescent="0.25">
      <c r="A42" s="2" t="str">
        <f>"06010000718"</f>
        <v>06010000718</v>
      </c>
      <c r="B42" s="2" t="s">
        <v>45</v>
      </c>
      <c r="C42" s="2">
        <v>2334.4699999999998</v>
      </c>
      <c r="D42" s="2" t="s">
        <v>5</v>
      </c>
    </row>
    <row r="43" spans="1:4" ht="15" customHeight="1" x14ac:dyDescent="0.25">
      <c r="A43" s="2" t="str">
        <f>"06010000710"</f>
        <v>06010000710</v>
      </c>
      <c r="B43" s="2" t="s">
        <v>46</v>
      </c>
      <c r="C43" s="2">
        <v>1264.3800000000001</v>
      </c>
      <c r="D43" s="2" t="s">
        <v>5</v>
      </c>
    </row>
    <row r="44" spans="1:4" ht="15" customHeight="1" x14ac:dyDescent="0.25">
      <c r="A44" s="2" t="str">
        <f>"06010000716"</f>
        <v>06010000716</v>
      </c>
      <c r="B44" s="2" t="s">
        <v>47</v>
      </c>
      <c r="C44" s="2">
        <v>1522.47</v>
      </c>
      <c r="D44" s="2" t="s">
        <v>5</v>
      </c>
    </row>
    <row r="45" spans="1:4" ht="15" customHeight="1" x14ac:dyDescent="0.25">
      <c r="A45" s="2" t="str">
        <f>"06010000715"</f>
        <v>06010000715</v>
      </c>
      <c r="B45" s="2" t="s">
        <v>48</v>
      </c>
      <c r="C45" s="2">
        <v>1539.53</v>
      </c>
      <c r="D45" s="2" t="s">
        <v>5</v>
      </c>
    </row>
    <row r="46" spans="1:4" ht="15" customHeight="1" x14ac:dyDescent="0.25">
      <c r="A46" s="2" t="str">
        <f>"06010000717"</f>
        <v>06010000717</v>
      </c>
      <c r="B46" s="2" t="s">
        <v>49</v>
      </c>
      <c r="C46" s="2">
        <v>1776.23</v>
      </c>
      <c r="D46" s="2" t="s">
        <v>5</v>
      </c>
    </row>
    <row r="47" spans="1:4" ht="15" customHeight="1" x14ac:dyDescent="0.25">
      <c r="A47" s="2" t="str">
        <f>"03062000021"</f>
        <v>03062000021</v>
      </c>
      <c r="B47" s="2" t="s">
        <v>50</v>
      </c>
      <c r="C47" s="2">
        <v>2878.88</v>
      </c>
      <c r="D47" s="2" t="s">
        <v>5</v>
      </c>
    </row>
    <row r="48" spans="1:4" ht="15" customHeight="1" x14ac:dyDescent="0.25">
      <c r="A48" s="2" t="str">
        <f>"03038000861"</f>
        <v>03038000861</v>
      </c>
      <c r="B48" s="2" t="s">
        <v>51</v>
      </c>
      <c r="C48" s="2">
        <v>661.94</v>
      </c>
      <c r="D48" s="2" t="s">
        <v>5</v>
      </c>
    </row>
    <row r="49" spans="1:4" ht="15" customHeight="1" x14ac:dyDescent="0.25">
      <c r="A49" s="2" t="str">
        <f>"03062000041"</f>
        <v>03062000041</v>
      </c>
      <c r="B49" s="2" t="s">
        <v>52</v>
      </c>
      <c r="C49" s="2">
        <v>984.42</v>
      </c>
      <c r="D49" s="2" t="s">
        <v>5</v>
      </c>
    </row>
    <row r="50" spans="1:4" ht="15" customHeight="1" x14ac:dyDescent="0.25">
      <c r="A50" s="2" t="str">
        <f>"03062000061"</f>
        <v>03062000061</v>
      </c>
      <c r="B50" s="2" t="s">
        <v>53</v>
      </c>
      <c r="C50" s="2">
        <v>1018.59</v>
      </c>
      <c r="D50" s="2" t="s">
        <v>5</v>
      </c>
    </row>
    <row r="51" spans="1:4" ht="15" customHeight="1" x14ac:dyDescent="0.25">
      <c r="A51" s="2" t="str">
        <f>"07020000055"</f>
        <v>07020000055</v>
      </c>
      <c r="B51" s="2" t="s">
        <v>54</v>
      </c>
      <c r="C51" s="2">
        <v>3032.82</v>
      </c>
      <c r="D51" s="2" t="s">
        <v>5</v>
      </c>
    </row>
    <row r="52" spans="1:4" ht="15" customHeight="1" x14ac:dyDescent="0.25">
      <c r="A52" s="2" t="str">
        <f>"07020000030"</f>
        <v>07020000030</v>
      </c>
      <c r="B52" s="2" t="s">
        <v>55</v>
      </c>
      <c r="C52" s="2">
        <v>1646.46</v>
      </c>
      <c r="D52" s="2" t="s">
        <v>5</v>
      </c>
    </row>
    <row r="53" spans="1:4" ht="15" customHeight="1" x14ac:dyDescent="0.25">
      <c r="A53" s="2" t="str">
        <f>"07020000040"</f>
        <v>07020000040</v>
      </c>
      <c r="B53" s="2" t="s">
        <v>56</v>
      </c>
      <c r="C53" s="2">
        <v>2961.15</v>
      </c>
      <c r="D53" s="2" t="s">
        <v>5</v>
      </c>
    </row>
    <row r="54" spans="1:4" ht="15" customHeight="1" x14ac:dyDescent="0.25">
      <c r="A54" s="2" t="str">
        <f>"07020000035"</f>
        <v>07020000035</v>
      </c>
      <c r="B54" s="2" t="s">
        <v>57</v>
      </c>
      <c r="C54" s="2">
        <v>1819.95</v>
      </c>
      <c r="D54" s="2" t="s">
        <v>5</v>
      </c>
    </row>
    <row r="55" spans="1:4" ht="15" customHeight="1" x14ac:dyDescent="0.25">
      <c r="A55" s="2" t="str">
        <f>"07020000025"</f>
        <v>07020000025</v>
      </c>
      <c r="B55" s="2" t="s">
        <v>58</v>
      </c>
      <c r="C55" s="2">
        <v>1586.75</v>
      </c>
      <c r="D55" s="2" t="s">
        <v>5</v>
      </c>
    </row>
    <row r="56" spans="1:4" ht="15" customHeight="1" x14ac:dyDescent="0.25">
      <c r="A56" s="2" t="str">
        <f>"07020000015"</f>
        <v>07020000015</v>
      </c>
      <c r="B56" s="2" t="s">
        <v>59</v>
      </c>
      <c r="C56" s="2">
        <v>1335.03</v>
      </c>
      <c r="D56" s="2" t="s">
        <v>5</v>
      </c>
    </row>
    <row r="57" spans="1:4" ht="15" customHeight="1" x14ac:dyDescent="0.25">
      <c r="A57" s="2" t="str">
        <f>"07020000020"</f>
        <v>07020000020</v>
      </c>
      <c r="B57" s="2" t="s">
        <v>60</v>
      </c>
      <c r="C57" s="2">
        <v>1905.71</v>
      </c>
      <c r="D57" s="2" t="s">
        <v>5</v>
      </c>
    </row>
    <row r="58" spans="1:4" ht="15" customHeight="1" x14ac:dyDescent="0.25">
      <c r="A58" s="2" t="str">
        <f>"03016510035"</f>
        <v>03016510035</v>
      </c>
      <c r="B58" s="2" t="s">
        <v>61</v>
      </c>
      <c r="C58" s="2">
        <v>16006.62</v>
      </c>
      <c r="D58" s="2" t="s">
        <v>5</v>
      </c>
    </row>
    <row r="59" spans="1:4" ht="15" customHeight="1" x14ac:dyDescent="0.25">
      <c r="A59" s="2" t="str">
        <f>"03016510040"</f>
        <v>03016510040</v>
      </c>
      <c r="B59" s="2" t="s">
        <v>62</v>
      </c>
      <c r="C59" s="2">
        <v>16102.46</v>
      </c>
      <c r="D59" s="2" t="s">
        <v>5</v>
      </c>
    </row>
    <row r="60" spans="1:4" ht="15" customHeight="1" x14ac:dyDescent="0.25">
      <c r="A60" s="2" t="str">
        <f>"03016510045"</f>
        <v>03016510045</v>
      </c>
      <c r="B60" s="2" t="s">
        <v>63</v>
      </c>
      <c r="C60" s="2">
        <v>17473.5</v>
      </c>
      <c r="D60" s="2" t="s">
        <v>5</v>
      </c>
    </row>
    <row r="61" spans="1:4" ht="15" customHeight="1" x14ac:dyDescent="0.25">
      <c r="A61" s="2" t="str">
        <f>"03011100001"</f>
        <v>03011100001</v>
      </c>
      <c r="B61" s="2" t="s">
        <v>64</v>
      </c>
      <c r="C61" s="2">
        <v>38434.11</v>
      </c>
      <c r="D61" s="2" t="s">
        <v>5</v>
      </c>
    </row>
    <row r="62" spans="1:4" ht="15" customHeight="1" x14ac:dyDescent="0.25">
      <c r="A62" s="2" t="str">
        <f>"03011100002"</f>
        <v>03011100002</v>
      </c>
      <c r="B62" s="2" t="s">
        <v>65</v>
      </c>
      <c r="C62" s="2">
        <v>38434.11</v>
      </c>
      <c r="D62" s="2" t="s">
        <v>5</v>
      </c>
    </row>
    <row r="63" spans="1:4" ht="15" customHeight="1" x14ac:dyDescent="0.25">
      <c r="A63" s="2" t="str">
        <f>"03010000345"</f>
        <v>03010000345</v>
      </c>
      <c r="B63" s="2" t="s">
        <v>66</v>
      </c>
      <c r="C63" s="2">
        <v>3995.94</v>
      </c>
      <c r="D63" s="2" t="s">
        <v>5</v>
      </c>
    </row>
    <row r="64" spans="1:4" ht="15" customHeight="1" x14ac:dyDescent="0.25">
      <c r="A64" s="2" t="str">
        <f>"03010000355"</f>
        <v>03010000355</v>
      </c>
      <c r="B64" s="2" t="s">
        <v>67</v>
      </c>
      <c r="C64" s="2">
        <v>4610.7</v>
      </c>
      <c r="D64" s="2" t="s">
        <v>5</v>
      </c>
    </row>
    <row r="65" spans="1:4" ht="15" customHeight="1" x14ac:dyDescent="0.25">
      <c r="A65" s="2" t="str">
        <f>"03010000365"</f>
        <v>03010000365</v>
      </c>
      <c r="B65" s="2" t="s">
        <v>68</v>
      </c>
      <c r="C65" s="2">
        <v>4990.3999999999996</v>
      </c>
      <c r="D65" s="2" t="s">
        <v>5</v>
      </c>
    </row>
    <row r="66" spans="1:4" ht="15" customHeight="1" x14ac:dyDescent="0.25">
      <c r="A66" s="2" t="str">
        <f>"03010000375"</f>
        <v>03010000375</v>
      </c>
      <c r="B66" s="2" t="s">
        <v>69</v>
      </c>
      <c r="C66" s="2">
        <v>5596.13</v>
      </c>
      <c r="D66" s="2" t="s">
        <v>5</v>
      </c>
    </row>
    <row r="67" spans="1:4" ht="15" customHeight="1" x14ac:dyDescent="0.25">
      <c r="A67" s="2" t="str">
        <f>"03010000385"</f>
        <v>03010000385</v>
      </c>
      <c r="B67" s="2" t="s">
        <v>70</v>
      </c>
      <c r="C67" s="2">
        <v>7557.93</v>
      </c>
      <c r="D67" s="2" t="s">
        <v>5</v>
      </c>
    </row>
    <row r="68" spans="1:4" ht="15" customHeight="1" x14ac:dyDescent="0.25">
      <c r="A68" s="2" t="str">
        <f>"03010000410"</f>
        <v>03010000410</v>
      </c>
      <c r="B68" s="2" t="s">
        <v>71</v>
      </c>
      <c r="C68" s="2">
        <v>6342.87</v>
      </c>
      <c r="D68" s="2" t="s">
        <v>5</v>
      </c>
    </row>
    <row r="69" spans="1:4" ht="15" customHeight="1" x14ac:dyDescent="0.25">
      <c r="A69" s="2" t="str">
        <f>"03010000420"</f>
        <v>03010000420</v>
      </c>
      <c r="B69" s="2" t="s">
        <v>72</v>
      </c>
      <c r="C69" s="2">
        <v>8796.51</v>
      </c>
      <c r="D69" s="2" t="s">
        <v>5</v>
      </c>
    </row>
    <row r="70" spans="1:4" ht="15" customHeight="1" x14ac:dyDescent="0.25">
      <c r="A70" s="2" t="str">
        <f>"03010000430"</f>
        <v>03010000430</v>
      </c>
      <c r="B70" s="2" t="s">
        <v>73</v>
      </c>
      <c r="C70" s="2">
        <v>9823.5</v>
      </c>
      <c r="D70" s="2" t="s">
        <v>5</v>
      </c>
    </row>
    <row r="71" spans="1:4" ht="15" customHeight="1" x14ac:dyDescent="0.25">
      <c r="A71" s="2" t="str">
        <f>"03010000440"</f>
        <v>03010000440</v>
      </c>
      <c r="B71" s="2" t="s">
        <v>74</v>
      </c>
      <c r="C71" s="2">
        <v>10722.15</v>
      </c>
      <c r="D71" s="2" t="s">
        <v>5</v>
      </c>
    </row>
    <row r="72" spans="1:4" ht="15" customHeight="1" x14ac:dyDescent="0.25">
      <c r="A72" s="2" t="str">
        <f>"03010000483"</f>
        <v>03010000483</v>
      </c>
      <c r="B72" s="2" t="s">
        <v>75</v>
      </c>
      <c r="C72" s="2">
        <v>1240.3399999999999</v>
      </c>
      <c r="D72" s="2" t="s">
        <v>5</v>
      </c>
    </row>
    <row r="73" spans="1:4" ht="15" customHeight="1" x14ac:dyDescent="0.25">
      <c r="A73" s="2" t="str">
        <f>"03042000070"</f>
        <v>03042000070</v>
      </c>
      <c r="B73" s="2" t="s">
        <v>76</v>
      </c>
      <c r="C73" s="2">
        <v>1890.41</v>
      </c>
      <c r="D73" s="2" t="s">
        <v>5</v>
      </c>
    </row>
    <row r="74" spans="1:4" ht="15" customHeight="1" x14ac:dyDescent="0.25">
      <c r="A74" s="2" t="str">
        <f>"03010000482"</f>
        <v>03010000482</v>
      </c>
      <c r="B74" s="2" t="s">
        <v>77</v>
      </c>
      <c r="C74" s="2">
        <v>1075.68</v>
      </c>
      <c r="D74" s="2" t="s">
        <v>5</v>
      </c>
    </row>
    <row r="75" spans="1:4" ht="15" customHeight="1" x14ac:dyDescent="0.25">
      <c r="A75" s="2" t="str">
        <f>"03042000071"</f>
        <v>03042000071</v>
      </c>
      <c r="B75" s="2" t="s">
        <v>78</v>
      </c>
      <c r="C75" s="2">
        <v>1890.41</v>
      </c>
      <c r="D75" s="2" t="s">
        <v>5</v>
      </c>
    </row>
    <row r="76" spans="1:4" ht="15" customHeight="1" x14ac:dyDescent="0.25">
      <c r="A76" s="2" t="str">
        <f>"02009000010"</f>
        <v>02009000010</v>
      </c>
      <c r="B76" s="2" t="s">
        <v>79</v>
      </c>
      <c r="C76" s="2">
        <v>1445.18</v>
      </c>
      <c r="D76" s="2" t="s">
        <v>5</v>
      </c>
    </row>
    <row r="77" spans="1:4" ht="15" customHeight="1" x14ac:dyDescent="0.25">
      <c r="A77" s="2" t="str">
        <f>"02009000015"</f>
        <v>02009000015</v>
      </c>
      <c r="B77" s="2" t="s">
        <v>80</v>
      </c>
      <c r="C77" s="2">
        <v>2574.5300000000002</v>
      </c>
      <c r="D77" s="2" t="s">
        <v>5</v>
      </c>
    </row>
    <row r="78" spans="1:4" ht="15" customHeight="1" x14ac:dyDescent="0.25">
      <c r="A78" s="2" t="str">
        <f>"02009000005"</f>
        <v>02009000005</v>
      </c>
      <c r="B78" s="2" t="s">
        <v>81</v>
      </c>
      <c r="C78" s="2">
        <v>855.93</v>
      </c>
      <c r="D78" s="2" t="s">
        <v>5</v>
      </c>
    </row>
    <row r="79" spans="1:4" ht="15" customHeight="1" x14ac:dyDescent="0.25">
      <c r="A79" s="2" t="str">
        <f>"03048000010"</f>
        <v>03048000010</v>
      </c>
      <c r="B79" s="2" t="s">
        <v>82</v>
      </c>
      <c r="C79" s="2">
        <v>1408.31</v>
      </c>
      <c r="D79" s="2" t="s">
        <v>5</v>
      </c>
    </row>
    <row r="80" spans="1:4" ht="15" customHeight="1" x14ac:dyDescent="0.25">
      <c r="A80" s="2" t="str">
        <f>"03048000020"</f>
        <v>03048000020</v>
      </c>
      <c r="B80" s="2" t="s">
        <v>83</v>
      </c>
      <c r="C80" s="2">
        <v>1573.23</v>
      </c>
      <c r="D80" s="2" t="s">
        <v>5</v>
      </c>
    </row>
    <row r="81" spans="1:4" ht="15" customHeight="1" x14ac:dyDescent="0.25">
      <c r="A81" s="2" t="str">
        <f>"03048000030"</f>
        <v>03048000030</v>
      </c>
      <c r="B81" s="2" t="s">
        <v>84</v>
      </c>
      <c r="C81" s="2">
        <v>2118.7800000000002</v>
      </c>
      <c r="D81" s="2" t="s">
        <v>5</v>
      </c>
    </row>
    <row r="82" spans="1:4" ht="15" customHeight="1" x14ac:dyDescent="0.25">
      <c r="A82" s="2" t="str">
        <f>"03048000040"</f>
        <v>03048000040</v>
      </c>
      <c r="B82" s="2" t="s">
        <v>85</v>
      </c>
      <c r="C82" s="2">
        <v>2283.7199999999998</v>
      </c>
      <c r="D82" s="2" t="s">
        <v>5</v>
      </c>
    </row>
    <row r="83" spans="1:4" ht="15" customHeight="1" x14ac:dyDescent="0.25">
      <c r="A83" s="2" t="str">
        <f>"03048000050"</f>
        <v>03048000050</v>
      </c>
      <c r="B83" s="2" t="s">
        <v>86</v>
      </c>
      <c r="C83" s="2">
        <v>2867.34</v>
      </c>
      <c r="D83" s="2" t="s">
        <v>5</v>
      </c>
    </row>
    <row r="84" spans="1:4" ht="15" customHeight="1" x14ac:dyDescent="0.25">
      <c r="A84" s="2" t="str">
        <f>"03048000060"</f>
        <v>03048000060</v>
      </c>
      <c r="B84" s="2" t="s">
        <v>87</v>
      </c>
      <c r="C84" s="2">
        <v>3679.32</v>
      </c>
      <c r="D84" s="2" t="s">
        <v>5</v>
      </c>
    </row>
    <row r="85" spans="1:4" ht="15" customHeight="1" x14ac:dyDescent="0.25">
      <c r="A85" s="2" t="str">
        <f>"03048000070"</f>
        <v>03048000070</v>
      </c>
      <c r="B85" s="2" t="s">
        <v>88</v>
      </c>
      <c r="C85" s="2">
        <v>5328.68</v>
      </c>
      <c r="D85" s="2" t="s">
        <v>5</v>
      </c>
    </row>
    <row r="86" spans="1:4" ht="15" customHeight="1" x14ac:dyDescent="0.25">
      <c r="A86" s="2" t="str">
        <f>"03048000080"</f>
        <v>03048000080</v>
      </c>
      <c r="B86" s="2" t="s">
        <v>89</v>
      </c>
      <c r="C86" s="2">
        <v>8234.07</v>
      </c>
      <c r="D86" s="2" t="s">
        <v>5</v>
      </c>
    </row>
    <row r="87" spans="1:4" ht="15" customHeight="1" x14ac:dyDescent="0.25">
      <c r="A87" s="2" t="str">
        <f>"03048000090"</f>
        <v>03048000090</v>
      </c>
      <c r="B87" s="2" t="s">
        <v>90</v>
      </c>
      <c r="C87" s="2">
        <v>2647.32</v>
      </c>
      <c r="D87" s="2" t="s">
        <v>5</v>
      </c>
    </row>
    <row r="88" spans="1:4" ht="15" customHeight="1" x14ac:dyDescent="0.25">
      <c r="A88" s="2" t="str">
        <f>"03048000100"</f>
        <v>03048000100</v>
      </c>
      <c r="B88" s="2" t="s">
        <v>91</v>
      </c>
      <c r="C88" s="2">
        <v>2875.55</v>
      </c>
      <c r="D88" s="2" t="s">
        <v>5</v>
      </c>
    </row>
    <row r="89" spans="1:4" ht="15" customHeight="1" x14ac:dyDescent="0.25">
      <c r="A89" s="2" t="str">
        <f>"03048000110"</f>
        <v>03048000110</v>
      </c>
      <c r="B89" s="2" t="s">
        <v>92</v>
      </c>
      <c r="C89" s="2">
        <v>3605.84</v>
      </c>
      <c r="D89" s="2" t="s">
        <v>5</v>
      </c>
    </row>
    <row r="90" spans="1:4" ht="15" customHeight="1" x14ac:dyDescent="0.25">
      <c r="A90" s="2" t="str">
        <f>"03048000120"</f>
        <v>03048000120</v>
      </c>
      <c r="B90" s="2" t="s">
        <v>93</v>
      </c>
      <c r="C90" s="2">
        <v>4336.1400000000003</v>
      </c>
      <c r="D90" s="2" t="s">
        <v>5</v>
      </c>
    </row>
    <row r="91" spans="1:4" ht="15" customHeight="1" x14ac:dyDescent="0.25">
      <c r="A91" s="2" t="str">
        <f>"03048000130"</f>
        <v>03048000130</v>
      </c>
      <c r="B91" s="2" t="s">
        <v>94</v>
      </c>
      <c r="C91" s="2">
        <v>5066.43</v>
      </c>
      <c r="D91" s="2" t="s">
        <v>5</v>
      </c>
    </row>
    <row r="92" spans="1:4" ht="15" customHeight="1" x14ac:dyDescent="0.25">
      <c r="A92" s="2" t="str">
        <f>"03048000140"</f>
        <v>03048000140</v>
      </c>
      <c r="B92" s="2" t="s">
        <v>95</v>
      </c>
      <c r="C92" s="2">
        <v>6709.59</v>
      </c>
      <c r="D92" s="2" t="s">
        <v>5</v>
      </c>
    </row>
    <row r="93" spans="1:4" ht="15" customHeight="1" x14ac:dyDescent="0.25">
      <c r="A93" s="2" t="str">
        <f>"03050000305"</f>
        <v>03050000305</v>
      </c>
      <c r="B93" s="2" t="s">
        <v>96</v>
      </c>
      <c r="C93" s="2">
        <v>2631.23</v>
      </c>
      <c r="D93" s="2" t="s">
        <v>5</v>
      </c>
    </row>
    <row r="94" spans="1:4" ht="15" customHeight="1" x14ac:dyDescent="0.25">
      <c r="A94" s="2" t="str">
        <f>"09500000200"</f>
        <v>09500000200</v>
      </c>
      <c r="B94" s="2" t="s">
        <v>97</v>
      </c>
      <c r="C94" s="2">
        <v>27027.360000000001</v>
      </c>
      <c r="D94" s="2" t="s">
        <v>5</v>
      </c>
    </row>
    <row r="95" spans="1:4" ht="15" customHeight="1" x14ac:dyDescent="0.25">
      <c r="A95" s="2" t="str">
        <f>"09500000202"</f>
        <v>09500000202</v>
      </c>
      <c r="B95" s="2" t="s">
        <v>98</v>
      </c>
      <c r="C95" s="2">
        <v>24404.93</v>
      </c>
      <c r="D95" s="2" t="s">
        <v>5</v>
      </c>
    </row>
    <row r="96" spans="1:4" ht="15" customHeight="1" x14ac:dyDescent="0.25">
      <c r="A96" s="2" t="str">
        <f>"09500000355"</f>
        <v>09500000355</v>
      </c>
      <c r="B96" s="2" t="s">
        <v>99</v>
      </c>
      <c r="C96" s="2">
        <v>50182.879999999997</v>
      </c>
      <c r="D96" s="2" t="s">
        <v>5</v>
      </c>
    </row>
    <row r="97" spans="1:4" ht="15" customHeight="1" x14ac:dyDescent="0.25">
      <c r="A97" s="2" t="str">
        <f>"09500000210"</f>
        <v>09500000210</v>
      </c>
      <c r="B97" s="2" t="s">
        <v>100</v>
      </c>
      <c r="C97" s="2">
        <v>26163.45</v>
      </c>
      <c r="D97" s="2" t="s">
        <v>5</v>
      </c>
    </row>
    <row r="98" spans="1:4" ht="15" customHeight="1" x14ac:dyDescent="0.25">
      <c r="A98" s="2" t="str">
        <f>"09500000220"</f>
        <v>09500000220</v>
      </c>
      <c r="B98" s="2" t="s">
        <v>101</v>
      </c>
      <c r="C98" s="2">
        <v>21059.52</v>
      </c>
      <c r="D98" s="2" t="s">
        <v>5</v>
      </c>
    </row>
    <row r="99" spans="1:4" ht="15" customHeight="1" x14ac:dyDescent="0.25">
      <c r="A99" s="2" t="str">
        <f>"09500000197"</f>
        <v>09500000197</v>
      </c>
      <c r="B99" s="2" t="s">
        <v>102</v>
      </c>
      <c r="C99" s="2">
        <v>34788.11</v>
      </c>
      <c r="D99" s="2" t="s">
        <v>5</v>
      </c>
    </row>
    <row r="100" spans="1:4" ht="15" customHeight="1" x14ac:dyDescent="0.25">
      <c r="A100" s="2" t="str">
        <f>"09500000225"</f>
        <v>09500000225</v>
      </c>
      <c r="B100" s="2" t="s">
        <v>103</v>
      </c>
      <c r="C100" s="2">
        <v>27889.37</v>
      </c>
      <c r="D100" s="2" t="s">
        <v>5</v>
      </c>
    </row>
    <row r="101" spans="1:4" ht="15" customHeight="1" x14ac:dyDescent="0.25">
      <c r="A101" s="2" t="str">
        <f>"09500000205"</f>
        <v>09500000205</v>
      </c>
      <c r="B101" s="2" t="s">
        <v>104</v>
      </c>
      <c r="C101" s="2">
        <v>36337.49</v>
      </c>
      <c r="D101" s="2" t="s">
        <v>5</v>
      </c>
    </row>
    <row r="102" spans="1:4" ht="15" customHeight="1" x14ac:dyDescent="0.25">
      <c r="A102" s="2" t="str">
        <f>"09500000215"</f>
        <v>09500000215</v>
      </c>
      <c r="B102" s="2" t="s">
        <v>105</v>
      </c>
      <c r="C102" s="2">
        <v>41686.19</v>
      </c>
      <c r="D102" s="2" t="s">
        <v>5</v>
      </c>
    </row>
    <row r="103" spans="1:4" ht="15" customHeight="1" x14ac:dyDescent="0.25">
      <c r="A103" s="2" t="str">
        <f>"03010000492"</f>
        <v>03010000492</v>
      </c>
      <c r="B103" s="2" t="s">
        <v>106</v>
      </c>
      <c r="C103" s="2">
        <v>21.89</v>
      </c>
      <c r="D103" s="2" t="s">
        <v>107</v>
      </c>
    </row>
    <row r="104" spans="1:4" ht="15" customHeight="1" x14ac:dyDescent="0.25">
      <c r="A104" s="2" t="str">
        <f>"03010000488"</f>
        <v>03010000488</v>
      </c>
      <c r="B104" s="2" t="s">
        <v>108</v>
      </c>
      <c r="C104" s="2">
        <v>23.85</v>
      </c>
      <c r="D104" s="2" t="s">
        <v>107</v>
      </c>
    </row>
    <row r="105" spans="1:4" ht="15" customHeight="1" x14ac:dyDescent="0.25">
      <c r="A105" s="2" t="str">
        <f>"03010000490"</f>
        <v>03010000490</v>
      </c>
      <c r="B105" s="2" t="s">
        <v>109</v>
      </c>
      <c r="C105" s="2">
        <v>34.799999999999997</v>
      </c>
      <c r="D105" s="2" t="s">
        <v>107</v>
      </c>
    </row>
    <row r="106" spans="1:4" ht="15" customHeight="1" x14ac:dyDescent="0.25">
      <c r="A106" s="2" t="str">
        <f>"09500000260"</f>
        <v>09500000260</v>
      </c>
      <c r="B106" s="2" t="s">
        <v>110</v>
      </c>
      <c r="C106" s="2">
        <v>938.04</v>
      </c>
      <c r="D106" s="2" t="s">
        <v>5</v>
      </c>
    </row>
    <row r="107" spans="1:4" ht="15" customHeight="1" x14ac:dyDescent="0.25">
      <c r="A107" s="2" t="str">
        <f>"05015000158"</f>
        <v>05015000158</v>
      </c>
      <c r="B107" s="2" t="s">
        <v>111</v>
      </c>
      <c r="C107" s="2">
        <v>35.58</v>
      </c>
      <c r="D107" s="2" t="s">
        <v>5</v>
      </c>
    </row>
    <row r="108" spans="1:4" ht="15" customHeight="1" x14ac:dyDescent="0.25">
      <c r="A108" s="2" t="str">
        <f>"05015000159"</f>
        <v>05015000159</v>
      </c>
      <c r="B108" s="2" t="s">
        <v>112</v>
      </c>
      <c r="C108" s="2">
        <v>35.58</v>
      </c>
      <c r="D108" s="2" t="s">
        <v>5</v>
      </c>
    </row>
    <row r="109" spans="1:4" ht="15" customHeight="1" x14ac:dyDescent="0.25">
      <c r="A109" s="2" t="str">
        <f>"05015000175"</f>
        <v>05015000175</v>
      </c>
      <c r="B109" s="2" t="s">
        <v>113</v>
      </c>
      <c r="C109" s="2">
        <v>107.9</v>
      </c>
      <c r="D109" s="2" t="s">
        <v>5</v>
      </c>
    </row>
    <row r="110" spans="1:4" ht="15" customHeight="1" x14ac:dyDescent="0.25">
      <c r="A110" s="2" t="str">
        <f>"05015000150"</f>
        <v>05015000150</v>
      </c>
      <c r="B110" s="2" t="s">
        <v>114</v>
      </c>
      <c r="C110" s="2">
        <v>19.25</v>
      </c>
      <c r="D110" s="2" t="s">
        <v>5</v>
      </c>
    </row>
    <row r="111" spans="1:4" ht="15" customHeight="1" x14ac:dyDescent="0.25">
      <c r="A111" s="2" t="str">
        <f>"05015000044"</f>
        <v>05015000044</v>
      </c>
      <c r="B111" s="2" t="s">
        <v>115</v>
      </c>
      <c r="C111" s="2">
        <v>43.74</v>
      </c>
      <c r="D111" s="2" t="s">
        <v>5</v>
      </c>
    </row>
    <row r="112" spans="1:4" ht="15" customHeight="1" x14ac:dyDescent="0.25">
      <c r="A112" s="2" t="str">
        <f>"05015000045"</f>
        <v>05015000045</v>
      </c>
      <c r="B112" s="2" t="s">
        <v>116</v>
      </c>
      <c r="C112" s="2">
        <v>47.82</v>
      </c>
      <c r="D112" s="2" t="s">
        <v>5</v>
      </c>
    </row>
    <row r="113" spans="1:4" ht="15" customHeight="1" x14ac:dyDescent="0.25">
      <c r="A113" s="2" t="str">
        <f>"05023000040"</f>
        <v>05023000040</v>
      </c>
      <c r="B113" s="2" t="s">
        <v>117</v>
      </c>
      <c r="C113" s="2">
        <v>81.650000000000006</v>
      </c>
      <c r="D113" s="2" t="s">
        <v>5</v>
      </c>
    </row>
    <row r="114" spans="1:4" ht="15" customHeight="1" x14ac:dyDescent="0.25">
      <c r="A114" s="2" t="str">
        <f>"05021000811"</f>
        <v>05021000811</v>
      </c>
      <c r="B114" s="2" t="s">
        <v>118</v>
      </c>
      <c r="C114" s="2">
        <v>236.55</v>
      </c>
      <c r="D114" s="2" t="s">
        <v>5</v>
      </c>
    </row>
    <row r="115" spans="1:4" ht="15" customHeight="1" x14ac:dyDescent="0.25">
      <c r="A115" s="2" t="str">
        <f>"05023000045"</f>
        <v>05023000045</v>
      </c>
      <c r="B115" s="2" t="s">
        <v>119</v>
      </c>
      <c r="C115" s="2">
        <v>81.650000000000006</v>
      </c>
      <c r="D115" s="2" t="s">
        <v>5</v>
      </c>
    </row>
    <row r="116" spans="1:4" ht="15" customHeight="1" x14ac:dyDescent="0.25">
      <c r="A116" s="2" t="str">
        <f>"05021000506"</f>
        <v>05021000506</v>
      </c>
      <c r="B116" s="2" t="s">
        <v>120</v>
      </c>
      <c r="C116" s="2">
        <v>269.51</v>
      </c>
      <c r="D116" s="2" t="s">
        <v>5</v>
      </c>
    </row>
    <row r="117" spans="1:4" ht="15" customHeight="1" x14ac:dyDescent="0.25">
      <c r="A117" s="2" t="str">
        <f>"03034000440"</f>
        <v>03034000440</v>
      </c>
      <c r="B117" s="2" t="s">
        <v>121</v>
      </c>
      <c r="C117" s="2">
        <v>118.44</v>
      </c>
      <c r="D117" s="2" t="s">
        <v>5</v>
      </c>
    </row>
    <row r="118" spans="1:4" ht="15" customHeight="1" x14ac:dyDescent="0.25">
      <c r="A118" s="2" t="str">
        <f>"01031101001"</f>
        <v>01031101001</v>
      </c>
      <c r="B118" s="2" t="s">
        <v>122</v>
      </c>
      <c r="C118" s="2">
        <v>56.31</v>
      </c>
      <c r="D118" s="2" t="s">
        <v>5</v>
      </c>
    </row>
    <row r="119" spans="1:4" ht="15" customHeight="1" x14ac:dyDescent="0.25">
      <c r="A119" s="2" t="str">
        <f>"05023000030"</f>
        <v>05023000030</v>
      </c>
      <c r="B119" s="2" t="s">
        <v>123</v>
      </c>
      <c r="C119" s="2">
        <v>58.32</v>
      </c>
      <c r="D119" s="2" t="s">
        <v>5</v>
      </c>
    </row>
    <row r="120" spans="1:4" ht="15" customHeight="1" x14ac:dyDescent="0.25">
      <c r="A120" s="2" t="str">
        <f>"05023000035"</f>
        <v>05023000035</v>
      </c>
      <c r="B120" s="2" t="s">
        <v>124</v>
      </c>
      <c r="C120" s="2">
        <v>58.32</v>
      </c>
      <c r="D120" s="2" t="s">
        <v>5</v>
      </c>
    </row>
    <row r="121" spans="1:4" ht="15" customHeight="1" x14ac:dyDescent="0.25">
      <c r="A121" s="2" t="str">
        <f>"03038000041"</f>
        <v>03038000041</v>
      </c>
      <c r="B121" s="2" t="s">
        <v>125</v>
      </c>
      <c r="C121" s="2">
        <v>35</v>
      </c>
      <c r="D121" s="2" t="s">
        <v>5</v>
      </c>
    </row>
    <row r="122" spans="1:4" ht="15" customHeight="1" x14ac:dyDescent="0.25">
      <c r="A122" s="2" t="str">
        <f>"03038000061"</f>
        <v>03038000061</v>
      </c>
      <c r="B122" s="2" t="s">
        <v>126</v>
      </c>
      <c r="C122" s="2">
        <v>46.01</v>
      </c>
      <c r="D122" s="2" t="s">
        <v>5</v>
      </c>
    </row>
    <row r="123" spans="1:4" ht="15" customHeight="1" x14ac:dyDescent="0.25">
      <c r="A123" s="2" t="str">
        <f>"03038000021"</f>
        <v>03038000021</v>
      </c>
      <c r="B123" s="2" t="s">
        <v>127</v>
      </c>
      <c r="C123" s="2">
        <v>25.01</v>
      </c>
      <c r="D123" s="2" t="s">
        <v>5</v>
      </c>
    </row>
    <row r="124" spans="1:4" ht="15" customHeight="1" x14ac:dyDescent="0.25">
      <c r="A124" s="2" t="str">
        <f>"03017900010"</f>
        <v>03017900010</v>
      </c>
      <c r="B124" s="2" t="s">
        <v>128</v>
      </c>
      <c r="C124" s="2">
        <v>527.15</v>
      </c>
      <c r="D124" s="2" t="s">
        <v>5</v>
      </c>
    </row>
    <row r="125" spans="1:4" ht="15" customHeight="1" x14ac:dyDescent="0.25">
      <c r="A125" s="2" t="str">
        <f>"03017900020"</f>
        <v>03017900020</v>
      </c>
      <c r="B125" s="2" t="s">
        <v>129</v>
      </c>
      <c r="C125" s="2">
        <v>527.15</v>
      </c>
      <c r="D125" s="2" t="s">
        <v>5</v>
      </c>
    </row>
    <row r="126" spans="1:4" ht="15" customHeight="1" x14ac:dyDescent="0.25">
      <c r="A126" s="2" t="str">
        <f>"03038000081"</f>
        <v>03038000081</v>
      </c>
      <c r="B126" s="2" t="s">
        <v>130</v>
      </c>
      <c r="C126" s="2">
        <v>135.33000000000001</v>
      </c>
      <c r="D126" s="2" t="s">
        <v>5</v>
      </c>
    </row>
    <row r="127" spans="1:4" ht="15" customHeight="1" x14ac:dyDescent="0.25">
      <c r="A127" s="2" t="str">
        <f>"03036000010"</f>
        <v>03036000010</v>
      </c>
      <c r="B127" s="2" t="s">
        <v>131</v>
      </c>
      <c r="C127" s="2">
        <v>333.03</v>
      </c>
      <c r="D127" s="2" t="s">
        <v>5</v>
      </c>
    </row>
    <row r="128" spans="1:4" ht="15" customHeight="1" x14ac:dyDescent="0.25">
      <c r="A128" s="2" t="str">
        <f>"05023000020"</f>
        <v>05023000020</v>
      </c>
      <c r="B128" s="2" t="s">
        <v>132</v>
      </c>
      <c r="C128" s="2">
        <v>629.85</v>
      </c>
      <c r="D128" s="2" t="s">
        <v>5</v>
      </c>
    </row>
    <row r="129" spans="1:4" ht="15" customHeight="1" x14ac:dyDescent="0.25">
      <c r="A129" s="2" t="str">
        <f>"05022000900"</f>
        <v>05022000900</v>
      </c>
      <c r="B129" s="2" t="s">
        <v>133</v>
      </c>
      <c r="C129" s="2">
        <v>811.22</v>
      </c>
      <c r="D129" s="2" t="s">
        <v>5</v>
      </c>
    </row>
    <row r="130" spans="1:4" ht="15" customHeight="1" x14ac:dyDescent="0.25">
      <c r="A130" s="2" t="str">
        <f>"05021000095"</f>
        <v>05021000095</v>
      </c>
      <c r="B130" s="2" t="s">
        <v>134</v>
      </c>
      <c r="C130" s="2">
        <v>1471.91</v>
      </c>
      <c r="D130" s="2" t="s">
        <v>5</v>
      </c>
    </row>
    <row r="131" spans="1:4" ht="15" customHeight="1" x14ac:dyDescent="0.25">
      <c r="A131" s="2" t="str">
        <f>"05023000023"</f>
        <v>05023000023</v>
      </c>
      <c r="B131" s="2" t="s">
        <v>135</v>
      </c>
      <c r="C131" s="2">
        <v>699.84</v>
      </c>
      <c r="D131" s="2" t="s">
        <v>5</v>
      </c>
    </row>
    <row r="132" spans="1:4" ht="15" customHeight="1" x14ac:dyDescent="0.25">
      <c r="A132" s="2" t="str">
        <f>"03038000751"</f>
        <v>03038000751</v>
      </c>
      <c r="B132" s="2" t="s">
        <v>136</v>
      </c>
      <c r="C132" s="2">
        <v>9263.0300000000007</v>
      </c>
      <c r="D132" s="2" t="s">
        <v>5</v>
      </c>
    </row>
    <row r="133" spans="1:4" ht="15" customHeight="1" x14ac:dyDescent="0.25">
      <c r="A133" s="2" t="str">
        <f>"03038000752"</f>
        <v>03038000752</v>
      </c>
      <c r="B133" s="2" t="s">
        <v>137</v>
      </c>
      <c r="C133" s="2">
        <v>12266.79</v>
      </c>
      <c r="D133" s="2" t="s">
        <v>5</v>
      </c>
    </row>
    <row r="134" spans="1:4" ht="15" customHeight="1" x14ac:dyDescent="0.25">
      <c r="A134" s="2" t="str">
        <f>"05022000905"</f>
        <v>05022000905</v>
      </c>
      <c r="B134" s="2" t="s">
        <v>138</v>
      </c>
      <c r="C134" s="2">
        <v>1848.8</v>
      </c>
      <c r="D134" s="2" t="s">
        <v>5</v>
      </c>
    </row>
    <row r="135" spans="1:4" ht="15" customHeight="1" x14ac:dyDescent="0.25">
      <c r="A135" s="2" t="str">
        <f>"03005000014"</f>
        <v>03005000014</v>
      </c>
      <c r="B135" s="2" t="s">
        <v>139</v>
      </c>
      <c r="C135" s="2">
        <v>20076.36</v>
      </c>
      <c r="D135" s="2" t="s">
        <v>5</v>
      </c>
    </row>
    <row r="136" spans="1:4" ht="15" customHeight="1" x14ac:dyDescent="0.25">
      <c r="A136" s="2" t="str">
        <f>"03005000001"</f>
        <v>03005000001</v>
      </c>
      <c r="B136" s="2" t="s">
        <v>140</v>
      </c>
      <c r="C136" s="2">
        <v>30513.599999999999</v>
      </c>
      <c r="D136" s="2" t="s">
        <v>5</v>
      </c>
    </row>
    <row r="137" spans="1:4" ht="15" customHeight="1" x14ac:dyDescent="0.25">
      <c r="A137" s="2" t="str">
        <f>"03005000015"</f>
        <v>03005000015</v>
      </c>
      <c r="B137" s="2" t="s">
        <v>141</v>
      </c>
      <c r="C137" s="2">
        <v>25958.28</v>
      </c>
      <c r="D137" s="2" t="s">
        <v>5</v>
      </c>
    </row>
    <row r="138" spans="1:4" ht="15" customHeight="1" x14ac:dyDescent="0.25">
      <c r="A138" s="2" t="str">
        <f>"03005000005"</f>
        <v>03005000005</v>
      </c>
      <c r="B138" s="2" t="s">
        <v>142</v>
      </c>
      <c r="C138" s="2">
        <v>30513.599999999999</v>
      </c>
      <c r="D138" s="2" t="s">
        <v>5</v>
      </c>
    </row>
    <row r="139" spans="1:4" ht="15" customHeight="1" x14ac:dyDescent="0.25">
      <c r="A139" s="2" t="str">
        <f>"03005000016"</f>
        <v>03005000016</v>
      </c>
      <c r="B139" s="2" t="s">
        <v>143</v>
      </c>
      <c r="C139" s="2">
        <v>25958.28</v>
      </c>
      <c r="D139" s="2" t="s">
        <v>5</v>
      </c>
    </row>
    <row r="140" spans="1:4" ht="15" customHeight="1" x14ac:dyDescent="0.25">
      <c r="A140" s="2" t="str">
        <f>"03005000003"</f>
        <v>03005000003</v>
      </c>
      <c r="B140" s="2" t="s">
        <v>144</v>
      </c>
      <c r="C140" s="2">
        <v>30513.599999999999</v>
      </c>
      <c r="D140" s="2" t="s">
        <v>5</v>
      </c>
    </row>
    <row r="141" spans="1:4" ht="15" customHeight="1" x14ac:dyDescent="0.25">
      <c r="A141" s="2" t="str">
        <f>"03005000011"</f>
        <v>03005000011</v>
      </c>
      <c r="B141" s="2" t="s">
        <v>145</v>
      </c>
      <c r="C141" s="2">
        <v>8197.11</v>
      </c>
      <c r="D141" s="2" t="s">
        <v>5</v>
      </c>
    </row>
    <row r="142" spans="1:4" ht="15" customHeight="1" x14ac:dyDescent="0.25">
      <c r="A142" s="2" t="str">
        <f>"03005000010"</f>
        <v>03005000010</v>
      </c>
      <c r="B142" s="2" t="s">
        <v>146</v>
      </c>
      <c r="C142" s="2">
        <v>8564.06</v>
      </c>
      <c r="D142" s="2" t="s">
        <v>5</v>
      </c>
    </row>
    <row r="143" spans="1:4" ht="15" customHeight="1" x14ac:dyDescent="0.25">
      <c r="A143" s="2" t="str">
        <f>"03005000002"</f>
        <v>03005000002</v>
      </c>
      <c r="B143" s="2" t="s">
        <v>147</v>
      </c>
      <c r="C143" s="2">
        <v>30513.599999999999</v>
      </c>
      <c r="D143" s="2" t="s">
        <v>5</v>
      </c>
    </row>
    <row r="144" spans="1:4" ht="15" customHeight="1" x14ac:dyDescent="0.25">
      <c r="A144" s="2" t="str">
        <f>"03005000017"</f>
        <v>03005000017</v>
      </c>
      <c r="B144" s="2" t="s">
        <v>148</v>
      </c>
      <c r="C144" s="2">
        <v>25958.28</v>
      </c>
      <c r="D144" s="2" t="s">
        <v>5</v>
      </c>
    </row>
    <row r="145" spans="1:4" ht="15" customHeight="1" x14ac:dyDescent="0.25">
      <c r="A145" s="2" t="str">
        <f>"03005000013"</f>
        <v>03005000013</v>
      </c>
      <c r="B145" s="2" t="s">
        <v>149</v>
      </c>
      <c r="C145" s="2">
        <v>10803.96</v>
      </c>
      <c r="D145" s="2" t="s">
        <v>5</v>
      </c>
    </row>
    <row r="146" spans="1:4" ht="15" customHeight="1" x14ac:dyDescent="0.25">
      <c r="A146" s="2" t="str">
        <f>"03005000018"</f>
        <v>03005000018</v>
      </c>
      <c r="B146" s="2" t="s">
        <v>150</v>
      </c>
      <c r="C146" s="2">
        <v>26833.7</v>
      </c>
      <c r="D146" s="2" t="s">
        <v>5</v>
      </c>
    </row>
    <row r="147" spans="1:4" ht="15" customHeight="1" x14ac:dyDescent="0.25">
      <c r="A147" s="2" t="str">
        <f>"03005000012"</f>
        <v>03005000012</v>
      </c>
      <c r="B147" s="2" t="s">
        <v>151</v>
      </c>
      <c r="C147" s="2">
        <v>11678.96</v>
      </c>
      <c r="D147" s="2" t="s">
        <v>5</v>
      </c>
    </row>
    <row r="148" spans="1:4" ht="15" customHeight="1" x14ac:dyDescent="0.25">
      <c r="A148" s="2" t="str">
        <f>"03005000008"</f>
        <v>03005000008</v>
      </c>
      <c r="B148" s="2" t="s">
        <v>152</v>
      </c>
      <c r="C148" s="2">
        <v>11022.48</v>
      </c>
      <c r="D148" s="2" t="s">
        <v>5</v>
      </c>
    </row>
    <row r="149" spans="1:4" ht="15" customHeight="1" x14ac:dyDescent="0.25">
      <c r="A149" s="2" t="str">
        <f>"03005000020"</f>
        <v>03005000020</v>
      </c>
      <c r="B149" s="2" t="s">
        <v>153</v>
      </c>
      <c r="C149" s="2">
        <v>7837.5</v>
      </c>
      <c r="D149" s="2" t="s">
        <v>5</v>
      </c>
    </row>
    <row r="150" spans="1:4" ht="15" customHeight="1" x14ac:dyDescent="0.25">
      <c r="A150" s="2" t="str">
        <f>"03005000004"</f>
        <v>03005000004</v>
      </c>
      <c r="B150" s="2" t="s">
        <v>154</v>
      </c>
      <c r="C150" s="2">
        <v>30513.599999999999</v>
      </c>
      <c r="D150" s="2" t="s">
        <v>5</v>
      </c>
    </row>
    <row r="151" spans="1:4" ht="15" customHeight="1" x14ac:dyDescent="0.25">
      <c r="A151" s="2" t="str">
        <f>"03005000021"</f>
        <v>03005000021</v>
      </c>
      <c r="B151" s="2" t="s">
        <v>155</v>
      </c>
      <c r="C151" s="2">
        <v>8811.17</v>
      </c>
      <c r="D151" s="2" t="s">
        <v>5</v>
      </c>
    </row>
    <row r="152" spans="1:4" ht="15" customHeight="1" x14ac:dyDescent="0.25">
      <c r="A152" s="2" t="str">
        <f>"03005000009"</f>
        <v>03005000009</v>
      </c>
      <c r="B152" s="2" t="s">
        <v>156</v>
      </c>
      <c r="C152" s="2">
        <v>11624.03</v>
      </c>
      <c r="D152" s="2" t="s">
        <v>5</v>
      </c>
    </row>
    <row r="153" spans="1:4" ht="15" customHeight="1" x14ac:dyDescent="0.25">
      <c r="A153" s="2" t="str">
        <f>"03005000006"</f>
        <v>03005000006</v>
      </c>
      <c r="B153" s="2" t="s">
        <v>157</v>
      </c>
      <c r="C153" s="2">
        <v>30513.599999999999</v>
      </c>
      <c r="D153" s="2" t="s">
        <v>5</v>
      </c>
    </row>
    <row r="154" spans="1:4" ht="15" customHeight="1" x14ac:dyDescent="0.25">
      <c r="A154" s="2" t="str">
        <f>"03005000019"</f>
        <v>03005000019</v>
      </c>
      <c r="B154" s="2" t="s">
        <v>158</v>
      </c>
      <c r="C154" s="2">
        <v>23040.21</v>
      </c>
      <c r="D154" s="2" t="s">
        <v>5</v>
      </c>
    </row>
    <row r="155" spans="1:4" ht="15" customHeight="1" x14ac:dyDescent="0.25">
      <c r="A155" s="2" t="str">
        <f>"03005000007"</f>
        <v>03005000007</v>
      </c>
      <c r="B155" s="2" t="s">
        <v>159</v>
      </c>
      <c r="C155" s="2">
        <v>30513.599999999999</v>
      </c>
      <c r="D155" s="2" t="s">
        <v>5</v>
      </c>
    </row>
    <row r="156" spans="1:4" ht="15" customHeight="1" x14ac:dyDescent="0.25">
      <c r="A156" s="2" t="str">
        <f>"03038000101"</f>
        <v>03038000101</v>
      </c>
      <c r="B156" s="2" t="s">
        <v>160</v>
      </c>
      <c r="C156" s="2">
        <v>896.42</v>
      </c>
      <c r="D156" s="2" t="s">
        <v>5</v>
      </c>
    </row>
    <row r="157" spans="1:4" ht="15" customHeight="1" x14ac:dyDescent="0.25">
      <c r="A157" s="2" t="str">
        <f>"03038000121"</f>
        <v>03038000121</v>
      </c>
      <c r="B157" s="2" t="s">
        <v>161</v>
      </c>
      <c r="C157" s="2">
        <v>994.47</v>
      </c>
      <c r="D157" s="2" t="s">
        <v>5</v>
      </c>
    </row>
    <row r="158" spans="1:4" ht="15" customHeight="1" x14ac:dyDescent="0.25">
      <c r="A158" s="2" t="str">
        <f>"05011000000"</f>
        <v>05011000000</v>
      </c>
      <c r="B158" s="2" t="s">
        <v>162</v>
      </c>
      <c r="C158" s="2">
        <v>875.21</v>
      </c>
      <c r="D158" s="2" t="s">
        <v>5</v>
      </c>
    </row>
    <row r="159" spans="1:4" ht="15" customHeight="1" x14ac:dyDescent="0.25">
      <c r="A159" s="2" t="str">
        <f>"03037000405"</f>
        <v>03037000405</v>
      </c>
      <c r="B159" s="2" t="s">
        <v>163</v>
      </c>
      <c r="C159" s="2">
        <v>129237.47</v>
      </c>
      <c r="D159" s="2" t="s">
        <v>5</v>
      </c>
    </row>
    <row r="160" spans="1:4" ht="15" customHeight="1" x14ac:dyDescent="0.25">
      <c r="A160" s="2" t="str">
        <f>"08005000025"</f>
        <v>08005000025</v>
      </c>
      <c r="B160" s="2" t="s">
        <v>164</v>
      </c>
      <c r="C160" s="2">
        <v>66224.25</v>
      </c>
      <c r="D160" s="2" t="s">
        <v>5</v>
      </c>
    </row>
    <row r="161" spans="1:4" ht="15" customHeight="1" x14ac:dyDescent="0.25">
      <c r="A161" s="2" t="str">
        <f>"08005000030"</f>
        <v>08005000030</v>
      </c>
      <c r="B161" s="2" t="s">
        <v>165</v>
      </c>
      <c r="C161" s="2">
        <v>72301.100000000006</v>
      </c>
      <c r="D161" s="2" t="s">
        <v>5</v>
      </c>
    </row>
    <row r="162" spans="1:4" ht="15" customHeight="1" x14ac:dyDescent="0.25">
      <c r="A162" s="2" t="str">
        <f>"08005000020"</f>
        <v>08005000020</v>
      </c>
      <c r="B162" s="2" t="s">
        <v>166</v>
      </c>
      <c r="C162" s="2">
        <v>33075.599999999999</v>
      </c>
      <c r="D162" s="2" t="s">
        <v>5</v>
      </c>
    </row>
    <row r="163" spans="1:4" ht="15" customHeight="1" x14ac:dyDescent="0.25">
      <c r="A163" s="2" t="str">
        <f>"08005000010"</f>
        <v>08005000010</v>
      </c>
      <c r="B163" s="2" t="s">
        <v>167</v>
      </c>
      <c r="C163" s="2">
        <v>37005.050000000003</v>
      </c>
      <c r="D163" s="2" t="s">
        <v>5</v>
      </c>
    </row>
    <row r="164" spans="1:4" ht="15" customHeight="1" x14ac:dyDescent="0.25">
      <c r="A164" s="2" t="str">
        <f>"08005000015"</f>
        <v>08005000015</v>
      </c>
      <c r="B164" s="2" t="s">
        <v>168</v>
      </c>
      <c r="C164" s="2">
        <v>43893.77</v>
      </c>
      <c r="D164" s="2" t="s">
        <v>5</v>
      </c>
    </row>
    <row r="165" spans="1:4" ht="15" customHeight="1" x14ac:dyDescent="0.25">
      <c r="A165" s="2" t="str">
        <f>"03038000141"</f>
        <v>03038000141</v>
      </c>
      <c r="B165" s="2" t="s">
        <v>169</v>
      </c>
      <c r="C165" s="2">
        <v>113.64</v>
      </c>
      <c r="D165" s="2" t="s">
        <v>5</v>
      </c>
    </row>
    <row r="166" spans="1:4" ht="15" customHeight="1" x14ac:dyDescent="0.25">
      <c r="A166" s="2" t="str">
        <f>"03059000425"</f>
        <v>03059000425</v>
      </c>
      <c r="B166" s="2" t="s">
        <v>170</v>
      </c>
      <c r="C166" s="2">
        <v>119565.44</v>
      </c>
      <c r="D166" s="2" t="s">
        <v>5</v>
      </c>
    </row>
    <row r="167" spans="1:4" ht="15" customHeight="1" x14ac:dyDescent="0.25">
      <c r="A167" s="2" t="str">
        <f>"03059000061"</f>
        <v>03059000061</v>
      </c>
      <c r="B167" s="2" t="s">
        <v>171</v>
      </c>
      <c r="C167" s="2">
        <v>4397.67</v>
      </c>
      <c r="D167" s="2" t="s">
        <v>5</v>
      </c>
    </row>
    <row r="168" spans="1:4" ht="15" customHeight="1" x14ac:dyDescent="0.25">
      <c r="A168" s="2" t="str">
        <f>"03059000071"</f>
        <v>03059000071</v>
      </c>
      <c r="B168" s="2" t="s">
        <v>172</v>
      </c>
      <c r="C168" s="2">
        <v>4757.75</v>
      </c>
      <c r="D168" s="2" t="s">
        <v>5</v>
      </c>
    </row>
    <row r="169" spans="1:4" ht="15" customHeight="1" x14ac:dyDescent="0.25">
      <c r="A169" s="2" t="str">
        <f>"03059000065"</f>
        <v>03059000065</v>
      </c>
      <c r="B169" s="2" t="s">
        <v>173</v>
      </c>
      <c r="C169" s="2">
        <v>1431.06</v>
      </c>
      <c r="D169" s="2" t="s">
        <v>5</v>
      </c>
    </row>
    <row r="170" spans="1:4" ht="15" customHeight="1" x14ac:dyDescent="0.25">
      <c r="A170" s="2" t="str">
        <f>"03059000074"</f>
        <v>03059000074</v>
      </c>
      <c r="B170" s="2" t="s">
        <v>174</v>
      </c>
      <c r="C170" s="2">
        <v>2765.84</v>
      </c>
      <c r="D170" s="2" t="s">
        <v>5</v>
      </c>
    </row>
    <row r="171" spans="1:4" ht="15" customHeight="1" x14ac:dyDescent="0.25">
      <c r="A171" s="2" t="str">
        <f>"03059000070"</f>
        <v>03059000070</v>
      </c>
      <c r="B171" s="2" t="s">
        <v>175</v>
      </c>
      <c r="C171" s="2">
        <v>8390.57</v>
      </c>
      <c r="D171" s="2" t="s">
        <v>5</v>
      </c>
    </row>
    <row r="172" spans="1:4" ht="15" customHeight="1" x14ac:dyDescent="0.25">
      <c r="A172" s="2" t="str">
        <f>"03059000075"</f>
        <v>03059000075</v>
      </c>
      <c r="B172" s="2" t="s">
        <v>176</v>
      </c>
      <c r="C172" s="2">
        <v>4364.45</v>
      </c>
      <c r="D172" s="2" t="s">
        <v>5</v>
      </c>
    </row>
    <row r="173" spans="1:4" ht="15" customHeight="1" x14ac:dyDescent="0.25">
      <c r="A173" s="2" t="str">
        <f>"03059000073"</f>
        <v>03059000073</v>
      </c>
      <c r="B173" s="2" t="s">
        <v>177</v>
      </c>
      <c r="C173" s="2">
        <v>8462.4599999999991</v>
      </c>
      <c r="D173" s="2" t="s">
        <v>5</v>
      </c>
    </row>
    <row r="174" spans="1:4" ht="15" customHeight="1" x14ac:dyDescent="0.25">
      <c r="A174" s="2" t="str">
        <f>"03059000076"</f>
        <v>03059000076</v>
      </c>
      <c r="B174" s="2" t="s">
        <v>178</v>
      </c>
      <c r="C174" s="2">
        <v>21026.06</v>
      </c>
      <c r="D174" s="2" t="s">
        <v>5</v>
      </c>
    </row>
    <row r="175" spans="1:4" ht="15" customHeight="1" x14ac:dyDescent="0.25">
      <c r="A175" s="2" t="str">
        <f>"03059000077"</f>
        <v>03059000077</v>
      </c>
      <c r="B175" s="2" t="s">
        <v>179</v>
      </c>
      <c r="C175" s="2">
        <v>11215.61</v>
      </c>
      <c r="D175" s="2" t="s">
        <v>5</v>
      </c>
    </row>
    <row r="176" spans="1:4" ht="15" customHeight="1" x14ac:dyDescent="0.25">
      <c r="A176" s="2" t="str">
        <f>"03059000079"</f>
        <v>03059000079</v>
      </c>
      <c r="B176" s="2" t="s">
        <v>180</v>
      </c>
      <c r="C176" s="2">
        <v>11570.85</v>
      </c>
      <c r="D176" s="2" t="s">
        <v>5</v>
      </c>
    </row>
    <row r="177" spans="1:4" ht="15" customHeight="1" x14ac:dyDescent="0.25">
      <c r="A177" s="2" t="str">
        <f>"03059000078"</f>
        <v>03059000078</v>
      </c>
      <c r="B177" s="2" t="s">
        <v>181</v>
      </c>
      <c r="C177" s="2">
        <v>11570.85</v>
      </c>
      <c r="D177" s="2" t="s">
        <v>5</v>
      </c>
    </row>
    <row r="178" spans="1:4" ht="15" customHeight="1" x14ac:dyDescent="0.25">
      <c r="A178" s="2" t="str">
        <f>"03059000060"</f>
        <v>03059000060</v>
      </c>
      <c r="B178" s="2" t="s">
        <v>182</v>
      </c>
      <c r="C178" s="2">
        <v>1431.06</v>
      </c>
      <c r="D178" s="2" t="s">
        <v>5</v>
      </c>
    </row>
    <row r="179" spans="1:4" ht="15" customHeight="1" x14ac:dyDescent="0.25">
      <c r="A179" s="2" t="str">
        <f>"03059000083"</f>
        <v>03059000083</v>
      </c>
      <c r="B179" s="2" t="s">
        <v>183</v>
      </c>
      <c r="C179" s="2">
        <v>3273.35</v>
      </c>
      <c r="D179" s="2" t="s">
        <v>5</v>
      </c>
    </row>
    <row r="180" spans="1:4" ht="15" customHeight="1" x14ac:dyDescent="0.25">
      <c r="A180" s="2" t="str">
        <f>"03059000324"</f>
        <v>03059000324</v>
      </c>
      <c r="B180" s="2" t="s">
        <v>184</v>
      </c>
      <c r="C180" s="2">
        <v>11253.66</v>
      </c>
      <c r="D180" s="2" t="s">
        <v>5</v>
      </c>
    </row>
    <row r="181" spans="1:4" ht="15" customHeight="1" x14ac:dyDescent="0.25">
      <c r="A181" s="2" t="str">
        <f>"03059000450"</f>
        <v>03059000450</v>
      </c>
      <c r="B181" s="2" t="s">
        <v>185</v>
      </c>
      <c r="C181" s="2">
        <v>11773.85</v>
      </c>
      <c r="D181" s="2" t="s">
        <v>5</v>
      </c>
    </row>
    <row r="182" spans="1:4" ht="15" customHeight="1" x14ac:dyDescent="0.25">
      <c r="A182" s="2" t="str">
        <f>"03059000110"</f>
        <v>03059000110</v>
      </c>
      <c r="B182" s="2" t="s">
        <v>186</v>
      </c>
      <c r="C182" s="2">
        <v>8551.26</v>
      </c>
      <c r="D182" s="2" t="s">
        <v>5</v>
      </c>
    </row>
    <row r="183" spans="1:4" ht="15" customHeight="1" x14ac:dyDescent="0.25">
      <c r="A183" s="2" t="str">
        <f>"03059000164"</f>
        <v>03059000164</v>
      </c>
      <c r="B183" s="2" t="s">
        <v>187</v>
      </c>
      <c r="C183" s="2">
        <v>4973.43</v>
      </c>
      <c r="D183" s="2" t="s">
        <v>5</v>
      </c>
    </row>
    <row r="184" spans="1:4" ht="15" customHeight="1" x14ac:dyDescent="0.25">
      <c r="A184" s="2" t="str">
        <f>"03059000165"</f>
        <v>03059000165</v>
      </c>
      <c r="B184" s="2" t="s">
        <v>188</v>
      </c>
      <c r="C184" s="2">
        <v>5506.31</v>
      </c>
      <c r="D184" s="2" t="s">
        <v>5</v>
      </c>
    </row>
    <row r="185" spans="1:4" ht="15" customHeight="1" x14ac:dyDescent="0.25">
      <c r="A185" s="2" t="str">
        <f>"03059000166"</f>
        <v>03059000166</v>
      </c>
      <c r="B185" s="2" t="s">
        <v>189</v>
      </c>
      <c r="C185" s="2">
        <v>4415.21</v>
      </c>
      <c r="D185" s="2" t="s">
        <v>5</v>
      </c>
    </row>
    <row r="186" spans="1:4" ht="15" customHeight="1" x14ac:dyDescent="0.25">
      <c r="A186" s="2" t="str">
        <f>"03059000167"</f>
        <v>03059000167</v>
      </c>
      <c r="B186" s="2" t="s">
        <v>190</v>
      </c>
      <c r="C186" s="2">
        <v>6648.17</v>
      </c>
      <c r="D186" s="2" t="s">
        <v>5</v>
      </c>
    </row>
    <row r="187" spans="1:4" ht="15" customHeight="1" x14ac:dyDescent="0.25">
      <c r="A187" s="2" t="str">
        <f>"03059000088"</f>
        <v>03059000088</v>
      </c>
      <c r="B187" s="2" t="s">
        <v>191</v>
      </c>
      <c r="C187" s="2">
        <v>253226.49</v>
      </c>
      <c r="D187" s="2" t="s">
        <v>5</v>
      </c>
    </row>
    <row r="188" spans="1:4" ht="15" customHeight="1" x14ac:dyDescent="0.25">
      <c r="A188" s="2" t="str">
        <f>"03059000420"</f>
        <v>03059000420</v>
      </c>
      <c r="B188" s="2" t="s">
        <v>192</v>
      </c>
      <c r="C188" s="2">
        <v>16924.91</v>
      </c>
      <c r="D188" s="2" t="s">
        <v>5</v>
      </c>
    </row>
    <row r="189" spans="1:4" ht="15" customHeight="1" x14ac:dyDescent="0.25">
      <c r="A189" s="2" t="str">
        <f>"03059000405"</f>
        <v>03059000405</v>
      </c>
      <c r="B189" s="2" t="s">
        <v>193</v>
      </c>
      <c r="C189" s="2">
        <v>16924.91</v>
      </c>
      <c r="D189" s="2" t="s">
        <v>5</v>
      </c>
    </row>
    <row r="190" spans="1:4" ht="15" customHeight="1" x14ac:dyDescent="0.25">
      <c r="A190" s="2" t="str">
        <f>"03059000410"</f>
        <v>03059000410</v>
      </c>
      <c r="B190" s="2" t="s">
        <v>194</v>
      </c>
      <c r="C190" s="2">
        <v>12623.9</v>
      </c>
      <c r="D190" s="2" t="s">
        <v>5</v>
      </c>
    </row>
    <row r="191" spans="1:4" ht="15" customHeight="1" x14ac:dyDescent="0.25">
      <c r="A191" s="2" t="str">
        <f>"03059000400"</f>
        <v>03059000400</v>
      </c>
      <c r="B191" s="2" t="s">
        <v>195</v>
      </c>
      <c r="C191" s="2">
        <v>21187.85</v>
      </c>
      <c r="D191" s="2" t="s">
        <v>5</v>
      </c>
    </row>
    <row r="192" spans="1:4" ht="15" customHeight="1" x14ac:dyDescent="0.25">
      <c r="A192" s="2" t="str">
        <f>"03059000099"</f>
        <v>03059000099</v>
      </c>
      <c r="B192" s="2" t="s">
        <v>196</v>
      </c>
      <c r="C192" s="2">
        <v>15618.11</v>
      </c>
      <c r="D192" s="2" t="s">
        <v>5</v>
      </c>
    </row>
    <row r="193" spans="1:4" ht="15" customHeight="1" x14ac:dyDescent="0.25">
      <c r="A193" s="2" t="str">
        <f>"03059000100"</f>
        <v>03059000100</v>
      </c>
      <c r="B193" s="2" t="s">
        <v>197</v>
      </c>
      <c r="C193" s="2">
        <v>21593.84</v>
      </c>
      <c r="D193" s="2" t="s">
        <v>5</v>
      </c>
    </row>
    <row r="194" spans="1:4" ht="15" customHeight="1" x14ac:dyDescent="0.25">
      <c r="A194" s="2" t="str">
        <f>"03059000105"</f>
        <v>03059000105</v>
      </c>
      <c r="B194" s="2" t="s">
        <v>198</v>
      </c>
      <c r="C194" s="2">
        <v>24347</v>
      </c>
      <c r="D194" s="2" t="s">
        <v>5</v>
      </c>
    </row>
    <row r="195" spans="1:4" ht="15" customHeight="1" x14ac:dyDescent="0.25">
      <c r="A195" s="2" t="str">
        <f>"03059000129"</f>
        <v>03059000129</v>
      </c>
      <c r="B195" s="2" t="s">
        <v>199</v>
      </c>
      <c r="C195" s="2">
        <v>9464.75</v>
      </c>
      <c r="D195" s="2" t="s">
        <v>5</v>
      </c>
    </row>
    <row r="196" spans="1:4" ht="15" customHeight="1" x14ac:dyDescent="0.25">
      <c r="A196" s="2" t="str">
        <f>"03059000160"</f>
        <v>03059000160</v>
      </c>
      <c r="B196" s="2" t="s">
        <v>200</v>
      </c>
      <c r="C196" s="2">
        <v>16493.52</v>
      </c>
      <c r="D196" s="2" t="s">
        <v>5</v>
      </c>
    </row>
    <row r="197" spans="1:4" ht="15" customHeight="1" x14ac:dyDescent="0.25">
      <c r="A197" s="2" t="str">
        <f>"03059000159"</f>
        <v>03059000159</v>
      </c>
      <c r="B197" s="2" t="s">
        <v>201</v>
      </c>
      <c r="C197" s="2">
        <v>18675.75</v>
      </c>
      <c r="D197" s="2" t="s">
        <v>5</v>
      </c>
    </row>
    <row r="198" spans="1:4" ht="15" customHeight="1" x14ac:dyDescent="0.25">
      <c r="A198" s="2" t="str">
        <f>"03059000090"</f>
        <v>03059000090</v>
      </c>
      <c r="B198" s="2" t="s">
        <v>202</v>
      </c>
      <c r="C198" s="2">
        <v>5113.01</v>
      </c>
      <c r="D198" s="2" t="s">
        <v>5</v>
      </c>
    </row>
    <row r="199" spans="1:4" ht="15" customHeight="1" x14ac:dyDescent="0.25">
      <c r="A199" s="2" t="str">
        <f>"03059000092"</f>
        <v>03059000092</v>
      </c>
      <c r="B199" s="2" t="s">
        <v>203</v>
      </c>
      <c r="C199" s="2">
        <v>6457.85</v>
      </c>
      <c r="D199" s="2" t="s">
        <v>5</v>
      </c>
    </row>
    <row r="200" spans="1:4" ht="15" customHeight="1" x14ac:dyDescent="0.25">
      <c r="A200" s="2" t="str">
        <f>"03059000080"</f>
        <v>03059000080</v>
      </c>
      <c r="B200" s="2" t="s">
        <v>204</v>
      </c>
      <c r="C200" s="2">
        <v>1355.09</v>
      </c>
      <c r="D200" s="2" t="s">
        <v>5</v>
      </c>
    </row>
    <row r="201" spans="1:4" ht="15" customHeight="1" x14ac:dyDescent="0.25">
      <c r="A201" s="2" t="str">
        <f>"03059000121"</f>
        <v>03059000121</v>
      </c>
      <c r="B201" s="2" t="s">
        <v>205</v>
      </c>
      <c r="C201" s="2">
        <v>3225.9</v>
      </c>
      <c r="D201" s="2" t="s">
        <v>5</v>
      </c>
    </row>
    <row r="202" spans="1:4" ht="15" customHeight="1" x14ac:dyDescent="0.25">
      <c r="A202" s="2" t="str">
        <f>"03059000041"</f>
        <v>03059000041</v>
      </c>
      <c r="B202" s="2" t="s">
        <v>206</v>
      </c>
      <c r="C202" s="2">
        <v>15161.36</v>
      </c>
      <c r="D202" s="2" t="s">
        <v>5</v>
      </c>
    </row>
    <row r="203" spans="1:4" ht="15" customHeight="1" x14ac:dyDescent="0.25">
      <c r="A203" s="2" t="str">
        <f>"03059000042"</f>
        <v>03059000042</v>
      </c>
      <c r="B203" s="2" t="s">
        <v>207</v>
      </c>
      <c r="C203" s="2">
        <v>19843.009999999998</v>
      </c>
      <c r="D203" s="2" t="s">
        <v>5</v>
      </c>
    </row>
    <row r="204" spans="1:4" ht="15" customHeight="1" x14ac:dyDescent="0.25">
      <c r="A204" s="2" t="str">
        <f>"03059000043"</f>
        <v>03059000043</v>
      </c>
      <c r="B204" s="2" t="s">
        <v>208</v>
      </c>
      <c r="C204" s="2">
        <v>22418.52</v>
      </c>
      <c r="D204" s="2" t="s">
        <v>5</v>
      </c>
    </row>
    <row r="205" spans="1:4" ht="15" customHeight="1" x14ac:dyDescent="0.25">
      <c r="A205" s="2" t="str">
        <f>"03059000093"</f>
        <v>03059000093</v>
      </c>
      <c r="B205" s="2" t="s">
        <v>209</v>
      </c>
      <c r="C205" s="2">
        <v>9464.75</v>
      </c>
      <c r="D205" s="2" t="s">
        <v>5</v>
      </c>
    </row>
    <row r="206" spans="1:4" ht="15" customHeight="1" x14ac:dyDescent="0.25">
      <c r="A206" s="2" t="str">
        <f>"03059000095"</f>
        <v>03059000095</v>
      </c>
      <c r="B206" s="2" t="s">
        <v>210</v>
      </c>
      <c r="C206" s="2">
        <v>16493.52</v>
      </c>
      <c r="D206" s="2" t="s">
        <v>5</v>
      </c>
    </row>
    <row r="207" spans="1:4" ht="15" customHeight="1" x14ac:dyDescent="0.25">
      <c r="A207" s="2" t="str">
        <f>"03059000097"</f>
        <v>03059000097</v>
      </c>
      <c r="B207" s="2" t="s">
        <v>211</v>
      </c>
      <c r="C207" s="2">
        <v>18675.75</v>
      </c>
      <c r="D207" s="2" t="s">
        <v>5</v>
      </c>
    </row>
    <row r="208" spans="1:4" ht="15" customHeight="1" x14ac:dyDescent="0.25">
      <c r="A208" s="2" t="str">
        <f>"03059000314"</f>
        <v>03059000314</v>
      </c>
      <c r="B208" s="2" t="s">
        <v>212</v>
      </c>
      <c r="C208" s="2">
        <v>10657.37</v>
      </c>
      <c r="D208" s="2" t="s">
        <v>5</v>
      </c>
    </row>
    <row r="209" spans="1:4" ht="15" customHeight="1" x14ac:dyDescent="0.25">
      <c r="A209" s="2" t="str">
        <f>"03005600090"</f>
        <v>03005600090</v>
      </c>
      <c r="B209" s="2" t="s">
        <v>213</v>
      </c>
      <c r="C209" s="2">
        <v>3397.17</v>
      </c>
      <c r="D209" s="2" t="s">
        <v>5</v>
      </c>
    </row>
    <row r="210" spans="1:4" ht="15" customHeight="1" x14ac:dyDescent="0.25">
      <c r="A210" s="2" t="str">
        <f>"03059000315"</f>
        <v>03059000315</v>
      </c>
      <c r="B210" s="2" t="s">
        <v>214</v>
      </c>
      <c r="C210" s="2">
        <v>8843.07</v>
      </c>
      <c r="D210" s="2" t="s">
        <v>5</v>
      </c>
    </row>
    <row r="211" spans="1:4" ht="15" customHeight="1" x14ac:dyDescent="0.25">
      <c r="A211" s="2" t="str">
        <f>"06010000805"</f>
        <v>06010000805</v>
      </c>
      <c r="B211" s="2" t="s">
        <v>215</v>
      </c>
      <c r="C211" s="2">
        <v>2121.12</v>
      </c>
      <c r="D211" s="2" t="s">
        <v>5</v>
      </c>
    </row>
    <row r="212" spans="1:4" ht="15" customHeight="1" x14ac:dyDescent="0.25">
      <c r="A212" s="2" t="str">
        <f>"03063000171"</f>
        <v>03063000171</v>
      </c>
      <c r="B212" s="2" t="s">
        <v>216</v>
      </c>
      <c r="C212" s="2">
        <v>13.32</v>
      </c>
      <c r="D212" s="2" t="s">
        <v>107</v>
      </c>
    </row>
    <row r="213" spans="1:4" ht="15" customHeight="1" x14ac:dyDescent="0.25">
      <c r="A213" s="2" t="str">
        <f>"03063000172"</f>
        <v>03063000172</v>
      </c>
      <c r="B213" s="2" t="s">
        <v>217</v>
      </c>
      <c r="C213" s="2">
        <v>16.79</v>
      </c>
      <c r="D213" s="2" t="s">
        <v>107</v>
      </c>
    </row>
    <row r="214" spans="1:4" ht="15" customHeight="1" x14ac:dyDescent="0.25">
      <c r="A214" s="2" t="str">
        <f>"03059000303"</f>
        <v>03059000303</v>
      </c>
      <c r="B214" s="2" t="s">
        <v>218</v>
      </c>
      <c r="C214" s="2">
        <v>10390.92</v>
      </c>
      <c r="D214" s="2" t="s">
        <v>5</v>
      </c>
    </row>
    <row r="215" spans="1:4" ht="15" customHeight="1" x14ac:dyDescent="0.25">
      <c r="A215" s="2" t="str">
        <f>"03059000304"</f>
        <v>03059000304</v>
      </c>
      <c r="B215" s="2" t="s">
        <v>219</v>
      </c>
      <c r="C215" s="2">
        <v>27125.54</v>
      </c>
      <c r="D215" s="2" t="s">
        <v>5</v>
      </c>
    </row>
    <row r="216" spans="1:4" ht="15" customHeight="1" x14ac:dyDescent="0.25">
      <c r="A216" s="2" t="str">
        <f>"03059000330"</f>
        <v>03059000330</v>
      </c>
      <c r="B216" s="2" t="s">
        <v>220</v>
      </c>
      <c r="C216" s="2">
        <v>50990.39</v>
      </c>
      <c r="D216" s="2" t="s">
        <v>5</v>
      </c>
    </row>
    <row r="217" spans="1:4" ht="15" customHeight="1" x14ac:dyDescent="0.25">
      <c r="A217" s="2" t="str">
        <f>"03059000306"</f>
        <v>03059000306</v>
      </c>
      <c r="B217" s="2" t="s">
        <v>221</v>
      </c>
      <c r="C217" s="2">
        <v>32936.33</v>
      </c>
      <c r="D217" s="2" t="s">
        <v>5</v>
      </c>
    </row>
    <row r="218" spans="1:4" ht="15" customHeight="1" x14ac:dyDescent="0.25">
      <c r="A218" s="2" t="str">
        <f>"03059000340"</f>
        <v>03059000340</v>
      </c>
      <c r="B218" s="2" t="s">
        <v>222</v>
      </c>
      <c r="C218" s="2">
        <v>67927.98</v>
      </c>
      <c r="D218" s="2" t="s">
        <v>5</v>
      </c>
    </row>
    <row r="219" spans="1:4" ht="15" customHeight="1" x14ac:dyDescent="0.25">
      <c r="A219" s="2" t="str">
        <f>"03059000308"</f>
        <v>03059000308</v>
      </c>
      <c r="B219" s="2" t="s">
        <v>223</v>
      </c>
      <c r="C219" s="2">
        <v>47475.99</v>
      </c>
      <c r="D219" s="2" t="s">
        <v>5</v>
      </c>
    </row>
    <row r="220" spans="1:4" ht="15" customHeight="1" x14ac:dyDescent="0.25">
      <c r="A220" s="2" t="str">
        <f>"03059000085"</f>
        <v>03059000085</v>
      </c>
      <c r="B220" s="2" t="s">
        <v>224</v>
      </c>
      <c r="C220" s="2">
        <v>6050.52</v>
      </c>
      <c r="D220" s="2" t="s">
        <v>5</v>
      </c>
    </row>
    <row r="221" spans="1:4" ht="15" customHeight="1" x14ac:dyDescent="0.25">
      <c r="A221" s="2" t="str">
        <f>"03059000087"</f>
        <v>03059000087</v>
      </c>
      <c r="B221" s="2" t="s">
        <v>225</v>
      </c>
      <c r="C221" s="2">
        <v>3173.15</v>
      </c>
      <c r="D221" s="2" t="s">
        <v>5</v>
      </c>
    </row>
    <row r="222" spans="1:4" ht="15" customHeight="1" x14ac:dyDescent="0.25">
      <c r="A222" s="2" t="str">
        <f>"03059000107"</f>
        <v>03059000107</v>
      </c>
      <c r="B222" s="2" t="s">
        <v>226</v>
      </c>
      <c r="C222" s="2">
        <v>8170.65</v>
      </c>
      <c r="D222" s="2" t="s">
        <v>5</v>
      </c>
    </row>
    <row r="223" spans="1:4" ht="15" customHeight="1" x14ac:dyDescent="0.25">
      <c r="A223" s="2" t="str">
        <f>"03059000016"</f>
        <v>03059000016</v>
      </c>
      <c r="B223" s="2" t="s">
        <v>227</v>
      </c>
      <c r="C223" s="2">
        <v>10657.37</v>
      </c>
      <c r="D223" s="2" t="s">
        <v>5</v>
      </c>
    </row>
    <row r="224" spans="1:4" ht="15" customHeight="1" x14ac:dyDescent="0.25">
      <c r="A224" s="2" t="str">
        <f>"03059000108"</f>
        <v>03059000108</v>
      </c>
      <c r="B224" s="2" t="s">
        <v>228</v>
      </c>
      <c r="C224" s="2">
        <v>12243.27</v>
      </c>
      <c r="D224" s="2" t="s">
        <v>5</v>
      </c>
    </row>
    <row r="225" spans="1:4" ht="15" customHeight="1" x14ac:dyDescent="0.25">
      <c r="A225" s="2" t="str">
        <f>"03059000281"</f>
        <v>03059000281</v>
      </c>
      <c r="B225" s="2" t="s">
        <v>229</v>
      </c>
      <c r="C225" s="2">
        <v>1071.27</v>
      </c>
      <c r="D225" s="2" t="s">
        <v>5</v>
      </c>
    </row>
    <row r="226" spans="1:4" ht="15" customHeight="1" x14ac:dyDescent="0.25">
      <c r="A226" s="2" t="str">
        <f>"03059000301"</f>
        <v>03059000301</v>
      </c>
      <c r="B226" s="2" t="s">
        <v>230</v>
      </c>
      <c r="C226" s="2">
        <v>1598.15</v>
      </c>
      <c r="D226" s="2" t="s">
        <v>5</v>
      </c>
    </row>
    <row r="227" spans="1:4" ht="15" customHeight="1" x14ac:dyDescent="0.25">
      <c r="A227" s="2" t="str">
        <f>"03059000312"</f>
        <v>03059000312</v>
      </c>
      <c r="B227" s="2" t="s">
        <v>231</v>
      </c>
      <c r="C227" s="2">
        <v>7460.16</v>
      </c>
      <c r="D227" s="2" t="s">
        <v>5</v>
      </c>
    </row>
    <row r="228" spans="1:4" ht="15" customHeight="1" x14ac:dyDescent="0.25">
      <c r="A228" s="2" t="str">
        <f>"03059000435"</f>
        <v>03059000435</v>
      </c>
      <c r="B228" s="2" t="s">
        <v>232</v>
      </c>
      <c r="C228" s="2">
        <v>9718.49</v>
      </c>
      <c r="D228" s="2" t="s">
        <v>5</v>
      </c>
    </row>
    <row r="229" spans="1:4" ht="15" customHeight="1" x14ac:dyDescent="0.25">
      <c r="A229" s="2" t="str">
        <f>"03059000310"</f>
        <v>03059000310</v>
      </c>
      <c r="B229" s="2" t="s">
        <v>233</v>
      </c>
      <c r="C229" s="2">
        <v>5328.68</v>
      </c>
      <c r="D229" s="2" t="s">
        <v>5</v>
      </c>
    </row>
    <row r="230" spans="1:4" ht="15" customHeight="1" x14ac:dyDescent="0.25">
      <c r="A230" s="2" t="str">
        <f>"03059000430"</f>
        <v>03059000430</v>
      </c>
      <c r="B230" s="2" t="s">
        <v>234</v>
      </c>
      <c r="C230" s="2">
        <v>7079.54</v>
      </c>
      <c r="D230" s="2" t="s">
        <v>5</v>
      </c>
    </row>
    <row r="231" spans="1:4" ht="15" customHeight="1" x14ac:dyDescent="0.25">
      <c r="A231" s="2" t="str">
        <f>"03059000316"</f>
        <v>03059000316</v>
      </c>
      <c r="B231" s="2" t="s">
        <v>235</v>
      </c>
      <c r="C231" s="2">
        <v>10758.86</v>
      </c>
      <c r="D231" s="2" t="s">
        <v>5</v>
      </c>
    </row>
    <row r="232" spans="1:4" ht="15" customHeight="1" x14ac:dyDescent="0.25">
      <c r="A232" s="2" t="str">
        <f>"03059000317"</f>
        <v>03059000317</v>
      </c>
      <c r="B232" s="2" t="s">
        <v>236</v>
      </c>
      <c r="C232" s="2">
        <v>8754.26</v>
      </c>
      <c r="D232" s="2" t="s">
        <v>5</v>
      </c>
    </row>
    <row r="233" spans="1:4" ht="15" customHeight="1" x14ac:dyDescent="0.25">
      <c r="A233" s="2" t="str">
        <f>"03059000318"</f>
        <v>03059000318</v>
      </c>
      <c r="B233" s="2" t="s">
        <v>237</v>
      </c>
      <c r="C233" s="2">
        <v>10175.24</v>
      </c>
      <c r="D233" s="2" t="s">
        <v>5</v>
      </c>
    </row>
    <row r="234" spans="1:4" ht="15" customHeight="1" x14ac:dyDescent="0.25">
      <c r="A234" s="2" t="str">
        <f>"03059000319"</f>
        <v>03059000319</v>
      </c>
      <c r="B234" s="2" t="s">
        <v>238</v>
      </c>
      <c r="C234" s="2">
        <v>10796.93</v>
      </c>
      <c r="D234" s="2" t="s">
        <v>5</v>
      </c>
    </row>
    <row r="235" spans="1:4" ht="15" customHeight="1" x14ac:dyDescent="0.25">
      <c r="A235" s="2" t="str">
        <f>"03059000081"</f>
        <v>03059000081</v>
      </c>
      <c r="B235" s="2" t="s">
        <v>239</v>
      </c>
      <c r="C235" s="2">
        <v>1294.0999999999999</v>
      </c>
      <c r="D235" s="2" t="s">
        <v>5</v>
      </c>
    </row>
    <row r="236" spans="1:4" ht="15" customHeight="1" x14ac:dyDescent="0.25">
      <c r="A236" s="2" t="str">
        <f>"03059000082"</f>
        <v>03059000082</v>
      </c>
      <c r="B236" s="2" t="s">
        <v>240</v>
      </c>
      <c r="C236" s="2">
        <v>2499.41</v>
      </c>
      <c r="D236" s="2" t="s">
        <v>5</v>
      </c>
    </row>
    <row r="237" spans="1:4" ht="15" customHeight="1" x14ac:dyDescent="0.25">
      <c r="A237" s="2" t="str">
        <f>"03059000322"</f>
        <v>03059000322</v>
      </c>
      <c r="B237" s="2" t="s">
        <v>241</v>
      </c>
      <c r="C237" s="2">
        <v>7942.28</v>
      </c>
      <c r="D237" s="2" t="s">
        <v>5</v>
      </c>
    </row>
    <row r="238" spans="1:4" ht="15" customHeight="1" x14ac:dyDescent="0.25">
      <c r="A238" s="2" t="str">
        <f>"03059000440"</f>
        <v>03059000440</v>
      </c>
      <c r="B238" s="2" t="s">
        <v>242</v>
      </c>
      <c r="C238" s="2">
        <v>9109.52</v>
      </c>
      <c r="D238" s="2" t="s">
        <v>5</v>
      </c>
    </row>
    <row r="239" spans="1:4" ht="15" customHeight="1" x14ac:dyDescent="0.25">
      <c r="A239" s="2" t="str">
        <f>"03059000320"</f>
        <v>03059000320</v>
      </c>
      <c r="B239" s="2" t="s">
        <v>243</v>
      </c>
      <c r="C239" s="2">
        <v>14539.68</v>
      </c>
      <c r="D239" s="2" t="s">
        <v>5</v>
      </c>
    </row>
    <row r="240" spans="1:4" ht="15" customHeight="1" x14ac:dyDescent="0.25">
      <c r="A240" s="2" t="str">
        <f>"03059000445"</f>
        <v>03059000445</v>
      </c>
      <c r="B240" s="2" t="s">
        <v>244</v>
      </c>
      <c r="C240" s="2">
        <v>14514.32</v>
      </c>
      <c r="D240" s="2" t="s">
        <v>5</v>
      </c>
    </row>
    <row r="241" spans="1:4" ht="15" customHeight="1" x14ac:dyDescent="0.25">
      <c r="A241" s="2" t="str">
        <f>"06010000825"</f>
        <v>06010000825</v>
      </c>
      <c r="B241" s="2" t="s">
        <v>245</v>
      </c>
      <c r="C241" s="2">
        <v>3182.45</v>
      </c>
      <c r="D241" s="2" t="s">
        <v>5</v>
      </c>
    </row>
    <row r="242" spans="1:4" ht="15" customHeight="1" x14ac:dyDescent="0.25">
      <c r="A242" s="2" t="str">
        <f>"03005600070"</f>
        <v>03005600070</v>
      </c>
      <c r="B242" s="2" t="s">
        <v>246</v>
      </c>
      <c r="C242" s="2">
        <v>5288.1</v>
      </c>
      <c r="D242" s="2" t="s">
        <v>5</v>
      </c>
    </row>
    <row r="243" spans="1:4" ht="15" customHeight="1" x14ac:dyDescent="0.25">
      <c r="A243" s="2" t="str">
        <f>"03059000326"</f>
        <v>03059000326</v>
      </c>
      <c r="B243" s="2" t="s">
        <v>247</v>
      </c>
      <c r="C243" s="2">
        <v>35867.1</v>
      </c>
      <c r="D243" s="2" t="s">
        <v>5</v>
      </c>
    </row>
    <row r="244" spans="1:4" ht="15" customHeight="1" x14ac:dyDescent="0.25">
      <c r="A244" s="2" t="str">
        <f>"03059000451"</f>
        <v>03059000451</v>
      </c>
      <c r="B244" s="2" t="s">
        <v>247</v>
      </c>
      <c r="C244" s="2">
        <v>40853.22</v>
      </c>
      <c r="D244" s="2" t="s">
        <v>5</v>
      </c>
    </row>
    <row r="245" spans="1:4" ht="15" customHeight="1" x14ac:dyDescent="0.25">
      <c r="A245" s="2" t="str">
        <f>"03059000325"</f>
        <v>03059000325</v>
      </c>
      <c r="B245" s="2" t="s">
        <v>248</v>
      </c>
      <c r="C245" s="2">
        <v>37656.019999999997</v>
      </c>
      <c r="D245" s="2" t="s">
        <v>5</v>
      </c>
    </row>
    <row r="246" spans="1:4" ht="15" customHeight="1" x14ac:dyDescent="0.25">
      <c r="A246" s="2" t="str">
        <f>"05012000301"</f>
        <v>05012000301</v>
      </c>
      <c r="B246" s="2" t="s">
        <v>249</v>
      </c>
      <c r="C246" s="2">
        <v>78475.47</v>
      </c>
      <c r="D246" s="2" t="s">
        <v>5</v>
      </c>
    </row>
    <row r="247" spans="1:4" ht="15" customHeight="1" x14ac:dyDescent="0.25">
      <c r="A247" s="2" t="str">
        <f>"05012000300"</f>
        <v>05012000300</v>
      </c>
      <c r="B247" s="2" t="s">
        <v>250</v>
      </c>
      <c r="C247" s="2">
        <v>84080.84</v>
      </c>
      <c r="D247" s="2" t="s">
        <v>5</v>
      </c>
    </row>
    <row r="248" spans="1:4" ht="15" customHeight="1" x14ac:dyDescent="0.25">
      <c r="A248" s="2" t="str">
        <f>"05012002136"</f>
        <v>05012002136</v>
      </c>
      <c r="B248" s="2" t="s">
        <v>251</v>
      </c>
      <c r="C248" s="2">
        <v>34459.43</v>
      </c>
      <c r="D248" s="2" t="s">
        <v>5</v>
      </c>
    </row>
    <row r="249" spans="1:4" ht="15" customHeight="1" x14ac:dyDescent="0.25">
      <c r="A249" s="2" t="str">
        <f>"05012002137"</f>
        <v>05012002137</v>
      </c>
      <c r="B249" s="2" t="s">
        <v>252</v>
      </c>
      <c r="C249" s="2">
        <v>28357.23</v>
      </c>
      <c r="D249" s="2" t="s">
        <v>5</v>
      </c>
    </row>
    <row r="250" spans="1:4" ht="15" customHeight="1" x14ac:dyDescent="0.25">
      <c r="A250" s="2" t="str">
        <f>"05012002132"</f>
        <v>05012002132</v>
      </c>
      <c r="B250" s="2" t="s">
        <v>253</v>
      </c>
      <c r="C250" s="2">
        <v>473164.46</v>
      </c>
      <c r="D250" s="2" t="s">
        <v>5</v>
      </c>
    </row>
    <row r="251" spans="1:4" ht="15" customHeight="1" x14ac:dyDescent="0.25">
      <c r="A251" s="2" t="str">
        <f>"03016000035"</f>
        <v>03016000035</v>
      </c>
      <c r="B251" s="2" t="s">
        <v>254</v>
      </c>
      <c r="C251" s="2">
        <v>5349.24</v>
      </c>
      <c r="D251" s="2" t="s">
        <v>5</v>
      </c>
    </row>
    <row r="252" spans="1:4" ht="15" customHeight="1" x14ac:dyDescent="0.25">
      <c r="A252" s="2" t="str">
        <f>"03016000040"</f>
        <v>03016000040</v>
      </c>
      <c r="B252" s="2" t="s">
        <v>255</v>
      </c>
      <c r="C252" s="2">
        <v>6995.16</v>
      </c>
      <c r="D252" s="2" t="s">
        <v>5</v>
      </c>
    </row>
    <row r="253" spans="1:4" ht="15" customHeight="1" x14ac:dyDescent="0.25">
      <c r="A253" s="2" t="str">
        <f>"03016000042"</f>
        <v>03016000042</v>
      </c>
      <c r="B253" s="2" t="s">
        <v>256</v>
      </c>
      <c r="C253" s="2">
        <v>9669.7800000000007</v>
      </c>
      <c r="D253" s="2" t="s">
        <v>5</v>
      </c>
    </row>
    <row r="254" spans="1:4" ht="15" customHeight="1" x14ac:dyDescent="0.25">
      <c r="A254" s="2" t="str">
        <f>"03016000050"</f>
        <v>03016000050</v>
      </c>
      <c r="B254" s="2" t="s">
        <v>257</v>
      </c>
      <c r="C254" s="2">
        <v>12961.62</v>
      </c>
      <c r="D254" s="2" t="s">
        <v>5</v>
      </c>
    </row>
    <row r="255" spans="1:4" ht="15" customHeight="1" x14ac:dyDescent="0.25">
      <c r="A255" s="2" t="str">
        <f>"03016000055"</f>
        <v>03016000055</v>
      </c>
      <c r="B255" s="2" t="s">
        <v>258</v>
      </c>
      <c r="C255" s="2">
        <v>17282.16</v>
      </c>
      <c r="D255" s="2" t="s">
        <v>5</v>
      </c>
    </row>
    <row r="256" spans="1:4" ht="15" customHeight="1" x14ac:dyDescent="0.25">
      <c r="A256" s="2" t="str">
        <f>"03016000060"</f>
        <v>03016000060</v>
      </c>
      <c r="B256" s="2" t="s">
        <v>259</v>
      </c>
      <c r="C256" s="2">
        <v>30810.78</v>
      </c>
      <c r="D256" s="2" t="s">
        <v>5</v>
      </c>
    </row>
    <row r="257" spans="1:4" ht="15" customHeight="1" x14ac:dyDescent="0.25">
      <c r="A257" s="2" t="str">
        <f>"03016000045"</f>
        <v>03016000045</v>
      </c>
      <c r="B257" s="2" t="s">
        <v>260</v>
      </c>
      <c r="C257" s="2">
        <v>44234.1</v>
      </c>
      <c r="D257" s="2" t="s">
        <v>5</v>
      </c>
    </row>
    <row r="258" spans="1:4" ht="15" customHeight="1" x14ac:dyDescent="0.25">
      <c r="A258" s="2" t="str">
        <f>"03016000080"</f>
        <v>03016000080</v>
      </c>
      <c r="B258" s="2" t="s">
        <v>261</v>
      </c>
      <c r="C258" s="2">
        <v>5452.11</v>
      </c>
      <c r="D258" s="2" t="s">
        <v>5</v>
      </c>
    </row>
    <row r="259" spans="1:4" ht="15" customHeight="1" x14ac:dyDescent="0.25">
      <c r="A259" s="2" t="str">
        <f>"03016000085"</f>
        <v>03016000085</v>
      </c>
      <c r="B259" s="2" t="s">
        <v>262</v>
      </c>
      <c r="C259" s="2">
        <v>7097.22</v>
      </c>
      <c r="D259" s="2" t="s">
        <v>5</v>
      </c>
    </row>
    <row r="260" spans="1:4" ht="15" customHeight="1" x14ac:dyDescent="0.25">
      <c r="A260" s="2" t="str">
        <f>"03016000090"</f>
        <v>03016000090</v>
      </c>
      <c r="B260" s="2" t="s">
        <v>263</v>
      </c>
      <c r="C260" s="2">
        <v>10081.26</v>
      </c>
      <c r="D260" s="2" t="s">
        <v>5</v>
      </c>
    </row>
    <row r="261" spans="1:4" ht="15" customHeight="1" x14ac:dyDescent="0.25">
      <c r="A261" s="2" t="str">
        <f>"03016000065"</f>
        <v>03016000065</v>
      </c>
      <c r="B261" s="2" t="s">
        <v>264</v>
      </c>
      <c r="C261" s="2">
        <v>10523.52</v>
      </c>
      <c r="D261" s="2" t="s">
        <v>5</v>
      </c>
    </row>
    <row r="262" spans="1:4" ht="15" customHeight="1" x14ac:dyDescent="0.25">
      <c r="A262" s="2" t="str">
        <f>"03038000151"</f>
        <v>03038000151</v>
      </c>
      <c r="B262" s="2" t="s">
        <v>265</v>
      </c>
      <c r="C262" s="2">
        <v>624.79999999999995</v>
      </c>
      <c r="D262" s="2" t="s">
        <v>5</v>
      </c>
    </row>
    <row r="263" spans="1:4" ht="15" customHeight="1" x14ac:dyDescent="0.25">
      <c r="A263" s="2" t="str">
        <f>"06070000096"</f>
        <v>06070000096</v>
      </c>
      <c r="B263" s="2" t="s">
        <v>266</v>
      </c>
      <c r="C263" s="2">
        <v>985.31</v>
      </c>
      <c r="D263" s="2" t="s">
        <v>5</v>
      </c>
    </row>
    <row r="264" spans="1:4" ht="15" customHeight="1" x14ac:dyDescent="0.25">
      <c r="A264" s="2" t="str">
        <f>"06070000097"</f>
        <v>06070000097</v>
      </c>
      <c r="B264" s="2" t="s">
        <v>267</v>
      </c>
      <c r="C264" s="2">
        <v>3179.28</v>
      </c>
      <c r="D264" s="2" t="s">
        <v>5</v>
      </c>
    </row>
    <row r="265" spans="1:4" ht="15" customHeight="1" x14ac:dyDescent="0.25">
      <c r="A265" s="2" t="str">
        <f>"03038000161"</f>
        <v>03038000161</v>
      </c>
      <c r="B265" s="2" t="s">
        <v>268</v>
      </c>
      <c r="C265" s="2">
        <v>4657.2299999999996</v>
      </c>
      <c r="D265" s="2" t="s">
        <v>5</v>
      </c>
    </row>
    <row r="266" spans="1:4" ht="15" customHeight="1" x14ac:dyDescent="0.25">
      <c r="A266" s="2" t="str">
        <f>"05021000001"</f>
        <v>05021000001</v>
      </c>
      <c r="B266" s="2" t="s">
        <v>269</v>
      </c>
      <c r="C266" s="2">
        <v>2573.5500000000002</v>
      </c>
      <c r="D266" s="2" t="s">
        <v>5</v>
      </c>
    </row>
    <row r="267" spans="1:4" ht="15" customHeight="1" x14ac:dyDescent="0.25">
      <c r="A267" s="2" t="str">
        <f>"05021000003"</f>
        <v>05021000003</v>
      </c>
      <c r="B267" s="2" t="s">
        <v>270</v>
      </c>
      <c r="C267" s="2">
        <v>2945.07</v>
      </c>
      <c r="D267" s="2" t="s">
        <v>5</v>
      </c>
    </row>
    <row r="268" spans="1:4" ht="15" customHeight="1" x14ac:dyDescent="0.25">
      <c r="A268" s="2" t="str">
        <f>"05021000005"</f>
        <v>05021000005</v>
      </c>
      <c r="B268" s="2" t="s">
        <v>271</v>
      </c>
      <c r="C268" s="2">
        <v>1739.66</v>
      </c>
      <c r="D268" s="2" t="s">
        <v>5</v>
      </c>
    </row>
    <row r="269" spans="1:4" ht="15" customHeight="1" x14ac:dyDescent="0.25">
      <c r="A269" s="2" t="str">
        <f>"05021000007"</f>
        <v>05021000007</v>
      </c>
      <c r="B269" s="2" t="s">
        <v>272</v>
      </c>
      <c r="C269" s="2">
        <v>2487.44</v>
      </c>
      <c r="D269" s="2" t="s">
        <v>5</v>
      </c>
    </row>
    <row r="270" spans="1:4" ht="15" customHeight="1" x14ac:dyDescent="0.25">
      <c r="A270" s="2" t="str">
        <f>"05022000830"</f>
        <v>05022000830</v>
      </c>
      <c r="B270" s="2" t="s">
        <v>273</v>
      </c>
      <c r="C270" s="2">
        <v>2293.46</v>
      </c>
      <c r="D270" s="2" t="s">
        <v>5</v>
      </c>
    </row>
    <row r="271" spans="1:4" ht="15" customHeight="1" x14ac:dyDescent="0.25">
      <c r="A271" s="2" t="str">
        <f>"05022001004"</f>
        <v>05022001004</v>
      </c>
      <c r="B271" s="2" t="s">
        <v>274</v>
      </c>
      <c r="C271" s="2">
        <v>1982.12</v>
      </c>
      <c r="D271" s="2" t="s">
        <v>5</v>
      </c>
    </row>
    <row r="272" spans="1:4" ht="15" customHeight="1" x14ac:dyDescent="0.25">
      <c r="A272" s="2" t="str">
        <f>"05022000820"</f>
        <v>05022000820</v>
      </c>
      <c r="B272" s="2" t="s">
        <v>275</v>
      </c>
      <c r="C272" s="2">
        <v>3830.87</v>
      </c>
      <c r="D272" s="2" t="s">
        <v>5</v>
      </c>
    </row>
    <row r="273" spans="1:4" ht="15" customHeight="1" x14ac:dyDescent="0.25">
      <c r="A273" s="2" t="str">
        <f>"05022000815"</f>
        <v>05022000815</v>
      </c>
      <c r="B273" s="2" t="s">
        <v>276</v>
      </c>
      <c r="C273" s="2">
        <v>2241.59</v>
      </c>
      <c r="D273" s="2" t="s">
        <v>5</v>
      </c>
    </row>
    <row r="274" spans="1:4" ht="15" customHeight="1" x14ac:dyDescent="0.25">
      <c r="A274" s="2" t="str">
        <f>"03038000201"</f>
        <v>03038000201</v>
      </c>
      <c r="B274" s="2" t="s">
        <v>277</v>
      </c>
      <c r="C274" s="2">
        <v>162.27000000000001</v>
      </c>
      <c r="D274" s="2" t="s">
        <v>5</v>
      </c>
    </row>
    <row r="275" spans="1:4" ht="15" customHeight="1" x14ac:dyDescent="0.25">
      <c r="A275" s="2" t="str">
        <f>"05021000010"</f>
        <v>05021000010</v>
      </c>
      <c r="B275" s="2" t="s">
        <v>278</v>
      </c>
      <c r="C275" s="2">
        <v>1739.66</v>
      </c>
      <c r="D275" s="2" t="s">
        <v>5</v>
      </c>
    </row>
    <row r="276" spans="1:4" ht="15" customHeight="1" x14ac:dyDescent="0.25">
      <c r="A276" s="2" t="str">
        <f>"05021000015"</f>
        <v>05021000015</v>
      </c>
      <c r="B276" s="2" t="s">
        <v>279</v>
      </c>
      <c r="C276" s="2">
        <v>2487.44</v>
      </c>
      <c r="D276" s="2" t="s">
        <v>5</v>
      </c>
    </row>
    <row r="277" spans="1:4" ht="15" customHeight="1" x14ac:dyDescent="0.25">
      <c r="A277" s="2" t="str">
        <f>"05022000831"</f>
        <v>05022000831</v>
      </c>
      <c r="B277" s="2" t="s">
        <v>280</v>
      </c>
      <c r="C277" s="2">
        <v>2051.87</v>
      </c>
      <c r="D277" s="2" t="s">
        <v>5</v>
      </c>
    </row>
    <row r="278" spans="1:4" ht="15" customHeight="1" x14ac:dyDescent="0.25">
      <c r="A278" s="2" t="str">
        <f>"05022000810"</f>
        <v>05022000810</v>
      </c>
      <c r="B278" s="2" t="s">
        <v>281</v>
      </c>
      <c r="C278" s="2">
        <v>2267.19</v>
      </c>
      <c r="D278" s="2" t="s">
        <v>5</v>
      </c>
    </row>
    <row r="279" spans="1:4" ht="15" customHeight="1" x14ac:dyDescent="0.25">
      <c r="A279" s="2" t="str">
        <f>"05021000016"</f>
        <v>05021000016</v>
      </c>
      <c r="B279" s="2" t="s">
        <v>282</v>
      </c>
      <c r="C279" s="2">
        <v>4020.45</v>
      </c>
      <c r="D279" s="2" t="s">
        <v>5</v>
      </c>
    </row>
    <row r="280" spans="1:4" ht="15" customHeight="1" x14ac:dyDescent="0.25">
      <c r="A280" s="2" t="str">
        <f>"05021000017"</f>
        <v>05021000017</v>
      </c>
      <c r="B280" s="2" t="s">
        <v>283</v>
      </c>
      <c r="C280" s="2">
        <v>2736.11</v>
      </c>
      <c r="D280" s="2" t="s">
        <v>5</v>
      </c>
    </row>
    <row r="281" spans="1:4" ht="15" customHeight="1" x14ac:dyDescent="0.25">
      <c r="A281" s="2" t="str">
        <f>"05021000020"</f>
        <v>05021000020</v>
      </c>
      <c r="B281" s="2" t="s">
        <v>284</v>
      </c>
      <c r="C281" s="2">
        <v>3730.13</v>
      </c>
      <c r="D281" s="2" t="s">
        <v>5</v>
      </c>
    </row>
    <row r="282" spans="1:4" ht="15" customHeight="1" x14ac:dyDescent="0.25">
      <c r="A282" s="2" t="str">
        <f>"05022000825"</f>
        <v>05022000825</v>
      </c>
      <c r="B282" s="2" t="s">
        <v>285</v>
      </c>
      <c r="C282" s="2">
        <v>2913.33</v>
      </c>
      <c r="D282" s="2" t="s">
        <v>5</v>
      </c>
    </row>
    <row r="283" spans="1:4" ht="15" customHeight="1" x14ac:dyDescent="0.25">
      <c r="A283" s="2" t="str">
        <f>"05022001000"</f>
        <v>05022001000</v>
      </c>
      <c r="B283" s="2" t="s">
        <v>286</v>
      </c>
      <c r="C283" s="2">
        <v>2523.5</v>
      </c>
      <c r="D283" s="2" t="s">
        <v>5</v>
      </c>
    </row>
    <row r="284" spans="1:4" ht="15" customHeight="1" x14ac:dyDescent="0.25">
      <c r="A284" s="2" t="str">
        <f>"03011000422"</f>
        <v>03011000422</v>
      </c>
      <c r="B284" s="2" t="s">
        <v>287</v>
      </c>
      <c r="C284" s="2">
        <v>1354.59</v>
      </c>
      <c r="D284" s="2" t="s">
        <v>5</v>
      </c>
    </row>
    <row r="285" spans="1:4" ht="15" customHeight="1" x14ac:dyDescent="0.25">
      <c r="A285" s="2" t="str">
        <f>"03011000423"</f>
        <v>03011000423</v>
      </c>
      <c r="B285" s="2" t="s">
        <v>288</v>
      </c>
      <c r="C285" s="2">
        <v>1681.1</v>
      </c>
      <c r="D285" s="2" t="s">
        <v>5</v>
      </c>
    </row>
    <row r="286" spans="1:4" ht="15" customHeight="1" x14ac:dyDescent="0.25">
      <c r="A286" s="2" t="str">
        <f>"03032000041"</f>
        <v>03032000041</v>
      </c>
      <c r="B286" s="2" t="s">
        <v>289</v>
      </c>
      <c r="C286" s="2">
        <v>435.87</v>
      </c>
      <c r="D286" s="2" t="s">
        <v>5</v>
      </c>
    </row>
    <row r="287" spans="1:4" ht="15" customHeight="1" x14ac:dyDescent="0.25">
      <c r="A287" s="2" t="str">
        <f>"03032000021"</f>
        <v>03032000021</v>
      </c>
      <c r="B287" s="2" t="s">
        <v>290</v>
      </c>
      <c r="C287" s="2">
        <v>435.87</v>
      </c>
      <c r="D287" s="2" t="s">
        <v>5</v>
      </c>
    </row>
    <row r="288" spans="1:4" ht="15" customHeight="1" x14ac:dyDescent="0.25">
      <c r="A288" s="2" t="str">
        <f>"03038000241"</f>
        <v>03038000241</v>
      </c>
      <c r="B288" s="2" t="s">
        <v>291</v>
      </c>
      <c r="C288" s="2">
        <v>618.65</v>
      </c>
      <c r="D288" s="2" t="s">
        <v>5</v>
      </c>
    </row>
    <row r="289" spans="1:4" ht="15" customHeight="1" x14ac:dyDescent="0.25">
      <c r="A289" s="2" t="str">
        <f>"03011600200"</f>
        <v>03011600200</v>
      </c>
      <c r="B289" s="2" t="s">
        <v>292</v>
      </c>
      <c r="C289" s="2">
        <v>738.92</v>
      </c>
      <c r="D289" s="2" t="s">
        <v>5</v>
      </c>
    </row>
    <row r="290" spans="1:4" ht="15" customHeight="1" x14ac:dyDescent="0.25">
      <c r="A290" s="2" t="str">
        <f>"03011600210"</f>
        <v>03011600210</v>
      </c>
      <c r="B290" s="2" t="s">
        <v>293</v>
      </c>
      <c r="C290" s="2">
        <v>790.92</v>
      </c>
      <c r="D290" s="2" t="s">
        <v>5</v>
      </c>
    </row>
    <row r="291" spans="1:4" ht="15" customHeight="1" x14ac:dyDescent="0.25">
      <c r="A291" s="2" t="str">
        <f>"03011600220"</f>
        <v>03011600220</v>
      </c>
      <c r="B291" s="2" t="s">
        <v>294</v>
      </c>
      <c r="C291" s="2">
        <v>968.61</v>
      </c>
      <c r="D291" s="2" t="s">
        <v>5</v>
      </c>
    </row>
    <row r="292" spans="1:4" ht="15" customHeight="1" x14ac:dyDescent="0.25">
      <c r="A292" s="2" t="str">
        <f>"03038000242"</f>
        <v>03038000242</v>
      </c>
      <c r="B292" s="2" t="s">
        <v>295</v>
      </c>
      <c r="C292" s="2">
        <v>655.49</v>
      </c>
      <c r="D292" s="2" t="s">
        <v>5</v>
      </c>
    </row>
    <row r="293" spans="1:4" ht="15" customHeight="1" x14ac:dyDescent="0.25">
      <c r="A293" s="2" t="str">
        <f>"03011600010"</f>
        <v>03011600010</v>
      </c>
      <c r="B293" s="2" t="s">
        <v>296</v>
      </c>
      <c r="C293" s="2">
        <v>1997.9</v>
      </c>
      <c r="D293" s="2" t="s">
        <v>5</v>
      </c>
    </row>
    <row r="294" spans="1:4" ht="15" customHeight="1" x14ac:dyDescent="0.25">
      <c r="A294" s="2" t="str">
        <f>"03011600020"</f>
        <v>03011600020</v>
      </c>
      <c r="B294" s="2" t="s">
        <v>297</v>
      </c>
      <c r="C294" s="2">
        <v>2370.6</v>
      </c>
      <c r="D294" s="2" t="s">
        <v>5</v>
      </c>
    </row>
    <row r="295" spans="1:4" ht="15" customHeight="1" x14ac:dyDescent="0.25">
      <c r="A295" s="2" t="str">
        <f>"03011600030"</f>
        <v>03011600030</v>
      </c>
      <c r="B295" s="2" t="s">
        <v>298</v>
      </c>
      <c r="C295" s="2">
        <v>2501.6999999999998</v>
      </c>
      <c r="D295" s="2" t="s">
        <v>5</v>
      </c>
    </row>
    <row r="296" spans="1:4" ht="15" customHeight="1" x14ac:dyDescent="0.25">
      <c r="A296" s="2" t="str">
        <f>"03011600040"</f>
        <v>03011600040</v>
      </c>
      <c r="B296" s="2" t="s">
        <v>299</v>
      </c>
      <c r="C296" s="2">
        <v>9156.2900000000009</v>
      </c>
      <c r="D296" s="2" t="s">
        <v>5</v>
      </c>
    </row>
    <row r="297" spans="1:4" ht="15" customHeight="1" x14ac:dyDescent="0.25">
      <c r="A297" s="2" t="str">
        <f>"03011600050"</f>
        <v>03011600050</v>
      </c>
      <c r="B297" s="2" t="s">
        <v>300</v>
      </c>
      <c r="C297" s="2">
        <v>13560.54</v>
      </c>
      <c r="D297" s="2" t="s">
        <v>5</v>
      </c>
    </row>
    <row r="298" spans="1:4" ht="15" customHeight="1" x14ac:dyDescent="0.25">
      <c r="A298" s="2" t="str">
        <f>"03011600060"</f>
        <v>03011600060</v>
      </c>
      <c r="B298" s="2" t="s">
        <v>301</v>
      </c>
      <c r="C298" s="2">
        <v>15287.57</v>
      </c>
      <c r="D298" s="2" t="s">
        <v>5</v>
      </c>
    </row>
    <row r="299" spans="1:4" ht="15" customHeight="1" x14ac:dyDescent="0.25">
      <c r="A299" s="2" t="str">
        <f>"06070000005"</f>
        <v>06070000005</v>
      </c>
      <c r="B299" s="2" t="s">
        <v>302</v>
      </c>
      <c r="C299" s="2">
        <v>2198.16</v>
      </c>
      <c r="D299" s="2" t="s">
        <v>5</v>
      </c>
    </row>
    <row r="300" spans="1:4" ht="15" customHeight="1" x14ac:dyDescent="0.25">
      <c r="A300" s="2" t="str">
        <f>"03051000100"</f>
        <v>03051000100</v>
      </c>
      <c r="B300" s="2" t="s">
        <v>303</v>
      </c>
      <c r="C300" s="2">
        <v>606.29</v>
      </c>
      <c r="D300" s="2" t="s">
        <v>5</v>
      </c>
    </row>
    <row r="301" spans="1:4" ht="15" customHeight="1" x14ac:dyDescent="0.25">
      <c r="A301" s="2" t="str">
        <f>"05022000200"</f>
        <v>05022000200</v>
      </c>
      <c r="B301" s="2" t="s">
        <v>304</v>
      </c>
      <c r="C301" s="2">
        <v>525.02</v>
      </c>
      <c r="D301" s="2" t="s">
        <v>5</v>
      </c>
    </row>
    <row r="302" spans="1:4" ht="15" customHeight="1" x14ac:dyDescent="0.25">
      <c r="A302" s="2" t="str">
        <f>"05022001003"</f>
        <v>05022001003</v>
      </c>
      <c r="B302" s="2" t="s">
        <v>305</v>
      </c>
      <c r="C302" s="2">
        <v>331.82</v>
      </c>
      <c r="D302" s="2" t="s">
        <v>5</v>
      </c>
    </row>
    <row r="303" spans="1:4" ht="15" customHeight="1" x14ac:dyDescent="0.25">
      <c r="A303" s="2" t="str">
        <f>"05022000205"</f>
        <v>05022000205</v>
      </c>
      <c r="B303" s="2" t="s">
        <v>306</v>
      </c>
      <c r="C303" s="2">
        <v>1236.81</v>
      </c>
      <c r="D303" s="2" t="s">
        <v>5</v>
      </c>
    </row>
    <row r="304" spans="1:4" ht="15" customHeight="1" x14ac:dyDescent="0.25">
      <c r="A304" s="2" t="str">
        <f>"03034000012"</f>
        <v>03034000012</v>
      </c>
      <c r="B304" s="2" t="s">
        <v>307</v>
      </c>
      <c r="C304" s="2">
        <v>1322.58</v>
      </c>
      <c r="D304" s="2" t="s">
        <v>5</v>
      </c>
    </row>
    <row r="305" spans="1:4" ht="15" customHeight="1" x14ac:dyDescent="0.25">
      <c r="A305" s="2" t="str">
        <f>"03038000245"</f>
        <v>03038000245</v>
      </c>
      <c r="B305" s="2" t="s">
        <v>308</v>
      </c>
      <c r="C305" s="2">
        <v>1967.57</v>
      </c>
      <c r="D305" s="2" t="s">
        <v>5</v>
      </c>
    </row>
    <row r="306" spans="1:4" ht="15" customHeight="1" x14ac:dyDescent="0.25">
      <c r="A306" s="2" t="str">
        <f>"03034000013"</f>
        <v>03034000013</v>
      </c>
      <c r="B306" s="2" t="s">
        <v>309</v>
      </c>
      <c r="C306" s="2">
        <v>1491.23</v>
      </c>
      <c r="D306" s="2" t="s">
        <v>5</v>
      </c>
    </row>
    <row r="307" spans="1:4" ht="15" customHeight="1" x14ac:dyDescent="0.25">
      <c r="A307" s="2" t="str">
        <f>"06010000330"</f>
        <v>06010000330</v>
      </c>
      <c r="B307" s="2" t="s">
        <v>310</v>
      </c>
      <c r="C307" s="2">
        <v>3613.64</v>
      </c>
      <c r="D307" s="2" t="s">
        <v>5</v>
      </c>
    </row>
    <row r="308" spans="1:4" ht="15" customHeight="1" x14ac:dyDescent="0.25">
      <c r="A308" s="2" t="str">
        <f>"03038000251"</f>
        <v>03038000251</v>
      </c>
      <c r="B308" s="2" t="s">
        <v>311</v>
      </c>
      <c r="C308" s="2">
        <v>3342.9</v>
      </c>
      <c r="D308" s="2" t="s">
        <v>5</v>
      </c>
    </row>
    <row r="309" spans="1:4" ht="15" customHeight="1" x14ac:dyDescent="0.25">
      <c r="A309" s="2" t="str">
        <f>"03034000010"</f>
        <v>03034000010</v>
      </c>
      <c r="B309" s="2" t="s">
        <v>312</v>
      </c>
      <c r="C309" s="2">
        <v>954.95</v>
      </c>
      <c r="D309" s="2" t="s">
        <v>5</v>
      </c>
    </row>
    <row r="310" spans="1:4" ht="15" customHeight="1" x14ac:dyDescent="0.25">
      <c r="A310" s="2" t="str">
        <f>"03034000011"</f>
        <v>03034000011</v>
      </c>
      <c r="B310" s="2" t="s">
        <v>313</v>
      </c>
      <c r="C310" s="2">
        <v>1141.22</v>
      </c>
      <c r="D310" s="2" t="s">
        <v>5</v>
      </c>
    </row>
    <row r="311" spans="1:4" ht="15" customHeight="1" x14ac:dyDescent="0.25">
      <c r="A311" s="2" t="str">
        <f>"05021000550"</f>
        <v>05021000550</v>
      </c>
      <c r="B311" s="2" t="s">
        <v>314</v>
      </c>
      <c r="C311" s="2">
        <v>1122.71</v>
      </c>
      <c r="D311" s="2" t="s">
        <v>5</v>
      </c>
    </row>
    <row r="312" spans="1:4" ht="15" customHeight="1" x14ac:dyDescent="0.25">
      <c r="A312" s="2" t="str">
        <f>"05021000555"</f>
        <v>05021000555</v>
      </c>
      <c r="B312" s="2" t="s">
        <v>315</v>
      </c>
      <c r="C312" s="2">
        <v>1584.27</v>
      </c>
      <c r="D312" s="2" t="s">
        <v>5</v>
      </c>
    </row>
    <row r="313" spans="1:4" ht="15" customHeight="1" x14ac:dyDescent="0.25">
      <c r="A313" s="2" t="str">
        <f>"06010000300"</f>
        <v>06010000300</v>
      </c>
      <c r="B313" s="2" t="s">
        <v>316</v>
      </c>
      <c r="C313" s="2">
        <v>2308.9499999999998</v>
      </c>
      <c r="D313" s="2" t="s">
        <v>5</v>
      </c>
    </row>
    <row r="314" spans="1:4" ht="15" customHeight="1" x14ac:dyDescent="0.25">
      <c r="A314" s="2" t="str">
        <f>"06010000305"</f>
        <v>06010000305</v>
      </c>
      <c r="B314" s="2" t="s">
        <v>317</v>
      </c>
      <c r="C314" s="2">
        <v>6202.32</v>
      </c>
      <c r="D314" s="2" t="s">
        <v>5</v>
      </c>
    </row>
    <row r="315" spans="1:4" ht="15" customHeight="1" x14ac:dyDescent="0.25">
      <c r="A315" s="2" t="str">
        <f>"03048100005"</f>
        <v>03048100005</v>
      </c>
      <c r="B315" s="2" t="s">
        <v>318</v>
      </c>
      <c r="C315" s="2">
        <v>704.96</v>
      </c>
      <c r="D315" s="2" t="s">
        <v>5</v>
      </c>
    </row>
    <row r="316" spans="1:4" ht="15" customHeight="1" x14ac:dyDescent="0.25">
      <c r="A316" s="2" t="str">
        <f>"03048100010"</f>
        <v>03048100010</v>
      </c>
      <c r="B316" s="2" t="s">
        <v>319</v>
      </c>
      <c r="C316" s="2">
        <v>704.96</v>
      </c>
      <c r="D316" s="2" t="s">
        <v>5</v>
      </c>
    </row>
    <row r="317" spans="1:4" ht="15" customHeight="1" x14ac:dyDescent="0.25">
      <c r="A317" s="2" t="str">
        <f>"03050000320"</f>
        <v>03050000320</v>
      </c>
      <c r="B317" s="2" t="s">
        <v>320</v>
      </c>
      <c r="C317" s="2">
        <v>126.02</v>
      </c>
      <c r="D317" s="2" t="s">
        <v>5</v>
      </c>
    </row>
    <row r="318" spans="1:4" ht="15" customHeight="1" x14ac:dyDescent="0.25">
      <c r="A318" s="2" t="str">
        <f>"01002001200"</f>
        <v>01002001200</v>
      </c>
      <c r="B318" s="2" t="s">
        <v>321</v>
      </c>
      <c r="C318" s="2">
        <v>3075.83</v>
      </c>
      <c r="D318" s="2" t="s">
        <v>5</v>
      </c>
    </row>
    <row r="319" spans="1:4" ht="15" customHeight="1" x14ac:dyDescent="0.25">
      <c r="A319" s="2" t="str">
        <f>"01002001201"</f>
        <v>01002001201</v>
      </c>
      <c r="B319" s="2" t="s">
        <v>322</v>
      </c>
      <c r="C319" s="2">
        <v>3515.24</v>
      </c>
      <c r="D319" s="2" t="s">
        <v>5</v>
      </c>
    </row>
    <row r="320" spans="1:4" ht="15" customHeight="1" x14ac:dyDescent="0.25">
      <c r="A320" s="2" t="str">
        <f>"01002001202"</f>
        <v>01002001202</v>
      </c>
      <c r="B320" s="2" t="s">
        <v>323</v>
      </c>
      <c r="C320" s="2">
        <v>4915.8500000000004</v>
      </c>
      <c r="D320" s="2" t="s">
        <v>5</v>
      </c>
    </row>
    <row r="321" spans="1:4" ht="15" customHeight="1" x14ac:dyDescent="0.25">
      <c r="A321" s="2" t="str">
        <f>"01002001211"</f>
        <v>01002001211</v>
      </c>
      <c r="B321" s="2" t="s">
        <v>324</v>
      </c>
      <c r="C321" s="2">
        <v>1861.35</v>
      </c>
      <c r="D321" s="2" t="s">
        <v>5</v>
      </c>
    </row>
    <row r="322" spans="1:4" ht="15" customHeight="1" x14ac:dyDescent="0.25">
      <c r="A322" s="2" t="str">
        <f>"01002001212"</f>
        <v>01002001212</v>
      </c>
      <c r="B322" s="2" t="s">
        <v>325</v>
      </c>
      <c r="C322" s="2">
        <v>2550.4499999999998</v>
      </c>
      <c r="D322" s="2" t="s">
        <v>5</v>
      </c>
    </row>
    <row r="323" spans="1:4" ht="15" customHeight="1" x14ac:dyDescent="0.25">
      <c r="A323" s="2" t="str">
        <f>"01002001213"</f>
        <v>01002001213</v>
      </c>
      <c r="B323" s="2" t="s">
        <v>326</v>
      </c>
      <c r="C323" s="2">
        <v>3063.68</v>
      </c>
      <c r="D323" s="2" t="s">
        <v>5</v>
      </c>
    </row>
    <row r="324" spans="1:4" ht="15" customHeight="1" x14ac:dyDescent="0.25">
      <c r="A324" s="2" t="str">
        <f>"01002001214"</f>
        <v>01002001214</v>
      </c>
      <c r="B324" s="2" t="s">
        <v>327</v>
      </c>
      <c r="C324" s="2">
        <v>3127.86</v>
      </c>
      <c r="D324" s="2" t="s">
        <v>5</v>
      </c>
    </row>
    <row r="325" spans="1:4" ht="15" customHeight="1" x14ac:dyDescent="0.25">
      <c r="A325" s="2" t="str">
        <f>"01002001215"</f>
        <v>01002001215</v>
      </c>
      <c r="B325" s="2" t="s">
        <v>328</v>
      </c>
      <c r="C325" s="2">
        <v>5010.3900000000003</v>
      </c>
      <c r="D325" s="2" t="s">
        <v>5</v>
      </c>
    </row>
    <row r="326" spans="1:4" ht="15" customHeight="1" x14ac:dyDescent="0.25">
      <c r="A326" s="2" t="str">
        <f>"01002001216"</f>
        <v>01002001216</v>
      </c>
      <c r="B326" s="2" t="s">
        <v>329</v>
      </c>
      <c r="C326" s="2">
        <v>5154.17</v>
      </c>
      <c r="D326" s="2" t="s">
        <v>5</v>
      </c>
    </row>
    <row r="327" spans="1:4" ht="15" customHeight="1" x14ac:dyDescent="0.25">
      <c r="A327" s="2" t="str">
        <f>"01002000901"</f>
        <v>01002000901</v>
      </c>
      <c r="B327" s="2" t="s">
        <v>330</v>
      </c>
      <c r="C327" s="2">
        <v>1482.99</v>
      </c>
      <c r="D327" s="2" t="s">
        <v>5</v>
      </c>
    </row>
    <row r="328" spans="1:4" ht="15" customHeight="1" x14ac:dyDescent="0.25">
      <c r="A328" s="2" t="str">
        <f>"01002000900"</f>
        <v>01002000900</v>
      </c>
      <c r="B328" s="2" t="s">
        <v>331</v>
      </c>
      <c r="C328" s="2">
        <v>1268.93</v>
      </c>
      <c r="D328" s="2" t="s">
        <v>5</v>
      </c>
    </row>
    <row r="329" spans="1:4" ht="15" customHeight="1" x14ac:dyDescent="0.25">
      <c r="A329" s="2" t="str">
        <f>"01002000905"</f>
        <v>01002000905</v>
      </c>
      <c r="B329" s="2" t="s">
        <v>332</v>
      </c>
      <c r="C329" s="2">
        <v>2801.21</v>
      </c>
      <c r="D329" s="2" t="s">
        <v>5</v>
      </c>
    </row>
    <row r="330" spans="1:4" ht="15" customHeight="1" x14ac:dyDescent="0.25">
      <c r="A330" s="2" t="str">
        <f>"01002000902"</f>
        <v>01002000902</v>
      </c>
      <c r="B330" s="2" t="s">
        <v>333</v>
      </c>
      <c r="C330" s="2">
        <v>2279.4</v>
      </c>
      <c r="D330" s="2" t="s">
        <v>5</v>
      </c>
    </row>
    <row r="331" spans="1:4" ht="15" customHeight="1" x14ac:dyDescent="0.25">
      <c r="A331" s="2" t="str">
        <f>"01002001000"</f>
        <v>01002001000</v>
      </c>
      <c r="B331" s="2" t="s">
        <v>334</v>
      </c>
      <c r="C331" s="2">
        <v>4751.0600000000004</v>
      </c>
      <c r="D331" s="2" t="s">
        <v>5</v>
      </c>
    </row>
    <row r="332" spans="1:4" ht="15" customHeight="1" x14ac:dyDescent="0.25">
      <c r="A332" s="2" t="str">
        <f>"01002001001"</f>
        <v>01002001001</v>
      </c>
      <c r="B332" s="2" t="s">
        <v>335</v>
      </c>
      <c r="C332" s="2">
        <v>4394.04</v>
      </c>
      <c r="D332" s="2" t="s">
        <v>5</v>
      </c>
    </row>
    <row r="333" spans="1:4" ht="15" customHeight="1" x14ac:dyDescent="0.25">
      <c r="A333" s="2" t="str">
        <f>"01002001002"</f>
        <v>01002001002</v>
      </c>
      <c r="B333" s="2" t="s">
        <v>336</v>
      </c>
      <c r="C333" s="2">
        <v>4037.03</v>
      </c>
      <c r="D333" s="2" t="s">
        <v>5</v>
      </c>
    </row>
    <row r="334" spans="1:4" ht="15" customHeight="1" x14ac:dyDescent="0.25">
      <c r="A334" s="2" t="str">
        <f>"01002001003"</f>
        <v>01002001003</v>
      </c>
      <c r="B334" s="2" t="s">
        <v>337</v>
      </c>
      <c r="C334" s="2">
        <v>7387.49</v>
      </c>
      <c r="D334" s="2" t="s">
        <v>5</v>
      </c>
    </row>
    <row r="335" spans="1:4" ht="15" customHeight="1" x14ac:dyDescent="0.25">
      <c r="A335" s="2" t="str">
        <f>"01002001004"</f>
        <v>01002001004</v>
      </c>
      <c r="B335" s="2" t="s">
        <v>338</v>
      </c>
      <c r="C335" s="2">
        <v>6673.44</v>
      </c>
      <c r="D335" s="2" t="s">
        <v>5</v>
      </c>
    </row>
    <row r="336" spans="1:4" ht="15" customHeight="1" x14ac:dyDescent="0.25">
      <c r="A336" s="2" t="str">
        <f>"01002001005"</f>
        <v>01002001005</v>
      </c>
      <c r="B336" s="2" t="s">
        <v>339</v>
      </c>
      <c r="C336" s="2">
        <v>5986.88</v>
      </c>
      <c r="D336" s="2" t="s">
        <v>5</v>
      </c>
    </row>
    <row r="337" spans="1:4" ht="15" customHeight="1" x14ac:dyDescent="0.25">
      <c r="A337" s="2" t="str">
        <f>"01002001006"</f>
        <v>01002001006</v>
      </c>
      <c r="B337" s="2" t="s">
        <v>340</v>
      </c>
      <c r="C337" s="2">
        <v>5108.07</v>
      </c>
      <c r="D337" s="2" t="s">
        <v>5</v>
      </c>
    </row>
    <row r="338" spans="1:4" ht="15" customHeight="1" x14ac:dyDescent="0.25">
      <c r="A338" s="2" t="str">
        <f>"01002001007"</f>
        <v>01002001007</v>
      </c>
      <c r="B338" s="2" t="s">
        <v>341</v>
      </c>
      <c r="C338" s="2">
        <v>11946.3</v>
      </c>
      <c r="D338" s="2" t="s">
        <v>5</v>
      </c>
    </row>
    <row r="339" spans="1:4" ht="15" customHeight="1" x14ac:dyDescent="0.25">
      <c r="A339" s="2" t="str">
        <f>"01002001008"</f>
        <v>01002001008</v>
      </c>
      <c r="B339" s="2" t="s">
        <v>342</v>
      </c>
      <c r="C339" s="2">
        <v>10902.72</v>
      </c>
      <c r="D339" s="2" t="s">
        <v>5</v>
      </c>
    </row>
    <row r="340" spans="1:4" ht="15" customHeight="1" x14ac:dyDescent="0.25">
      <c r="A340" s="2" t="str">
        <f>"01002001009"</f>
        <v>01002001009</v>
      </c>
      <c r="B340" s="2" t="s">
        <v>343</v>
      </c>
      <c r="C340" s="2">
        <v>9831.66</v>
      </c>
      <c r="D340" s="2" t="s">
        <v>5</v>
      </c>
    </row>
    <row r="341" spans="1:4" ht="15" customHeight="1" x14ac:dyDescent="0.25">
      <c r="A341" s="2" t="str">
        <f>"01002001010"</f>
        <v>01002001010</v>
      </c>
      <c r="B341" s="2" t="s">
        <v>344</v>
      </c>
      <c r="C341" s="2">
        <v>7991.66</v>
      </c>
      <c r="D341" s="2" t="s">
        <v>5</v>
      </c>
    </row>
    <row r="342" spans="1:4" ht="15" customHeight="1" x14ac:dyDescent="0.25">
      <c r="A342" s="2" t="str">
        <f>"01002001011"</f>
        <v>01002001011</v>
      </c>
      <c r="B342" s="2" t="s">
        <v>345</v>
      </c>
      <c r="C342" s="2">
        <v>7469.87</v>
      </c>
      <c r="D342" s="2" t="s">
        <v>5</v>
      </c>
    </row>
    <row r="343" spans="1:4" ht="15" customHeight="1" x14ac:dyDescent="0.25">
      <c r="A343" s="2" t="str">
        <f>"01002010900"</f>
        <v>01002010900</v>
      </c>
      <c r="B343" s="2" t="s">
        <v>346</v>
      </c>
      <c r="C343" s="2">
        <v>1687.01</v>
      </c>
      <c r="D343" s="2" t="s">
        <v>5</v>
      </c>
    </row>
    <row r="344" spans="1:4" ht="15" customHeight="1" x14ac:dyDescent="0.25">
      <c r="A344" s="2" t="str">
        <f>"01002000108"</f>
        <v>01002000108</v>
      </c>
      <c r="B344" s="2" t="s">
        <v>347</v>
      </c>
      <c r="C344" s="2">
        <v>8513.4599999999991</v>
      </c>
      <c r="D344" s="2" t="s">
        <v>5</v>
      </c>
    </row>
    <row r="345" spans="1:4" ht="15" customHeight="1" x14ac:dyDescent="0.25">
      <c r="A345" s="2" t="str">
        <f>"01002000109"</f>
        <v>01002000109</v>
      </c>
      <c r="B345" s="2" t="s">
        <v>348</v>
      </c>
      <c r="C345" s="2">
        <v>8513.4599999999991</v>
      </c>
      <c r="D345" s="2" t="s">
        <v>5</v>
      </c>
    </row>
    <row r="346" spans="1:4" ht="15" customHeight="1" x14ac:dyDescent="0.25">
      <c r="A346" s="2" t="str">
        <f>"01002000107"</f>
        <v>01002000107</v>
      </c>
      <c r="B346" s="2" t="s">
        <v>349</v>
      </c>
      <c r="C346" s="2">
        <v>3680.01</v>
      </c>
      <c r="D346" s="2" t="s">
        <v>5</v>
      </c>
    </row>
    <row r="347" spans="1:4" ht="15" customHeight="1" x14ac:dyDescent="0.25">
      <c r="A347" s="2" t="str">
        <f>"01002000850"</f>
        <v>01002000850</v>
      </c>
      <c r="B347" s="2" t="s">
        <v>350</v>
      </c>
      <c r="C347" s="2">
        <v>1316.37</v>
      </c>
      <c r="D347" s="2" t="s">
        <v>5</v>
      </c>
    </row>
    <row r="348" spans="1:4" ht="15" customHeight="1" x14ac:dyDescent="0.25">
      <c r="A348" s="2" t="str">
        <f>"01002000102"</f>
        <v>01002000102</v>
      </c>
      <c r="B348" s="2" t="s">
        <v>351</v>
      </c>
      <c r="C348" s="2">
        <v>6430.46</v>
      </c>
      <c r="D348" s="2" t="s">
        <v>5</v>
      </c>
    </row>
    <row r="349" spans="1:4" ht="15" customHeight="1" x14ac:dyDescent="0.25">
      <c r="A349" s="2" t="str">
        <f>"01002000104"</f>
        <v>01002000104</v>
      </c>
      <c r="B349" s="2" t="s">
        <v>352</v>
      </c>
      <c r="C349" s="2">
        <v>20212.580000000002</v>
      </c>
      <c r="D349" s="2" t="s">
        <v>5</v>
      </c>
    </row>
    <row r="350" spans="1:4" ht="15" customHeight="1" x14ac:dyDescent="0.25">
      <c r="A350" s="2" t="str">
        <f>"01002000103"</f>
        <v>01002000103</v>
      </c>
      <c r="B350" s="2" t="s">
        <v>353</v>
      </c>
      <c r="C350" s="2">
        <v>11589.29</v>
      </c>
      <c r="D350" s="2" t="s">
        <v>5</v>
      </c>
    </row>
    <row r="351" spans="1:4" ht="15" customHeight="1" x14ac:dyDescent="0.25">
      <c r="A351" s="2" t="str">
        <f>"01002000100"</f>
        <v>01002000100</v>
      </c>
      <c r="B351" s="2" t="s">
        <v>354</v>
      </c>
      <c r="C351" s="2">
        <v>2611.41</v>
      </c>
      <c r="D351" s="2" t="s">
        <v>5</v>
      </c>
    </row>
    <row r="352" spans="1:4" ht="15" customHeight="1" x14ac:dyDescent="0.25">
      <c r="A352" s="2" t="str">
        <f>"01002010005"</f>
        <v>01002010005</v>
      </c>
      <c r="B352" s="2" t="s">
        <v>355</v>
      </c>
      <c r="C352" s="2">
        <v>2569.73</v>
      </c>
      <c r="D352" s="2" t="s">
        <v>5</v>
      </c>
    </row>
    <row r="353" spans="1:4" ht="15" customHeight="1" x14ac:dyDescent="0.25">
      <c r="A353" s="2" t="str">
        <f>"01002000105"</f>
        <v>01002000105</v>
      </c>
      <c r="B353" s="2" t="s">
        <v>356</v>
      </c>
      <c r="C353" s="2">
        <v>28286.639999999999</v>
      </c>
      <c r="D353" s="2" t="s">
        <v>5</v>
      </c>
    </row>
    <row r="354" spans="1:4" ht="15" customHeight="1" x14ac:dyDescent="0.25">
      <c r="A354" s="2" t="str">
        <f>"01002000101"</f>
        <v>01002000101</v>
      </c>
      <c r="B354" s="2" t="s">
        <v>357</v>
      </c>
      <c r="C354" s="2">
        <v>3724.64</v>
      </c>
      <c r="D354" s="2" t="s">
        <v>5</v>
      </c>
    </row>
    <row r="355" spans="1:4" ht="15" customHeight="1" x14ac:dyDescent="0.25">
      <c r="A355" s="2" t="str">
        <f>"01002010054"</f>
        <v>01002010054</v>
      </c>
      <c r="B355" s="2" t="s">
        <v>358</v>
      </c>
      <c r="C355" s="2">
        <v>4139.04</v>
      </c>
      <c r="D355" s="2" t="s">
        <v>5</v>
      </c>
    </row>
    <row r="356" spans="1:4" ht="15" customHeight="1" x14ac:dyDescent="0.25">
      <c r="A356" s="2" t="str">
        <f>"01002000851"</f>
        <v>01002000851</v>
      </c>
      <c r="B356" s="2" t="s">
        <v>359</v>
      </c>
      <c r="C356" s="2">
        <v>1192.4000000000001</v>
      </c>
      <c r="D356" s="2" t="s">
        <v>5</v>
      </c>
    </row>
    <row r="357" spans="1:4" ht="15" customHeight="1" x14ac:dyDescent="0.25">
      <c r="A357" s="2" t="str">
        <f>"01002000113"</f>
        <v>01002000113</v>
      </c>
      <c r="B357" s="2" t="s">
        <v>360</v>
      </c>
      <c r="C357" s="2">
        <v>11259.74</v>
      </c>
      <c r="D357" s="2" t="s">
        <v>5</v>
      </c>
    </row>
    <row r="358" spans="1:4" ht="15" customHeight="1" x14ac:dyDescent="0.25">
      <c r="A358" s="2" t="str">
        <f>"01002000110"</f>
        <v>01002000110</v>
      </c>
      <c r="B358" s="2" t="s">
        <v>361</v>
      </c>
      <c r="C358" s="2">
        <v>2445.92</v>
      </c>
      <c r="D358" s="2" t="s">
        <v>5</v>
      </c>
    </row>
    <row r="359" spans="1:4" ht="15" customHeight="1" x14ac:dyDescent="0.25">
      <c r="A359" s="2" t="str">
        <f>"01002010050"</f>
        <v>01002010050</v>
      </c>
      <c r="B359" s="2" t="s">
        <v>362</v>
      </c>
      <c r="C359" s="2">
        <v>2569.73</v>
      </c>
      <c r="D359" s="2" t="s">
        <v>5</v>
      </c>
    </row>
    <row r="360" spans="1:4" ht="15" customHeight="1" x14ac:dyDescent="0.25">
      <c r="A360" s="2" t="str">
        <f>"01002000114"</f>
        <v>01002000114</v>
      </c>
      <c r="B360" s="2" t="s">
        <v>363</v>
      </c>
      <c r="C360" s="2">
        <v>19855.580000000002</v>
      </c>
      <c r="D360" s="2" t="s">
        <v>5</v>
      </c>
    </row>
    <row r="361" spans="1:4" ht="15" customHeight="1" x14ac:dyDescent="0.25">
      <c r="A361" s="2" t="str">
        <f>"01002000115"</f>
        <v>01002000115</v>
      </c>
      <c r="B361" s="2" t="s">
        <v>364</v>
      </c>
      <c r="C361" s="2">
        <v>28135.59</v>
      </c>
      <c r="D361" s="2" t="s">
        <v>5</v>
      </c>
    </row>
    <row r="362" spans="1:4" ht="15" customHeight="1" x14ac:dyDescent="0.25">
      <c r="A362" s="2" t="str">
        <f>"01002000111"</f>
        <v>01002000111</v>
      </c>
      <c r="B362" s="2" t="s">
        <v>365</v>
      </c>
      <c r="C362" s="2">
        <v>3323</v>
      </c>
      <c r="D362" s="2" t="s">
        <v>5</v>
      </c>
    </row>
    <row r="363" spans="1:4" ht="15" customHeight="1" x14ac:dyDescent="0.25">
      <c r="A363" s="2" t="str">
        <f>"01002010056"</f>
        <v>01002010056</v>
      </c>
      <c r="B363" s="2" t="s">
        <v>366</v>
      </c>
      <c r="C363" s="2">
        <v>3511.32</v>
      </c>
      <c r="D363" s="2" t="s">
        <v>5</v>
      </c>
    </row>
    <row r="364" spans="1:4" ht="15" customHeight="1" x14ac:dyDescent="0.25">
      <c r="A364" s="2" t="str">
        <f>"01002000112"</f>
        <v>01002000112</v>
      </c>
      <c r="B364" s="2" t="s">
        <v>367</v>
      </c>
      <c r="C364" s="2">
        <v>6234.3</v>
      </c>
      <c r="D364" s="2" t="s">
        <v>5</v>
      </c>
    </row>
    <row r="365" spans="1:4" ht="15" customHeight="1" x14ac:dyDescent="0.25">
      <c r="A365" s="2" t="str">
        <f>"01002000302"</f>
        <v>01002000302</v>
      </c>
      <c r="B365" s="2" t="s">
        <v>368</v>
      </c>
      <c r="C365" s="2">
        <v>3089.57</v>
      </c>
      <c r="D365" s="2" t="s">
        <v>5</v>
      </c>
    </row>
    <row r="366" spans="1:4" ht="15" customHeight="1" x14ac:dyDescent="0.25">
      <c r="A366" s="2" t="str">
        <f>"01002000304"</f>
        <v>01002000304</v>
      </c>
      <c r="B366" s="2" t="s">
        <v>369</v>
      </c>
      <c r="C366" s="2">
        <v>79090.289999999994</v>
      </c>
      <c r="D366" s="2" t="s">
        <v>5</v>
      </c>
    </row>
    <row r="367" spans="1:4" ht="15" customHeight="1" x14ac:dyDescent="0.25">
      <c r="A367" s="2" t="str">
        <f>"01002000355"</f>
        <v>01002000355</v>
      </c>
      <c r="B367" s="2" t="s">
        <v>370</v>
      </c>
      <c r="C367" s="2">
        <v>7991.66</v>
      </c>
      <c r="D367" s="2" t="s">
        <v>5</v>
      </c>
    </row>
    <row r="368" spans="1:4" ht="15" customHeight="1" x14ac:dyDescent="0.25">
      <c r="A368" s="2" t="str">
        <f>"01002000303"</f>
        <v>01002000303</v>
      </c>
      <c r="B368" s="2" t="s">
        <v>371</v>
      </c>
      <c r="C368" s="2">
        <v>5629.88</v>
      </c>
      <c r="D368" s="2" t="s">
        <v>5</v>
      </c>
    </row>
    <row r="369" spans="1:4" ht="15" customHeight="1" x14ac:dyDescent="0.25">
      <c r="A369" s="2" t="str">
        <f>"01002000353"</f>
        <v>01002000353</v>
      </c>
      <c r="B369" s="2" t="s">
        <v>372</v>
      </c>
      <c r="C369" s="2">
        <v>3597.62</v>
      </c>
      <c r="D369" s="2" t="s">
        <v>5</v>
      </c>
    </row>
    <row r="370" spans="1:4" ht="15" customHeight="1" x14ac:dyDescent="0.25">
      <c r="A370" s="2" t="str">
        <f>"01002000354"</f>
        <v>01002000354</v>
      </c>
      <c r="B370" s="2" t="s">
        <v>373</v>
      </c>
      <c r="C370" s="2">
        <v>3597.62</v>
      </c>
      <c r="D370" s="2" t="s">
        <v>5</v>
      </c>
    </row>
    <row r="371" spans="1:4" ht="15" customHeight="1" x14ac:dyDescent="0.25">
      <c r="A371" s="2" t="str">
        <f>"01002000300"</f>
        <v>01002000300</v>
      </c>
      <c r="B371" s="2" t="s">
        <v>374</v>
      </c>
      <c r="C371" s="2">
        <v>1757.63</v>
      </c>
      <c r="D371" s="2" t="s">
        <v>5</v>
      </c>
    </row>
    <row r="372" spans="1:4" ht="15" customHeight="1" x14ac:dyDescent="0.25">
      <c r="A372" s="2" t="str">
        <f>"01002010490"</f>
        <v>01002010490</v>
      </c>
      <c r="B372" s="2" t="s">
        <v>375</v>
      </c>
      <c r="C372" s="2">
        <v>1942.01</v>
      </c>
      <c r="D372" s="2" t="s">
        <v>5</v>
      </c>
    </row>
    <row r="373" spans="1:4" ht="15" customHeight="1" x14ac:dyDescent="0.25">
      <c r="A373" s="2" t="str">
        <f>"01002000350"</f>
        <v>01002000350</v>
      </c>
      <c r="B373" s="2" t="s">
        <v>376</v>
      </c>
      <c r="C373" s="2">
        <v>1757.63</v>
      </c>
      <c r="D373" s="2" t="s">
        <v>5</v>
      </c>
    </row>
    <row r="374" spans="1:4" ht="15" customHeight="1" x14ac:dyDescent="0.25">
      <c r="A374" s="2" t="str">
        <f>"01002000305"</f>
        <v>01002000305</v>
      </c>
      <c r="B374" s="2" t="s">
        <v>377</v>
      </c>
      <c r="C374" s="2">
        <v>13539.14</v>
      </c>
      <c r="D374" s="2" t="s">
        <v>5</v>
      </c>
    </row>
    <row r="375" spans="1:4" ht="15" customHeight="1" x14ac:dyDescent="0.25">
      <c r="A375" s="2" t="str">
        <f>"01002000301"</f>
        <v>01002000301</v>
      </c>
      <c r="B375" s="2" t="s">
        <v>378</v>
      </c>
      <c r="C375" s="2">
        <v>2556.2399999999998</v>
      </c>
      <c r="D375" s="2" t="s">
        <v>5</v>
      </c>
    </row>
    <row r="376" spans="1:4" ht="15" customHeight="1" x14ac:dyDescent="0.25">
      <c r="A376" s="2" t="str">
        <f>"01002010495"</f>
        <v>01002010495</v>
      </c>
      <c r="B376" s="2" t="s">
        <v>379</v>
      </c>
      <c r="C376" s="2">
        <v>2883.59</v>
      </c>
      <c r="D376" s="2" t="s">
        <v>5</v>
      </c>
    </row>
    <row r="377" spans="1:4" ht="15" customHeight="1" x14ac:dyDescent="0.25">
      <c r="A377" s="2" t="str">
        <f>"01002000351"</f>
        <v>01002000351</v>
      </c>
      <c r="B377" s="2" t="s">
        <v>380</v>
      </c>
      <c r="C377" s="2">
        <v>2718.81</v>
      </c>
      <c r="D377" s="2" t="s">
        <v>5</v>
      </c>
    </row>
    <row r="378" spans="1:4" ht="15" customHeight="1" x14ac:dyDescent="0.25">
      <c r="A378" s="2" t="str">
        <f>"01002010500"</f>
        <v>01002010500</v>
      </c>
      <c r="B378" s="2" t="s">
        <v>381</v>
      </c>
      <c r="C378" s="2">
        <v>2883.59</v>
      </c>
      <c r="D378" s="2" t="s">
        <v>5</v>
      </c>
    </row>
    <row r="379" spans="1:4" ht="15" customHeight="1" x14ac:dyDescent="0.25">
      <c r="A379" s="2" t="str">
        <f>"03051000110"</f>
        <v>03051000110</v>
      </c>
      <c r="B379" s="2" t="s">
        <v>382</v>
      </c>
      <c r="C379" s="2">
        <v>546.77</v>
      </c>
      <c r="D379" s="2" t="s">
        <v>5</v>
      </c>
    </row>
    <row r="380" spans="1:4" ht="15" customHeight="1" x14ac:dyDescent="0.25">
      <c r="A380" s="2" t="str">
        <f>"01002003000"</f>
        <v>01002003000</v>
      </c>
      <c r="B380" s="2" t="s">
        <v>383</v>
      </c>
      <c r="C380" s="2">
        <v>1755.5</v>
      </c>
      <c r="D380" s="2" t="s">
        <v>5</v>
      </c>
    </row>
    <row r="381" spans="1:4" ht="15" customHeight="1" x14ac:dyDescent="0.25">
      <c r="A381" s="2" t="str">
        <f>"01002003005"</f>
        <v>01002003005</v>
      </c>
      <c r="B381" s="2" t="s">
        <v>384</v>
      </c>
      <c r="C381" s="2">
        <v>2902.59</v>
      </c>
      <c r="D381" s="2" t="s">
        <v>5</v>
      </c>
    </row>
    <row r="382" spans="1:4" ht="15" customHeight="1" x14ac:dyDescent="0.25">
      <c r="A382" s="2" t="str">
        <f>"01002003010"</f>
        <v>01002003010</v>
      </c>
      <c r="B382" s="2" t="s">
        <v>385</v>
      </c>
      <c r="C382" s="2">
        <v>3623.72</v>
      </c>
      <c r="D382" s="2" t="s">
        <v>5</v>
      </c>
    </row>
    <row r="383" spans="1:4" ht="15" customHeight="1" x14ac:dyDescent="0.25">
      <c r="A383" s="2" t="str">
        <f>"01002003015"</f>
        <v>01002003015</v>
      </c>
      <c r="B383" s="2" t="s">
        <v>386</v>
      </c>
      <c r="C383" s="2">
        <v>4314.75</v>
      </c>
      <c r="D383" s="2" t="s">
        <v>5</v>
      </c>
    </row>
    <row r="384" spans="1:4" ht="15" customHeight="1" x14ac:dyDescent="0.25">
      <c r="A384" s="2" t="str">
        <f>"01002003020"</f>
        <v>01002003020</v>
      </c>
      <c r="B384" s="2" t="s">
        <v>387</v>
      </c>
      <c r="C384" s="2">
        <v>5408.51</v>
      </c>
      <c r="D384" s="2" t="s">
        <v>5</v>
      </c>
    </row>
    <row r="385" spans="1:4" ht="15" customHeight="1" x14ac:dyDescent="0.25">
      <c r="A385" s="2" t="str">
        <f>"01002003021"</f>
        <v>01002003021</v>
      </c>
      <c r="B385" s="2" t="s">
        <v>388</v>
      </c>
      <c r="C385" s="2">
        <v>7169.22</v>
      </c>
      <c r="D385" s="2" t="s">
        <v>5</v>
      </c>
    </row>
    <row r="386" spans="1:4" ht="15" customHeight="1" x14ac:dyDescent="0.25">
      <c r="A386" s="2" t="str">
        <f>"01002003025"</f>
        <v>01002003025</v>
      </c>
      <c r="B386" s="2" t="s">
        <v>389</v>
      </c>
      <c r="C386" s="2">
        <v>2223.9499999999998</v>
      </c>
      <c r="D386" s="2" t="s">
        <v>5</v>
      </c>
    </row>
    <row r="387" spans="1:4" ht="15" customHeight="1" x14ac:dyDescent="0.25">
      <c r="A387" s="2" t="str">
        <f>"01002003030"</f>
        <v>01002003030</v>
      </c>
      <c r="B387" s="2" t="s">
        <v>390</v>
      </c>
      <c r="C387" s="2">
        <v>3469.29</v>
      </c>
      <c r="D387" s="2" t="s">
        <v>5</v>
      </c>
    </row>
    <row r="388" spans="1:4" ht="15" customHeight="1" x14ac:dyDescent="0.25">
      <c r="A388" s="2" t="str">
        <f>"01002003035"</f>
        <v>01002003035</v>
      </c>
      <c r="B388" s="2" t="s">
        <v>391</v>
      </c>
      <c r="C388" s="2">
        <v>4395.8</v>
      </c>
      <c r="D388" s="2" t="s">
        <v>5</v>
      </c>
    </row>
    <row r="389" spans="1:4" ht="15" customHeight="1" x14ac:dyDescent="0.25">
      <c r="A389" s="2" t="str">
        <f>"01002003040"</f>
        <v>01002003040</v>
      </c>
      <c r="B389" s="2" t="s">
        <v>392</v>
      </c>
      <c r="C389" s="2">
        <v>5232.8100000000004</v>
      </c>
      <c r="D389" s="2" t="s">
        <v>5</v>
      </c>
    </row>
    <row r="390" spans="1:4" ht="15" customHeight="1" x14ac:dyDescent="0.25">
      <c r="A390" s="2" t="str">
        <f>"01002003045"</f>
        <v>01002003045</v>
      </c>
      <c r="B390" s="2" t="s">
        <v>393</v>
      </c>
      <c r="C390" s="2">
        <v>6575.22</v>
      </c>
      <c r="D390" s="2" t="s">
        <v>5</v>
      </c>
    </row>
    <row r="391" spans="1:4" ht="15" customHeight="1" x14ac:dyDescent="0.25">
      <c r="A391" s="2" t="str">
        <f>"01002003046"</f>
        <v>01002003046</v>
      </c>
      <c r="B391" s="2" t="s">
        <v>394</v>
      </c>
      <c r="C391" s="2">
        <v>8746.23</v>
      </c>
      <c r="D391" s="2" t="s">
        <v>5</v>
      </c>
    </row>
    <row r="392" spans="1:4" ht="15" customHeight="1" x14ac:dyDescent="0.25">
      <c r="A392" s="2" t="str">
        <f>"01002003050"</f>
        <v>01002003050</v>
      </c>
      <c r="B392" s="2" t="s">
        <v>395</v>
      </c>
      <c r="C392" s="2">
        <v>3440.43</v>
      </c>
      <c r="D392" s="2" t="s">
        <v>5</v>
      </c>
    </row>
    <row r="393" spans="1:4" ht="15" customHeight="1" x14ac:dyDescent="0.25">
      <c r="A393" s="2" t="str">
        <f>"01002003055"</f>
        <v>01002003055</v>
      </c>
      <c r="B393" s="2" t="s">
        <v>396</v>
      </c>
      <c r="C393" s="2">
        <v>5433.75</v>
      </c>
      <c r="D393" s="2" t="s">
        <v>5</v>
      </c>
    </row>
    <row r="394" spans="1:4" ht="15" customHeight="1" x14ac:dyDescent="0.25">
      <c r="A394" s="2" t="str">
        <f>"01002003060"</f>
        <v>01002003060</v>
      </c>
      <c r="B394" s="2" t="s">
        <v>397</v>
      </c>
      <c r="C394" s="2">
        <v>6808.65</v>
      </c>
      <c r="D394" s="2" t="s">
        <v>5</v>
      </c>
    </row>
    <row r="395" spans="1:4" ht="15" customHeight="1" x14ac:dyDescent="0.25">
      <c r="A395" s="2" t="str">
        <f>"01002003065"</f>
        <v>01002003065</v>
      </c>
      <c r="B395" s="2" t="s">
        <v>398</v>
      </c>
      <c r="C395" s="2">
        <v>8206.4</v>
      </c>
      <c r="D395" s="2" t="s">
        <v>5</v>
      </c>
    </row>
    <row r="396" spans="1:4" ht="15" customHeight="1" x14ac:dyDescent="0.25">
      <c r="A396" s="2" t="str">
        <f>"01002003070"</f>
        <v>01002003070</v>
      </c>
      <c r="B396" s="2" t="s">
        <v>399</v>
      </c>
      <c r="C396" s="2">
        <v>10200.14</v>
      </c>
      <c r="D396" s="2" t="s">
        <v>5</v>
      </c>
    </row>
    <row r="397" spans="1:4" ht="15" customHeight="1" x14ac:dyDescent="0.25">
      <c r="A397" s="2" t="str">
        <f>"01002002035"</f>
        <v>01002002035</v>
      </c>
      <c r="B397" s="2" t="s">
        <v>400</v>
      </c>
      <c r="C397" s="2">
        <v>11149.88</v>
      </c>
      <c r="D397" s="2" t="s">
        <v>5</v>
      </c>
    </row>
    <row r="398" spans="1:4" ht="15" customHeight="1" x14ac:dyDescent="0.25">
      <c r="A398" s="2" t="str">
        <f>"01002002040"</f>
        <v>01002002040</v>
      </c>
      <c r="B398" s="2" t="s">
        <v>401</v>
      </c>
      <c r="C398" s="2">
        <v>2554.02</v>
      </c>
      <c r="D398" s="2" t="s">
        <v>5</v>
      </c>
    </row>
    <row r="399" spans="1:4" ht="15" customHeight="1" x14ac:dyDescent="0.25">
      <c r="A399" s="2" t="str">
        <f>"01002002030"</f>
        <v>01002002030</v>
      </c>
      <c r="B399" s="2" t="s">
        <v>402</v>
      </c>
      <c r="C399" s="2">
        <v>5190.47</v>
      </c>
      <c r="D399" s="2" t="s">
        <v>5</v>
      </c>
    </row>
    <row r="400" spans="1:4" ht="15" customHeight="1" x14ac:dyDescent="0.25">
      <c r="A400" s="2" t="str">
        <f>"01002003700"</f>
        <v>01002003700</v>
      </c>
      <c r="B400" s="2" t="s">
        <v>403</v>
      </c>
      <c r="C400" s="2">
        <v>10200.14</v>
      </c>
      <c r="D400" s="2" t="s">
        <v>5</v>
      </c>
    </row>
    <row r="401" spans="1:4" ht="15" customHeight="1" x14ac:dyDescent="0.25">
      <c r="A401" s="2" t="str">
        <f>"01002003500"</f>
        <v>01002003500</v>
      </c>
      <c r="B401" s="2" t="s">
        <v>404</v>
      </c>
      <c r="C401" s="2">
        <v>5408.51</v>
      </c>
      <c r="D401" s="2" t="s">
        <v>5</v>
      </c>
    </row>
    <row r="402" spans="1:4" ht="15" customHeight="1" x14ac:dyDescent="0.25">
      <c r="A402" s="2" t="str">
        <f>"01002003600"</f>
        <v>01002003600</v>
      </c>
      <c r="B402" s="2" t="s">
        <v>405</v>
      </c>
      <c r="C402" s="2">
        <v>6575.22</v>
      </c>
      <c r="D402" s="2" t="s">
        <v>5</v>
      </c>
    </row>
    <row r="403" spans="1:4" ht="15" customHeight="1" x14ac:dyDescent="0.25">
      <c r="A403" s="2" t="str">
        <f>"01002010016"</f>
        <v>01002010016</v>
      </c>
      <c r="B403" s="2" t="s">
        <v>406</v>
      </c>
      <c r="C403" s="2">
        <v>2846.37</v>
      </c>
      <c r="D403" s="2" t="s">
        <v>5</v>
      </c>
    </row>
    <row r="404" spans="1:4" ht="15" customHeight="1" x14ac:dyDescent="0.25">
      <c r="A404" s="2" t="str">
        <f>"01002010017"</f>
        <v>01002010017</v>
      </c>
      <c r="B404" s="2" t="s">
        <v>407</v>
      </c>
      <c r="C404" s="2">
        <v>2846.37</v>
      </c>
      <c r="D404" s="2" t="s">
        <v>5</v>
      </c>
    </row>
    <row r="405" spans="1:4" ht="15" customHeight="1" x14ac:dyDescent="0.25">
      <c r="A405" s="2" t="str">
        <f>"01002010018"</f>
        <v>01002010018</v>
      </c>
      <c r="B405" s="2" t="s">
        <v>408</v>
      </c>
      <c r="C405" s="2">
        <v>2033.09</v>
      </c>
      <c r="D405" s="2" t="s">
        <v>5</v>
      </c>
    </row>
    <row r="406" spans="1:4" ht="15" customHeight="1" x14ac:dyDescent="0.25">
      <c r="A406" s="2" t="str">
        <f>"01002010019"</f>
        <v>01002010019</v>
      </c>
      <c r="B406" s="2" t="s">
        <v>409</v>
      </c>
      <c r="C406" s="2">
        <v>2033.09</v>
      </c>
      <c r="D406" s="2" t="s">
        <v>5</v>
      </c>
    </row>
    <row r="407" spans="1:4" ht="15" customHeight="1" x14ac:dyDescent="0.25">
      <c r="A407" s="2" t="str">
        <f>"01002010021"</f>
        <v>01002010021</v>
      </c>
      <c r="B407" s="2" t="s">
        <v>410</v>
      </c>
      <c r="C407" s="2">
        <v>3065.1</v>
      </c>
      <c r="D407" s="2" t="s">
        <v>5</v>
      </c>
    </row>
    <row r="408" spans="1:4" ht="15" customHeight="1" x14ac:dyDescent="0.25">
      <c r="A408" s="2" t="str">
        <f>"01002000700"</f>
        <v>01002000700</v>
      </c>
      <c r="B408" s="2" t="s">
        <v>411</v>
      </c>
      <c r="C408" s="2">
        <v>2336.66</v>
      </c>
      <c r="D408" s="2" t="s">
        <v>5</v>
      </c>
    </row>
    <row r="409" spans="1:4" ht="15" customHeight="1" x14ac:dyDescent="0.25">
      <c r="A409" s="2" t="str">
        <f>"01002000506"</f>
        <v>01002000506</v>
      </c>
      <c r="B409" s="2" t="s">
        <v>412</v>
      </c>
      <c r="C409" s="2">
        <v>3158.22</v>
      </c>
      <c r="D409" s="2" t="s">
        <v>5</v>
      </c>
    </row>
    <row r="410" spans="1:4" ht="15" customHeight="1" x14ac:dyDescent="0.25">
      <c r="A410" s="2" t="str">
        <f>"01002000508"</f>
        <v>01002000508</v>
      </c>
      <c r="B410" s="2" t="s">
        <v>413</v>
      </c>
      <c r="C410" s="2">
        <v>7195.25</v>
      </c>
      <c r="D410" s="2" t="s">
        <v>5</v>
      </c>
    </row>
    <row r="411" spans="1:4" ht="15" customHeight="1" x14ac:dyDescent="0.25">
      <c r="A411" s="2" t="str">
        <f>"01002000507"</f>
        <v>01002000507</v>
      </c>
      <c r="B411" s="2" t="s">
        <v>414</v>
      </c>
      <c r="C411" s="2">
        <v>6069.27</v>
      </c>
      <c r="D411" s="2" t="s">
        <v>5</v>
      </c>
    </row>
    <row r="412" spans="1:4" ht="15" customHeight="1" x14ac:dyDescent="0.25">
      <c r="A412" s="2" t="str">
        <f>"01002000551"</f>
        <v>01002000551</v>
      </c>
      <c r="B412" s="2" t="s">
        <v>415</v>
      </c>
      <c r="C412" s="2">
        <v>2807.58</v>
      </c>
      <c r="D412" s="2" t="s">
        <v>5</v>
      </c>
    </row>
    <row r="413" spans="1:4" ht="15" customHeight="1" x14ac:dyDescent="0.25">
      <c r="A413" s="2" t="str">
        <f>"01002000500"</f>
        <v>01002000500</v>
      </c>
      <c r="B413" s="2" t="s">
        <v>416</v>
      </c>
      <c r="C413" s="2">
        <v>1510.46</v>
      </c>
      <c r="D413" s="2" t="s">
        <v>5</v>
      </c>
    </row>
    <row r="414" spans="1:4" ht="15" customHeight="1" x14ac:dyDescent="0.25">
      <c r="A414" s="2" t="str">
        <f>"01002010010"</f>
        <v>01002010010</v>
      </c>
      <c r="B414" s="2" t="s">
        <v>417</v>
      </c>
      <c r="C414" s="2">
        <v>1824.32</v>
      </c>
      <c r="D414" s="2" t="s">
        <v>5</v>
      </c>
    </row>
    <row r="415" spans="1:4" ht="15" customHeight="1" x14ac:dyDescent="0.25">
      <c r="A415" s="2" t="str">
        <f>"01002010020"</f>
        <v>01002010020</v>
      </c>
      <c r="B415" s="2" t="s">
        <v>418</v>
      </c>
      <c r="C415" s="2">
        <v>1749.03</v>
      </c>
      <c r="D415" s="2" t="s">
        <v>5</v>
      </c>
    </row>
    <row r="416" spans="1:4" ht="15" customHeight="1" x14ac:dyDescent="0.25">
      <c r="A416" s="2" t="str">
        <f>"01002000509"</f>
        <v>01002000509</v>
      </c>
      <c r="B416" s="2" t="s">
        <v>419</v>
      </c>
      <c r="C416" s="2">
        <v>12385.7</v>
      </c>
      <c r="D416" s="2" t="s">
        <v>5</v>
      </c>
    </row>
    <row r="417" spans="1:4" ht="15" customHeight="1" x14ac:dyDescent="0.25">
      <c r="A417" s="2" t="str">
        <f>"01002000505"</f>
        <v>01002000505</v>
      </c>
      <c r="B417" s="2" t="s">
        <v>420</v>
      </c>
      <c r="C417" s="2">
        <v>2179.86</v>
      </c>
      <c r="D417" s="2" t="s">
        <v>5</v>
      </c>
    </row>
    <row r="418" spans="1:4" ht="15" customHeight="1" x14ac:dyDescent="0.25">
      <c r="A418" s="2" t="str">
        <f>"01002010015"</f>
        <v>01002010015</v>
      </c>
      <c r="B418" s="2" t="s">
        <v>421</v>
      </c>
      <c r="C418" s="2">
        <v>2569.73</v>
      </c>
      <c r="D418" s="2" t="s">
        <v>5</v>
      </c>
    </row>
    <row r="419" spans="1:4" ht="15" customHeight="1" x14ac:dyDescent="0.25">
      <c r="A419" s="2" t="str">
        <f>"01002000550"</f>
        <v>01002000550</v>
      </c>
      <c r="B419" s="2" t="s">
        <v>422</v>
      </c>
      <c r="C419" s="2">
        <v>2041.32</v>
      </c>
      <c r="D419" s="2" t="s">
        <v>5</v>
      </c>
    </row>
    <row r="420" spans="1:4" ht="15" customHeight="1" x14ac:dyDescent="0.25">
      <c r="A420" s="2" t="str">
        <f>"01002000131"</f>
        <v>01002000131</v>
      </c>
      <c r="B420" s="2" t="s">
        <v>423</v>
      </c>
      <c r="C420" s="2">
        <v>2608.9699999999998</v>
      </c>
      <c r="D420" s="2" t="s">
        <v>5</v>
      </c>
    </row>
    <row r="421" spans="1:4" ht="15" customHeight="1" x14ac:dyDescent="0.25">
      <c r="A421" s="2" t="str">
        <f>"01002000130"</f>
        <v>01002000130</v>
      </c>
      <c r="B421" s="2" t="s">
        <v>424</v>
      </c>
      <c r="C421" s="2">
        <v>3295.53</v>
      </c>
      <c r="D421" s="2" t="s">
        <v>5</v>
      </c>
    </row>
    <row r="422" spans="1:4" ht="15" customHeight="1" x14ac:dyDescent="0.25">
      <c r="A422" s="2" t="str">
        <f>"01002000141"</f>
        <v>01002000141</v>
      </c>
      <c r="B422" s="2" t="s">
        <v>425</v>
      </c>
      <c r="C422" s="2">
        <v>3788.39</v>
      </c>
      <c r="D422" s="2" t="s">
        <v>5</v>
      </c>
    </row>
    <row r="423" spans="1:4" ht="15" customHeight="1" x14ac:dyDescent="0.25">
      <c r="A423" s="2" t="str">
        <f>"01002000150"</f>
        <v>01002000150</v>
      </c>
      <c r="B423" s="2" t="s">
        <v>426</v>
      </c>
      <c r="C423" s="2">
        <v>6508.68</v>
      </c>
      <c r="D423" s="2" t="s">
        <v>5</v>
      </c>
    </row>
    <row r="424" spans="1:4" ht="15" customHeight="1" x14ac:dyDescent="0.25">
      <c r="A424" s="2" t="str">
        <f>"01002000142"</f>
        <v>01002000142</v>
      </c>
      <c r="B424" s="2" t="s">
        <v>427</v>
      </c>
      <c r="C424" s="2">
        <v>1537.92</v>
      </c>
      <c r="D424" s="2" t="s">
        <v>5</v>
      </c>
    </row>
    <row r="425" spans="1:4" ht="15" customHeight="1" x14ac:dyDescent="0.25">
      <c r="A425" s="2" t="str">
        <f>"01002000140"</f>
        <v>01002000140</v>
      </c>
      <c r="B425" s="2" t="s">
        <v>428</v>
      </c>
      <c r="C425" s="2">
        <v>2280.39</v>
      </c>
      <c r="D425" s="2" t="s">
        <v>5</v>
      </c>
    </row>
    <row r="426" spans="1:4" ht="15" customHeight="1" x14ac:dyDescent="0.25">
      <c r="A426" s="2" t="str">
        <f>"01002000202"</f>
        <v>01002000202</v>
      </c>
      <c r="B426" s="2" t="s">
        <v>429</v>
      </c>
      <c r="C426" s="2">
        <v>7490.48</v>
      </c>
      <c r="D426" s="2" t="s">
        <v>5</v>
      </c>
    </row>
    <row r="427" spans="1:4" ht="15" customHeight="1" x14ac:dyDescent="0.25">
      <c r="A427" s="2" t="str">
        <f>"01002000204"</f>
        <v>01002000204</v>
      </c>
      <c r="B427" s="2" t="s">
        <v>430</v>
      </c>
      <c r="C427" s="2">
        <v>16257.96</v>
      </c>
      <c r="D427" s="2" t="s">
        <v>5</v>
      </c>
    </row>
    <row r="428" spans="1:4" ht="15" customHeight="1" x14ac:dyDescent="0.25">
      <c r="A428" s="2" t="str">
        <f>"01002000203"</f>
        <v>01002000203</v>
      </c>
      <c r="B428" s="2" t="s">
        <v>431</v>
      </c>
      <c r="C428" s="2">
        <v>13264.52</v>
      </c>
      <c r="D428" s="2" t="s">
        <v>5</v>
      </c>
    </row>
    <row r="429" spans="1:4" ht="15" customHeight="1" x14ac:dyDescent="0.25">
      <c r="A429" s="2" t="str">
        <f>"01002000200"</f>
        <v>01002000200</v>
      </c>
      <c r="B429" s="2" t="s">
        <v>432</v>
      </c>
      <c r="C429" s="2">
        <v>2878.08</v>
      </c>
      <c r="D429" s="2" t="s">
        <v>5</v>
      </c>
    </row>
    <row r="430" spans="1:4" ht="15" customHeight="1" x14ac:dyDescent="0.25">
      <c r="A430" s="2" t="str">
        <f>"01002000852"</f>
        <v>01002000852</v>
      </c>
      <c r="B430" s="2" t="s">
        <v>433</v>
      </c>
      <c r="C430" s="2">
        <v>1536.62</v>
      </c>
      <c r="D430" s="2" t="s">
        <v>5</v>
      </c>
    </row>
    <row r="431" spans="1:4" ht="15" customHeight="1" x14ac:dyDescent="0.25">
      <c r="A431" s="2" t="str">
        <f>"01002000205"</f>
        <v>01002000205</v>
      </c>
      <c r="B431" s="2" t="s">
        <v>434</v>
      </c>
      <c r="C431" s="2">
        <v>27764.84</v>
      </c>
      <c r="D431" s="2" t="s">
        <v>5</v>
      </c>
    </row>
    <row r="432" spans="1:4" ht="15" customHeight="1" x14ac:dyDescent="0.25">
      <c r="A432" s="2" t="str">
        <f>"01002000201"</f>
        <v>01002000201</v>
      </c>
      <c r="B432" s="2" t="s">
        <v>435</v>
      </c>
      <c r="C432" s="2">
        <v>4915.8500000000004</v>
      </c>
      <c r="D432" s="2" t="s">
        <v>5</v>
      </c>
    </row>
    <row r="433" spans="1:4" ht="15" customHeight="1" x14ac:dyDescent="0.25">
      <c r="A433" s="2" t="str">
        <f>"01002000210"</f>
        <v>01002000210</v>
      </c>
      <c r="B433" s="2" t="s">
        <v>436</v>
      </c>
      <c r="C433" s="2">
        <v>4394.04</v>
      </c>
      <c r="D433" s="2" t="s">
        <v>5</v>
      </c>
    </row>
    <row r="434" spans="1:4" ht="15" customHeight="1" x14ac:dyDescent="0.25">
      <c r="A434" s="2" t="str">
        <f>"01002010030"</f>
        <v>01002010030</v>
      </c>
      <c r="B434" s="2" t="s">
        <v>437</v>
      </c>
      <c r="C434" s="2">
        <v>3825.18</v>
      </c>
      <c r="D434" s="2" t="s">
        <v>5</v>
      </c>
    </row>
    <row r="435" spans="1:4" ht="15" customHeight="1" x14ac:dyDescent="0.25">
      <c r="A435" s="2" t="str">
        <f>"01002010052"</f>
        <v>01002010052</v>
      </c>
      <c r="B435" s="2" t="s">
        <v>438</v>
      </c>
      <c r="C435" s="2">
        <v>4766.76</v>
      </c>
      <c r="D435" s="2" t="s">
        <v>5</v>
      </c>
    </row>
    <row r="436" spans="1:4" ht="15" customHeight="1" x14ac:dyDescent="0.25">
      <c r="A436" s="2" t="str">
        <f>"01002000800"</f>
        <v>01002000800</v>
      </c>
      <c r="B436" s="2" t="s">
        <v>439</v>
      </c>
      <c r="C436" s="2">
        <v>1841.22</v>
      </c>
      <c r="D436" s="2" t="s">
        <v>5</v>
      </c>
    </row>
    <row r="437" spans="1:4" ht="15" customHeight="1" x14ac:dyDescent="0.25">
      <c r="A437" s="2" t="str">
        <f>"01002000801"</f>
        <v>01002000801</v>
      </c>
      <c r="B437" s="2" t="s">
        <v>440</v>
      </c>
      <c r="C437" s="2">
        <v>2548.2600000000002</v>
      </c>
      <c r="D437" s="2" t="s">
        <v>5</v>
      </c>
    </row>
    <row r="438" spans="1:4" ht="15" customHeight="1" x14ac:dyDescent="0.25">
      <c r="A438" s="2" t="str">
        <f>"01002000802"</f>
        <v>01002000802</v>
      </c>
      <c r="B438" s="2" t="s">
        <v>441</v>
      </c>
      <c r="C438" s="2">
        <v>2308.23</v>
      </c>
      <c r="D438" s="2" t="s">
        <v>5</v>
      </c>
    </row>
    <row r="439" spans="1:4" ht="15" customHeight="1" x14ac:dyDescent="0.25">
      <c r="A439" s="2" t="str">
        <f>"01002000803"</f>
        <v>01002000803</v>
      </c>
      <c r="B439" s="2" t="s">
        <v>442</v>
      </c>
      <c r="C439" s="2">
        <v>2920.58</v>
      </c>
      <c r="D439" s="2" t="s">
        <v>5</v>
      </c>
    </row>
    <row r="440" spans="1:4" ht="15" customHeight="1" x14ac:dyDescent="0.25">
      <c r="A440" s="2" t="str">
        <f>"01002000804"</f>
        <v>01002000804</v>
      </c>
      <c r="B440" s="2" t="s">
        <v>443</v>
      </c>
      <c r="C440" s="2">
        <v>4515.26</v>
      </c>
      <c r="D440" s="2" t="s">
        <v>5</v>
      </c>
    </row>
    <row r="441" spans="1:4" ht="15" customHeight="1" x14ac:dyDescent="0.25">
      <c r="A441" s="2" t="str">
        <f>"03051000150"</f>
        <v>03051000150</v>
      </c>
      <c r="B441" s="2" t="s">
        <v>444</v>
      </c>
      <c r="C441" s="2">
        <v>697.23</v>
      </c>
      <c r="D441" s="2" t="s">
        <v>5</v>
      </c>
    </row>
    <row r="442" spans="1:4" ht="15" customHeight="1" x14ac:dyDescent="0.25">
      <c r="A442" s="2" t="str">
        <f>"01002000116"</f>
        <v>01002000116</v>
      </c>
      <c r="B442" s="2" t="s">
        <v>445</v>
      </c>
      <c r="C442" s="2">
        <v>961.2</v>
      </c>
      <c r="D442" s="2" t="s">
        <v>5</v>
      </c>
    </row>
    <row r="443" spans="1:4" ht="15" customHeight="1" x14ac:dyDescent="0.25">
      <c r="A443" s="2" t="str">
        <f>"01002000117"</f>
        <v>01002000117</v>
      </c>
      <c r="B443" s="2" t="s">
        <v>446</v>
      </c>
      <c r="C443" s="2">
        <v>1318.22</v>
      </c>
      <c r="D443" s="2" t="s">
        <v>5</v>
      </c>
    </row>
    <row r="444" spans="1:4" ht="15" customHeight="1" x14ac:dyDescent="0.25">
      <c r="A444" s="2" t="str">
        <f>"01002001100"</f>
        <v>01002001100</v>
      </c>
      <c r="B444" s="2" t="s">
        <v>447</v>
      </c>
      <c r="C444" s="2">
        <v>601.66999999999996</v>
      </c>
      <c r="D444" s="2" t="s">
        <v>5</v>
      </c>
    </row>
    <row r="445" spans="1:4" ht="15" customHeight="1" x14ac:dyDescent="0.25">
      <c r="A445" s="2" t="str">
        <f>"01002001105"</f>
        <v>01002001105</v>
      </c>
      <c r="B445" s="2" t="s">
        <v>448</v>
      </c>
      <c r="C445" s="2">
        <v>682.19</v>
      </c>
      <c r="D445" s="2" t="s">
        <v>5</v>
      </c>
    </row>
    <row r="446" spans="1:4" ht="15" customHeight="1" x14ac:dyDescent="0.25">
      <c r="A446" s="2" t="str">
        <f>"01002000607"</f>
        <v>01002000607</v>
      </c>
      <c r="B446" s="2" t="s">
        <v>449</v>
      </c>
      <c r="C446" s="2">
        <v>14945.13</v>
      </c>
      <c r="D446" s="2" t="s">
        <v>5</v>
      </c>
    </row>
    <row r="447" spans="1:4" ht="15" customHeight="1" x14ac:dyDescent="0.25">
      <c r="A447" s="2" t="str">
        <f>"01002000609"</f>
        <v>01002000609</v>
      </c>
      <c r="B447" s="2" t="s">
        <v>450</v>
      </c>
      <c r="C447" s="2">
        <v>52206.71</v>
      </c>
      <c r="D447" s="2" t="s">
        <v>5</v>
      </c>
    </row>
    <row r="448" spans="1:4" ht="15" customHeight="1" x14ac:dyDescent="0.25">
      <c r="A448" s="2" t="str">
        <f>"01002000608"</f>
        <v>01002000608</v>
      </c>
      <c r="B448" s="2" t="s">
        <v>451</v>
      </c>
      <c r="C448" s="2">
        <v>33998.9</v>
      </c>
      <c r="D448" s="2" t="s">
        <v>5</v>
      </c>
    </row>
    <row r="449" spans="1:4" ht="15" customHeight="1" x14ac:dyDescent="0.25">
      <c r="A449" s="2" t="str">
        <f>"01002000603"</f>
        <v>01002000603</v>
      </c>
      <c r="B449" s="2" t="s">
        <v>452</v>
      </c>
      <c r="C449" s="2">
        <v>6755.84</v>
      </c>
      <c r="D449" s="2" t="s">
        <v>5</v>
      </c>
    </row>
    <row r="450" spans="1:4" ht="15" customHeight="1" x14ac:dyDescent="0.25">
      <c r="A450" s="2" t="str">
        <f>"01002000610"</f>
        <v>01002000610</v>
      </c>
      <c r="B450" s="2" t="s">
        <v>453</v>
      </c>
      <c r="C450" s="2">
        <v>79971.56</v>
      </c>
      <c r="D450" s="2" t="s">
        <v>5</v>
      </c>
    </row>
    <row r="451" spans="1:4" ht="15" customHeight="1" x14ac:dyDescent="0.25">
      <c r="A451" s="2" t="str">
        <f>"01002000605"</f>
        <v>01002000605</v>
      </c>
      <c r="B451" s="2" t="s">
        <v>454</v>
      </c>
      <c r="C451" s="2">
        <v>10106.299999999999</v>
      </c>
      <c r="D451" s="2" t="s">
        <v>5</v>
      </c>
    </row>
    <row r="452" spans="1:4" ht="15" customHeight="1" x14ac:dyDescent="0.25">
      <c r="A452" s="2" t="str">
        <f>"03025200005"</f>
        <v>03025200005</v>
      </c>
      <c r="B452" s="2" t="s">
        <v>455</v>
      </c>
      <c r="C452" s="2">
        <v>72663.320000000007</v>
      </c>
      <c r="D452" s="2" t="s">
        <v>5</v>
      </c>
    </row>
    <row r="453" spans="1:4" ht="15" customHeight="1" x14ac:dyDescent="0.25">
      <c r="A453" s="2" t="str">
        <f>"03025200010"</f>
        <v>03025200010</v>
      </c>
      <c r="B453" s="2" t="s">
        <v>456</v>
      </c>
      <c r="C453" s="2">
        <v>95264.91</v>
      </c>
      <c r="D453" s="2" t="s">
        <v>5</v>
      </c>
    </row>
    <row r="454" spans="1:4" ht="15" customHeight="1" x14ac:dyDescent="0.25">
      <c r="A454" s="2" t="str">
        <f>"03025200015"</f>
        <v>03025200015</v>
      </c>
      <c r="B454" s="2" t="s">
        <v>457</v>
      </c>
      <c r="C454" s="2">
        <v>119380.71</v>
      </c>
      <c r="D454" s="2" t="s">
        <v>5</v>
      </c>
    </row>
    <row r="455" spans="1:4" ht="15" customHeight="1" x14ac:dyDescent="0.25">
      <c r="A455" s="2" t="str">
        <f>"03025200020"</f>
        <v>03025200020</v>
      </c>
      <c r="B455" s="2" t="s">
        <v>458</v>
      </c>
      <c r="C455" s="2">
        <v>190336.07</v>
      </c>
      <c r="D455" s="2" t="s">
        <v>5</v>
      </c>
    </row>
    <row r="456" spans="1:4" ht="15" customHeight="1" x14ac:dyDescent="0.25">
      <c r="A456" s="2" t="str">
        <f>"03025200025"</f>
        <v>03025200025</v>
      </c>
      <c r="B456" s="2" t="s">
        <v>459</v>
      </c>
      <c r="C456" s="2">
        <v>212692.31</v>
      </c>
      <c r="D456" s="2" t="s">
        <v>5</v>
      </c>
    </row>
    <row r="457" spans="1:4" ht="15" customHeight="1" x14ac:dyDescent="0.25">
      <c r="A457" s="2" t="str">
        <f>"03025200030"</f>
        <v>03025200030</v>
      </c>
      <c r="B457" s="2" t="s">
        <v>460</v>
      </c>
      <c r="C457" s="2">
        <v>376980.32</v>
      </c>
      <c r="D457" s="2" t="s">
        <v>5</v>
      </c>
    </row>
    <row r="458" spans="1:4" ht="15" customHeight="1" x14ac:dyDescent="0.25">
      <c r="A458" s="2" t="str">
        <f>"03025200035"</f>
        <v>03025200035</v>
      </c>
      <c r="B458" s="2" t="s">
        <v>461</v>
      </c>
      <c r="C458" s="2">
        <v>561827.1</v>
      </c>
      <c r="D458" s="2" t="s">
        <v>5</v>
      </c>
    </row>
    <row r="459" spans="1:4" ht="15" customHeight="1" x14ac:dyDescent="0.25">
      <c r="A459" s="2" t="str">
        <f>"03025200040"</f>
        <v>03025200040</v>
      </c>
      <c r="B459" s="2" t="s">
        <v>462</v>
      </c>
      <c r="C459" s="2">
        <v>884705.33</v>
      </c>
      <c r="D459" s="2" t="s">
        <v>5</v>
      </c>
    </row>
    <row r="460" spans="1:4" ht="15" customHeight="1" x14ac:dyDescent="0.25">
      <c r="A460" s="2" t="str">
        <f>"01002201200"</f>
        <v>01002201200</v>
      </c>
      <c r="B460" s="2" t="s">
        <v>463</v>
      </c>
      <c r="C460" s="2">
        <v>914.51</v>
      </c>
      <c r="D460" s="2" t="s">
        <v>5</v>
      </c>
    </row>
    <row r="461" spans="1:4" ht="15" customHeight="1" x14ac:dyDescent="0.25">
      <c r="A461" s="2" t="str">
        <f>"01002201210"</f>
        <v>01002201210</v>
      </c>
      <c r="B461" s="2" t="s">
        <v>464</v>
      </c>
      <c r="C461" s="2">
        <v>1853.73</v>
      </c>
      <c r="D461" s="2" t="s">
        <v>5</v>
      </c>
    </row>
    <row r="462" spans="1:4" ht="15" customHeight="1" x14ac:dyDescent="0.25">
      <c r="A462" s="2" t="str">
        <f>"01002201205"</f>
        <v>01002201205</v>
      </c>
      <c r="B462" s="2" t="s">
        <v>465</v>
      </c>
      <c r="C462" s="2">
        <v>1334.69</v>
      </c>
      <c r="D462" s="2" t="s">
        <v>5</v>
      </c>
    </row>
    <row r="463" spans="1:4" ht="15" customHeight="1" x14ac:dyDescent="0.25">
      <c r="A463" s="2" t="str">
        <f>"01002200010"</f>
        <v>01002200010</v>
      </c>
      <c r="B463" s="2" t="s">
        <v>466</v>
      </c>
      <c r="C463" s="2">
        <v>1260.54</v>
      </c>
      <c r="D463" s="2" t="s">
        <v>5</v>
      </c>
    </row>
    <row r="464" spans="1:4" ht="15" customHeight="1" x14ac:dyDescent="0.25">
      <c r="A464" s="2" t="str">
        <f>"01002201005"</f>
        <v>01002201005</v>
      </c>
      <c r="B464" s="2" t="s">
        <v>467</v>
      </c>
      <c r="C464" s="2">
        <v>1927.88</v>
      </c>
      <c r="D464" s="2" t="s">
        <v>5</v>
      </c>
    </row>
    <row r="465" spans="1:4" ht="15" customHeight="1" x14ac:dyDescent="0.25">
      <c r="A465" s="2" t="str">
        <f>"01002201110"</f>
        <v>01002201110</v>
      </c>
      <c r="B465" s="2" t="s">
        <v>468</v>
      </c>
      <c r="C465" s="2">
        <v>2175.0500000000002</v>
      </c>
      <c r="D465" s="2" t="s">
        <v>5</v>
      </c>
    </row>
    <row r="466" spans="1:4" ht="15" customHeight="1" x14ac:dyDescent="0.25">
      <c r="A466" s="2" t="str">
        <f>"01002201010"</f>
        <v>01002201010</v>
      </c>
      <c r="B466" s="2" t="s">
        <v>469</v>
      </c>
      <c r="C466" s="2">
        <v>2273.91</v>
      </c>
      <c r="D466" s="2" t="s">
        <v>5</v>
      </c>
    </row>
    <row r="467" spans="1:4" ht="15" customHeight="1" x14ac:dyDescent="0.25">
      <c r="A467" s="2" t="str">
        <f>"01002201112"</f>
        <v>01002201112</v>
      </c>
      <c r="B467" s="2" t="s">
        <v>470</v>
      </c>
      <c r="C467" s="2">
        <v>3361.44</v>
      </c>
      <c r="D467" s="2" t="s">
        <v>5</v>
      </c>
    </row>
    <row r="468" spans="1:4" ht="15" customHeight="1" x14ac:dyDescent="0.25">
      <c r="A468" s="2" t="str">
        <f>"01002200015"</f>
        <v>01002200015</v>
      </c>
      <c r="B468" s="2" t="s">
        <v>471</v>
      </c>
      <c r="C468" s="2">
        <v>2694.09</v>
      </c>
      <c r="D468" s="2" t="s">
        <v>5</v>
      </c>
    </row>
    <row r="469" spans="1:4" ht="15" customHeight="1" x14ac:dyDescent="0.25">
      <c r="A469" s="2" t="str">
        <f>"01002201015"</f>
        <v>01002201015</v>
      </c>
      <c r="B469" s="2" t="s">
        <v>472</v>
      </c>
      <c r="C469" s="2">
        <v>2941.26</v>
      </c>
      <c r="D469" s="2" t="s">
        <v>5</v>
      </c>
    </row>
    <row r="470" spans="1:4" ht="15" customHeight="1" x14ac:dyDescent="0.25">
      <c r="A470" s="2" t="str">
        <f>"01002201100"</f>
        <v>01002201100</v>
      </c>
      <c r="B470" s="2" t="s">
        <v>473</v>
      </c>
      <c r="C470" s="2">
        <v>3188.42</v>
      </c>
      <c r="D470" s="2" t="s">
        <v>5</v>
      </c>
    </row>
    <row r="471" spans="1:4" ht="15" customHeight="1" x14ac:dyDescent="0.25">
      <c r="A471" s="2" t="str">
        <f>"01002200017"</f>
        <v>01002200017</v>
      </c>
      <c r="B471" s="2" t="s">
        <v>474</v>
      </c>
      <c r="C471" s="2">
        <v>5400.56</v>
      </c>
      <c r="D471" s="2" t="s">
        <v>5</v>
      </c>
    </row>
    <row r="472" spans="1:4" ht="15" customHeight="1" x14ac:dyDescent="0.25">
      <c r="A472" s="2" t="str">
        <f>"01002200005"</f>
        <v>01002200005</v>
      </c>
      <c r="B472" s="2" t="s">
        <v>475</v>
      </c>
      <c r="C472" s="2">
        <v>1099.8900000000001</v>
      </c>
      <c r="D472" s="2" t="s">
        <v>5</v>
      </c>
    </row>
    <row r="473" spans="1:4" ht="15" customHeight="1" x14ac:dyDescent="0.25">
      <c r="A473" s="2" t="str">
        <f>"01002201000"</f>
        <v>01002201000</v>
      </c>
      <c r="B473" s="2" t="s">
        <v>476</v>
      </c>
      <c r="C473" s="2">
        <v>1507.7</v>
      </c>
      <c r="D473" s="2" t="s">
        <v>5</v>
      </c>
    </row>
    <row r="474" spans="1:4" ht="15" customHeight="1" x14ac:dyDescent="0.25">
      <c r="A474" s="2" t="str">
        <f>"01002201003"</f>
        <v>01002201003</v>
      </c>
      <c r="B474" s="2" t="s">
        <v>477</v>
      </c>
      <c r="C474" s="2">
        <v>1260.54</v>
      </c>
      <c r="D474" s="2" t="s">
        <v>5</v>
      </c>
    </row>
    <row r="475" spans="1:4" ht="15" customHeight="1" x14ac:dyDescent="0.25">
      <c r="A475" s="2" t="str">
        <f>"01002200600"</f>
        <v>01002200600</v>
      </c>
      <c r="B475" s="2" t="s">
        <v>478</v>
      </c>
      <c r="C475" s="2">
        <v>914.51</v>
      </c>
      <c r="D475" s="2" t="s">
        <v>5</v>
      </c>
    </row>
    <row r="476" spans="1:4" ht="15" customHeight="1" x14ac:dyDescent="0.25">
      <c r="A476" s="2" t="str">
        <f>"01002200605"</f>
        <v>01002200605</v>
      </c>
      <c r="B476" s="2" t="s">
        <v>479</v>
      </c>
      <c r="C476" s="2">
        <v>1853.73</v>
      </c>
      <c r="D476" s="2" t="s">
        <v>5</v>
      </c>
    </row>
    <row r="477" spans="1:4" ht="15" customHeight="1" x14ac:dyDescent="0.25">
      <c r="A477" s="2" t="str">
        <f>"01002200100"</f>
        <v>01002200100</v>
      </c>
      <c r="B477" s="2" t="s">
        <v>480</v>
      </c>
      <c r="C477" s="2">
        <v>2768.24</v>
      </c>
      <c r="D477" s="2" t="s">
        <v>5</v>
      </c>
    </row>
    <row r="478" spans="1:4" ht="15" customHeight="1" x14ac:dyDescent="0.25">
      <c r="A478" s="2" t="str">
        <f>"01002200200"</f>
        <v>01002200200</v>
      </c>
      <c r="B478" s="2" t="s">
        <v>481</v>
      </c>
      <c r="C478" s="2">
        <v>1754.87</v>
      </c>
      <c r="D478" s="2" t="s">
        <v>5</v>
      </c>
    </row>
    <row r="479" spans="1:4" ht="15" customHeight="1" x14ac:dyDescent="0.25">
      <c r="A479" s="2" t="str">
        <f>"01002200197"</f>
        <v>01002200197</v>
      </c>
      <c r="B479" s="2" t="s">
        <v>482</v>
      </c>
      <c r="C479" s="2">
        <v>1754.87</v>
      </c>
      <c r="D479" s="2" t="s">
        <v>5</v>
      </c>
    </row>
    <row r="480" spans="1:4" ht="15" customHeight="1" x14ac:dyDescent="0.25">
      <c r="A480" s="2" t="str">
        <f>"01002200195"</f>
        <v>01002200195</v>
      </c>
      <c r="B480" s="2" t="s">
        <v>483</v>
      </c>
      <c r="C480" s="2">
        <v>1507.7</v>
      </c>
      <c r="D480" s="2" t="s">
        <v>5</v>
      </c>
    </row>
    <row r="481" spans="1:4" ht="15" customHeight="1" x14ac:dyDescent="0.25">
      <c r="A481" s="2" t="str">
        <f>"01002200205"</f>
        <v>01002200205</v>
      </c>
      <c r="B481" s="2" t="s">
        <v>484</v>
      </c>
      <c r="C481" s="2">
        <v>3435.6</v>
      </c>
      <c r="D481" s="2" t="s">
        <v>5</v>
      </c>
    </row>
    <row r="482" spans="1:4" ht="15" customHeight="1" x14ac:dyDescent="0.25">
      <c r="A482" s="2" t="str">
        <f>"01002200105"</f>
        <v>01002200105</v>
      </c>
      <c r="B482" s="2" t="s">
        <v>485</v>
      </c>
      <c r="C482" s="2">
        <v>4869.1499999999996</v>
      </c>
      <c r="D482" s="2" t="s">
        <v>5</v>
      </c>
    </row>
    <row r="483" spans="1:4" ht="15" customHeight="1" x14ac:dyDescent="0.25">
      <c r="A483" s="2" t="str">
        <f>"01002200095"</f>
        <v>01002200095</v>
      </c>
      <c r="B483" s="2" t="s">
        <v>486</v>
      </c>
      <c r="C483" s="2">
        <v>2595.2399999999998</v>
      </c>
      <c r="D483" s="2" t="s">
        <v>5</v>
      </c>
    </row>
    <row r="484" spans="1:4" ht="15" customHeight="1" x14ac:dyDescent="0.25">
      <c r="A484" s="2" t="str">
        <f>"01002200022"</f>
        <v>01002200022</v>
      </c>
      <c r="B484" s="2" t="s">
        <v>487</v>
      </c>
      <c r="C484" s="2">
        <v>1927.88</v>
      </c>
      <c r="D484" s="2" t="s">
        <v>5</v>
      </c>
    </row>
    <row r="485" spans="1:4" ht="15" customHeight="1" x14ac:dyDescent="0.25">
      <c r="A485" s="2" t="str">
        <f>"01002200024"</f>
        <v>01002200024</v>
      </c>
      <c r="B485" s="2" t="s">
        <v>488</v>
      </c>
      <c r="C485" s="2">
        <v>3015.42</v>
      </c>
      <c r="D485" s="2" t="s">
        <v>5</v>
      </c>
    </row>
    <row r="486" spans="1:4" ht="15" customHeight="1" x14ac:dyDescent="0.25">
      <c r="A486" s="2" t="str">
        <f>"01002200020"</f>
        <v>01002200020</v>
      </c>
      <c r="B486" s="2" t="s">
        <v>489</v>
      </c>
      <c r="C486" s="2">
        <v>1433.55</v>
      </c>
      <c r="D486" s="2" t="s">
        <v>5</v>
      </c>
    </row>
    <row r="487" spans="1:4" ht="15" customHeight="1" x14ac:dyDescent="0.25">
      <c r="A487" s="2" t="str">
        <f>"01002200805"</f>
        <v>01002200805</v>
      </c>
      <c r="B487" s="2" t="s">
        <v>490</v>
      </c>
      <c r="C487" s="2">
        <v>1334.69</v>
      </c>
      <c r="D487" s="2" t="s">
        <v>5</v>
      </c>
    </row>
    <row r="488" spans="1:4" ht="15" customHeight="1" x14ac:dyDescent="0.25">
      <c r="A488" s="2" t="str">
        <f>"01002200405"</f>
        <v>01002200405</v>
      </c>
      <c r="B488" s="2" t="s">
        <v>491</v>
      </c>
      <c r="C488" s="2">
        <v>1087.52</v>
      </c>
      <c r="D488" s="2" t="s">
        <v>5</v>
      </c>
    </row>
    <row r="489" spans="1:4" ht="15" customHeight="1" x14ac:dyDescent="0.25">
      <c r="A489" s="2" t="str">
        <f>"01002200900"</f>
        <v>01002200900</v>
      </c>
      <c r="B489" s="2" t="s">
        <v>492</v>
      </c>
      <c r="C489" s="2">
        <v>2002.05</v>
      </c>
      <c r="D489" s="2" t="s">
        <v>5</v>
      </c>
    </row>
    <row r="490" spans="1:4" ht="15" customHeight="1" x14ac:dyDescent="0.25">
      <c r="A490" s="2" t="str">
        <f>"01002200505"</f>
        <v>01002200505</v>
      </c>
      <c r="B490" s="2" t="s">
        <v>493</v>
      </c>
      <c r="C490" s="2">
        <v>1754.87</v>
      </c>
      <c r="D490" s="2" t="s">
        <v>5</v>
      </c>
    </row>
    <row r="491" spans="1:4" ht="15" customHeight="1" x14ac:dyDescent="0.25">
      <c r="A491" s="2" t="str">
        <f>"01002200897"</f>
        <v>01002200897</v>
      </c>
      <c r="B491" s="2" t="s">
        <v>494</v>
      </c>
      <c r="C491" s="2">
        <v>1087.52</v>
      </c>
      <c r="D491" s="2" t="s">
        <v>5</v>
      </c>
    </row>
    <row r="492" spans="1:4" ht="15" customHeight="1" x14ac:dyDescent="0.25">
      <c r="A492" s="2" t="str">
        <f>"01002200905"</f>
        <v>01002200905</v>
      </c>
      <c r="B492" s="2" t="s">
        <v>495</v>
      </c>
      <c r="C492" s="2">
        <v>2348.06</v>
      </c>
      <c r="D492" s="2" t="s">
        <v>5</v>
      </c>
    </row>
    <row r="493" spans="1:4" ht="15" customHeight="1" x14ac:dyDescent="0.25">
      <c r="A493" s="2" t="str">
        <f>"01002200503"</f>
        <v>01002200503</v>
      </c>
      <c r="B493" s="2" t="s">
        <v>496</v>
      </c>
      <c r="C493" s="2">
        <v>1927.88</v>
      </c>
      <c r="D493" s="2" t="s">
        <v>5</v>
      </c>
    </row>
    <row r="494" spans="1:4" ht="15" customHeight="1" x14ac:dyDescent="0.25">
      <c r="A494" s="2" t="str">
        <f>"01002200810"</f>
        <v>01002200810</v>
      </c>
      <c r="B494" s="2" t="s">
        <v>497</v>
      </c>
      <c r="C494" s="2">
        <v>2100.92</v>
      </c>
      <c r="D494" s="2" t="s">
        <v>5</v>
      </c>
    </row>
    <row r="495" spans="1:4" ht="15" customHeight="1" x14ac:dyDescent="0.25">
      <c r="A495" s="2" t="str">
        <f>"01002200410"</f>
        <v>01002200410</v>
      </c>
      <c r="B495" s="2" t="s">
        <v>498</v>
      </c>
      <c r="C495" s="2">
        <v>2002.05</v>
      </c>
      <c r="D495" s="2" t="s">
        <v>5</v>
      </c>
    </row>
    <row r="496" spans="1:4" ht="15" customHeight="1" x14ac:dyDescent="0.25">
      <c r="A496" s="2" t="str">
        <f>"01002200815"</f>
        <v>01002200815</v>
      </c>
      <c r="B496" s="2" t="s">
        <v>499</v>
      </c>
      <c r="C496" s="2">
        <v>4102.9399999999996</v>
      </c>
      <c r="D496" s="2" t="s">
        <v>5</v>
      </c>
    </row>
    <row r="497" spans="1:4" ht="15" customHeight="1" x14ac:dyDescent="0.25">
      <c r="A497" s="2" t="str">
        <f>"01002200415"</f>
        <v>01002200415</v>
      </c>
      <c r="B497" s="2" t="s">
        <v>500</v>
      </c>
      <c r="C497" s="2">
        <v>3929.93</v>
      </c>
      <c r="D497" s="2" t="s">
        <v>5</v>
      </c>
    </row>
    <row r="498" spans="1:4" ht="15" customHeight="1" x14ac:dyDescent="0.25">
      <c r="A498" s="2" t="str">
        <f>"01002200420"</f>
        <v>01002200420</v>
      </c>
      <c r="B498" s="2" t="s">
        <v>501</v>
      </c>
      <c r="C498" s="2">
        <v>6203.84</v>
      </c>
      <c r="D498" s="2" t="s">
        <v>5</v>
      </c>
    </row>
    <row r="499" spans="1:4" ht="15" customHeight="1" x14ac:dyDescent="0.25">
      <c r="A499" s="2" t="str">
        <f>"01002200425"</f>
        <v>01002200425</v>
      </c>
      <c r="B499" s="2" t="s">
        <v>502</v>
      </c>
      <c r="C499" s="2">
        <v>8205.8700000000008</v>
      </c>
      <c r="D499" s="2" t="s">
        <v>5</v>
      </c>
    </row>
    <row r="500" spans="1:4" ht="15" customHeight="1" x14ac:dyDescent="0.25">
      <c r="A500" s="2" t="str">
        <f>"01002200895"</f>
        <v>01002200895</v>
      </c>
      <c r="B500" s="2" t="s">
        <v>503</v>
      </c>
      <c r="C500" s="2">
        <v>1507.7</v>
      </c>
      <c r="D500" s="2" t="s">
        <v>5</v>
      </c>
    </row>
    <row r="501" spans="1:4" ht="15" customHeight="1" x14ac:dyDescent="0.25">
      <c r="A501" s="2" t="str">
        <f>"01002200500"</f>
        <v>01002200500</v>
      </c>
      <c r="B501" s="2" t="s">
        <v>504</v>
      </c>
      <c r="C501" s="2">
        <v>1161.69</v>
      </c>
      <c r="D501" s="2" t="s">
        <v>5</v>
      </c>
    </row>
    <row r="502" spans="1:4" ht="15" customHeight="1" x14ac:dyDescent="0.25">
      <c r="A502" s="2" t="str">
        <f>"01002200507"</f>
        <v>01002200507</v>
      </c>
      <c r="B502" s="2" t="s">
        <v>505</v>
      </c>
      <c r="C502" s="2">
        <v>2002.05</v>
      </c>
      <c r="D502" s="2" t="s">
        <v>5</v>
      </c>
    </row>
    <row r="503" spans="1:4" ht="15" customHeight="1" x14ac:dyDescent="0.25">
      <c r="A503" s="2" t="str">
        <f>"01002200800"</f>
        <v>01002200800</v>
      </c>
      <c r="B503" s="2" t="s">
        <v>506</v>
      </c>
      <c r="C503" s="2">
        <v>863.12</v>
      </c>
      <c r="D503" s="2" t="s">
        <v>5</v>
      </c>
    </row>
    <row r="504" spans="1:4" ht="15" customHeight="1" x14ac:dyDescent="0.25">
      <c r="A504" s="2" t="str">
        <f>"01002200400"</f>
        <v>01002200400</v>
      </c>
      <c r="B504" s="2" t="s">
        <v>507</v>
      </c>
      <c r="C504" s="2">
        <v>1087.52</v>
      </c>
      <c r="D504" s="2" t="s">
        <v>5</v>
      </c>
    </row>
    <row r="505" spans="1:4" ht="15" customHeight="1" x14ac:dyDescent="0.25">
      <c r="A505" s="2" t="str">
        <f>"01002200700"</f>
        <v>01002200700</v>
      </c>
      <c r="B505" s="2" t="s">
        <v>508</v>
      </c>
      <c r="C505" s="2">
        <v>1161.69</v>
      </c>
      <c r="D505" s="2" t="s">
        <v>5</v>
      </c>
    </row>
    <row r="506" spans="1:4" ht="15" customHeight="1" x14ac:dyDescent="0.25">
      <c r="A506" s="2" t="str">
        <f>"01002200705"</f>
        <v>01002200705</v>
      </c>
      <c r="B506" s="2" t="s">
        <v>509</v>
      </c>
      <c r="C506" s="2">
        <v>1927.88</v>
      </c>
      <c r="D506" s="2" t="s">
        <v>5</v>
      </c>
    </row>
    <row r="507" spans="1:4" ht="15" customHeight="1" x14ac:dyDescent="0.25">
      <c r="A507" s="2" t="str">
        <f>"01002200695"</f>
        <v>01002200695</v>
      </c>
      <c r="B507" s="2" t="s">
        <v>510</v>
      </c>
      <c r="C507" s="2">
        <v>840.36</v>
      </c>
      <c r="D507" s="2" t="s">
        <v>5</v>
      </c>
    </row>
    <row r="508" spans="1:4" ht="15" customHeight="1" x14ac:dyDescent="0.25">
      <c r="A508" s="2" t="str">
        <f>"01002200305"</f>
        <v>01002200305</v>
      </c>
      <c r="B508" s="2" t="s">
        <v>511</v>
      </c>
      <c r="C508" s="2">
        <v>1161.69</v>
      </c>
      <c r="D508" s="2" t="s">
        <v>5</v>
      </c>
    </row>
    <row r="509" spans="1:4" ht="15" customHeight="1" x14ac:dyDescent="0.25">
      <c r="A509" s="2" t="str">
        <f>"01002200310"</f>
        <v>01002200310</v>
      </c>
      <c r="B509" s="2" t="s">
        <v>512</v>
      </c>
      <c r="C509" s="2">
        <v>1927.88</v>
      </c>
      <c r="D509" s="2" t="s">
        <v>5</v>
      </c>
    </row>
    <row r="510" spans="1:4" ht="15" customHeight="1" x14ac:dyDescent="0.25">
      <c r="A510" s="2" t="str">
        <f>"01002200300"</f>
        <v>01002200300</v>
      </c>
      <c r="B510" s="2" t="s">
        <v>513</v>
      </c>
      <c r="C510" s="2">
        <v>840.36</v>
      </c>
      <c r="D510" s="2" t="s">
        <v>5</v>
      </c>
    </row>
    <row r="511" spans="1:4" ht="15" customHeight="1" x14ac:dyDescent="0.25">
      <c r="A511" s="2" t="str">
        <f>"01001000020"</f>
        <v>01001000020</v>
      </c>
      <c r="B511" s="2" t="s">
        <v>514</v>
      </c>
      <c r="C511" s="2">
        <v>644.9</v>
      </c>
      <c r="D511" s="2" t="s">
        <v>5</v>
      </c>
    </row>
    <row r="512" spans="1:4" ht="15" customHeight="1" x14ac:dyDescent="0.25">
      <c r="A512" s="2" t="str">
        <f>"01001000005"</f>
        <v>01001000005</v>
      </c>
      <c r="B512" s="2" t="s">
        <v>515</v>
      </c>
      <c r="C512" s="2">
        <v>583.07000000000005</v>
      </c>
      <c r="D512" s="2" t="s">
        <v>5</v>
      </c>
    </row>
    <row r="513" spans="1:4" ht="15" customHeight="1" x14ac:dyDescent="0.25">
      <c r="A513" s="2" t="str">
        <f>"01001000025"</f>
        <v>01001000025</v>
      </c>
      <c r="B513" s="2" t="s">
        <v>516</v>
      </c>
      <c r="C513" s="2">
        <v>538.01</v>
      </c>
      <c r="D513" s="2" t="s">
        <v>5</v>
      </c>
    </row>
    <row r="514" spans="1:4" ht="15" customHeight="1" x14ac:dyDescent="0.25">
      <c r="A514" s="2" t="str">
        <f>"01001000032"</f>
        <v>01001000032</v>
      </c>
      <c r="B514" s="2" t="s">
        <v>517</v>
      </c>
      <c r="C514" s="2">
        <v>622.22</v>
      </c>
      <c r="D514" s="2" t="s">
        <v>5</v>
      </c>
    </row>
    <row r="515" spans="1:4" ht="15" customHeight="1" x14ac:dyDescent="0.25">
      <c r="A515" s="2" t="str">
        <f>"01001000010"</f>
        <v>01001000010</v>
      </c>
      <c r="B515" s="2" t="s">
        <v>518</v>
      </c>
      <c r="C515" s="2">
        <v>516.62</v>
      </c>
      <c r="D515" s="2" t="s">
        <v>5</v>
      </c>
    </row>
    <row r="516" spans="1:4" ht="15" customHeight="1" x14ac:dyDescent="0.25">
      <c r="A516" s="2" t="str">
        <f>"01001000015"</f>
        <v>01001000015</v>
      </c>
      <c r="B516" s="2" t="s">
        <v>519</v>
      </c>
      <c r="C516" s="2">
        <v>355.56</v>
      </c>
      <c r="D516" s="2" t="s">
        <v>5</v>
      </c>
    </row>
    <row r="517" spans="1:4" ht="15" customHeight="1" x14ac:dyDescent="0.25">
      <c r="A517" s="2" t="str">
        <f>"01001000445"</f>
        <v>01001000445</v>
      </c>
      <c r="B517" s="2" t="s">
        <v>520</v>
      </c>
      <c r="C517" s="2">
        <v>1053.81</v>
      </c>
      <c r="D517" s="2" t="s">
        <v>5</v>
      </c>
    </row>
    <row r="518" spans="1:4" ht="15" customHeight="1" x14ac:dyDescent="0.25">
      <c r="A518" s="2" t="str">
        <f>"01001000460"</f>
        <v>01001000460</v>
      </c>
      <c r="B518" s="2" t="s">
        <v>521</v>
      </c>
      <c r="C518" s="2">
        <v>1005.8</v>
      </c>
      <c r="D518" s="2" t="s">
        <v>5</v>
      </c>
    </row>
    <row r="519" spans="1:4" ht="15" customHeight="1" x14ac:dyDescent="0.25">
      <c r="A519" s="2" t="str">
        <f>"01001000475"</f>
        <v>01001000475</v>
      </c>
      <c r="B519" s="2" t="s">
        <v>522</v>
      </c>
      <c r="C519" s="2">
        <v>805.37</v>
      </c>
      <c r="D519" s="2" t="s">
        <v>5</v>
      </c>
    </row>
    <row r="520" spans="1:4" ht="15" customHeight="1" x14ac:dyDescent="0.25">
      <c r="A520" s="2" t="str">
        <f>"01001000500"</f>
        <v>01001000500</v>
      </c>
      <c r="B520" s="2" t="s">
        <v>523</v>
      </c>
      <c r="C520" s="2">
        <v>1369.32</v>
      </c>
      <c r="D520" s="2" t="s">
        <v>5</v>
      </c>
    </row>
    <row r="521" spans="1:4" ht="15" customHeight="1" x14ac:dyDescent="0.25">
      <c r="A521" s="2" t="str">
        <f>"01001000505"</f>
        <v>01001000505</v>
      </c>
      <c r="B521" s="2" t="s">
        <v>524</v>
      </c>
      <c r="C521" s="2">
        <v>1541.4</v>
      </c>
      <c r="D521" s="2" t="s">
        <v>5</v>
      </c>
    </row>
    <row r="522" spans="1:4" ht="15" customHeight="1" x14ac:dyDescent="0.25">
      <c r="A522" s="2" t="str">
        <f>"01001000510"</f>
        <v>01001000510</v>
      </c>
      <c r="B522" s="2" t="s">
        <v>525</v>
      </c>
      <c r="C522" s="2">
        <v>1541.4</v>
      </c>
      <c r="D522" s="2" t="s">
        <v>5</v>
      </c>
    </row>
    <row r="523" spans="1:4" ht="15" customHeight="1" x14ac:dyDescent="0.25">
      <c r="A523" s="2" t="str">
        <f>"01001000520"</f>
        <v>01001000520</v>
      </c>
      <c r="B523" s="2" t="s">
        <v>526</v>
      </c>
      <c r="C523" s="2">
        <v>1468.98</v>
      </c>
      <c r="D523" s="2" t="s">
        <v>5</v>
      </c>
    </row>
    <row r="524" spans="1:4" ht="15" customHeight="1" x14ac:dyDescent="0.25">
      <c r="A524" s="2" t="str">
        <f>"01001000525"</f>
        <v>01001000525</v>
      </c>
      <c r="B524" s="2" t="s">
        <v>527</v>
      </c>
      <c r="C524" s="2">
        <v>1176.6199999999999</v>
      </c>
      <c r="D524" s="2" t="s">
        <v>5</v>
      </c>
    </row>
    <row r="525" spans="1:4" ht="15" customHeight="1" x14ac:dyDescent="0.25">
      <c r="A525" s="2" t="str">
        <f>"01001000535"</f>
        <v>01001000535</v>
      </c>
      <c r="B525" s="2" t="s">
        <v>528</v>
      </c>
      <c r="C525" s="2">
        <v>1378.05</v>
      </c>
      <c r="D525" s="2" t="s">
        <v>5</v>
      </c>
    </row>
    <row r="526" spans="1:4" ht="15" customHeight="1" x14ac:dyDescent="0.25">
      <c r="A526" s="2" t="str">
        <f>"01001000540"</f>
        <v>01001000540</v>
      </c>
      <c r="B526" s="2" t="s">
        <v>529</v>
      </c>
      <c r="C526" s="2">
        <v>1378.05</v>
      </c>
      <c r="D526" s="2" t="s">
        <v>5</v>
      </c>
    </row>
    <row r="527" spans="1:4" ht="15" customHeight="1" x14ac:dyDescent="0.25">
      <c r="A527" s="2" t="str">
        <f>"01001000555"</f>
        <v>01001000555</v>
      </c>
      <c r="B527" s="2" t="s">
        <v>530</v>
      </c>
      <c r="C527" s="2">
        <v>1301.52</v>
      </c>
      <c r="D527" s="2" t="s">
        <v>5</v>
      </c>
    </row>
    <row r="528" spans="1:4" ht="15" customHeight="1" x14ac:dyDescent="0.25">
      <c r="A528" s="2" t="str">
        <f>"01001000455"</f>
        <v>01001000455</v>
      </c>
      <c r="B528" s="2" t="s">
        <v>531</v>
      </c>
      <c r="C528" s="2">
        <v>1159.8</v>
      </c>
      <c r="D528" s="2" t="s">
        <v>5</v>
      </c>
    </row>
    <row r="529" spans="1:4" ht="15" customHeight="1" x14ac:dyDescent="0.25">
      <c r="A529" s="2" t="str">
        <f>"01001000440"</f>
        <v>01001000440</v>
      </c>
      <c r="B529" s="2" t="s">
        <v>532</v>
      </c>
      <c r="C529" s="2">
        <v>1374.32</v>
      </c>
      <c r="D529" s="2" t="s">
        <v>5</v>
      </c>
    </row>
    <row r="530" spans="1:4" ht="15" customHeight="1" x14ac:dyDescent="0.25">
      <c r="A530" s="2" t="str">
        <f>"01001000470"</f>
        <v>01001000470</v>
      </c>
      <c r="B530" s="2" t="s">
        <v>533</v>
      </c>
      <c r="C530" s="2">
        <v>1242.6300000000001</v>
      </c>
      <c r="D530" s="2" t="s">
        <v>5</v>
      </c>
    </row>
    <row r="531" spans="1:4" ht="15" customHeight="1" x14ac:dyDescent="0.25">
      <c r="A531" s="2" t="str">
        <f>"01001000450"</f>
        <v>01001000450</v>
      </c>
      <c r="B531" s="2" t="s">
        <v>534</v>
      </c>
      <c r="C531" s="2">
        <v>1374.32</v>
      </c>
      <c r="D531" s="2" t="s">
        <v>5</v>
      </c>
    </row>
    <row r="532" spans="1:4" ht="15" customHeight="1" x14ac:dyDescent="0.25">
      <c r="A532" s="2" t="str">
        <f>"01001000465"</f>
        <v>01001000465</v>
      </c>
      <c r="B532" s="2" t="s">
        <v>535</v>
      </c>
      <c r="C532" s="2">
        <v>1308.78</v>
      </c>
      <c r="D532" s="2" t="s">
        <v>5</v>
      </c>
    </row>
    <row r="533" spans="1:4" ht="15" customHeight="1" x14ac:dyDescent="0.25">
      <c r="A533" s="2" t="str">
        <f>"01001000480"</f>
        <v>01001000480</v>
      </c>
      <c r="B533" s="2" t="s">
        <v>536</v>
      </c>
      <c r="C533" s="2">
        <v>1311.2</v>
      </c>
      <c r="D533" s="2" t="s">
        <v>5</v>
      </c>
    </row>
    <row r="534" spans="1:4" ht="15" customHeight="1" x14ac:dyDescent="0.25">
      <c r="A534" s="2" t="str">
        <f>"01001000495"</f>
        <v>01001000495</v>
      </c>
      <c r="B534" s="2" t="s">
        <v>537</v>
      </c>
      <c r="C534" s="2">
        <v>1543.29</v>
      </c>
      <c r="D534" s="2" t="s">
        <v>5</v>
      </c>
    </row>
    <row r="535" spans="1:4" ht="15" customHeight="1" x14ac:dyDescent="0.25">
      <c r="A535" s="2" t="str">
        <f>"01001000515"</f>
        <v>01001000515</v>
      </c>
      <c r="B535" s="2" t="s">
        <v>538</v>
      </c>
      <c r="C535" s="2">
        <v>1468.98</v>
      </c>
      <c r="D535" s="2" t="s">
        <v>5</v>
      </c>
    </row>
    <row r="536" spans="1:4" ht="15" customHeight="1" x14ac:dyDescent="0.25">
      <c r="A536" s="2" t="str">
        <f>"01001000530"</f>
        <v>01001000530</v>
      </c>
      <c r="B536" s="2" t="s">
        <v>539</v>
      </c>
      <c r="C536" s="2">
        <v>1604.73</v>
      </c>
      <c r="D536" s="2" t="s">
        <v>5</v>
      </c>
    </row>
    <row r="537" spans="1:4" ht="15" customHeight="1" x14ac:dyDescent="0.25">
      <c r="A537" s="2" t="str">
        <f>"01001000545"</f>
        <v>01001000545</v>
      </c>
      <c r="B537" s="2" t="s">
        <v>540</v>
      </c>
      <c r="C537" s="2">
        <v>1437.87</v>
      </c>
      <c r="D537" s="2" t="s">
        <v>5</v>
      </c>
    </row>
    <row r="538" spans="1:4" ht="15" customHeight="1" x14ac:dyDescent="0.25">
      <c r="A538" s="2" t="str">
        <f>"01001000550"</f>
        <v>01001000550</v>
      </c>
      <c r="B538" s="2" t="s">
        <v>541</v>
      </c>
      <c r="C538" s="2">
        <v>1437.87</v>
      </c>
      <c r="D538" s="2" t="s">
        <v>5</v>
      </c>
    </row>
    <row r="539" spans="1:4" ht="15" customHeight="1" x14ac:dyDescent="0.25">
      <c r="A539" s="2" t="str">
        <f>"01001000055"</f>
        <v>01001000055</v>
      </c>
      <c r="B539" s="2" t="s">
        <v>542</v>
      </c>
      <c r="C539" s="2">
        <v>1114.77</v>
      </c>
      <c r="D539" s="2" t="s">
        <v>5</v>
      </c>
    </row>
    <row r="540" spans="1:4" ht="15" customHeight="1" x14ac:dyDescent="0.25">
      <c r="A540" s="2" t="str">
        <f>"01001000040"</f>
        <v>01001000040</v>
      </c>
      <c r="B540" s="2" t="s">
        <v>543</v>
      </c>
      <c r="C540" s="2">
        <v>541.32000000000005</v>
      </c>
      <c r="D540" s="2" t="s">
        <v>5</v>
      </c>
    </row>
    <row r="541" spans="1:4" ht="15" customHeight="1" x14ac:dyDescent="0.25">
      <c r="A541" s="2" t="str">
        <f>"01001000035"</f>
        <v>01001000035</v>
      </c>
      <c r="B541" s="2" t="s">
        <v>544</v>
      </c>
      <c r="C541" s="2">
        <v>398.07</v>
      </c>
      <c r="D541" s="2" t="s">
        <v>5</v>
      </c>
    </row>
    <row r="542" spans="1:4" ht="15" customHeight="1" x14ac:dyDescent="0.25">
      <c r="A542" s="2" t="str">
        <f>"01001000050"</f>
        <v>01001000050</v>
      </c>
      <c r="B542" s="2" t="s">
        <v>545</v>
      </c>
      <c r="C542" s="2">
        <v>713.15</v>
      </c>
      <c r="D542" s="2" t="s">
        <v>5</v>
      </c>
    </row>
    <row r="543" spans="1:4" ht="15" customHeight="1" x14ac:dyDescent="0.25">
      <c r="A543" s="2" t="str">
        <f>"01004000125"</f>
        <v>01004000125</v>
      </c>
      <c r="B543" s="2" t="s">
        <v>546</v>
      </c>
      <c r="C543" s="2">
        <v>536.34</v>
      </c>
      <c r="D543" s="2" t="s">
        <v>5</v>
      </c>
    </row>
    <row r="544" spans="1:4" ht="15" customHeight="1" x14ac:dyDescent="0.25">
      <c r="A544" s="2" t="str">
        <f>"01001000130"</f>
        <v>01001000130</v>
      </c>
      <c r="B544" s="2" t="s">
        <v>547</v>
      </c>
      <c r="C544" s="2">
        <v>1094.6600000000001</v>
      </c>
      <c r="D544" s="2" t="s">
        <v>5</v>
      </c>
    </row>
    <row r="545" spans="1:4" ht="15" customHeight="1" x14ac:dyDescent="0.25">
      <c r="A545" s="2" t="str">
        <f>"01001000135"</f>
        <v>01001000135</v>
      </c>
      <c r="B545" s="2" t="s">
        <v>548</v>
      </c>
      <c r="C545" s="2">
        <v>1181.96</v>
      </c>
      <c r="D545" s="2" t="s">
        <v>5</v>
      </c>
    </row>
    <row r="546" spans="1:4" ht="15" customHeight="1" x14ac:dyDescent="0.25">
      <c r="A546" s="2" t="str">
        <f>"01001000140"</f>
        <v>01001000140</v>
      </c>
      <c r="B546" s="2" t="s">
        <v>549</v>
      </c>
      <c r="C546" s="2">
        <v>1181.96</v>
      </c>
      <c r="D546" s="2" t="s">
        <v>5</v>
      </c>
    </row>
    <row r="547" spans="1:4" ht="15" customHeight="1" x14ac:dyDescent="0.25">
      <c r="A547" s="2" t="str">
        <f>"01001000145"</f>
        <v>01001000145</v>
      </c>
      <c r="B547" s="2" t="s">
        <v>550</v>
      </c>
      <c r="C547" s="2">
        <v>937.2</v>
      </c>
      <c r="D547" s="2" t="s">
        <v>5</v>
      </c>
    </row>
    <row r="548" spans="1:4" ht="15" customHeight="1" x14ac:dyDescent="0.25">
      <c r="A548" s="2" t="str">
        <f>"01001000150"</f>
        <v>01001000150</v>
      </c>
      <c r="B548" s="2" t="s">
        <v>551</v>
      </c>
      <c r="C548" s="2">
        <v>937.2</v>
      </c>
      <c r="D548" s="2" t="s">
        <v>5</v>
      </c>
    </row>
    <row r="549" spans="1:4" ht="15" customHeight="1" x14ac:dyDescent="0.25">
      <c r="A549" s="2" t="str">
        <f>"01001000155"</f>
        <v>01001000155</v>
      </c>
      <c r="B549" s="2" t="s">
        <v>552</v>
      </c>
      <c r="C549" s="2">
        <v>963.35</v>
      </c>
      <c r="D549" s="2" t="s">
        <v>5</v>
      </c>
    </row>
    <row r="550" spans="1:4" ht="15" customHeight="1" x14ac:dyDescent="0.25">
      <c r="A550" s="2" t="str">
        <f>"01001000160"</f>
        <v>01001000160</v>
      </c>
      <c r="B550" s="2" t="s">
        <v>553</v>
      </c>
      <c r="C550" s="2">
        <v>758</v>
      </c>
      <c r="D550" s="2" t="s">
        <v>5</v>
      </c>
    </row>
    <row r="551" spans="1:4" ht="15" customHeight="1" x14ac:dyDescent="0.25">
      <c r="A551" s="2" t="str">
        <f>"01001000165"</f>
        <v>01001000165</v>
      </c>
      <c r="B551" s="2" t="s">
        <v>554</v>
      </c>
      <c r="C551" s="2">
        <v>827.01</v>
      </c>
      <c r="D551" s="2" t="s">
        <v>5</v>
      </c>
    </row>
    <row r="552" spans="1:4" ht="15" customHeight="1" x14ac:dyDescent="0.25">
      <c r="A552" s="2" t="str">
        <f>"01001000210"</f>
        <v>01001000210</v>
      </c>
      <c r="B552" s="2" t="s">
        <v>555</v>
      </c>
      <c r="C552" s="2">
        <v>1063.68</v>
      </c>
      <c r="D552" s="2" t="s">
        <v>5</v>
      </c>
    </row>
    <row r="553" spans="1:4" ht="15" customHeight="1" x14ac:dyDescent="0.25">
      <c r="A553" s="2" t="str">
        <f>"01001000215"</f>
        <v>01001000215</v>
      </c>
      <c r="B553" s="2" t="s">
        <v>556</v>
      </c>
      <c r="C553" s="2">
        <v>641.16</v>
      </c>
      <c r="D553" s="2" t="s">
        <v>5</v>
      </c>
    </row>
    <row r="554" spans="1:4" ht="15" customHeight="1" x14ac:dyDescent="0.25">
      <c r="A554" s="2" t="str">
        <f>"01001000220"</f>
        <v>01001000220</v>
      </c>
      <c r="B554" s="2" t="s">
        <v>557</v>
      </c>
      <c r="C554" s="2">
        <v>665.84</v>
      </c>
      <c r="D554" s="2" t="s">
        <v>5</v>
      </c>
    </row>
    <row r="555" spans="1:4" ht="15" customHeight="1" x14ac:dyDescent="0.25">
      <c r="A555" s="2" t="str">
        <f>"01001000225"</f>
        <v>01001000225</v>
      </c>
      <c r="B555" s="2" t="s">
        <v>558</v>
      </c>
      <c r="C555" s="2">
        <v>916.89</v>
      </c>
      <c r="D555" s="2" t="s">
        <v>5</v>
      </c>
    </row>
    <row r="556" spans="1:4" ht="15" customHeight="1" x14ac:dyDescent="0.25">
      <c r="A556" s="2" t="str">
        <f>"01001000230"</f>
        <v>01001000230</v>
      </c>
      <c r="B556" s="2" t="s">
        <v>559</v>
      </c>
      <c r="C556" s="2">
        <v>805.83</v>
      </c>
      <c r="D556" s="2" t="s">
        <v>5</v>
      </c>
    </row>
    <row r="557" spans="1:4" ht="15" customHeight="1" x14ac:dyDescent="0.25">
      <c r="A557" s="2" t="str">
        <f>"01001000235"</f>
        <v>01001000235</v>
      </c>
      <c r="B557" s="2" t="s">
        <v>560</v>
      </c>
      <c r="C557" s="2">
        <v>771.17</v>
      </c>
      <c r="D557" s="2" t="s">
        <v>5</v>
      </c>
    </row>
    <row r="558" spans="1:4" ht="15" customHeight="1" x14ac:dyDescent="0.25">
      <c r="A558" s="2" t="str">
        <f>"01001000090"</f>
        <v>01001000090</v>
      </c>
      <c r="B558" s="2" t="s">
        <v>561</v>
      </c>
      <c r="C558" s="2">
        <v>609.41</v>
      </c>
      <c r="D558" s="2" t="s">
        <v>5</v>
      </c>
    </row>
    <row r="559" spans="1:4" ht="15" customHeight="1" x14ac:dyDescent="0.25">
      <c r="A559" s="2" t="str">
        <f>"01001000095"</f>
        <v>01001000095</v>
      </c>
      <c r="B559" s="2" t="s">
        <v>562</v>
      </c>
      <c r="C559" s="2">
        <v>507.48</v>
      </c>
      <c r="D559" s="2" t="s">
        <v>5</v>
      </c>
    </row>
    <row r="560" spans="1:4" ht="15" customHeight="1" x14ac:dyDescent="0.25">
      <c r="A560" s="2" t="str">
        <f>"01001000100"</f>
        <v>01001000100</v>
      </c>
      <c r="B560" s="2" t="s">
        <v>563</v>
      </c>
      <c r="C560" s="2">
        <v>651.59</v>
      </c>
      <c r="D560" s="2" t="s">
        <v>5</v>
      </c>
    </row>
    <row r="561" spans="1:4" ht="15" customHeight="1" x14ac:dyDescent="0.25">
      <c r="A561" s="2" t="str">
        <f>"01001000105"</f>
        <v>01001000105</v>
      </c>
      <c r="B561" s="2" t="s">
        <v>564</v>
      </c>
      <c r="C561" s="2">
        <v>1343.31</v>
      </c>
      <c r="D561" s="2" t="s">
        <v>5</v>
      </c>
    </row>
    <row r="562" spans="1:4" ht="15" customHeight="1" x14ac:dyDescent="0.25">
      <c r="A562" s="2" t="str">
        <f>"01001000285"</f>
        <v>01001000285</v>
      </c>
      <c r="B562" s="2" t="s">
        <v>565</v>
      </c>
      <c r="C562" s="2">
        <v>949.61</v>
      </c>
      <c r="D562" s="2" t="s">
        <v>5</v>
      </c>
    </row>
    <row r="563" spans="1:4" ht="15" customHeight="1" x14ac:dyDescent="0.25">
      <c r="A563" s="2" t="str">
        <f>"01001000275"</f>
        <v>01001000275</v>
      </c>
      <c r="B563" s="2" t="s">
        <v>566</v>
      </c>
      <c r="C563" s="2">
        <v>356.67</v>
      </c>
      <c r="D563" s="2" t="s">
        <v>5</v>
      </c>
    </row>
    <row r="564" spans="1:4" ht="15" customHeight="1" x14ac:dyDescent="0.25">
      <c r="A564" s="2" t="str">
        <f>"01001000270"</f>
        <v>01001000270</v>
      </c>
      <c r="B564" s="2" t="s">
        <v>567</v>
      </c>
      <c r="C564" s="2">
        <v>408.66</v>
      </c>
      <c r="D564" s="2" t="s">
        <v>5</v>
      </c>
    </row>
    <row r="565" spans="1:4" ht="15" customHeight="1" x14ac:dyDescent="0.25">
      <c r="A565" s="2" t="str">
        <f>"01001000280"</f>
        <v>01001000280</v>
      </c>
      <c r="B565" s="2" t="s">
        <v>568</v>
      </c>
      <c r="C565" s="2">
        <v>462.05</v>
      </c>
      <c r="D565" s="2" t="s">
        <v>5</v>
      </c>
    </row>
    <row r="566" spans="1:4" ht="15" customHeight="1" x14ac:dyDescent="0.25">
      <c r="A566" s="2" t="str">
        <f>"01001000290"</f>
        <v>01001000290</v>
      </c>
      <c r="B566" s="2" t="s">
        <v>569</v>
      </c>
      <c r="C566" s="2">
        <v>378.3</v>
      </c>
      <c r="D566" s="2" t="s">
        <v>5</v>
      </c>
    </row>
    <row r="567" spans="1:4" ht="15" customHeight="1" x14ac:dyDescent="0.25">
      <c r="A567" s="2" t="str">
        <f>"01001000295"</f>
        <v>01001000295</v>
      </c>
      <c r="B567" s="2" t="s">
        <v>570</v>
      </c>
      <c r="C567" s="2">
        <v>324.89</v>
      </c>
      <c r="D567" s="2" t="s">
        <v>5</v>
      </c>
    </row>
    <row r="568" spans="1:4" ht="15" customHeight="1" x14ac:dyDescent="0.25">
      <c r="A568" s="2" t="str">
        <f>"01001000300"</f>
        <v>01001000300</v>
      </c>
      <c r="B568" s="2" t="s">
        <v>571</v>
      </c>
      <c r="C568" s="2">
        <v>469.28</v>
      </c>
      <c r="D568" s="2" t="s">
        <v>5</v>
      </c>
    </row>
    <row r="569" spans="1:4" ht="15" customHeight="1" x14ac:dyDescent="0.25">
      <c r="A569" s="2" t="str">
        <f>"01001000305"</f>
        <v>01001000305</v>
      </c>
      <c r="B569" s="2" t="s">
        <v>572</v>
      </c>
      <c r="C569" s="2">
        <v>693.62</v>
      </c>
      <c r="D569" s="2" t="s">
        <v>5</v>
      </c>
    </row>
    <row r="570" spans="1:4" ht="15" customHeight="1" x14ac:dyDescent="0.25">
      <c r="A570" s="2" t="str">
        <f>"01001000710"</f>
        <v>01001000710</v>
      </c>
      <c r="B570" s="2" t="s">
        <v>573</v>
      </c>
      <c r="C570" s="2">
        <v>2307.7199999999998</v>
      </c>
      <c r="D570" s="2" t="s">
        <v>5</v>
      </c>
    </row>
    <row r="571" spans="1:4" ht="15" customHeight="1" x14ac:dyDescent="0.25">
      <c r="A571" s="2" t="str">
        <f>"01001000705"</f>
        <v>01001000705</v>
      </c>
      <c r="B571" s="2" t="s">
        <v>574</v>
      </c>
      <c r="C571" s="2">
        <v>2307.7199999999998</v>
      </c>
      <c r="D571" s="2" t="s">
        <v>5</v>
      </c>
    </row>
    <row r="572" spans="1:4" ht="15" customHeight="1" x14ac:dyDescent="0.25">
      <c r="A572" s="2" t="str">
        <f>"01001000690"</f>
        <v>01001000690</v>
      </c>
      <c r="B572" s="2" t="s">
        <v>575</v>
      </c>
      <c r="C572" s="2">
        <v>1807.07</v>
      </c>
      <c r="D572" s="2" t="s">
        <v>5</v>
      </c>
    </row>
    <row r="573" spans="1:4" ht="15" customHeight="1" x14ac:dyDescent="0.25">
      <c r="A573" s="2" t="str">
        <f>"01001000650"</f>
        <v>01001000650</v>
      </c>
      <c r="B573" s="2" t="s">
        <v>576</v>
      </c>
      <c r="C573" s="2">
        <v>1041.8599999999999</v>
      </c>
      <c r="D573" s="2" t="s">
        <v>5</v>
      </c>
    </row>
    <row r="574" spans="1:4" ht="15" customHeight="1" x14ac:dyDescent="0.25">
      <c r="A574" s="2" t="str">
        <f>"01001000645"</f>
        <v>01001000645</v>
      </c>
      <c r="B574" s="2" t="s">
        <v>577</v>
      </c>
      <c r="C574" s="2">
        <v>1194.6199999999999</v>
      </c>
      <c r="D574" s="2" t="s">
        <v>5</v>
      </c>
    </row>
    <row r="575" spans="1:4" ht="15" customHeight="1" x14ac:dyDescent="0.25">
      <c r="A575" s="2" t="str">
        <f>"01001000655"</f>
        <v>01001000655</v>
      </c>
      <c r="B575" s="2" t="s">
        <v>578</v>
      </c>
      <c r="C575" s="2">
        <v>1370.27</v>
      </c>
      <c r="D575" s="2" t="s">
        <v>5</v>
      </c>
    </row>
    <row r="576" spans="1:4" ht="15" customHeight="1" x14ac:dyDescent="0.25">
      <c r="A576" s="2" t="str">
        <f>"01001000660"</f>
        <v>01001000660</v>
      </c>
      <c r="B576" s="2" t="s">
        <v>579</v>
      </c>
      <c r="C576" s="2">
        <v>1338.84</v>
      </c>
      <c r="D576" s="2" t="s">
        <v>5</v>
      </c>
    </row>
    <row r="577" spans="1:4" ht="15" customHeight="1" x14ac:dyDescent="0.25">
      <c r="A577" s="2" t="str">
        <f>"01001000670"</f>
        <v>01001000670</v>
      </c>
      <c r="B577" s="2" t="s">
        <v>580</v>
      </c>
      <c r="C577" s="2">
        <v>1572.12</v>
      </c>
      <c r="D577" s="2" t="s">
        <v>5</v>
      </c>
    </row>
    <row r="578" spans="1:4" ht="15" customHeight="1" x14ac:dyDescent="0.25">
      <c r="A578" s="2" t="str">
        <f>"01001000665"</f>
        <v>01001000665</v>
      </c>
      <c r="B578" s="2" t="s">
        <v>581</v>
      </c>
      <c r="C578" s="2">
        <v>983.15</v>
      </c>
      <c r="D578" s="2" t="s">
        <v>5</v>
      </c>
    </row>
    <row r="579" spans="1:4" ht="15" customHeight="1" x14ac:dyDescent="0.25">
      <c r="A579" s="2" t="str">
        <f>"01001000693"</f>
        <v>01001000693</v>
      </c>
      <c r="B579" s="2" t="s">
        <v>582</v>
      </c>
      <c r="C579" s="2">
        <v>2723.97</v>
      </c>
      <c r="D579" s="2" t="s">
        <v>5</v>
      </c>
    </row>
    <row r="580" spans="1:4" ht="15" customHeight="1" x14ac:dyDescent="0.25">
      <c r="A580" s="2" t="str">
        <f>"01001000310"</f>
        <v>01001000310</v>
      </c>
      <c r="B580" s="2" t="s">
        <v>583</v>
      </c>
      <c r="C580" s="2">
        <v>855.41</v>
      </c>
      <c r="D580" s="2" t="s">
        <v>5</v>
      </c>
    </row>
    <row r="581" spans="1:4" ht="15" customHeight="1" x14ac:dyDescent="0.25">
      <c r="A581" s="2" t="str">
        <f>"01001000330"</f>
        <v>01001000330</v>
      </c>
      <c r="B581" s="2" t="s">
        <v>584</v>
      </c>
      <c r="C581" s="2">
        <v>760.79</v>
      </c>
      <c r="D581" s="2" t="s">
        <v>5</v>
      </c>
    </row>
    <row r="582" spans="1:4" ht="15" customHeight="1" x14ac:dyDescent="0.25">
      <c r="A582" s="2" t="str">
        <f>"01001000320"</f>
        <v>01001000320</v>
      </c>
      <c r="B582" s="2" t="s">
        <v>585</v>
      </c>
      <c r="C582" s="2">
        <v>607.37</v>
      </c>
      <c r="D582" s="2" t="s">
        <v>5</v>
      </c>
    </row>
    <row r="583" spans="1:4" ht="15" customHeight="1" x14ac:dyDescent="0.25">
      <c r="A583" s="2" t="str">
        <f>"01001000340"</f>
        <v>01001000340</v>
      </c>
      <c r="B583" s="2" t="s">
        <v>586</v>
      </c>
      <c r="C583" s="2">
        <v>620.15</v>
      </c>
      <c r="D583" s="2" t="s">
        <v>5</v>
      </c>
    </row>
    <row r="584" spans="1:4" ht="15" customHeight="1" x14ac:dyDescent="0.25">
      <c r="A584" s="2" t="str">
        <f>"01001000325"</f>
        <v>01001000325</v>
      </c>
      <c r="B584" s="2" t="s">
        <v>587</v>
      </c>
      <c r="C584" s="2">
        <v>589.42999999999995</v>
      </c>
      <c r="D584" s="2" t="s">
        <v>5</v>
      </c>
    </row>
    <row r="585" spans="1:4" ht="15" customHeight="1" x14ac:dyDescent="0.25">
      <c r="A585" s="2" t="str">
        <f>"01001000345"</f>
        <v>01001000345</v>
      </c>
      <c r="B585" s="2" t="s">
        <v>588</v>
      </c>
      <c r="C585" s="2">
        <v>594.89</v>
      </c>
      <c r="D585" s="2" t="s">
        <v>5</v>
      </c>
    </row>
    <row r="586" spans="1:4" ht="15" customHeight="1" x14ac:dyDescent="0.25">
      <c r="A586" s="2" t="str">
        <f>"01001000315"</f>
        <v>01001000315</v>
      </c>
      <c r="B586" s="2" t="s">
        <v>589</v>
      </c>
      <c r="C586" s="2">
        <v>920.01</v>
      </c>
      <c r="D586" s="2" t="s">
        <v>5</v>
      </c>
    </row>
    <row r="587" spans="1:4" ht="15" customHeight="1" x14ac:dyDescent="0.25">
      <c r="A587" s="2" t="str">
        <f>"01001000335"</f>
        <v>01001000335</v>
      </c>
      <c r="B587" s="2" t="s">
        <v>590</v>
      </c>
      <c r="C587" s="2">
        <v>877.22</v>
      </c>
      <c r="D587" s="2" t="s">
        <v>5</v>
      </c>
    </row>
    <row r="588" spans="1:4" ht="15" customHeight="1" x14ac:dyDescent="0.25">
      <c r="A588" s="2" t="str">
        <f>"01001000115"</f>
        <v>01001000115</v>
      </c>
      <c r="B588" s="2" t="s">
        <v>591</v>
      </c>
      <c r="C588" s="2">
        <v>1456.44</v>
      </c>
      <c r="D588" s="2" t="s">
        <v>5</v>
      </c>
    </row>
    <row r="589" spans="1:4" ht="15" customHeight="1" x14ac:dyDescent="0.25">
      <c r="A589" s="2" t="str">
        <f>"01001000110"</f>
        <v>01001000110</v>
      </c>
      <c r="B589" s="2" t="s">
        <v>592</v>
      </c>
      <c r="C589" s="2">
        <v>1456.44</v>
      </c>
      <c r="D589" s="2" t="s">
        <v>5</v>
      </c>
    </row>
    <row r="590" spans="1:4" ht="15" customHeight="1" x14ac:dyDescent="0.25">
      <c r="A590" s="2" t="str">
        <f>"01001000116"</f>
        <v>01001000116</v>
      </c>
      <c r="B590" s="2" t="s">
        <v>593</v>
      </c>
      <c r="C590" s="2">
        <v>1764.53</v>
      </c>
      <c r="D590" s="2" t="s">
        <v>5</v>
      </c>
    </row>
    <row r="591" spans="1:4" ht="15" customHeight="1" x14ac:dyDescent="0.25">
      <c r="A591" s="2" t="str">
        <f>"01001000111"</f>
        <v>01001000111</v>
      </c>
      <c r="B591" s="2" t="s">
        <v>594</v>
      </c>
      <c r="C591" s="2">
        <v>1764.53</v>
      </c>
      <c r="D591" s="2" t="s">
        <v>5</v>
      </c>
    </row>
    <row r="592" spans="1:4" ht="15" customHeight="1" x14ac:dyDescent="0.25">
      <c r="A592" s="2" t="str">
        <f>"01001000350"</f>
        <v>01001000350</v>
      </c>
      <c r="B592" s="2" t="s">
        <v>595</v>
      </c>
      <c r="C592" s="2">
        <v>365.72</v>
      </c>
      <c r="D592" s="2" t="s">
        <v>5</v>
      </c>
    </row>
    <row r="593" spans="1:4" ht="15" customHeight="1" x14ac:dyDescent="0.25">
      <c r="A593" s="2" t="str">
        <f>"01001000355"</f>
        <v>01001000355</v>
      </c>
      <c r="B593" s="2" t="s">
        <v>596</v>
      </c>
      <c r="C593" s="2">
        <v>286.68</v>
      </c>
      <c r="D593" s="2" t="s">
        <v>5</v>
      </c>
    </row>
    <row r="594" spans="1:4" ht="15" customHeight="1" x14ac:dyDescent="0.25">
      <c r="A594" s="2" t="str">
        <f>"01001000370"</f>
        <v>01001000370</v>
      </c>
      <c r="B594" s="2" t="s">
        <v>597</v>
      </c>
      <c r="C594" s="2">
        <v>346.77</v>
      </c>
      <c r="D594" s="2" t="s">
        <v>5</v>
      </c>
    </row>
    <row r="595" spans="1:4" ht="15" customHeight="1" x14ac:dyDescent="0.25">
      <c r="A595" s="2" t="str">
        <f>"01001000375"</f>
        <v>01001000375</v>
      </c>
      <c r="B595" s="2" t="s">
        <v>598</v>
      </c>
      <c r="C595" s="2">
        <v>791.1</v>
      </c>
      <c r="D595" s="2" t="s">
        <v>5</v>
      </c>
    </row>
    <row r="596" spans="1:4" ht="15" customHeight="1" x14ac:dyDescent="0.25">
      <c r="A596" s="2" t="str">
        <f>"01001000380"</f>
        <v>01001000380</v>
      </c>
      <c r="B596" s="2" t="s">
        <v>599</v>
      </c>
      <c r="C596" s="2">
        <v>681.47</v>
      </c>
      <c r="D596" s="2" t="s">
        <v>5</v>
      </c>
    </row>
    <row r="597" spans="1:4" ht="15" customHeight="1" x14ac:dyDescent="0.25">
      <c r="A597" s="2" t="str">
        <f>"01001000390"</f>
        <v>01001000390</v>
      </c>
      <c r="B597" s="2" t="s">
        <v>600</v>
      </c>
      <c r="C597" s="2">
        <v>165.62</v>
      </c>
      <c r="D597" s="2" t="s">
        <v>5</v>
      </c>
    </row>
    <row r="598" spans="1:4" ht="15" customHeight="1" x14ac:dyDescent="0.25">
      <c r="A598" s="2" t="str">
        <f>"01001000385"</f>
        <v>01001000385</v>
      </c>
      <c r="B598" s="2" t="s">
        <v>601</v>
      </c>
      <c r="C598" s="2">
        <v>140.27000000000001</v>
      </c>
      <c r="D598" s="2" t="s">
        <v>5</v>
      </c>
    </row>
    <row r="599" spans="1:4" ht="15" customHeight="1" x14ac:dyDescent="0.25">
      <c r="A599" s="2" t="str">
        <f>"01001000395"</f>
        <v>01001000395</v>
      </c>
      <c r="B599" s="2" t="s">
        <v>602</v>
      </c>
      <c r="C599" s="2">
        <v>227.79</v>
      </c>
      <c r="D599" s="2" t="s">
        <v>5</v>
      </c>
    </row>
    <row r="600" spans="1:4" ht="15" customHeight="1" x14ac:dyDescent="0.25">
      <c r="A600" s="2" t="str">
        <f>"01001000400"</f>
        <v>01001000400</v>
      </c>
      <c r="B600" s="2" t="s">
        <v>603</v>
      </c>
      <c r="C600" s="2">
        <v>244.43</v>
      </c>
      <c r="D600" s="2" t="s">
        <v>5</v>
      </c>
    </row>
    <row r="601" spans="1:4" ht="15" customHeight="1" x14ac:dyDescent="0.25">
      <c r="A601" s="2" t="str">
        <f>"01001000415"</f>
        <v>01001000415</v>
      </c>
      <c r="B601" s="2" t="s">
        <v>604</v>
      </c>
      <c r="C601" s="2">
        <v>143.97</v>
      </c>
      <c r="D601" s="2" t="s">
        <v>5</v>
      </c>
    </row>
    <row r="602" spans="1:4" ht="15" customHeight="1" x14ac:dyDescent="0.25">
      <c r="A602" s="2" t="str">
        <f>"01001000405"</f>
        <v>01001000405</v>
      </c>
      <c r="B602" s="2" t="s">
        <v>605</v>
      </c>
      <c r="C602" s="2">
        <v>146.4</v>
      </c>
      <c r="D602" s="2" t="s">
        <v>5</v>
      </c>
    </row>
    <row r="603" spans="1:4" ht="15" customHeight="1" x14ac:dyDescent="0.25">
      <c r="A603" s="2" t="str">
        <f>"01001000410"</f>
        <v>01001000410</v>
      </c>
      <c r="B603" s="2" t="s">
        <v>606</v>
      </c>
      <c r="C603" s="2">
        <v>143.97</v>
      </c>
      <c r="D603" s="2" t="s">
        <v>5</v>
      </c>
    </row>
    <row r="604" spans="1:4" ht="15" customHeight="1" x14ac:dyDescent="0.25">
      <c r="A604" s="2" t="str">
        <f>"01001000420"</f>
        <v>01001000420</v>
      </c>
      <c r="B604" s="2" t="s">
        <v>607</v>
      </c>
      <c r="C604" s="2">
        <v>158.03</v>
      </c>
      <c r="D604" s="2" t="s">
        <v>5</v>
      </c>
    </row>
    <row r="605" spans="1:4" ht="15" customHeight="1" x14ac:dyDescent="0.25">
      <c r="A605" s="2" t="str">
        <f>"01001000435"</f>
        <v>01001000435</v>
      </c>
      <c r="B605" s="2" t="s">
        <v>608</v>
      </c>
      <c r="C605" s="2">
        <v>88.07</v>
      </c>
      <c r="D605" s="2" t="s">
        <v>5</v>
      </c>
    </row>
    <row r="606" spans="1:4" ht="15" customHeight="1" x14ac:dyDescent="0.25">
      <c r="A606" s="2" t="str">
        <f>"01001000425"</f>
        <v>01001000425</v>
      </c>
      <c r="B606" s="2" t="s">
        <v>609</v>
      </c>
      <c r="C606" s="2">
        <v>94.55</v>
      </c>
      <c r="D606" s="2" t="s">
        <v>5</v>
      </c>
    </row>
    <row r="607" spans="1:4" ht="15" customHeight="1" x14ac:dyDescent="0.25">
      <c r="A607" s="2" t="str">
        <f>"01001000430"</f>
        <v>01001000430</v>
      </c>
      <c r="B607" s="2" t="s">
        <v>610</v>
      </c>
      <c r="C607" s="2">
        <v>88.07</v>
      </c>
      <c r="D607" s="2" t="s">
        <v>5</v>
      </c>
    </row>
    <row r="608" spans="1:4" ht="15" customHeight="1" x14ac:dyDescent="0.25">
      <c r="A608" s="2" t="str">
        <f>"05015000093"</f>
        <v>05015000093</v>
      </c>
      <c r="B608" s="2" t="s">
        <v>611</v>
      </c>
      <c r="C608" s="2">
        <v>809.48</v>
      </c>
      <c r="D608" s="2" t="s">
        <v>5</v>
      </c>
    </row>
    <row r="609" spans="1:4" ht="15" customHeight="1" x14ac:dyDescent="0.25">
      <c r="A609" s="2" t="str">
        <f>"05015000147"</f>
        <v>05015000147</v>
      </c>
      <c r="B609" s="2" t="s">
        <v>612</v>
      </c>
      <c r="C609" s="2">
        <v>11.09</v>
      </c>
      <c r="D609" s="2" t="s">
        <v>5</v>
      </c>
    </row>
    <row r="610" spans="1:4" ht="15" customHeight="1" x14ac:dyDescent="0.25">
      <c r="A610" s="2" t="str">
        <f>"03016501060"</f>
        <v>03016501060</v>
      </c>
      <c r="B610" s="2" t="s">
        <v>613</v>
      </c>
      <c r="C610" s="2">
        <v>1055.97</v>
      </c>
      <c r="D610" s="2" t="s">
        <v>5</v>
      </c>
    </row>
    <row r="611" spans="1:4" ht="15" customHeight="1" x14ac:dyDescent="0.25">
      <c r="A611" s="2" t="str">
        <f>"03062100130"</f>
        <v>03062100130</v>
      </c>
      <c r="B611" s="2" t="s">
        <v>614</v>
      </c>
      <c r="C611" s="2">
        <v>5610.63</v>
      </c>
      <c r="D611" s="2" t="s">
        <v>5</v>
      </c>
    </row>
    <row r="612" spans="1:4" ht="15" customHeight="1" x14ac:dyDescent="0.25">
      <c r="A612" s="2" t="str">
        <f>"03062100131"</f>
        <v>03062100131</v>
      </c>
      <c r="B612" s="2" t="s">
        <v>615</v>
      </c>
      <c r="C612" s="2">
        <v>6040.95</v>
      </c>
      <c r="D612" s="2" t="s">
        <v>5</v>
      </c>
    </row>
    <row r="613" spans="1:4" ht="15" customHeight="1" x14ac:dyDescent="0.25">
      <c r="A613" s="2" t="str">
        <f>"03062100171"</f>
        <v>03062100171</v>
      </c>
      <c r="B613" s="2" t="s">
        <v>616</v>
      </c>
      <c r="C613" s="2">
        <v>4946.55</v>
      </c>
      <c r="D613" s="2" t="s">
        <v>5</v>
      </c>
    </row>
    <row r="614" spans="1:4" ht="15" customHeight="1" x14ac:dyDescent="0.25">
      <c r="A614" s="2" t="str">
        <f>"03062100007"</f>
        <v>03062100007</v>
      </c>
      <c r="B614" s="2" t="s">
        <v>617</v>
      </c>
      <c r="C614" s="2">
        <v>4863.03</v>
      </c>
      <c r="D614" s="2" t="s">
        <v>5</v>
      </c>
    </row>
    <row r="615" spans="1:4" ht="15" customHeight="1" x14ac:dyDescent="0.25">
      <c r="A615" s="2" t="str">
        <f>"03062100005"</f>
        <v>03062100005</v>
      </c>
      <c r="B615" s="2" t="s">
        <v>618</v>
      </c>
      <c r="C615" s="2">
        <v>4143.2</v>
      </c>
      <c r="D615" s="2" t="s">
        <v>5</v>
      </c>
    </row>
    <row r="616" spans="1:4" ht="15" customHeight="1" x14ac:dyDescent="0.25">
      <c r="A616" s="2" t="str">
        <f>"03062100100"</f>
        <v>03062100100</v>
      </c>
      <c r="B616" s="2" t="s">
        <v>619</v>
      </c>
      <c r="C616" s="2">
        <v>3690.72</v>
      </c>
      <c r="D616" s="2" t="s">
        <v>5</v>
      </c>
    </row>
    <row r="617" spans="1:4" ht="15" customHeight="1" x14ac:dyDescent="0.25">
      <c r="A617" s="2" t="str">
        <f>"03062100105"</f>
        <v>03062100105</v>
      </c>
      <c r="B617" s="2" t="s">
        <v>620</v>
      </c>
      <c r="C617" s="2">
        <v>3690.72</v>
      </c>
      <c r="D617" s="2" t="s">
        <v>5</v>
      </c>
    </row>
    <row r="618" spans="1:4" ht="15" customHeight="1" x14ac:dyDescent="0.25">
      <c r="A618" s="2" t="str">
        <f>"03062100110"</f>
        <v>03062100110</v>
      </c>
      <c r="B618" s="2" t="s">
        <v>621</v>
      </c>
      <c r="C618" s="2">
        <v>3957.71</v>
      </c>
      <c r="D618" s="2" t="s">
        <v>5</v>
      </c>
    </row>
    <row r="619" spans="1:4" ht="15" customHeight="1" x14ac:dyDescent="0.25">
      <c r="A619" s="2" t="str">
        <f>"03062100115"</f>
        <v>03062100115</v>
      </c>
      <c r="B619" s="2" t="s">
        <v>622</v>
      </c>
      <c r="C619" s="2">
        <v>3957.71</v>
      </c>
      <c r="D619" s="2" t="s">
        <v>5</v>
      </c>
    </row>
    <row r="620" spans="1:4" ht="15" customHeight="1" x14ac:dyDescent="0.25">
      <c r="A620" s="2" t="str">
        <f>"03062100080"</f>
        <v>03062100080</v>
      </c>
      <c r="B620" s="2" t="s">
        <v>623</v>
      </c>
      <c r="C620" s="2">
        <v>4843.46</v>
      </c>
      <c r="D620" s="2" t="s">
        <v>5</v>
      </c>
    </row>
    <row r="621" spans="1:4" ht="15" customHeight="1" x14ac:dyDescent="0.25">
      <c r="A621" s="2" t="str">
        <f>"03062100081"</f>
        <v>03062100081</v>
      </c>
      <c r="B621" s="2" t="s">
        <v>624</v>
      </c>
      <c r="C621" s="2">
        <v>4843.46</v>
      </c>
      <c r="D621" s="2" t="s">
        <v>5</v>
      </c>
    </row>
    <row r="622" spans="1:4" ht="15" customHeight="1" x14ac:dyDescent="0.25">
      <c r="A622" s="2" t="str">
        <f>"03062100085"</f>
        <v>03062100085</v>
      </c>
      <c r="B622" s="2" t="s">
        <v>625</v>
      </c>
      <c r="C622" s="2">
        <v>4646.22</v>
      </c>
      <c r="D622" s="2" t="s">
        <v>5</v>
      </c>
    </row>
    <row r="623" spans="1:4" ht="15" customHeight="1" x14ac:dyDescent="0.25">
      <c r="A623" s="2" t="str">
        <f>"03062100050"</f>
        <v>03062100050</v>
      </c>
      <c r="B623" s="2" t="s">
        <v>626</v>
      </c>
      <c r="C623" s="2">
        <v>5768.67</v>
      </c>
      <c r="D623" s="2" t="s">
        <v>5</v>
      </c>
    </row>
    <row r="624" spans="1:4" ht="15" customHeight="1" x14ac:dyDescent="0.25">
      <c r="A624" s="2" t="str">
        <f>"03062100055"</f>
        <v>03062100055</v>
      </c>
      <c r="B624" s="2" t="s">
        <v>627</v>
      </c>
      <c r="C624" s="2">
        <v>5820.18</v>
      </c>
      <c r="D624" s="2" t="s">
        <v>5</v>
      </c>
    </row>
    <row r="625" spans="1:4" ht="15" customHeight="1" x14ac:dyDescent="0.25">
      <c r="A625" s="2" t="str">
        <f>"03062100075"</f>
        <v>03062100075</v>
      </c>
      <c r="B625" s="2" t="s">
        <v>628</v>
      </c>
      <c r="C625" s="2">
        <v>5853.44</v>
      </c>
      <c r="D625" s="2" t="s">
        <v>5</v>
      </c>
    </row>
    <row r="626" spans="1:4" ht="15" customHeight="1" x14ac:dyDescent="0.25">
      <c r="A626" s="2" t="str">
        <f>"03062100076"</f>
        <v>03062100076</v>
      </c>
      <c r="B626" s="2" t="s">
        <v>629</v>
      </c>
      <c r="C626" s="2">
        <v>5853.44</v>
      </c>
      <c r="D626" s="2" t="s">
        <v>5</v>
      </c>
    </row>
    <row r="627" spans="1:4" ht="15" customHeight="1" x14ac:dyDescent="0.25">
      <c r="A627" s="2" t="str">
        <f>"03062100077"</f>
        <v>03062100077</v>
      </c>
      <c r="B627" s="2" t="s">
        <v>630</v>
      </c>
      <c r="C627" s="2">
        <v>6608.13</v>
      </c>
      <c r="D627" s="2" t="s">
        <v>5</v>
      </c>
    </row>
    <row r="628" spans="1:4" ht="15" customHeight="1" x14ac:dyDescent="0.25">
      <c r="A628" s="2" t="str">
        <f>"03062100010"</f>
        <v>03062100010</v>
      </c>
      <c r="B628" s="2" t="s">
        <v>631</v>
      </c>
      <c r="C628" s="2">
        <v>4232.21</v>
      </c>
      <c r="D628" s="2" t="s">
        <v>5</v>
      </c>
    </row>
    <row r="629" spans="1:4" ht="15" customHeight="1" x14ac:dyDescent="0.25">
      <c r="A629" s="2" t="str">
        <f>"03062100015"</f>
        <v>03062100015</v>
      </c>
      <c r="B629" s="2" t="s">
        <v>632</v>
      </c>
      <c r="C629" s="2">
        <v>4438.58</v>
      </c>
      <c r="D629" s="2" t="s">
        <v>5</v>
      </c>
    </row>
    <row r="630" spans="1:4" ht="15" customHeight="1" x14ac:dyDescent="0.25">
      <c r="A630" s="2" t="str">
        <f>"03062100017"</f>
        <v>03062100017</v>
      </c>
      <c r="B630" s="2" t="s">
        <v>633</v>
      </c>
      <c r="C630" s="2">
        <v>6608.13</v>
      </c>
      <c r="D630" s="2" t="s">
        <v>5</v>
      </c>
    </row>
    <row r="631" spans="1:4" ht="15" customHeight="1" x14ac:dyDescent="0.25">
      <c r="A631" s="2" t="str">
        <f>"03062100025"</f>
        <v>03062100025</v>
      </c>
      <c r="B631" s="2" t="s">
        <v>634</v>
      </c>
      <c r="C631" s="2">
        <v>3746.46</v>
      </c>
      <c r="D631" s="2" t="s">
        <v>5</v>
      </c>
    </row>
    <row r="632" spans="1:4" ht="15" customHeight="1" x14ac:dyDescent="0.25">
      <c r="A632" s="2" t="str">
        <f>"03062100065"</f>
        <v>03062100065</v>
      </c>
      <c r="B632" s="2" t="s">
        <v>635</v>
      </c>
      <c r="C632" s="2">
        <v>3746.46</v>
      </c>
      <c r="D632" s="2" t="s">
        <v>5</v>
      </c>
    </row>
    <row r="633" spans="1:4" ht="15" customHeight="1" x14ac:dyDescent="0.25">
      <c r="A633" s="2" t="str">
        <f>"03062100020"</f>
        <v>03062100020</v>
      </c>
      <c r="B633" s="2" t="s">
        <v>636</v>
      </c>
      <c r="C633" s="2">
        <v>4499.54</v>
      </c>
      <c r="D633" s="2" t="s">
        <v>5</v>
      </c>
    </row>
    <row r="634" spans="1:4" ht="15" customHeight="1" x14ac:dyDescent="0.25">
      <c r="A634" s="2" t="str">
        <f>"03062100060"</f>
        <v>03062100060</v>
      </c>
      <c r="B634" s="2" t="s">
        <v>637</v>
      </c>
      <c r="C634" s="2">
        <v>4499.54</v>
      </c>
      <c r="D634" s="2" t="s">
        <v>5</v>
      </c>
    </row>
    <row r="635" spans="1:4" ht="15" customHeight="1" x14ac:dyDescent="0.25">
      <c r="A635" s="2" t="str">
        <f>"03062100087"</f>
        <v>03062100087</v>
      </c>
      <c r="B635" s="2" t="s">
        <v>638</v>
      </c>
      <c r="C635" s="2">
        <v>5348.79</v>
      </c>
      <c r="D635" s="2" t="s">
        <v>5</v>
      </c>
    </row>
    <row r="636" spans="1:4" ht="15" customHeight="1" x14ac:dyDescent="0.25">
      <c r="A636" s="2" t="str">
        <f>"03062100058"</f>
        <v>03062100058</v>
      </c>
      <c r="B636" s="2" t="s">
        <v>639</v>
      </c>
      <c r="C636" s="2">
        <v>5097.75</v>
      </c>
      <c r="D636" s="2" t="s">
        <v>5</v>
      </c>
    </row>
    <row r="637" spans="1:4" ht="15" customHeight="1" x14ac:dyDescent="0.25">
      <c r="A637" s="2" t="str">
        <f>"03062100056"</f>
        <v>03062100056</v>
      </c>
      <c r="B637" s="2" t="s">
        <v>640</v>
      </c>
      <c r="C637" s="2">
        <v>5348.12</v>
      </c>
      <c r="D637" s="2" t="s">
        <v>5</v>
      </c>
    </row>
    <row r="638" spans="1:4" ht="15" customHeight="1" x14ac:dyDescent="0.25">
      <c r="A638" s="2" t="str">
        <f>"03062100070"</f>
        <v>03062100070</v>
      </c>
      <c r="B638" s="2" t="s">
        <v>641</v>
      </c>
      <c r="C638" s="2">
        <v>5062.2299999999996</v>
      </c>
      <c r="D638" s="2" t="s">
        <v>5</v>
      </c>
    </row>
    <row r="639" spans="1:4" ht="15" customHeight="1" x14ac:dyDescent="0.25">
      <c r="A639" s="2" t="str">
        <f>"03062100152"</f>
        <v>03062100152</v>
      </c>
      <c r="B639" s="2" t="s">
        <v>642</v>
      </c>
      <c r="C639" s="2">
        <v>5161.97</v>
      </c>
      <c r="D639" s="2" t="s">
        <v>5</v>
      </c>
    </row>
    <row r="640" spans="1:4" ht="15" customHeight="1" x14ac:dyDescent="0.25">
      <c r="A640" s="2" t="str">
        <f>"03062100150"</f>
        <v>03062100150</v>
      </c>
      <c r="B640" s="2" t="s">
        <v>643</v>
      </c>
      <c r="C640" s="2">
        <v>5661.09</v>
      </c>
      <c r="D640" s="2" t="s">
        <v>5</v>
      </c>
    </row>
    <row r="641" spans="1:4" ht="15" customHeight="1" x14ac:dyDescent="0.25">
      <c r="A641" s="2" t="str">
        <f>"03062100151"</f>
        <v>03062100151</v>
      </c>
      <c r="B641" s="2" t="s">
        <v>644</v>
      </c>
      <c r="C641" s="2">
        <v>4443.47</v>
      </c>
      <c r="D641" s="2" t="s">
        <v>5</v>
      </c>
    </row>
    <row r="642" spans="1:4" ht="15" customHeight="1" x14ac:dyDescent="0.25">
      <c r="A642" s="2" t="str">
        <f>"03062100023"</f>
        <v>03062100023</v>
      </c>
      <c r="B642" s="2" t="s">
        <v>645</v>
      </c>
      <c r="C642" s="2">
        <v>7837.52</v>
      </c>
      <c r="D642" s="2" t="s">
        <v>5</v>
      </c>
    </row>
    <row r="643" spans="1:4" ht="15" customHeight="1" x14ac:dyDescent="0.25">
      <c r="A643" s="2" t="str">
        <f>"03062100024"</f>
        <v>03062100024</v>
      </c>
      <c r="B643" s="2" t="s">
        <v>646</v>
      </c>
      <c r="C643" s="2">
        <v>6097.29</v>
      </c>
      <c r="D643" s="2" t="s">
        <v>5</v>
      </c>
    </row>
    <row r="644" spans="1:4" ht="15" customHeight="1" x14ac:dyDescent="0.25">
      <c r="A644" s="2" t="str">
        <f>"03062100030"</f>
        <v>03062100030</v>
      </c>
      <c r="B644" s="2" t="s">
        <v>647</v>
      </c>
      <c r="C644" s="2">
        <v>4312.3500000000004</v>
      </c>
      <c r="D644" s="2" t="s">
        <v>5</v>
      </c>
    </row>
    <row r="645" spans="1:4" ht="15" customHeight="1" x14ac:dyDescent="0.25">
      <c r="A645" s="2" t="str">
        <f>"03062100032"</f>
        <v>03062100032</v>
      </c>
      <c r="B645" s="2" t="s">
        <v>648</v>
      </c>
      <c r="C645" s="2">
        <v>4825.22</v>
      </c>
      <c r="D645" s="2" t="s">
        <v>5</v>
      </c>
    </row>
    <row r="646" spans="1:4" ht="15" customHeight="1" x14ac:dyDescent="0.25">
      <c r="A646" s="2" t="str">
        <f>"03062100033"</f>
        <v>03062100033</v>
      </c>
      <c r="B646" s="2" t="s">
        <v>649</v>
      </c>
      <c r="C646" s="2">
        <v>5255.22</v>
      </c>
      <c r="D646" s="2" t="s">
        <v>5</v>
      </c>
    </row>
    <row r="647" spans="1:4" ht="15" customHeight="1" x14ac:dyDescent="0.25">
      <c r="A647" s="2" t="str">
        <f>"03062100034"</f>
        <v>03062100034</v>
      </c>
      <c r="B647" s="2" t="s">
        <v>650</v>
      </c>
      <c r="C647" s="2">
        <v>4263.5</v>
      </c>
      <c r="D647" s="2" t="s">
        <v>5</v>
      </c>
    </row>
    <row r="648" spans="1:4" ht="15" customHeight="1" x14ac:dyDescent="0.25">
      <c r="A648" s="2" t="str">
        <f>"03062100121"</f>
        <v>03062100121</v>
      </c>
      <c r="B648" s="2" t="s">
        <v>651</v>
      </c>
      <c r="C648" s="2">
        <v>4354.49</v>
      </c>
      <c r="D648" s="2" t="s">
        <v>5</v>
      </c>
    </row>
    <row r="649" spans="1:4" ht="15" customHeight="1" x14ac:dyDescent="0.25">
      <c r="A649" s="2" t="str">
        <f>"03062100006"</f>
        <v>03062100006</v>
      </c>
      <c r="B649" s="2" t="s">
        <v>652</v>
      </c>
      <c r="C649" s="2">
        <v>4594.7299999999996</v>
      </c>
      <c r="D649" s="2" t="s">
        <v>5</v>
      </c>
    </row>
    <row r="650" spans="1:4" ht="15" customHeight="1" x14ac:dyDescent="0.25">
      <c r="A650" s="2" t="str">
        <f>"03062100008"</f>
        <v>03062100008</v>
      </c>
      <c r="B650" s="2" t="s">
        <v>653</v>
      </c>
      <c r="C650" s="2">
        <v>4956.6000000000004</v>
      </c>
      <c r="D650" s="2" t="s">
        <v>5</v>
      </c>
    </row>
    <row r="651" spans="1:4" ht="15" customHeight="1" x14ac:dyDescent="0.25">
      <c r="A651" s="2" t="str">
        <f>"03062100049"</f>
        <v>03062100049</v>
      </c>
      <c r="B651" s="2" t="s">
        <v>654</v>
      </c>
      <c r="C651" s="2">
        <v>5062.2299999999996</v>
      </c>
      <c r="D651" s="2" t="s">
        <v>5</v>
      </c>
    </row>
    <row r="652" spans="1:4" ht="15" customHeight="1" x14ac:dyDescent="0.25">
      <c r="A652" s="2" t="str">
        <f>"03062100155"</f>
        <v>03062100155</v>
      </c>
      <c r="B652" s="2" t="s">
        <v>655</v>
      </c>
      <c r="C652" s="2">
        <v>4594.7299999999996</v>
      </c>
      <c r="D652" s="2" t="s">
        <v>5</v>
      </c>
    </row>
    <row r="653" spans="1:4" ht="15" customHeight="1" x14ac:dyDescent="0.25">
      <c r="A653" s="2" t="str">
        <f>"03062100083"</f>
        <v>03062100083</v>
      </c>
      <c r="B653" s="2" t="s">
        <v>656</v>
      </c>
      <c r="C653" s="2">
        <v>4143.2</v>
      </c>
      <c r="D653" s="2" t="s">
        <v>5</v>
      </c>
    </row>
    <row r="654" spans="1:4" ht="15" customHeight="1" x14ac:dyDescent="0.25">
      <c r="A654" s="2" t="str">
        <f>"03062100057"</f>
        <v>03062100057</v>
      </c>
      <c r="B654" s="2" t="s">
        <v>657</v>
      </c>
      <c r="C654" s="2">
        <v>4619.45</v>
      </c>
      <c r="D654" s="2" t="s">
        <v>5</v>
      </c>
    </row>
    <row r="655" spans="1:4" ht="15" customHeight="1" x14ac:dyDescent="0.25">
      <c r="A655" s="2" t="str">
        <f>"03062100059"</f>
        <v>03062100059</v>
      </c>
      <c r="B655" s="2" t="s">
        <v>658</v>
      </c>
      <c r="C655" s="2">
        <v>4619.45</v>
      </c>
      <c r="D655" s="2" t="s">
        <v>5</v>
      </c>
    </row>
    <row r="656" spans="1:4" ht="15" customHeight="1" x14ac:dyDescent="0.25">
      <c r="A656" s="2" t="str">
        <f>"03062100037"</f>
        <v>03062100037</v>
      </c>
      <c r="B656" s="2" t="s">
        <v>659</v>
      </c>
      <c r="C656" s="2">
        <v>4757.87</v>
      </c>
      <c r="D656" s="2" t="s">
        <v>5</v>
      </c>
    </row>
    <row r="657" spans="1:4" ht="15" customHeight="1" x14ac:dyDescent="0.25">
      <c r="A657" s="2" t="str">
        <f>"03062100038"</f>
        <v>03062100038</v>
      </c>
      <c r="B657" s="2" t="s">
        <v>660</v>
      </c>
      <c r="C657" s="2">
        <v>4757.87</v>
      </c>
      <c r="D657" s="2" t="s">
        <v>5</v>
      </c>
    </row>
    <row r="658" spans="1:4" ht="15" customHeight="1" x14ac:dyDescent="0.25">
      <c r="A658" s="2" t="str">
        <f>"03062100039"</f>
        <v>03062100039</v>
      </c>
      <c r="B658" s="2" t="s">
        <v>661</v>
      </c>
      <c r="C658" s="2">
        <v>4823.2700000000004</v>
      </c>
      <c r="D658" s="2" t="s">
        <v>5</v>
      </c>
    </row>
    <row r="659" spans="1:4" ht="15" customHeight="1" x14ac:dyDescent="0.25">
      <c r="A659" s="2" t="str">
        <f>"03062100041"</f>
        <v>03062100041</v>
      </c>
      <c r="B659" s="2" t="s">
        <v>662</v>
      </c>
      <c r="C659" s="2">
        <v>4823.2700000000004</v>
      </c>
      <c r="D659" s="2" t="s">
        <v>5</v>
      </c>
    </row>
    <row r="660" spans="1:4" ht="15" customHeight="1" x14ac:dyDescent="0.25">
      <c r="A660" s="2" t="str">
        <f>"03062100028"</f>
        <v>03062100028</v>
      </c>
      <c r="B660" s="2" t="s">
        <v>663</v>
      </c>
      <c r="C660" s="2">
        <v>5261.04</v>
      </c>
      <c r="D660" s="2" t="s">
        <v>5</v>
      </c>
    </row>
    <row r="661" spans="1:4" ht="15" customHeight="1" x14ac:dyDescent="0.25">
      <c r="A661" s="2" t="str">
        <f>"03062100042"</f>
        <v>03062100042</v>
      </c>
      <c r="B661" s="2" t="s">
        <v>664</v>
      </c>
      <c r="C661" s="2">
        <v>5261.04</v>
      </c>
      <c r="D661" s="2" t="s">
        <v>5</v>
      </c>
    </row>
    <row r="662" spans="1:4" ht="15" customHeight="1" x14ac:dyDescent="0.25">
      <c r="A662" s="2" t="str">
        <f>"03062100035"</f>
        <v>03062100035</v>
      </c>
      <c r="B662" s="2" t="s">
        <v>665</v>
      </c>
      <c r="C662" s="2">
        <v>3983.13</v>
      </c>
      <c r="D662" s="2" t="s">
        <v>5</v>
      </c>
    </row>
    <row r="663" spans="1:4" ht="15" customHeight="1" x14ac:dyDescent="0.25">
      <c r="A663" s="2" t="str">
        <f>"03062100040"</f>
        <v>03062100040</v>
      </c>
      <c r="B663" s="2" t="s">
        <v>666</v>
      </c>
      <c r="C663" s="2">
        <v>5073.63</v>
      </c>
      <c r="D663" s="2" t="s">
        <v>5</v>
      </c>
    </row>
    <row r="664" spans="1:4" ht="15" customHeight="1" x14ac:dyDescent="0.25">
      <c r="A664" s="2" t="str">
        <f>"03062100090"</f>
        <v>03062100090</v>
      </c>
      <c r="B664" s="2" t="s">
        <v>667</v>
      </c>
      <c r="C664" s="2">
        <v>6928.61</v>
      </c>
      <c r="D664" s="2" t="s">
        <v>5</v>
      </c>
    </row>
    <row r="665" spans="1:4" ht="15" customHeight="1" x14ac:dyDescent="0.25">
      <c r="A665" s="2" t="str">
        <f>"03062100095"</f>
        <v>03062100095</v>
      </c>
      <c r="B665" s="2" t="s">
        <v>668</v>
      </c>
      <c r="C665" s="2">
        <v>4419.68</v>
      </c>
      <c r="D665" s="2" t="s">
        <v>5</v>
      </c>
    </row>
    <row r="666" spans="1:4" ht="15" customHeight="1" x14ac:dyDescent="0.25">
      <c r="A666" s="2" t="str">
        <f>"03062100045"</f>
        <v>03062100045</v>
      </c>
      <c r="B666" s="2" t="s">
        <v>669</v>
      </c>
      <c r="C666" s="2">
        <v>3830.76</v>
      </c>
      <c r="D666" s="2" t="s">
        <v>5</v>
      </c>
    </row>
    <row r="667" spans="1:4" ht="15" customHeight="1" x14ac:dyDescent="0.25">
      <c r="A667" s="2" t="str">
        <f>"03062100046"</f>
        <v>03062100046</v>
      </c>
      <c r="B667" s="2" t="s">
        <v>670</v>
      </c>
      <c r="C667" s="2">
        <v>4168.6400000000003</v>
      </c>
      <c r="D667" s="2" t="s">
        <v>5</v>
      </c>
    </row>
    <row r="668" spans="1:4" ht="15" customHeight="1" x14ac:dyDescent="0.25">
      <c r="A668" s="2" t="str">
        <f>"03062100044"</f>
        <v>03062100044</v>
      </c>
      <c r="B668" s="2" t="s">
        <v>671</v>
      </c>
      <c r="C668" s="2">
        <v>2827.77</v>
      </c>
      <c r="D668" s="2" t="s">
        <v>5</v>
      </c>
    </row>
    <row r="669" spans="1:4" ht="15" customHeight="1" x14ac:dyDescent="0.25">
      <c r="A669" s="2" t="str">
        <f>"03062100120"</f>
        <v>03062100120</v>
      </c>
      <c r="B669" s="2" t="s">
        <v>672</v>
      </c>
      <c r="C669" s="2">
        <v>2547.5</v>
      </c>
      <c r="D669" s="2" t="s">
        <v>5</v>
      </c>
    </row>
    <row r="670" spans="1:4" ht="15" customHeight="1" x14ac:dyDescent="0.25">
      <c r="A670" s="2" t="str">
        <f>"03062100036"</f>
        <v>03062100036</v>
      </c>
      <c r="B670" s="2" t="s">
        <v>673</v>
      </c>
      <c r="C670" s="2">
        <v>2827.77</v>
      </c>
      <c r="D670" s="2" t="s">
        <v>5</v>
      </c>
    </row>
    <row r="671" spans="1:4" ht="15" customHeight="1" x14ac:dyDescent="0.25">
      <c r="A671" s="2" t="str">
        <f>"03062100084"</f>
        <v>03062100084</v>
      </c>
      <c r="B671" s="2" t="s">
        <v>674</v>
      </c>
      <c r="C671" s="2">
        <v>3734.07</v>
      </c>
      <c r="D671" s="2" t="s">
        <v>5</v>
      </c>
    </row>
    <row r="672" spans="1:4" ht="15" customHeight="1" x14ac:dyDescent="0.25">
      <c r="A672" s="2" t="str">
        <f>"03062100086"</f>
        <v>03062100086</v>
      </c>
      <c r="B672" s="2" t="s">
        <v>675</v>
      </c>
      <c r="C672" s="2">
        <v>5256.18</v>
      </c>
      <c r="D672" s="2" t="s">
        <v>5</v>
      </c>
    </row>
    <row r="673" spans="1:4" ht="15" customHeight="1" x14ac:dyDescent="0.25">
      <c r="A673" s="2" t="str">
        <f>"03062100009"</f>
        <v>03062100009</v>
      </c>
      <c r="B673" s="2" t="s">
        <v>676</v>
      </c>
      <c r="C673" s="2">
        <v>6189.23</v>
      </c>
      <c r="D673" s="2" t="s">
        <v>5</v>
      </c>
    </row>
    <row r="674" spans="1:4" ht="15" customHeight="1" x14ac:dyDescent="0.25">
      <c r="A674" s="2" t="str">
        <f>"03062100018"</f>
        <v>03062100018</v>
      </c>
      <c r="B674" s="2" t="s">
        <v>677</v>
      </c>
      <c r="C674" s="2">
        <v>5662.4</v>
      </c>
      <c r="D674" s="2" t="s">
        <v>5</v>
      </c>
    </row>
    <row r="675" spans="1:4" ht="15" customHeight="1" x14ac:dyDescent="0.25">
      <c r="A675" s="2" t="str">
        <f>"03062100156"</f>
        <v>03062100156</v>
      </c>
      <c r="B675" s="2" t="s">
        <v>678</v>
      </c>
      <c r="C675" s="2">
        <v>4964.7299999999996</v>
      </c>
      <c r="D675" s="2" t="s">
        <v>5</v>
      </c>
    </row>
    <row r="676" spans="1:4" ht="15" customHeight="1" x14ac:dyDescent="0.25">
      <c r="A676" s="2" t="str">
        <f>"03062100158"</f>
        <v>03062100158</v>
      </c>
      <c r="B676" s="2" t="s">
        <v>679</v>
      </c>
      <c r="C676" s="2">
        <v>5733.8</v>
      </c>
      <c r="D676" s="2" t="s">
        <v>5</v>
      </c>
    </row>
    <row r="677" spans="1:4" ht="15" customHeight="1" x14ac:dyDescent="0.25">
      <c r="A677" s="2" t="str">
        <f>"03062100157"</f>
        <v>03062100157</v>
      </c>
      <c r="B677" s="2" t="s">
        <v>680</v>
      </c>
      <c r="C677" s="2">
        <v>4829.79</v>
      </c>
      <c r="D677" s="2" t="s">
        <v>5</v>
      </c>
    </row>
    <row r="678" spans="1:4" ht="15" customHeight="1" x14ac:dyDescent="0.25">
      <c r="A678" s="2" t="str">
        <f>"03062100047"</f>
        <v>03062100047</v>
      </c>
      <c r="B678" s="2" t="s">
        <v>681</v>
      </c>
      <c r="C678" s="2">
        <v>3302.78</v>
      </c>
      <c r="D678" s="2" t="s">
        <v>5</v>
      </c>
    </row>
    <row r="679" spans="1:4" ht="15" customHeight="1" x14ac:dyDescent="0.25">
      <c r="A679" s="2" t="str">
        <f>"03062100022"</f>
        <v>03062100022</v>
      </c>
      <c r="B679" s="2" t="s">
        <v>682</v>
      </c>
      <c r="C679" s="2">
        <v>4144.83</v>
      </c>
      <c r="D679" s="2" t="s">
        <v>5</v>
      </c>
    </row>
    <row r="680" spans="1:4" ht="15" customHeight="1" x14ac:dyDescent="0.25">
      <c r="A680" s="2" t="str">
        <f>"03062100021"</f>
        <v>03062100021</v>
      </c>
      <c r="B680" s="2" t="s">
        <v>683</v>
      </c>
      <c r="C680" s="2">
        <v>3904.89</v>
      </c>
      <c r="D680" s="2" t="s">
        <v>5</v>
      </c>
    </row>
    <row r="681" spans="1:4" ht="15" customHeight="1" x14ac:dyDescent="0.25">
      <c r="A681" s="2" t="str">
        <f>"03062100019"</f>
        <v>03062100019</v>
      </c>
      <c r="B681" s="2" t="s">
        <v>684</v>
      </c>
      <c r="C681" s="2">
        <v>4837.28</v>
      </c>
      <c r="D681" s="2" t="s">
        <v>5</v>
      </c>
    </row>
    <row r="682" spans="1:4" ht="15" customHeight="1" x14ac:dyDescent="0.25">
      <c r="A682" s="2" t="str">
        <f>"03062100133"</f>
        <v>03062100133</v>
      </c>
      <c r="B682" s="2" t="s">
        <v>685</v>
      </c>
      <c r="C682" s="2">
        <v>7291.97</v>
      </c>
      <c r="D682" s="2" t="s">
        <v>5</v>
      </c>
    </row>
    <row r="683" spans="1:4" ht="15" customHeight="1" x14ac:dyDescent="0.25">
      <c r="A683" s="2" t="str">
        <f>"03062100134"</f>
        <v>03062100134</v>
      </c>
      <c r="B683" s="2" t="s">
        <v>686</v>
      </c>
      <c r="C683" s="2">
        <v>7291.97</v>
      </c>
      <c r="D683" s="2" t="s">
        <v>5</v>
      </c>
    </row>
    <row r="684" spans="1:4" ht="15" customHeight="1" x14ac:dyDescent="0.25">
      <c r="A684" s="2" t="str">
        <f>"03062100140"</f>
        <v>03062100140</v>
      </c>
      <c r="B684" s="2" t="s">
        <v>687</v>
      </c>
      <c r="C684" s="2">
        <v>4808.75</v>
      </c>
      <c r="D684" s="2" t="s">
        <v>5</v>
      </c>
    </row>
    <row r="685" spans="1:4" ht="15" customHeight="1" x14ac:dyDescent="0.25">
      <c r="A685" s="2" t="str">
        <f>"03062100141"</f>
        <v>03062100141</v>
      </c>
      <c r="B685" s="2" t="s">
        <v>688</v>
      </c>
      <c r="C685" s="2">
        <v>4808.75</v>
      </c>
      <c r="D685" s="2" t="s">
        <v>5</v>
      </c>
    </row>
    <row r="686" spans="1:4" ht="15" customHeight="1" x14ac:dyDescent="0.25">
      <c r="A686" s="2" t="str">
        <f>"03062100153"</f>
        <v>03062100153</v>
      </c>
      <c r="B686" s="2" t="s">
        <v>689</v>
      </c>
      <c r="C686" s="2">
        <v>4405.34</v>
      </c>
      <c r="D686" s="2" t="s">
        <v>5</v>
      </c>
    </row>
    <row r="687" spans="1:4" ht="15" customHeight="1" x14ac:dyDescent="0.25">
      <c r="A687" s="2" t="str">
        <f>"03062100154"</f>
        <v>03062100154</v>
      </c>
      <c r="B687" s="2" t="s">
        <v>690</v>
      </c>
      <c r="C687" s="2">
        <v>4310.78</v>
      </c>
      <c r="D687" s="2" t="s">
        <v>5</v>
      </c>
    </row>
    <row r="688" spans="1:4" ht="15" customHeight="1" x14ac:dyDescent="0.25">
      <c r="A688" s="2" t="str">
        <f>"03062100132"</f>
        <v>03062100132</v>
      </c>
      <c r="B688" s="2" t="s">
        <v>691</v>
      </c>
      <c r="C688" s="2">
        <v>3937.19</v>
      </c>
      <c r="D688" s="2" t="s">
        <v>5</v>
      </c>
    </row>
    <row r="689" spans="1:4" ht="15" customHeight="1" x14ac:dyDescent="0.25">
      <c r="A689" s="2" t="str">
        <f>"03062100125"</f>
        <v>03062100125</v>
      </c>
      <c r="B689" s="2" t="s">
        <v>692</v>
      </c>
      <c r="C689" s="2">
        <v>4618.71</v>
      </c>
      <c r="D689" s="2" t="s">
        <v>5</v>
      </c>
    </row>
    <row r="690" spans="1:4" ht="15" customHeight="1" x14ac:dyDescent="0.25">
      <c r="A690" s="2" t="str">
        <f>"03062100127"</f>
        <v>03062100127</v>
      </c>
      <c r="B690" s="2" t="s">
        <v>693</v>
      </c>
      <c r="C690" s="2">
        <v>4618.71</v>
      </c>
      <c r="D690" s="2" t="s">
        <v>5</v>
      </c>
    </row>
    <row r="691" spans="1:4" ht="15" customHeight="1" x14ac:dyDescent="0.25">
      <c r="A691" s="2" t="str">
        <f>"03062100124"</f>
        <v>03062100124</v>
      </c>
      <c r="B691" s="2" t="s">
        <v>694</v>
      </c>
      <c r="C691" s="2">
        <v>5073.3</v>
      </c>
      <c r="D691" s="2" t="s">
        <v>5</v>
      </c>
    </row>
    <row r="692" spans="1:4" ht="15" customHeight="1" x14ac:dyDescent="0.25">
      <c r="A692" s="2" t="str">
        <f>"03062100126"</f>
        <v>03062100126</v>
      </c>
      <c r="B692" s="2" t="s">
        <v>695</v>
      </c>
      <c r="C692" s="2">
        <v>4823.2700000000004</v>
      </c>
      <c r="D692" s="2" t="s">
        <v>5</v>
      </c>
    </row>
    <row r="693" spans="1:4" ht="15" customHeight="1" x14ac:dyDescent="0.25">
      <c r="A693" s="2" t="str">
        <f>"03062100128"</f>
        <v>03062100128</v>
      </c>
      <c r="B693" s="2" t="s">
        <v>696</v>
      </c>
      <c r="C693" s="2">
        <v>4823.2700000000004</v>
      </c>
      <c r="D693" s="2" t="s">
        <v>5</v>
      </c>
    </row>
    <row r="694" spans="1:4" ht="15" customHeight="1" x14ac:dyDescent="0.25">
      <c r="A694" s="2" t="str">
        <f>"03062100048"</f>
        <v>03062100048</v>
      </c>
      <c r="B694" s="2" t="s">
        <v>697</v>
      </c>
      <c r="C694" s="2">
        <v>5445.99</v>
      </c>
      <c r="D694" s="2" t="s">
        <v>5</v>
      </c>
    </row>
    <row r="695" spans="1:4" ht="15" customHeight="1" x14ac:dyDescent="0.25">
      <c r="A695" s="2" t="str">
        <f>"03062100043"</f>
        <v>03062100043</v>
      </c>
      <c r="B695" s="2" t="s">
        <v>698</v>
      </c>
      <c r="C695" s="2">
        <v>5445.99</v>
      </c>
      <c r="D695" s="2" t="s">
        <v>5</v>
      </c>
    </row>
    <row r="696" spans="1:4" ht="15" customHeight="1" x14ac:dyDescent="0.25">
      <c r="A696" s="2" t="str">
        <f>"03062100012"</f>
        <v>03062100012</v>
      </c>
      <c r="B696" s="2" t="s">
        <v>699</v>
      </c>
      <c r="C696" s="2">
        <v>2448.3000000000002</v>
      </c>
      <c r="D696" s="2" t="s">
        <v>5</v>
      </c>
    </row>
    <row r="697" spans="1:4" ht="15" customHeight="1" x14ac:dyDescent="0.25">
      <c r="A697" s="2" t="str">
        <f>"03062100129"</f>
        <v>03062100129</v>
      </c>
      <c r="B697" s="2" t="s">
        <v>700</v>
      </c>
      <c r="C697" s="2">
        <v>4732.6099999999997</v>
      </c>
      <c r="D697" s="2" t="s">
        <v>5</v>
      </c>
    </row>
    <row r="698" spans="1:4" ht="15" customHeight="1" x14ac:dyDescent="0.25">
      <c r="A698" s="2" t="str">
        <f>"03062100031"</f>
        <v>03062100031</v>
      </c>
      <c r="B698" s="2" t="s">
        <v>701</v>
      </c>
      <c r="C698" s="2">
        <v>4144.83</v>
      </c>
      <c r="D698" s="2" t="s">
        <v>5</v>
      </c>
    </row>
    <row r="699" spans="1:4" ht="15" customHeight="1" x14ac:dyDescent="0.25">
      <c r="A699" s="2" t="str">
        <f>"03062100071"</f>
        <v>03062100071</v>
      </c>
      <c r="B699" s="2" t="s">
        <v>702</v>
      </c>
      <c r="C699" s="2">
        <v>4130.5200000000004</v>
      </c>
      <c r="D699" s="2" t="s">
        <v>5</v>
      </c>
    </row>
    <row r="700" spans="1:4" ht="15" customHeight="1" x14ac:dyDescent="0.25">
      <c r="A700" s="2" t="str">
        <f>"03062100004"</f>
        <v>03062100004</v>
      </c>
      <c r="B700" s="2" t="s">
        <v>703</v>
      </c>
      <c r="C700" s="2">
        <v>4250.91</v>
      </c>
      <c r="D700" s="2" t="s">
        <v>5</v>
      </c>
    </row>
    <row r="701" spans="1:4" ht="15" customHeight="1" x14ac:dyDescent="0.25">
      <c r="A701" s="2" t="str">
        <f>"03062100002"</f>
        <v>03062100002</v>
      </c>
      <c r="B701" s="2" t="s">
        <v>704</v>
      </c>
      <c r="C701" s="2">
        <v>4312.43</v>
      </c>
      <c r="D701" s="2" t="s">
        <v>5</v>
      </c>
    </row>
    <row r="702" spans="1:4" ht="15" customHeight="1" x14ac:dyDescent="0.25">
      <c r="A702" s="2" t="str">
        <f>"03062100003"</f>
        <v>03062100003</v>
      </c>
      <c r="B702" s="2" t="s">
        <v>705</v>
      </c>
      <c r="C702" s="2">
        <v>4273.59</v>
      </c>
      <c r="D702" s="2" t="s">
        <v>5</v>
      </c>
    </row>
    <row r="703" spans="1:4" ht="15" customHeight="1" x14ac:dyDescent="0.25">
      <c r="A703" s="2" t="str">
        <f>"03062100001"</f>
        <v>03062100001</v>
      </c>
      <c r="B703" s="2" t="s">
        <v>706</v>
      </c>
      <c r="C703" s="2">
        <v>6164.79</v>
      </c>
      <c r="D703" s="2" t="s">
        <v>5</v>
      </c>
    </row>
    <row r="704" spans="1:4" ht="15" customHeight="1" x14ac:dyDescent="0.25">
      <c r="A704" s="2" t="str">
        <f>"03062100011"</f>
        <v>03062100011</v>
      </c>
      <c r="B704" s="2" t="s">
        <v>707</v>
      </c>
      <c r="C704" s="2">
        <v>5944.38</v>
      </c>
      <c r="D704" s="2" t="s">
        <v>5</v>
      </c>
    </row>
    <row r="705" spans="1:4" ht="15" customHeight="1" x14ac:dyDescent="0.25">
      <c r="A705" s="2" t="str">
        <f>"03062100013"</f>
        <v>03062100013</v>
      </c>
      <c r="B705" s="2" t="s">
        <v>708</v>
      </c>
      <c r="C705" s="2">
        <v>3937.5</v>
      </c>
      <c r="D705" s="2" t="s">
        <v>5</v>
      </c>
    </row>
    <row r="706" spans="1:4" ht="15" customHeight="1" x14ac:dyDescent="0.25">
      <c r="A706" s="2" t="str">
        <f>"03062100014"</f>
        <v>03062100014</v>
      </c>
      <c r="B706" s="2" t="s">
        <v>709</v>
      </c>
      <c r="C706" s="2">
        <v>4144.83</v>
      </c>
      <c r="D706" s="2" t="s">
        <v>5</v>
      </c>
    </row>
    <row r="707" spans="1:4" ht="15" customHeight="1" x14ac:dyDescent="0.25">
      <c r="A707" s="2" t="str">
        <f>"03062100016"</f>
        <v>03062100016</v>
      </c>
      <c r="B707" s="2" t="s">
        <v>710</v>
      </c>
      <c r="C707" s="2">
        <v>4684.05</v>
      </c>
      <c r="D707" s="2" t="s">
        <v>5</v>
      </c>
    </row>
    <row r="708" spans="1:4" ht="15" customHeight="1" x14ac:dyDescent="0.25">
      <c r="A708" s="2" t="str">
        <f>"03062100243"</f>
        <v>03062100243</v>
      </c>
      <c r="B708" s="2" t="s">
        <v>711</v>
      </c>
      <c r="C708" s="2">
        <v>6151.46</v>
      </c>
      <c r="D708" s="2" t="s">
        <v>5</v>
      </c>
    </row>
    <row r="709" spans="1:4" ht="15" customHeight="1" x14ac:dyDescent="0.25">
      <c r="A709" s="2" t="str">
        <f>"03062100142"</f>
        <v>03062100142</v>
      </c>
      <c r="B709" s="2" t="s">
        <v>712</v>
      </c>
      <c r="C709" s="2">
        <v>4294.47</v>
      </c>
      <c r="D709" s="2" t="s">
        <v>5</v>
      </c>
    </row>
    <row r="710" spans="1:4" ht="15" customHeight="1" x14ac:dyDescent="0.25">
      <c r="A710" s="2" t="str">
        <f>"03062100143"</f>
        <v>03062100143</v>
      </c>
      <c r="B710" s="2" t="s">
        <v>713</v>
      </c>
      <c r="C710" s="2">
        <v>5259.78</v>
      </c>
      <c r="D710" s="2" t="s">
        <v>5</v>
      </c>
    </row>
    <row r="711" spans="1:4" ht="15" customHeight="1" x14ac:dyDescent="0.25">
      <c r="A711" s="2" t="str">
        <f>"03062100051"</f>
        <v>03062100051</v>
      </c>
      <c r="B711" s="2" t="s">
        <v>714</v>
      </c>
      <c r="C711" s="2">
        <v>10165.969999999999</v>
      </c>
      <c r="D711" s="2" t="s">
        <v>5</v>
      </c>
    </row>
    <row r="712" spans="1:4" ht="15" customHeight="1" x14ac:dyDescent="0.25">
      <c r="A712" s="2" t="str">
        <f>"03062100052"</f>
        <v>03062100052</v>
      </c>
      <c r="B712" s="2" t="s">
        <v>715</v>
      </c>
      <c r="C712" s="2">
        <v>10165.969999999999</v>
      </c>
      <c r="D712" s="2" t="s">
        <v>5</v>
      </c>
    </row>
    <row r="713" spans="1:4" ht="15" customHeight="1" x14ac:dyDescent="0.25">
      <c r="A713" s="2" t="str">
        <f>"03062100117"</f>
        <v>03062100117</v>
      </c>
      <c r="B713" s="2" t="s">
        <v>716</v>
      </c>
      <c r="C713" s="2">
        <v>4619.45</v>
      </c>
      <c r="D713" s="2" t="s">
        <v>5</v>
      </c>
    </row>
    <row r="714" spans="1:4" ht="15" customHeight="1" x14ac:dyDescent="0.25">
      <c r="A714" s="2" t="str">
        <f>"03062100172"</f>
        <v>03062100172</v>
      </c>
      <c r="B714" s="2" t="s">
        <v>717</v>
      </c>
      <c r="C714" s="2">
        <v>4823.2700000000004</v>
      </c>
      <c r="D714" s="2" t="s">
        <v>5</v>
      </c>
    </row>
    <row r="715" spans="1:4" ht="15" customHeight="1" x14ac:dyDescent="0.25">
      <c r="A715" s="2" t="str">
        <f>"03062100170"</f>
        <v>03062100170</v>
      </c>
      <c r="B715" s="2" t="s">
        <v>718</v>
      </c>
      <c r="C715" s="2">
        <v>5445.99</v>
      </c>
      <c r="D715" s="2" t="s">
        <v>5</v>
      </c>
    </row>
    <row r="716" spans="1:4" ht="15" customHeight="1" x14ac:dyDescent="0.25">
      <c r="A716" s="2" t="str">
        <f>"03062100122"</f>
        <v>03062100122</v>
      </c>
      <c r="B716" s="2" t="s">
        <v>719</v>
      </c>
      <c r="C716" s="2">
        <v>4619.07</v>
      </c>
      <c r="D716" s="2" t="s">
        <v>5</v>
      </c>
    </row>
    <row r="717" spans="1:4" ht="15" customHeight="1" x14ac:dyDescent="0.25">
      <c r="A717" s="2" t="str">
        <f>"03062100159"</f>
        <v>03062100159</v>
      </c>
      <c r="B717" s="2" t="s">
        <v>720</v>
      </c>
      <c r="C717" s="2">
        <v>4823.18</v>
      </c>
      <c r="D717" s="2" t="s">
        <v>5</v>
      </c>
    </row>
    <row r="718" spans="1:4" ht="15" customHeight="1" x14ac:dyDescent="0.25">
      <c r="A718" s="2" t="str">
        <f>"03062100116"</f>
        <v>03062100116</v>
      </c>
      <c r="B718" s="2" t="s">
        <v>721</v>
      </c>
      <c r="C718" s="2">
        <v>4619.45</v>
      </c>
      <c r="D718" s="2" t="s">
        <v>5</v>
      </c>
    </row>
    <row r="719" spans="1:4" ht="15" customHeight="1" x14ac:dyDescent="0.25">
      <c r="A719" s="2" t="str">
        <f>"03062100173"</f>
        <v>03062100173</v>
      </c>
      <c r="B719" s="2" t="s">
        <v>722</v>
      </c>
      <c r="C719" s="2">
        <v>4823.2700000000004</v>
      </c>
      <c r="D719" s="2" t="s">
        <v>5</v>
      </c>
    </row>
    <row r="720" spans="1:4" ht="15" customHeight="1" x14ac:dyDescent="0.25">
      <c r="A720" s="2" t="str">
        <f>"03062100165"</f>
        <v>03062100165</v>
      </c>
      <c r="B720" s="2" t="s">
        <v>723</v>
      </c>
      <c r="C720" s="2">
        <v>5445.99</v>
      </c>
      <c r="D720" s="2" t="s">
        <v>5</v>
      </c>
    </row>
    <row r="721" spans="1:4" ht="15" customHeight="1" x14ac:dyDescent="0.25">
      <c r="A721" s="2" t="str">
        <f>"03062100123"</f>
        <v>03062100123</v>
      </c>
      <c r="B721" s="2" t="s">
        <v>724</v>
      </c>
      <c r="C721" s="2">
        <v>4619.07</v>
      </c>
      <c r="D721" s="2" t="s">
        <v>5</v>
      </c>
    </row>
    <row r="722" spans="1:4" ht="15" customHeight="1" x14ac:dyDescent="0.25">
      <c r="A722" s="2" t="str">
        <f>"03062100160"</f>
        <v>03062100160</v>
      </c>
      <c r="B722" s="2" t="s">
        <v>725</v>
      </c>
      <c r="C722" s="2">
        <v>4823.18</v>
      </c>
      <c r="D722" s="2" t="s">
        <v>5</v>
      </c>
    </row>
    <row r="723" spans="1:4" ht="15" customHeight="1" x14ac:dyDescent="0.25">
      <c r="A723" s="2" t="str">
        <f>"03059000112"</f>
        <v>03059000112</v>
      </c>
      <c r="B723" s="2" t="s">
        <v>726</v>
      </c>
      <c r="C723" s="2">
        <v>2537.46</v>
      </c>
      <c r="D723" s="2" t="s">
        <v>5</v>
      </c>
    </row>
    <row r="724" spans="1:4" ht="15" customHeight="1" x14ac:dyDescent="0.25">
      <c r="A724" s="2" t="str">
        <f>"03059000109"</f>
        <v>03059000109</v>
      </c>
      <c r="B724" s="2" t="s">
        <v>727</v>
      </c>
      <c r="C724" s="2">
        <v>2347.14</v>
      </c>
      <c r="D724" s="2" t="s">
        <v>5</v>
      </c>
    </row>
    <row r="725" spans="1:4" ht="15" customHeight="1" x14ac:dyDescent="0.25">
      <c r="A725" s="2" t="str">
        <f>"03032000060"</f>
        <v>03032000060</v>
      </c>
      <c r="B725" s="2" t="s">
        <v>728</v>
      </c>
      <c r="C725" s="2">
        <v>554</v>
      </c>
      <c r="D725" s="2" t="s">
        <v>5</v>
      </c>
    </row>
    <row r="726" spans="1:4" ht="15" customHeight="1" x14ac:dyDescent="0.25">
      <c r="A726" s="2" t="str">
        <f>"05021000127"</f>
        <v>05021000127</v>
      </c>
      <c r="B726" s="2" t="s">
        <v>729</v>
      </c>
      <c r="C726" s="2">
        <v>238.59</v>
      </c>
      <c r="D726" s="2" t="s">
        <v>5</v>
      </c>
    </row>
    <row r="727" spans="1:4" ht="15" customHeight="1" x14ac:dyDescent="0.25">
      <c r="A727" s="2" t="str">
        <f>"05021000126"</f>
        <v>05021000126</v>
      </c>
      <c r="B727" s="2" t="s">
        <v>730</v>
      </c>
      <c r="C727" s="2">
        <v>238.59</v>
      </c>
      <c r="D727" s="2" t="s">
        <v>5</v>
      </c>
    </row>
    <row r="728" spans="1:4" ht="15" customHeight="1" x14ac:dyDescent="0.25">
      <c r="A728" s="2" t="str">
        <f>"03018001036"</f>
        <v>03018001036</v>
      </c>
      <c r="B728" s="2" t="s">
        <v>731</v>
      </c>
      <c r="C728" s="2">
        <v>4306.5</v>
      </c>
      <c r="D728" s="2" t="s">
        <v>5</v>
      </c>
    </row>
    <row r="729" spans="1:4" ht="15" customHeight="1" x14ac:dyDescent="0.25">
      <c r="A729" s="2" t="str">
        <f>"03018001035"</f>
        <v>03018001035</v>
      </c>
      <c r="B729" s="2" t="s">
        <v>732</v>
      </c>
      <c r="C729" s="2">
        <v>7722</v>
      </c>
      <c r="D729" s="2" t="s">
        <v>5</v>
      </c>
    </row>
    <row r="730" spans="1:4" ht="15" customHeight="1" x14ac:dyDescent="0.25">
      <c r="A730" s="2" t="str">
        <f>"03031000007"</f>
        <v>03031000007</v>
      </c>
      <c r="B730" s="2" t="s">
        <v>733</v>
      </c>
      <c r="C730" s="2">
        <v>7500</v>
      </c>
      <c r="D730" s="2" t="s">
        <v>5</v>
      </c>
    </row>
    <row r="731" spans="1:4" ht="15" customHeight="1" x14ac:dyDescent="0.25">
      <c r="A731" s="2" t="str">
        <f>"09500000335"</f>
        <v>09500000335</v>
      </c>
      <c r="B731" s="2" t="s">
        <v>734</v>
      </c>
      <c r="C731" s="2">
        <v>7746.09</v>
      </c>
      <c r="D731" s="2" t="s">
        <v>5</v>
      </c>
    </row>
    <row r="732" spans="1:4" ht="15" customHeight="1" x14ac:dyDescent="0.25">
      <c r="A732" s="2" t="str">
        <f>"01007000345"</f>
        <v>01007000345</v>
      </c>
      <c r="B732" s="2" t="s">
        <v>735</v>
      </c>
      <c r="C732" s="2">
        <v>6850.98</v>
      </c>
      <c r="D732" s="2" t="s">
        <v>5</v>
      </c>
    </row>
    <row r="733" spans="1:4" ht="15" customHeight="1" x14ac:dyDescent="0.25">
      <c r="A733" s="2" t="str">
        <f>"01007000350"</f>
        <v>01007000350</v>
      </c>
      <c r="B733" s="2" t="s">
        <v>736</v>
      </c>
      <c r="C733" s="2">
        <v>6850.98</v>
      </c>
      <c r="D733" s="2" t="s">
        <v>5</v>
      </c>
    </row>
    <row r="734" spans="1:4" ht="15" customHeight="1" x14ac:dyDescent="0.25">
      <c r="A734" s="2" t="str">
        <f>"01007000351"</f>
        <v>01007000351</v>
      </c>
      <c r="B734" s="2" t="s">
        <v>737</v>
      </c>
      <c r="C734" s="2">
        <v>6850.98</v>
      </c>
      <c r="D734" s="2" t="s">
        <v>5</v>
      </c>
    </row>
    <row r="735" spans="1:4" ht="15" customHeight="1" x14ac:dyDescent="0.25">
      <c r="A735" s="2" t="str">
        <f>"01007000352"</f>
        <v>01007000352</v>
      </c>
      <c r="B735" s="2" t="s">
        <v>738</v>
      </c>
      <c r="C735" s="2">
        <v>6850.98</v>
      </c>
      <c r="D735" s="2" t="s">
        <v>5</v>
      </c>
    </row>
    <row r="736" spans="1:4" ht="15" customHeight="1" x14ac:dyDescent="0.25">
      <c r="A736" s="2" t="str">
        <f>"01007000353"</f>
        <v>01007000353</v>
      </c>
      <c r="B736" s="2" t="s">
        <v>739</v>
      </c>
      <c r="C736" s="2">
        <v>6850.98</v>
      </c>
      <c r="D736" s="2" t="s">
        <v>5</v>
      </c>
    </row>
    <row r="737" spans="1:4" ht="15" customHeight="1" x14ac:dyDescent="0.25">
      <c r="A737" s="2" t="str">
        <f>"01007000354"</f>
        <v>01007000354</v>
      </c>
      <c r="B737" s="2" t="s">
        <v>740</v>
      </c>
      <c r="C737" s="2">
        <v>6850.98</v>
      </c>
      <c r="D737" s="2" t="s">
        <v>5</v>
      </c>
    </row>
    <row r="738" spans="1:4" ht="15" customHeight="1" x14ac:dyDescent="0.25">
      <c r="A738" s="2" t="str">
        <f>"01007000355"</f>
        <v>01007000355</v>
      </c>
      <c r="B738" s="2" t="s">
        <v>741</v>
      </c>
      <c r="C738" s="2">
        <v>6850.98</v>
      </c>
      <c r="D738" s="2" t="s">
        <v>5</v>
      </c>
    </row>
    <row r="739" spans="1:4" ht="15" customHeight="1" x14ac:dyDescent="0.25">
      <c r="A739" s="2" t="str">
        <f>"01007000356"</f>
        <v>01007000356</v>
      </c>
      <c r="B739" s="2" t="s">
        <v>742</v>
      </c>
      <c r="C739" s="2">
        <v>6850.98</v>
      </c>
      <c r="D739" s="2" t="s">
        <v>5</v>
      </c>
    </row>
    <row r="740" spans="1:4" ht="15" customHeight="1" x14ac:dyDescent="0.25">
      <c r="A740" s="2" t="str">
        <f>"01007000357"</f>
        <v>01007000357</v>
      </c>
      <c r="B740" s="2" t="s">
        <v>743</v>
      </c>
      <c r="C740" s="2">
        <v>6850.98</v>
      </c>
      <c r="D740" s="2" t="s">
        <v>5</v>
      </c>
    </row>
    <row r="741" spans="1:4" ht="15" customHeight="1" x14ac:dyDescent="0.25">
      <c r="A741" s="2" t="str">
        <f>"01007000358"</f>
        <v>01007000358</v>
      </c>
      <c r="B741" s="2" t="s">
        <v>744</v>
      </c>
      <c r="C741" s="2">
        <v>6850.98</v>
      </c>
      <c r="D741" s="2" t="s">
        <v>5</v>
      </c>
    </row>
    <row r="742" spans="1:4" ht="15" customHeight="1" x14ac:dyDescent="0.25">
      <c r="A742" s="2" t="str">
        <f>"01007000360"</f>
        <v>01007000360</v>
      </c>
      <c r="B742" s="2" t="s">
        <v>745</v>
      </c>
      <c r="C742" s="2">
        <v>6850.98</v>
      </c>
      <c r="D742" s="2" t="s">
        <v>5</v>
      </c>
    </row>
    <row r="743" spans="1:4" ht="15" customHeight="1" x14ac:dyDescent="0.25">
      <c r="A743" s="2" t="str">
        <f>"01007000359"</f>
        <v>01007000359</v>
      </c>
      <c r="B743" s="2" t="s">
        <v>746</v>
      </c>
      <c r="C743" s="2">
        <v>4795.2</v>
      </c>
      <c r="D743" s="2" t="s">
        <v>5</v>
      </c>
    </row>
    <row r="744" spans="1:4" ht="15" customHeight="1" x14ac:dyDescent="0.25">
      <c r="A744" s="2" t="str">
        <f>"05010000408"</f>
        <v>05010000408</v>
      </c>
      <c r="B744" s="2" t="s">
        <v>747</v>
      </c>
      <c r="C744" s="2">
        <v>30501.360000000001</v>
      </c>
      <c r="D744" s="2" t="s">
        <v>5</v>
      </c>
    </row>
    <row r="745" spans="1:4" ht="15" customHeight="1" x14ac:dyDescent="0.25">
      <c r="A745" s="2" t="str">
        <f>"05010000406"</f>
        <v>05010000406</v>
      </c>
      <c r="B745" s="2" t="s">
        <v>748</v>
      </c>
      <c r="C745" s="2">
        <v>30501.360000000001</v>
      </c>
      <c r="D745" s="2" t="s">
        <v>5</v>
      </c>
    </row>
    <row r="746" spans="1:4" ht="15" customHeight="1" x14ac:dyDescent="0.25">
      <c r="A746" s="2" t="str">
        <f>"05010000407"</f>
        <v>05010000407</v>
      </c>
      <c r="B746" s="2" t="s">
        <v>749</v>
      </c>
      <c r="C746" s="2">
        <v>30501.360000000001</v>
      </c>
      <c r="D746" s="2" t="s">
        <v>5</v>
      </c>
    </row>
    <row r="747" spans="1:4" ht="15" customHeight="1" x14ac:dyDescent="0.25">
      <c r="A747" s="2" t="str">
        <f>"05012002134"</f>
        <v>05012002134</v>
      </c>
      <c r="B747" s="2" t="s">
        <v>750</v>
      </c>
      <c r="C747" s="2">
        <v>59825.39</v>
      </c>
      <c r="D747" s="2" t="s">
        <v>5</v>
      </c>
    </row>
    <row r="748" spans="1:4" ht="15" customHeight="1" x14ac:dyDescent="0.25">
      <c r="A748" s="2" t="str">
        <f>"05012002135"</f>
        <v>05012002135</v>
      </c>
      <c r="B748" s="2" t="s">
        <v>751</v>
      </c>
      <c r="C748" s="2">
        <v>68853.59</v>
      </c>
      <c r="D748" s="2" t="s">
        <v>5</v>
      </c>
    </row>
    <row r="749" spans="1:4" ht="15" customHeight="1" x14ac:dyDescent="0.25">
      <c r="A749" s="2" t="str">
        <f>"03038000721"</f>
        <v>03038000721</v>
      </c>
      <c r="B749" s="2" t="s">
        <v>752</v>
      </c>
      <c r="C749" s="2">
        <v>8023.37</v>
      </c>
      <c r="D749" s="2" t="s">
        <v>5</v>
      </c>
    </row>
    <row r="750" spans="1:4" ht="15" customHeight="1" x14ac:dyDescent="0.25">
      <c r="A750" s="2" t="str">
        <f>"03032000200"</f>
        <v>03032000200</v>
      </c>
      <c r="B750" s="2" t="s">
        <v>753</v>
      </c>
      <c r="C750" s="2">
        <v>1794.32</v>
      </c>
      <c r="D750" s="2" t="s">
        <v>5</v>
      </c>
    </row>
    <row r="751" spans="1:4" ht="15" customHeight="1" x14ac:dyDescent="0.25">
      <c r="A751" s="2" t="str">
        <f>"03038000332"</f>
        <v>03038000332</v>
      </c>
      <c r="B751" s="2" t="s">
        <v>754</v>
      </c>
      <c r="C751" s="2">
        <v>8263.91</v>
      </c>
      <c r="D751" s="2" t="s">
        <v>5</v>
      </c>
    </row>
    <row r="752" spans="1:4" ht="15" customHeight="1" x14ac:dyDescent="0.25">
      <c r="A752" s="2" t="str">
        <f>"03038000261"</f>
        <v>03038000261</v>
      </c>
      <c r="B752" s="2" t="s">
        <v>755</v>
      </c>
      <c r="C752" s="2">
        <v>7076.16</v>
      </c>
      <c r="D752" s="2" t="s">
        <v>5</v>
      </c>
    </row>
    <row r="753" spans="1:4" ht="15" customHeight="1" x14ac:dyDescent="0.25">
      <c r="A753" s="2" t="str">
        <f>"03038000301"</f>
        <v>03038000301</v>
      </c>
      <c r="B753" s="2" t="s">
        <v>756</v>
      </c>
      <c r="C753" s="2">
        <v>1827.36</v>
      </c>
      <c r="D753" s="2" t="s">
        <v>5</v>
      </c>
    </row>
    <row r="754" spans="1:4" ht="15" customHeight="1" x14ac:dyDescent="0.25">
      <c r="A754" s="2" t="str">
        <f>"03038000325"</f>
        <v>03038000325</v>
      </c>
      <c r="B754" s="2" t="s">
        <v>757</v>
      </c>
      <c r="C754" s="2">
        <v>4869.83</v>
      </c>
      <c r="D754" s="2" t="s">
        <v>5</v>
      </c>
    </row>
    <row r="755" spans="1:4" ht="15" customHeight="1" x14ac:dyDescent="0.25">
      <c r="A755" s="2" t="str">
        <f>"03038000335"</f>
        <v>03038000335</v>
      </c>
      <c r="B755" s="2" t="s">
        <v>758</v>
      </c>
      <c r="C755" s="2">
        <v>8046.44</v>
      </c>
      <c r="D755" s="2" t="s">
        <v>5</v>
      </c>
    </row>
    <row r="756" spans="1:4" ht="15" customHeight="1" x14ac:dyDescent="0.25">
      <c r="A756" s="2" t="str">
        <f>"03038000281"</f>
        <v>03038000281</v>
      </c>
      <c r="B756" s="2" t="s">
        <v>759</v>
      </c>
      <c r="C756" s="2">
        <v>7076.16</v>
      </c>
      <c r="D756" s="2" t="s">
        <v>5</v>
      </c>
    </row>
    <row r="757" spans="1:4" ht="15" customHeight="1" x14ac:dyDescent="0.25">
      <c r="A757" s="2" t="str">
        <f>"03038000321"</f>
        <v>03038000321</v>
      </c>
      <c r="B757" s="2" t="s">
        <v>760</v>
      </c>
      <c r="C757" s="2">
        <v>2230.83</v>
      </c>
      <c r="D757" s="2" t="s">
        <v>5</v>
      </c>
    </row>
    <row r="758" spans="1:4" ht="15" customHeight="1" x14ac:dyDescent="0.25">
      <c r="A758" s="2" t="str">
        <f>"03038000330"</f>
        <v>03038000330</v>
      </c>
      <c r="B758" s="2" t="s">
        <v>761</v>
      </c>
      <c r="C758" s="2">
        <v>4869.54</v>
      </c>
      <c r="D758" s="2" t="s">
        <v>5</v>
      </c>
    </row>
    <row r="759" spans="1:4" ht="15" customHeight="1" x14ac:dyDescent="0.25">
      <c r="A759" s="2" t="str">
        <f>"03034000421"</f>
        <v>03034000421</v>
      </c>
      <c r="B759" s="2" t="s">
        <v>762</v>
      </c>
      <c r="C759" s="2">
        <v>2805.38</v>
      </c>
      <c r="D759" s="2" t="s">
        <v>5</v>
      </c>
    </row>
    <row r="760" spans="1:4" ht="15" customHeight="1" x14ac:dyDescent="0.25">
      <c r="A760" s="2" t="str">
        <f>"03034000441"</f>
        <v>03034000441</v>
      </c>
      <c r="B760" s="2" t="s">
        <v>763</v>
      </c>
      <c r="C760" s="2">
        <v>2806.95</v>
      </c>
      <c r="D760" s="2" t="s">
        <v>5</v>
      </c>
    </row>
    <row r="761" spans="1:4" ht="15" customHeight="1" x14ac:dyDescent="0.25">
      <c r="A761" s="2" t="str">
        <f>"03034000445"</f>
        <v>03034000445</v>
      </c>
      <c r="B761" s="2" t="s">
        <v>764</v>
      </c>
      <c r="C761" s="2">
        <v>3611.79</v>
      </c>
      <c r="D761" s="2" t="s">
        <v>5</v>
      </c>
    </row>
    <row r="762" spans="1:4" ht="15" customHeight="1" x14ac:dyDescent="0.25">
      <c r="A762" s="2" t="str">
        <f>"03038000741"</f>
        <v>03038000741</v>
      </c>
      <c r="B762" s="2" t="s">
        <v>765</v>
      </c>
      <c r="C762" s="2">
        <v>4298.99</v>
      </c>
      <c r="D762" s="2" t="s">
        <v>5</v>
      </c>
    </row>
    <row r="763" spans="1:4" ht="15" customHeight="1" x14ac:dyDescent="0.25">
      <c r="A763" s="2" t="str">
        <f>"03038000761"</f>
        <v>03038000761</v>
      </c>
      <c r="B763" s="2" t="s">
        <v>766</v>
      </c>
      <c r="C763" s="2">
        <v>4298.99</v>
      </c>
      <c r="D763" s="2" t="s">
        <v>5</v>
      </c>
    </row>
    <row r="764" spans="1:4" ht="15" customHeight="1" x14ac:dyDescent="0.25">
      <c r="A764" s="2" t="str">
        <f>"03062100241"</f>
        <v>03062100241</v>
      </c>
      <c r="B764" s="2" t="s">
        <v>767</v>
      </c>
      <c r="C764" s="2">
        <v>4897.3100000000004</v>
      </c>
      <c r="D764" s="2" t="s">
        <v>5</v>
      </c>
    </row>
    <row r="765" spans="1:4" ht="15" customHeight="1" x14ac:dyDescent="0.25">
      <c r="A765" s="2" t="str">
        <f>"08700000090"</f>
        <v>08700000090</v>
      </c>
      <c r="B765" s="2" t="s">
        <v>768</v>
      </c>
      <c r="C765" s="2">
        <v>8720.76</v>
      </c>
      <c r="D765" s="2" t="s">
        <v>5</v>
      </c>
    </row>
    <row r="766" spans="1:4" ht="15" customHeight="1" x14ac:dyDescent="0.25">
      <c r="A766" s="2" t="str">
        <f>"08700000085"</f>
        <v>08700000085</v>
      </c>
      <c r="B766" s="2" t="s">
        <v>769</v>
      </c>
      <c r="C766" s="2">
        <v>7463.57</v>
      </c>
      <c r="D766" s="2" t="s">
        <v>5</v>
      </c>
    </row>
    <row r="767" spans="1:4" ht="15" customHeight="1" x14ac:dyDescent="0.25">
      <c r="A767" s="2" t="str">
        <f>"08700000120"</f>
        <v>08700000120</v>
      </c>
      <c r="B767" s="2" t="s">
        <v>770</v>
      </c>
      <c r="C767" s="2">
        <v>12548.9</v>
      </c>
      <c r="D767" s="2" t="s">
        <v>5</v>
      </c>
    </row>
    <row r="768" spans="1:4" ht="15" customHeight="1" x14ac:dyDescent="0.25">
      <c r="A768" s="2" t="str">
        <f>"06080000360"</f>
        <v>06080000360</v>
      </c>
      <c r="B768" s="2" t="s">
        <v>771</v>
      </c>
      <c r="C768" s="2">
        <v>5297.15</v>
      </c>
      <c r="D768" s="2" t="s">
        <v>5</v>
      </c>
    </row>
    <row r="769" spans="1:4" ht="15" customHeight="1" x14ac:dyDescent="0.25">
      <c r="A769" s="2" t="str">
        <f>"06080000365"</f>
        <v>06080000365</v>
      </c>
      <c r="B769" s="2" t="s">
        <v>772</v>
      </c>
      <c r="C769" s="2">
        <v>4678.2299999999996</v>
      </c>
      <c r="D769" s="2" t="s">
        <v>5</v>
      </c>
    </row>
    <row r="770" spans="1:4" ht="15" customHeight="1" x14ac:dyDescent="0.25">
      <c r="A770" s="2" t="str">
        <f>"06080000356"</f>
        <v>06080000356</v>
      </c>
      <c r="B770" s="2" t="s">
        <v>773</v>
      </c>
      <c r="C770" s="2">
        <v>7714.64</v>
      </c>
      <c r="D770" s="2" t="s">
        <v>5</v>
      </c>
    </row>
    <row r="771" spans="1:4" ht="15" customHeight="1" x14ac:dyDescent="0.25">
      <c r="A771" s="2" t="str">
        <f>"06080000375"</f>
        <v>06080000375</v>
      </c>
      <c r="B771" s="2" t="s">
        <v>774</v>
      </c>
      <c r="C771" s="2">
        <v>3908.24</v>
      </c>
      <c r="D771" s="2" t="s">
        <v>5</v>
      </c>
    </row>
    <row r="772" spans="1:4" ht="15" customHeight="1" x14ac:dyDescent="0.25">
      <c r="A772" s="2" t="str">
        <f>"06080000200"</f>
        <v>06080000200</v>
      </c>
      <c r="B772" s="2" t="s">
        <v>775</v>
      </c>
      <c r="C772" s="2">
        <v>5551.07</v>
      </c>
      <c r="D772" s="2" t="s">
        <v>5</v>
      </c>
    </row>
    <row r="773" spans="1:4" ht="15" customHeight="1" x14ac:dyDescent="0.25">
      <c r="A773" s="2" t="str">
        <f>"06080000355"</f>
        <v>06080000355</v>
      </c>
      <c r="B773" s="2" t="s">
        <v>776</v>
      </c>
      <c r="C773" s="2">
        <v>8027.64</v>
      </c>
      <c r="D773" s="2" t="s">
        <v>5</v>
      </c>
    </row>
    <row r="774" spans="1:4" ht="15" customHeight="1" x14ac:dyDescent="0.25">
      <c r="A774" s="2" t="str">
        <f>"06080000190"</f>
        <v>06080000190</v>
      </c>
      <c r="B774" s="2" t="s">
        <v>777</v>
      </c>
      <c r="C774" s="2">
        <v>9065.2099999999991</v>
      </c>
      <c r="D774" s="2" t="s">
        <v>5</v>
      </c>
    </row>
    <row r="775" spans="1:4" ht="15" customHeight="1" x14ac:dyDescent="0.25">
      <c r="A775" s="2" t="str">
        <f>"06080000370"</f>
        <v>06080000370</v>
      </c>
      <c r="B775" s="2" t="s">
        <v>778</v>
      </c>
      <c r="C775" s="2">
        <v>1401.65</v>
      </c>
      <c r="D775" s="2" t="s">
        <v>5</v>
      </c>
    </row>
    <row r="776" spans="1:4" ht="15" customHeight="1" x14ac:dyDescent="0.25">
      <c r="A776" s="2" t="str">
        <f>"06080000195"</f>
        <v>06080000195</v>
      </c>
      <c r="B776" s="2" t="s">
        <v>779</v>
      </c>
      <c r="C776" s="2">
        <v>1510.86</v>
      </c>
      <c r="D776" s="2" t="s">
        <v>5</v>
      </c>
    </row>
    <row r="777" spans="1:4" ht="15" customHeight="1" x14ac:dyDescent="0.25">
      <c r="A777" s="2" t="str">
        <f>"06080000205"</f>
        <v>06080000205</v>
      </c>
      <c r="B777" s="2" t="s">
        <v>780</v>
      </c>
      <c r="C777" s="2">
        <v>1530.42</v>
      </c>
      <c r="D777" s="2" t="s">
        <v>5</v>
      </c>
    </row>
    <row r="778" spans="1:4" ht="15" customHeight="1" x14ac:dyDescent="0.25">
      <c r="A778" s="2" t="str">
        <f>"06080000385"</f>
        <v>06080000385</v>
      </c>
      <c r="B778" s="2" t="s">
        <v>781</v>
      </c>
      <c r="C778" s="2">
        <v>4107.09</v>
      </c>
      <c r="D778" s="2" t="s">
        <v>5</v>
      </c>
    </row>
    <row r="779" spans="1:4" ht="15" customHeight="1" x14ac:dyDescent="0.25">
      <c r="A779" s="2" t="str">
        <f>"06080000210"</f>
        <v>06080000210</v>
      </c>
      <c r="B779" s="2" t="s">
        <v>782</v>
      </c>
      <c r="C779" s="2">
        <v>4202.21</v>
      </c>
      <c r="D779" s="2" t="s">
        <v>5</v>
      </c>
    </row>
    <row r="780" spans="1:4" ht="15" customHeight="1" x14ac:dyDescent="0.25">
      <c r="A780" s="2" t="str">
        <f>"08700000115"</f>
        <v>08700000115</v>
      </c>
      <c r="B780" s="2" t="s">
        <v>783</v>
      </c>
      <c r="C780" s="2">
        <v>5872.65</v>
      </c>
      <c r="D780" s="2" t="s">
        <v>5</v>
      </c>
    </row>
    <row r="781" spans="1:4" ht="15" customHeight="1" x14ac:dyDescent="0.25">
      <c r="A781" s="2" t="str">
        <f>"08700000110"</f>
        <v>08700000110</v>
      </c>
      <c r="B781" s="2" t="s">
        <v>784</v>
      </c>
      <c r="C781" s="2">
        <v>6933.36</v>
      </c>
      <c r="D781" s="2" t="s">
        <v>5</v>
      </c>
    </row>
    <row r="782" spans="1:4" ht="15" customHeight="1" x14ac:dyDescent="0.25">
      <c r="A782" s="2" t="str">
        <f>"08100000090"</f>
        <v>08100000090</v>
      </c>
      <c r="B782" s="2" t="s">
        <v>785</v>
      </c>
      <c r="C782" s="2">
        <v>1639.22</v>
      </c>
      <c r="D782" s="2" t="s">
        <v>5</v>
      </c>
    </row>
    <row r="783" spans="1:4" ht="15" customHeight="1" x14ac:dyDescent="0.25">
      <c r="A783" s="2" t="str">
        <f>"08700000080"</f>
        <v>08700000080</v>
      </c>
      <c r="B783" s="2" t="s">
        <v>786</v>
      </c>
      <c r="C783" s="2">
        <v>2785.85</v>
      </c>
      <c r="D783" s="2" t="s">
        <v>5</v>
      </c>
    </row>
    <row r="784" spans="1:4" ht="15" customHeight="1" x14ac:dyDescent="0.25">
      <c r="A784" s="2" t="str">
        <f>"08700000075"</f>
        <v>08700000075</v>
      </c>
      <c r="B784" s="2" t="s">
        <v>787</v>
      </c>
      <c r="C784" s="2">
        <v>3323.28</v>
      </c>
      <c r="D784" s="2" t="s">
        <v>5</v>
      </c>
    </row>
    <row r="785" spans="1:4" ht="15" customHeight="1" x14ac:dyDescent="0.25">
      <c r="A785" s="2" t="str">
        <f>"08100000095"</f>
        <v>08100000095</v>
      </c>
      <c r="B785" s="2" t="s">
        <v>788</v>
      </c>
      <c r="C785" s="2">
        <v>1639.22</v>
      </c>
      <c r="D785" s="2" t="s">
        <v>5</v>
      </c>
    </row>
    <row r="786" spans="1:4" ht="15" customHeight="1" x14ac:dyDescent="0.25">
      <c r="A786" s="2" t="str">
        <f>"07010000040"</f>
        <v>07010000040</v>
      </c>
      <c r="B786" s="2" t="s">
        <v>789</v>
      </c>
      <c r="C786" s="2">
        <v>4737.8</v>
      </c>
      <c r="D786" s="2" t="s">
        <v>5</v>
      </c>
    </row>
    <row r="787" spans="1:4" ht="15" customHeight="1" x14ac:dyDescent="0.25">
      <c r="A787" s="2" t="str">
        <f>"07010000035"</f>
        <v>07010000035</v>
      </c>
      <c r="B787" s="2" t="s">
        <v>790</v>
      </c>
      <c r="C787" s="2">
        <v>5052.9799999999996</v>
      </c>
      <c r="D787" s="2" t="s">
        <v>5</v>
      </c>
    </row>
    <row r="788" spans="1:4" ht="15" customHeight="1" x14ac:dyDescent="0.25">
      <c r="A788" s="2" t="str">
        <f>"08100000060"</f>
        <v>08100000060</v>
      </c>
      <c r="B788" s="2" t="s">
        <v>791</v>
      </c>
      <c r="C788" s="2">
        <v>5303.31</v>
      </c>
      <c r="D788" s="2" t="s">
        <v>5</v>
      </c>
    </row>
    <row r="789" spans="1:4" ht="15" customHeight="1" x14ac:dyDescent="0.25">
      <c r="A789" s="2" t="str">
        <f>"08700000105"</f>
        <v>08700000105</v>
      </c>
      <c r="B789" s="2" t="s">
        <v>792</v>
      </c>
      <c r="C789" s="2">
        <v>8261.6299999999992</v>
      </c>
      <c r="D789" s="2" t="s">
        <v>5</v>
      </c>
    </row>
    <row r="790" spans="1:4" ht="15" customHeight="1" x14ac:dyDescent="0.25">
      <c r="A790" s="2" t="str">
        <f>"08700000030"</f>
        <v>08700000030</v>
      </c>
      <c r="B790" s="2" t="s">
        <v>793</v>
      </c>
      <c r="C790" s="2">
        <v>7698.92</v>
      </c>
      <c r="D790" s="2" t="s">
        <v>5</v>
      </c>
    </row>
    <row r="791" spans="1:4" ht="15" customHeight="1" x14ac:dyDescent="0.25">
      <c r="A791" s="2" t="str">
        <f>"07010000015"</f>
        <v>07010000015</v>
      </c>
      <c r="B791" s="2" t="s">
        <v>794</v>
      </c>
      <c r="C791" s="2">
        <v>5165.24</v>
      </c>
      <c r="D791" s="2" t="s">
        <v>5</v>
      </c>
    </row>
    <row r="792" spans="1:4" ht="15" customHeight="1" x14ac:dyDescent="0.25">
      <c r="A792" s="2" t="str">
        <f>"08710000020"</f>
        <v>08710000020</v>
      </c>
      <c r="B792" s="2" t="s">
        <v>795</v>
      </c>
      <c r="C792" s="2">
        <v>6972.6</v>
      </c>
      <c r="D792" s="2" t="s">
        <v>5</v>
      </c>
    </row>
    <row r="793" spans="1:4" ht="15" customHeight="1" x14ac:dyDescent="0.25">
      <c r="A793" s="2" t="str">
        <f>"08100000080"</f>
        <v>08100000080</v>
      </c>
      <c r="B793" s="2" t="s">
        <v>796</v>
      </c>
      <c r="C793" s="2">
        <v>5303.31</v>
      </c>
      <c r="D793" s="2" t="s">
        <v>5</v>
      </c>
    </row>
    <row r="794" spans="1:4" ht="15" customHeight="1" x14ac:dyDescent="0.25">
      <c r="A794" s="2" t="str">
        <f>"08100000075"</f>
        <v>08100000075</v>
      </c>
      <c r="B794" s="2" t="s">
        <v>797</v>
      </c>
      <c r="C794" s="2">
        <v>5303.31</v>
      </c>
      <c r="D794" s="2" t="s">
        <v>5</v>
      </c>
    </row>
    <row r="795" spans="1:4" ht="15" customHeight="1" x14ac:dyDescent="0.25">
      <c r="A795" s="2" t="str">
        <f>"08100000083"</f>
        <v>08100000083</v>
      </c>
      <c r="B795" s="2" t="s">
        <v>798</v>
      </c>
      <c r="C795" s="2">
        <v>6219.35</v>
      </c>
      <c r="D795" s="2" t="s">
        <v>5</v>
      </c>
    </row>
    <row r="796" spans="1:4" ht="15" customHeight="1" x14ac:dyDescent="0.25">
      <c r="A796" s="2" t="str">
        <f>"08100000082"</f>
        <v>08100000082</v>
      </c>
      <c r="B796" s="2" t="s">
        <v>799</v>
      </c>
      <c r="C796" s="2">
        <v>6219.35</v>
      </c>
      <c r="D796" s="2" t="s">
        <v>5</v>
      </c>
    </row>
    <row r="797" spans="1:4" ht="15" customHeight="1" x14ac:dyDescent="0.25">
      <c r="A797" s="2" t="str">
        <f>"08700000040"</f>
        <v>08700000040</v>
      </c>
      <c r="B797" s="2" t="s">
        <v>800</v>
      </c>
      <c r="C797" s="2">
        <v>7842.3</v>
      </c>
      <c r="D797" s="2" t="s">
        <v>5</v>
      </c>
    </row>
    <row r="798" spans="1:4" ht="15" customHeight="1" x14ac:dyDescent="0.25">
      <c r="A798" s="2" t="str">
        <f>"08700000045"</f>
        <v>08700000045</v>
      </c>
      <c r="B798" s="2" t="s">
        <v>801</v>
      </c>
      <c r="C798" s="2">
        <v>8422.17</v>
      </c>
      <c r="D798" s="2" t="s">
        <v>5</v>
      </c>
    </row>
    <row r="799" spans="1:4" ht="15" customHeight="1" x14ac:dyDescent="0.25">
      <c r="A799" s="2" t="str">
        <f>"07010000025"</f>
        <v>07010000025</v>
      </c>
      <c r="B799" s="2" t="s">
        <v>802</v>
      </c>
      <c r="C799" s="2">
        <v>5437.32</v>
      </c>
      <c r="D799" s="2" t="s">
        <v>5</v>
      </c>
    </row>
    <row r="800" spans="1:4" ht="15" customHeight="1" x14ac:dyDescent="0.25">
      <c r="A800" s="2" t="str">
        <f>"08710000030"</f>
        <v>08710000030</v>
      </c>
      <c r="B800" s="2" t="s">
        <v>803</v>
      </c>
      <c r="C800" s="2">
        <v>7908.2</v>
      </c>
      <c r="D800" s="2" t="s">
        <v>5</v>
      </c>
    </row>
    <row r="801" spans="1:4" ht="15" customHeight="1" x14ac:dyDescent="0.25">
      <c r="A801" s="2" t="str">
        <f>"02007001025"</f>
        <v>02007001025</v>
      </c>
      <c r="B801" s="2" t="s">
        <v>804</v>
      </c>
      <c r="C801" s="2">
        <v>1003.94</v>
      </c>
      <c r="D801" s="2" t="s">
        <v>5</v>
      </c>
    </row>
    <row r="802" spans="1:4" ht="15" customHeight="1" x14ac:dyDescent="0.25">
      <c r="A802" s="2" t="str">
        <f>"02007001030"</f>
        <v>02007001030</v>
      </c>
      <c r="B802" s="2" t="s">
        <v>805</v>
      </c>
      <c r="C802" s="2">
        <v>1016.93</v>
      </c>
      <c r="D802" s="2" t="s">
        <v>5</v>
      </c>
    </row>
    <row r="803" spans="1:4" ht="15" customHeight="1" x14ac:dyDescent="0.25">
      <c r="A803" s="2" t="str">
        <f>"02007001032"</f>
        <v>02007001032</v>
      </c>
      <c r="B803" s="2" t="s">
        <v>806</v>
      </c>
      <c r="C803" s="2">
        <v>1277.6400000000001</v>
      </c>
      <c r="D803" s="2" t="s">
        <v>5</v>
      </c>
    </row>
    <row r="804" spans="1:4" ht="15" customHeight="1" x14ac:dyDescent="0.25">
      <c r="A804" s="2" t="str">
        <f>"08700000108"</f>
        <v>08700000108</v>
      </c>
      <c r="B804" s="2" t="s">
        <v>807</v>
      </c>
      <c r="C804" s="2">
        <v>1599.33</v>
      </c>
      <c r="D804" s="2" t="s">
        <v>5</v>
      </c>
    </row>
    <row r="805" spans="1:4" ht="15" customHeight="1" x14ac:dyDescent="0.25">
      <c r="A805" s="2" t="str">
        <f>"08700000070"</f>
        <v>08700000070</v>
      </c>
      <c r="B805" s="2" t="s">
        <v>808</v>
      </c>
      <c r="C805" s="2">
        <v>1113.42</v>
      </c>
      <c r="D805" s="2" t="s">
        <v>5</v>
      </c>
    </row>
    <row r="806" spans="1:4" ht="15" customHeight="1" x14ac:dyDescent="0.25">
      <c r="A806" s="2" t="str">
        <f>"08100000070"</f>
        <v>08100000070</v>
      </c>
      <c r="B806" s="2" t="s">
        <v>809</v>
      </c>
      <c r="C806" s="2">
        <v>1205.28</v>
      </c>
      <c r="D806" s="2" t="s">
        <v>5</v>
      </c>
    </row>
    <row r="807" spans="1:4" ht="15" customHeight="1" x14ac:dyDescent="0.25">
      <c r="A807" s="2" t="str">
        <f>"08100000105"</f>
        <v>08100000105</v>
      </c>
      <c r="B807" s="2" t="s">
        <v>810</v>
      </c>
      <c r="C807" s="2">
        <v>1639.22</v>
      </c>
      <c r="D807" s="2" t="s">
        <v>5</v>
      </c>
    </row>
    <row r="808" spans="1:4" ht="15" customHeight="1" x14ac:dyDescent="0.25">
      <c r="A808" s="2" t="str">
        <f>"08710000035"</f>
        <v>08710000035</v>
      </c>
      <c r="B808" s="2" t="s">
        <v>811</v>
      </c>
      <c r="C808" s="2">
        <v>1933.77</v>
      </c>
      <c r="D808" s="2" t="s">
        <v>5</v>
      </c>
    </row>
    <row r="809" spans="1:4" ht="15" customHeight="1" x14ac:dyDescent="0.25">
      <c r="A809" s="2" t="str">
        <f>"08710000040"</f>
        <v>08710000040</v>
      </c>
      <c r="B809" s="2" t="s">
        <v>812</v>
      </c>
      <c r="C809" s="2">
        <v>6592.17</v>
      </c>
      <c r="D809" s="2" t="s">
        <v>5</v>
      </c>
    </row>
    <row r="810" spans="1:4" ht="15" customHeight="1" x14ac:dyDescent="0.25">
      <c r="A810" s="2" t="str">
        <f>"07010000080"</f>
        <v>07010000080</v>
      </c>
      <c r="B810" s="2" t="s">
        <v>813</v>
      </c>
      <c r="C810" s="2">
        <v>5514.54</v>
      </c>
      <c r="D810" s="2" t="s">
        <v>5</v>
      </c>
    </row>
    <row r="811" spans="1:4" ht="15" customHeight="1" x14ac:dyDescent="0.25">
      <c r="A811" s="2" t="str">
        <f>"07010000070"</f>
        <v>07010000070</v>
      </c>
      <c r="B811" s="2" t="s">
        <v>814</v>
      </c>
      <c r="C811" s="2">
        <v>5514.54</v>
      </c>
      <c r="D811" s="2" t="s">
        <v>5</v>
      </c>
    </row>
    <row r="812" spans="1:4" ht="15" customHeight="1" x14ac:dyDescent="0.25">
      <c r="A812" s="2" t="str">
        <f>"08700000050"</f>
        <v>08700000050</v>
      </c>
      <c r="B812" s="2" t="s">
        <v>815</v>
      </c>
      <c r="C812" s="2">
        <v>6336.75</v>
      </c>
      <c r="D812" s="2" t="s">
        <v>5</v>
      </c>
    </row>
    <row r="813" spans="1:4" ht="15" customHeight="1" x14ac:dyDescent="0.25">
      <c r="A813" s="2" t="str">
        <f>"07010000075"</f>
        <v>07010000075</v>
      </c>
      <c r="B813" s="2" t="s">
        <v>816</v>
      </c>
      <c r="C813" s="2">
        <v>5514.54</v>
      </c>
      <c r="D813" s="2" t="s">
        <v>5</v>
      </c>
    </row>
    <row r="814" spans="1:4" ht="15" customHeight="1" x14ac:dyDescent="0.25">
      <c r="A814" s="2" t="str">
        <f>"07010000030"</f>
        <v>07010000030</v>
      </c>
      <c r="B814" s="2" t="s">
        <v>817</v>
      </c>
      <c r="C814" s="2">
        <v>1638.65</v>
      </c>
      <c r="D814" s="2" t="s">
        <v>5</v>
      </c>
    </row>
    <row r="815" spans="1:4" ht="15" customHeight="1" x14ac:dyDescent="0.25">
      <c r="A815" s="2" t="str">
        <f>"08700000055"</f>
        <v>08700000055</v>
      </c>
      <c r="B815" s="2" t="s">
        <v>818</v>
      </c>
      <c r="C815" s="2">
        <v>1165.04</v>
      </c>
      <c r="D815" s="2" t="s">
        <v>5</v>
      </c>
    </row>
    <row r="816" spans="1:4" ht="15" customHeight="1" x14ac:dyDescent="0.25">
      <c r="A816" s="2" t="str">
        <f>"08100000100"</f>
        <v>08100000100</v>
      </c>
      <c r="B816" s="2" t="s">
        <v>819</v>
      </c>
      <c r="C816" s="2">
        <v>916.02</v>
      </c>
      <c r="D816" s="2" t="s">
        <v>5</v>
      </c>
    </row>
    <row r="817" spans="1:4" ht="15" customHeight="1" x14ac:dyDescent="0.25">
      <c r="A817" s="2" t="str">
        <f>"07010000065"</f>
        <v>07010000065</v>
      </c>
      <c r="B817" s="2" t="s">
        <v>820</v>
      </c>
      <c r="C817" s="2">
        <v>1533.65</v>
      </c>
      <c r="D817" s="2" t="s">
        <v>5</v>
      </c>
    </row>
    <row r="818" spans="1:4" ht="15" customHeight="1" x14ac:dyDescent="0.25">
      <c r="A818" s="2" t="str">
        <f>"08100000115"</f>
        <v>08100000115</v>
      </c>
      <c r="B818" s="2" t="s">
        <v>821</v>
      </c>
      <c r="C818" s="2">
        <v>2265.96</v>
      </c>
      <c r="D818" s="2" t="s">
        <v>5</v>
      </c>
    </row>
    <row r="819" spans="1:4" ht="15" customHeight="1" x14ac:dyDescent="0.25">
      <c r="A819" s="2" t="str">
        <f>"08700000020"</f>
        <v>08700000020</v>
      </c>
      <c r="B819" s="2" t="s">
        <v>822</v>
      </c>
      <c r="C819" s="2">
        <v>2995.52</v>
      </c>
      <c r="D819" s="2" t="s">
        <v>5</v>
      </c>
    </row>
    <row r="820" spans="1:4" ht="15" customHeight="1" x14ac:dyDescent="0.25">
      <c r="A820" s="2" t="str">
        <f>"07010000045"</f>
        <v>07010000045</v>
      </c>
      <c r="B820" s="2" t="s">
        <v>823</v>
      </c>
      <c r="C820" s="2">
        <v>1257.8599999999999</v>
      </c>
      <c r="D820" s="2" t="s">
        <v>5</v>
      </c>
    </row>
    <row r="821" spans="1:4" ht="15" customHeight="1" x14ac:dyDescent="0.25">
      <c r="A821" s="2" t="str">
        <f>"08700000025"</f>
        <v>08700000025</v>
      </c>
      <c r="B821" s="2" t="s">
        <v>824</v>
      </c>
      <c r="C821" s="2">
        <v>3001.26</v>
      </c>
      <c r="D821" s="2" t="s">
        <v>5</v>
      </c>
    </row>
    <row r="822" spans="1:4" ht="15" customHeight="1" x14ac:dyDescent="0.25">
      <c r="A822" s="2" t="str">
        <f>"07010000050"</f>
        <v>07010000050</v>
      </c>
      <c r="B822" s="2" t="s">
        <v>825</v>
      </c>
      <c r="C822" s="2">
        <v>1257.8599999999999</v>
      </c>
      <c r="D822" s="2" t="s">
        <v>5</v>
      </c>
    </row>
    <row r="823" spans="1:4" ht="15" customHeight="1" x14ac:dyDescent="0.25">
      <c r="A823" s="2" t="str">
        <f>"08710000010"</f>
        <v>08710000010</v>
      </c>
      <c r="B823" s="2" t="s">
        <v>826</v>
      </c>
      <c r="C823" s="2">
        <v>1801.56</v>
      </c>
      <c r="D823" s="2" t="s">
        <v>5</v>
      </c>
    </row>
    <row r="824" spans="1:4" ht="15" customHeight="1" x14ac:dyDescent="0.25">
      <c r="A824" s="2" t="str">
        <f>"08700000010"</f>
        <v>08700000010</v>
      </c>
      <c r="B824" s="2" t="s">
        <v>827</v>
      </c>
      <c r="C824" s="2">
        <v>1633.35</v>
      </c>
      <c r="D824" s="2" t="s">
        <v>5</v>
      </c>
    </row>
    <row r="825" spans="1:4" ht="15" customHeight="1" x14ac:dyDescent="0.25">
      <c r="A825" s="2" t="str">
        <f>"07010000055"</f>
        <v>07010000055</v>
      </c>
      <c r="B825" s="2" t="s">
        <v>828</v>
      </c>
      <c r="C825" s="2">
        <v>1257.8599999999999</v>
      </c>
      <c r="D825" s="2" t="s">
        <v>5</v>
      </c>
    </row>
    <row r="826" spans="1:4" ht="15" customHeight="1" x14ac:dyDescent="0.25">
      <c r="A826" s="2" t="str">
        <f>"08700000015"</f>
        <v>08700000015</v>
      </c>
      <c r="B826" s="2" t="s">
        <v>829</v>
      </c>
      <c r="C826" s="2">
        <v>1633.35</v>
      </c>
      <c r="D826" s="2" t="s">
        <v>5</v>
      </c>
    </row>
    <row r="827" spans="1:4" ht="15" customHeight="1" x14ac:dyDescent="0.25">
      <c r="A827" s="2" t="str">
        <f>"07010000060"</f>
        <v>07010000060</v>
      </c>
      <c r="B827" s="2" t="s">
        <v>830</v>
      </c>
      <c r="C827" s="2">
        <v>1257.8599999999999</v>
      </c>
      <c r="D827" s="2" t="s">
        <v>5</v>
      </c>
    </row>
    <row r="828" spans="1:4" ht="15" customHeight="1" x14ac:dyDescent="0.25">
      <c r="A828" s="2" t="str">
        <f>"08710000015"</f>
        <v>08710000015</v>
      </c>
      <c r="B828" s="2" t="s">
        <v>831</v>
      </c>
      <c r="C828" s="2">
        <v>973.11</v>
      </c>
      <c r="D828" s="2" t="s">
        <v>5</v>
      </c>
    </row>
    <row r="829" spans="1:4" ht="15" customHeight="1" x14ac:dyDescent="0.25">
      <c r="A829" s="2" t="str">
        <f>"08100000110"</f>
        <v>08100000110</v>
      </c>
      <c r="B829" s="2" t="s">
        <v>832</v>
      </c>
      <c r="C829" s="2">
        <v>2265.96</v>
      </c>
      <c r="D829" s="2" t="s">
        <v>5</v>
      </c>
    </row>
    <row r="830" spans="1:4" ht="15" customHeight="1" x14ac:dyDescent="0.25">
      <c r="A830" s="2" t="str">
        <f>"08700000005"</f>
        <v>08700000005</v>
      </c>
      <c r="B830" s="2" t="s">
        <v>833</v>
      </c>
      <c r="C830" s="2">
        <v>28861.79</v>
      </c>
      <c r="D830" s="2" t="s">
        <v>5</v>
      </c>
    </row>
    <row r="831" spans="1:4" ht="15" customHeight="1" x14ac:dyDescent="0.25">
      <c r="A831" s="2" t="str">
        <f>"08710000005"</f>
        <v>08710000005</v>
      </c>
      <c r="B831" s="2" t="s">
        <v>834</v>
      </c>
      <c r="C831" s="2">
        <v>21277.47</v>
      </c>
      <c r="D831" s="2" t="s">
        <v>5</v>
      </c>
    </row>
    <row r="832" spans="1:4" ht="15" customHeight="1" x14ac:dyDescent="0.25">
      <c r="A832" s="2" t="str">
        <f>"07010000005"</f>
        <v>07010000005</v>
      </c>
      <c r="B832" s="2" t="s">
        <v>835</v>
      </c>
      <c r="C832" s="2">
        <v>16354.82</v>
      </c>
      <c r="D832" s="2" t="s">
        <v>5</v>
      </c>
    </row>
    <row r="833" spans="1:4" ht="15" customHeight="1" x14ac:dyDescent="0.25">
      <c r="A833" s="2" t="str">
        <f>"08700000095"</f>
        <v>08700000095</v>
      </c>
      <c r="B833" s="2" t="s">
        <v>836</v>
      </c>
      <c r="C833" s="2">
        <v>34961.21</v>
      </c>
      <c r="D833" s="2" t="s">
        <v>5</v>
      </c>
    </row>
    <row r="834" spans="1:4" ht="15" customHeight="1" x14ac:dyDescent="0.25">
      <c r="A834" s="2" t="str">
        <f>"08700000060"</f>
        <v>08700000060</v>
      </c>
      <c r="B834" s="2" t="s">
        <v>837</v>
      </c>
      <c r="C834" s="2">
        <v>23196.54</v>
      </c>
      <c r="D834" s="2" t="s">
        <v>5</v>
      </c>
    </row>
    <row r="835" spans="1:4" ht="15" customHeight="1" x14ac:dyDescent="0.25">
      <c r="A835" s="2" t="str">
        <f>"07010000010"</f>
        <v>07010000010</v>
      </c>
      <c r="B835" s="2" t="s">
        <v>838</v>
      </c>
      <c r="C835" s="2">
        <v>17990.240000000002</v>
      </c>
      <c r="D835" s="2" t="s">
        <v>5</v>
      </c>
    </row>
    <row r="836" spans="1:4" ht="15" customHeight="1" x14ac:dyDescent="0.25">
      <c r="A836" s="2" t="str">
        <f>"08700000100"</f>
        <v>08700000100</v>
      </c>
      <c r="B836" s="2" t="s">
        <v>839</v>
      </c>
      <c r="C836" s="2">
        <v>3384.36</v>
      </c>
      <c r="D836" s="2" t="s">
        <v>5</v>
      </c>
    </row>
    <row r="837" spans="1:4" ht="15" customHeight="1" x14ac:dyDescent="0.25">
      <c r="A837" s="2" t="str">
        <f>"08700000065"</f>
        <v>08700000065</v>
      </c>
      <c r="B837" s="2" t="s">
        <v>840</v>
      </c>
      <c r="C837" s="2">
        <v>1831.26</v>
      </c>
      <c r="D837" s="2" t="s">
        <v>5</v>
      </c>
    </row>
    <row r="838" spans="1:4" ht="15" customHeight="1" x14ac:dyDescent="0.25">
      <c r="A838" s="2" t="str">
        <f>"08700000035"</f>
        <v>08700000035</v>
      </c>
      <c r="B838" s="2" t="s">
        <v>841</v>
      </c>
      <c r="C838" s="2">
        <v>5538.83</v>
      </c>
      <c r="D838" s="2" t="s">
        <v>5</v>
      </c>
    </row>
    <row r="839" spans="1:4" ht="15" customHeight="1" x14ac:dyDescent="0.25">
      <c r="A839" s="2" t="str">
        <f>"07010000020"</f>
        <v>07010000020</v>
      </c>
      <c r="B839" s="2" t="s">
        <v>842</v>
      </c>
      <c r="C839" s="2">
        <v>1771.85</v>
      </c>
      <c r="D839" s="2" t="s">
        <v>5</v>
      </c>
    </row>
    <row r="840" spans="1:4" ht="15" customHeight="1" x14ac:dyDescent="0.25">
      <c r="A840" s="2" t="str">
        <f>"08710000025"</f>
        <v>08710000025</v>
      </c>
      <c r="B840" s="2" t="s">
        <v>843</v>
      </c>
      <c r="C840" s="2">
        <v>4889.16</v>
      </c>
      <c r="D840" s="2" t="s">
        <v>5</v>
      </c>
    </row>
    <row r="841" spans="1:4" ht="15" customHeight="1" x14ac:dyDescent="0.25">
      <c r="A841" s="2" t="str">
        <f>"08100000065"</f>
        <v>08100000065</v>
      </c>
      <c r="B841" s="2" t="s">
        <v>844</v>
      </c>
      <c r="C841" s="2">
        <v>3230.21</v>
      </c>
      <c r="D841" s="2" t="s">
        <v>5</v>
      </c>
    </row>
    <row r="842" spans="1:4" ht="15" customHeight="1" x14ac:dyDescent="0.25">
      <c r="A842" s="2" t="str">
        <f>"09500000290"</f>
        <v>09500000290</v>
      </c>
      <c r="B842" s="2" t="s">
        <v>845</v>
      </c>
      <c r="C842" s="2">
        <v>1292.31</v>
      </c>
      <c r="D842" s="2" t="s">
        <v>5</v>
      </c>
    </row>
    <row r="843" spans="1:4" ht="15" customHeight="1" x14ac:dyDescent="0.25">
      <c r="A843" s="2" t="str">
        <f>"09500000295"</f>
        <v>09500000295</v>
      </c>
      <c r="B843" s="2" t="s">
        <v>846</v>
      </c>
      <c r="C843" s="2">
        <v>1371.53</v>
      </c>
      <c r="D843" s="2" t="s">
        <v>5</v>
      </c>
    </row>
    <row r="844" spans="1:4" ht="15" customHeight="1" x14ac:dyDescent="0.25">
      <c r="A844" s="2" t="str">
        <f>"09500000300"</f>
        <v>09500000300</v>
      </c>
      <c r="B844" s="2" t="s">
        <v>847</v>
      </c>
      <c r="C844" s="2">
        <v>1937.22</v>
      </c>
      <c r="D844" s="2" t="s">
        <v>5</v>
      </c>
    </row>
    <row r="845" spans="1:4" ht="15" customHeight="1" x14ac:dyDescent="0.25">
      <c r="A845" s="2" t="str">
        <f>"09500000305"</f>
        <v>09500000305</v>
      </c>
      <c r="B845" s="2" t="s">
        <v>848</v>
      </c>
      <c r="C845" s="2">
        <v>2624.78</v>
      </c>
      <c r="D845" s="2" t="s">
        <v>5</v>
      </c>
    </row>
    <row r="846" spans="1:4" ht="15" customHeight="1" x14ac:dyDescent="0.25">
      <c r="A846" s="2" t="str">
        <f>"09500000310"</f>
        <v>09500000310</v>
      </c>
      <c r="B846" s="2" t="s">
        <v>849</v>
      </c>
      <c r="C846" s="2">
        <v>4216.8500000000004</v>
      </c>
      <c r="D846" s="2" t="s">
        <v>5</v>
      </c>
    </row>
    <row r="847" spans="1:4" ht="15" customHeight="1" x14ac:dyDescent="0.25">
      <c r="A847" s="2" t="str">
        <f>"09500000315"</f>
        <v>09500000315</v>
      </c>
      <c r="B847" s="2" t="s">
        <v>850</v>
      </c>
      <c r="C847" s="2">
        <v>6463.31</v>
      </c>
      <c r="D847" s="2" t="s">
        <v>5</v>
      </c>
    </row>
    <row r="848" spans="1:4" ht="15" customHeight="1" x14ac:dyDescent="0.25">
      <c r="A848" s="2" t="str">
        <f>"03042000080"</f>
        <v>03042000080</v>
      </c>
      <c r="B848" s="2" t="s">
        <v>851</v>
      </c>
      <c r="C848" s="2">
        <v>23078.25</v>
      </c>
      <c r="D848" s="2" t="s">
        <v>5</v>
      </c>
    </row>
    <row r="849" spans="1:4" ht="15" customHeight="1" x14ac:dyDescent="0.25">
      <c r="A849" s="2" t="str">
        <f>"03042000082"</f>
        <v>03042000082</v>
      </c>
      <c r="B849" s="2" t="s">
        <v>852</v>
      </c>
      <c r="C849" s="2">
        <v>15643.49</v>
      </c>
      <c r="D849" s="2" t="s">
        <v>5</v>
      </c>
    </row>
    <row r="850" spans="1:4" ht="15" customHeight="1" x14ac:dyDescent="0.25">
      <c r="A850" s="2" t="str">
        <f>"03042000083"</f>
        <v>03042000083</v>
      </c>
      <c r="B850" s="2" t="s">
        <v>853</v>
      </c>
      <c r="C850" s="2">
        <v>15643.49</v>
      </c>
      <c r="D850" s="2" t="s">
        <v>5</v>
      </c>
    </row>
    <row r="851" spans="1:4" ht="15" customHeight="1" x14ac:dyDescent="0.25">
      <c r="A851" s="2" t="str">
        <f>"03042000081"</f>
        <v>03042000081</v>
      </c>
      <c r="B851" s="2" t="s">
        <v>854</v>
      </c>
      <c r="C851" s="2">
        <v>15643.49</v>
      </c>
      <c r="D851" s="2" t="s">
        <v>5</v>
      </c>
    </row>
    <row r="852" spans="1:4" ht="15" customHeight="1" x14ac:dyDescent="0.25">
      <c r="A852" s="2" t="str">
        <f>"03042000095"</f>
        <v>03042000095</v>
      </c>
      <c r="B852" s="2" t="s">
        <v>855</v>
      </c>
      <c r="C852" s="2">
        <v>38797.879999999997</v>
      </c>
      <c r="D852" s="2" t="s">
        <v>5</v>
      </c>
    </row>
    <row r="853" spans="1:4" ht="15" customHeight="1" x14ac:dyDescent="0.25">
      <c r="A853" s="2" t="str">
        <f>"09500000245"</f>
        <v>09500000245</v>
      </c>
      <c r="B853" s="2" t="s">
        <v>856</v>
      </c>
      <c r="C853" s="2">
        <v>14696.69</v>
      </c>
      <c r="D853" s="2" t="s">
        <v>5</v>
      </c>
    </row>
    <row r="854" spans="1:4" ht="15" customHeight="1" x14ac:dyDescent="0.25">
      <c r="A854" s="2" t="str">
        <f>"09500000250"</f>
        <v>09500000250</v>
      </c>
      <c r="B854" s="2" t="s">
        <v>857</v>
      </c>
      <c r="C854" s="2">
        <v>18234.59</v>
      </c>
      <c r="D854" s="2" t="s">
        <v>5</v>
      </c>
    </row>
    <row r="855" spans="1:4" ht="15" customHeight="1" x14ac:dyDescent="0.25">
      <c r="A855" s="2" t="str">
        <f>"03047300010"</f>
        <v>03047300010</v>
      </c>
      <c r="B855" s="2" t="s">
        <v>858</v>
      </c>
      <c r="C855" s="2">
        <v>11143.31</v>
      </c>
      <c r="D855" s="2" t="s">
        <v>5</v>
      </c>
    </row>
    <row r="856" spans="1:4" ht="15" customHeight="1" x14ac:dyDescent="0.25">
      <c r="A856" s="2" t="str">
        <f>"03047300020"</f>
        <v>03047300020</v>
      </c>
      <c r="B856" s="2" t="s">
        <v>859</v>
      </c>
      <c r="C856" s="2">
        <v>20427.560000000001</v>
      </c>
      <c r="D856" s="2" t="s">
        <v>5</v>
      </c>
    </row>
    <row r="857" spans="1:4" ht="15" customHeight="1" x14ac:dyDescent="0.25">
      <c r="A857" s="2" t="str">
        <f>"03047300030"</f>
        <v>03047300030</v>
      </c>
      <c r="B857" s="2" t="s">
        <v>860</v>
      </c>
      <c r="C857" s="2">
        <v>33884.99</v>
      </c>
      <c r="D857" s="2" t="s">
        <v>5</v>
      </c>
    </row>
    <row r="858" spans="1:4" ht="15" customHeight="1" x14ac:dyDescent="0.25">
      <c r="A858" s="2" t="str">
        <f>"06010000015"</f>
        <v>06010000015</v>
      </c>
      <c r="B858" s="2" t="s">
        <v>861</v>
      </c>
      <c r="C858" s="2">
        <v>1269.6600000000001</v>
      </c>
      <c r="D858" s="2" t="s">
        <v>5</v>
      </c>
    </row>
    <row r="859" spans="1:4" ht="15" customHeight="1" x14ac:dyDescent="0.25">
      <c r="A859" s="2" t="str">
        <f>"06010000020"</f>
        <v>06010000020</v>
      </c>
      <c r="B859" s="2" t="s">
        <v>862</v>
      </c>
      <c r="C859" s="2">
        <v>1657.35</v>
      </c>
      <c r="D859" s="2" t="s">
        <v>5</v>
      </c>
    </row>
    <row r="860" spans="1:4" ht="15" customHeight="1" x14ac:dyDescent="0.25">
      <c r="A860" s="2" t="str">
        <f>"06010000100"</f>
        <v>06010000100</v>
      </c>
      <c r="B860" s="2" t="s">
        <v>863</v>
      </c>
      <c r="C860" s="2">
        <v>2588.84</v>
      </c>
      <c r="D860" s="2" t="s">
        <v>5</v>
      </c>
    </row>
    <row r="861" spans="1:4" ht="15" customHeight="1" x14ac:dyDescent="0.25">
      <c r="A861" s="2" t="str">
        <f>"06010000005"</f>
        <v>06010000005</v>
      </c>
      <c r="B861" s="2" t="s">
        <v>864</v>
      </c>
      <c r="C861" s="2">
        <v>1269.6600000000001</v>
      </c>
      <c r="D861" s="2" t="s">
        <v>5</v>
      </c>
    </row>
    <row r="862" spans="1:4" ht="15" customHeight="1" x14ac:dyDescent="0.25">
      <c r="A862" s="2" t="str">
        <f>"06010000010"</f>
        <v>06010000010</v>
      </c>
      <c r="B862" s="2" t="s">
        <v>865</v>
      </c>
      <c r="C862" s="2">
        <v>1657.35</v>
      </c>
      <c r="D862" s="2" t="s">
        <v>5</v>
      </c>
    </row>
    <row r="863" spans="1:4" ht="15" customHeight="1" x14ac:dyDescent="0.25">
      <c r="A863" s="2" t="str">
        <f>"03042000042"</f>
        <v>03042000042</v>
      </c>
      <c r="B863" s="2" t="s">
        <v>866</v>
      </c>
      <c r="C863" s="2">
        <v>936</v>
      </c>
      <c r="D863" s="2" t="s">
        <v>5</v>
      </c>
    </row>
    <row r="864" spans="1:4" ht="15" customHeight="1" x14ac:dyDescent="0.25">
      <c r="A864" s="2" t="str">
        <f>"03042000025"</f>
        <v>03042000025</v>
      </c>
      <c r="B864" s="2" t="s">
        <v>867</v>
      </c>
      <c r="C864" s="2">
        <v>3298.71</v>
      </c>
      <c r="D864" s="2" t="s">
        <v>5</v>
      </c>
    </row>
    <row r="865" spans="1:4" ht="15" customHeight="1" x14ac:dyDescent="0.25">
      <c r="A865" s="2" t="str">
        <f>"03042000050"</f>
        <v>03042000050</v>
      </c>
      <c r="B865" s="2" t="s">
        <v>868</v>
      </c>
      <c r="C865" s="2">
        <v>6521.3</v>
      </c>
      <c r="D865" s="2" t="s">
        <v>5</v>
      </c>
    </row>
    <row r="866" spans="1:4" ht="15" customHeight="1" x14ac:dyDescent="0.25">
      <c r="A866" s="2" t="str">
        <f>"03042000026"</f>
        <v>03042000026</v>
      </c>
      <c r="B866" s="2" t="s">
        <v>869</v>
      </c>
      <c r="C866" s="2">
        <v>4884.62</v>
      </c>
      <c r="D866" s="2" t="s">
        <v>5</v>
      </c>
    </row>
    <row r="867" spans="1:4" ht="15" customHeight="1" x14ac:dyDescent="0.25">
      <c r="A867" s="2" t="str">
        <f>"03042000052"</f>
        <v>03042000052</v>
      </c>
      <c r="B867" s="2" t="s">
        <v>870</v>
      </c>
      <c r="C867" s="2">
        <v>8817.69</v>
      </c>
      <c r="D867" s="2" t="s">
        <v>5</v>
      </c>
    </row>
    <row r="868" spans="1:4" ht="15" customHeight="1" x14ac:dyDescent="0.25">
      <c r="A868" s="2" t="str">
        <f>"03042000055"</f>
        <v>03042000055</v>
      </c>
      <c r="B868" s="2" t="s">
        <v>871</v>
      </c>
      <c r="C868" s="2">
        <v>13428.27</v>
      </c>
      <c r="D868" s="2" t="s">
        <v>5</v>
      </c>
    </row>
    <row r="869" spans="1:4" ht="15" customHeight="1" x14ac:dyDescent="0.25">
      <c r="A869" s="2" t="str">
        <f>"03042000021"</f>
        <v>03042000021</v>
      </c>
      <c r="B869" s="2" t="s">
        <v>872</v>
      </c>
      <c r="C869" s="2">
        <v>3298.71</v>
      </c>
      <c r="D869" s="2" t="s">
        <v>5</v>
      </c>
    </row>
    <row r="870" spans="1:4" ht="15" customHeight="1" x14ac:dyDescent="0.25">
      <c r="A870" s="2" t="str">
        <f>"03042000053"</f>
        <v>03042000053</v>
      </c>
      <c r="B870" s="2" t="s">
        <v>873</v>
      </c>
      <c r="C870" s="2">
        <v>6521.3</v>
      </c>
      <c r="D870" s="2" t="s">
        <v>5</v>
      </c>
    </row>
    <row r="871" spans="1:4" ht="15" customHeight="1" x14ac:dyDescent="0.25">
      <c r="A871" s="2" t="str">
        <f>"03042000022"</f>
        <v>03042000022</v>
      </c>
      <c r="B871" s="2" t="s">
        <v>874</v>
      </c>
      <c r="C871" s="2">
        <v>4884.62</v>
      </c>
      <c r="D871" s="2" t="s">
        <v>5</v>
      </c>
    </row>
    <row r="872" spans="1:4" ht="15" customHeight="1" x14ac:dyDescent="0.25">
      <c r="A872" s="2" t="str">
        <f>"03042000054"</f>
        <v>03042000054</v>
      </c>
      <c r="B872" s="2" t="s">
        <v>875</v>
      </c>
      <c r="C872" s="2">
        <v>8713.9500000000007</v>
      </c>
      <c r="D872" s="2" t="s">
        <v>5</v>
      </c>
    </row>
    <row r="873" spans="1:4" ht="15" customHeight="1" x14ac:dyDescent="0.25">
      <c r="A873" s="2" t="str">
        <f>"03042000040"</f>
        <v>03042000040</v>
      </c>
      <c r="B873" s="2" t="s">
        <v>876</v>
      </c>
      <c r="C873" s="2">
        <v>7776</v>
      </c>
      <c r="D873" s="2" t="s">
        <v>5</v>
      </c>
    </row>
    <row r="874" spans="1:4" ht="15" customHeight="1" x14ac:dyDescent="0.25">
      <c r="A874" s="2" t="str">
        <f>"03042000010"</f>
        <v>03042000010</v>
      </c>
      <c r="B874" s="2" t="s">
        <v>877</v>
      </c>
      <c r="C874" s="2">
        <v>15.38</v>
      </c>
      <c r="D874" s="2" t="s">
        <v>107</v>
      </c>
    </row>
    <row r="875" spans="1:4" ht="15" customHeight="1" x14ac:dyDescent="0.25">
      <c r="A875" s="2" t="str">
        <f>"03042000045"</f>
        <v>03042000045</v>
      </c>
      <c r="B875" s="2" t="s">
        <v>878</v>
      </c>
      <c r="C875" s="2">
        <v>8449.77</v>
      </c>
      <c r="D875" s="2" t="s">
        <v>5</v>
      </c>
    </row>
    <row r="876" spans="1:4" ht="15" customHeight="1" x14ac:dyDescent="0.25">
      <c r="A876" s="2" t="str">
        <f>"03042000046"</f>
        <v>03042000046</v>
      </c>
      <c r="B876" s="2" t="s">
        <v>879</v>
      </c>
      <c r="C876" s="2">
        <v>9253.11</v>
      </c>
      <c r="D876" s="2" t="s">
        <v>5</v>
      </c>
    </row>
    <row r="877" spans="1:4" ht="15" customHeight="1" x14ac:dyDescent="0.25">
      <c r="A877" s="2" t="str">
        <f>"03042000048"</f>
        <v>03042000048</v>
      </c>
      <c r="B877" s="2" t="s">
        <v>880</v>
      </c>
      <c r="C877" s="2">
        <v>19881.05</v>
      </c>
      <c r="D877" s="2" t="s">
        <v>5</v>
      </c>
    </row>
    <row r="878" spans="1:4" ht="15" customHeight="1" x14ac:dyDescent="0.25">
      <c r="A878" s="2" t="str">
        <f>"03042000030"</f>
        <v>03042000030</v>
      </c>
      <c r="B878" s="2" t="s">
        <v>881</v>
      </c>
      <c r="C878" s="2">
        <v>7.76</v>
      </c>
      <c r="D878" s="2" t="s">
        <v>107</v>
      </c>
    </row>
    <row r="879" spans="1:4" ht="15" customHeight="1" x14ac:dyDescent="0.25">
      <c r="A879" s="2" t="str">
        <f>"03042000049"</f>
        <v>03042000049</v>
      </c>
      <c r="B879" s="2" t="s">
        <v>882</v>
      </c>
      <c r="C879" s="2">
        <v>7409.4</v>
      </c>
      <c r="D879" s="2" t="s">
        <v>5</v>
      </c>
    </row>
    <row r="880" spans="1:4" ht="15" customHeight="1" x14ac:dyDescent="0.25">
      <c r="A880" s="2" t="str">
        <f>"05021000710"</f>
        <v>05021000710</v>
      </c>
      <c r="B880" s="2" t="s">
        <v>883</v>
      </c>
      <c r="C880" s="2">
        <v>1445.07</v>
      </c>
      <c r="D880" s="2" t="s">
        <v>5</v>
      </c>
    </row>
    <row r="881" spans="1:4" ht="15" customHeight="1" x14ac:dyDescent="0.25">
      <c r="A881" s="2" t="str">
        <f>"03040000010"</f>
        <v>03040000010</v>
      </c>
      <c r="B881" s="2" t="s">
        <v>884</v>
      </c>
      <c r="C881" s="2">
        <v>6964.55</v>
      </c>
      <c r="D881" s="2" t="s">
        <v>5</v>
      </c>
    </row>
    <row r="882" spans="1:4" ht="15" customHeight="1" x14ac:dyDescent="0.25">
      <c r="A882" s="2" t="str">
        <f>"03040000052"</f>
        <v>03040000052</v>
      </c>
      <c r="B882" s="2" t="s">
        <v>885</v>
      </c>
      <c r="C882" s="2">
        <v>12357.47</v>
      </c>
      <c r="D882" s="2" t="s">
        <v>5</v>
      </c>
    </row>
    <row r="883" spans="1:4" ht="15" customHeight="1" x14ac:dyDescent="0.25">
      <c r="A883" s="2" t="str">
        <f>"03042000077"</f>
        <v>03042000077</v>
      </c>
      <c r="B883" s="2" t="s">
        <v>886</v>
      </c>
      <c r="C883" s="2">
        <v>7764.65</v>
      </c>
      <c r="D883" s="2" t="s">
        <v>5</v>
      </c>
    </row>
    <row r="884" spans="1:4" ht="15" customHeight="1" x14ac:dyDescent="0.25">
      <c r="A884" s="2" t="str">
        <f>"08500000010"</f>
        <v>08500000010</v>
      </c>
      <c r="B884" s="2" t="s">
        <v>887</v>
      </c>
      <c r="C884" s="2">
        <v>9097.4</v>
      </c>
      <c r="D884" s="2" t="s">
        <v>5</v>
      </c>
    </row>
    <row r="885" spans="1:4" ht="15" customHeight="1" x14ac:dyDescent="0.25">
      <c r="A885" s="2" t="str">
        <f>"08500000015"</f>
        <v>08500000015</v>
      </c>
      <c r="B885" s="2" t="s">
        <v>888</v>
      </c>
      <c r="C885" s="2">
        <v>13577.15</v>
      </c>
      <c r="D885" s="2" t="s">
        <v>5</v>
      </c>
    </row>
    <row r="886" spans="1:4" ht="15" customHeight="1" x14ac:dyDescent="0.25">
      <c r="A886" s="2" t="str">
        <f>"08500000001"</f>
        <v>08500000001</v>
      </c>
      <c r="B886" s="2" t="s">
        <v>889</v>
      </c>
      <c r="C886" s="2">
        <v>9086.1299999999992</v>
      </c>
      <c r="D886" s="2" t="s">
        <v>5</v>
      </c>
    </row>
    <row r="887" spans="1:4" ht="15" customHeight="1" x14ac:dyDescent="0.25">
      <c r="A887" s="2" t="str">
        <f>"08500000005"</f>
        <v>08500000005</v>
      </c>
      <c r="B887" s="2" t="s">
        <v>890</v>
      </c>
      <c r="C887" s="2">
        <v>13577.15</v>
      </c>
      <c r="D887" s="2" t="s">
        <v>5</v>
      </c>
    </row>
    <row r="888" spans="1:4" ht="15" customHeight="1" x14ac:dyDescent="0.25">
      <c r="A888" s="2" t="str">
        <f>"03042000256"</f>
        <v>03042000256</v>
      </c>
      <c r="B888" s="2" t="s">
        <v>891</v>
      </c>
      <c r="C888" s="2">
        <v>46981.2</v>
      </c>
      <c r="D888" s="2" t="s">
        <v>5</v>
      </c>
    </row>
    <row r="889" spans="1:4" ht="15" customHeight="1" x14ac:dyDescent="0.25">
      <c r="A889" s="2" t="str">
        <f>"03042000252"</f>
        <v>03042000252</v>
      </c>
      <c r="B889" s="2" t="s">
        <v>892</v>
      </c>
      <c r="C889" s="2">
        <v>61241.760000000002</v>
      </c>
      <c r="D889" s="2" t="s">
        <v>5</v>
      </c>
    </row>
    <row r="890" spans="1:4" ht="15" customHeight="1" x14ac:dyDescent="0.25">
      <c r="A890" s="2" t="str">
        <f>"03042000085"</f>
        <v>03042000085</v>
      </c>
      <c r="B890" s="2" t="s">
        <v>893</v>
      </c>
      <c r="C890" s="2">
        <v>42439.13</v>
      </c>
      <c r="D890" s="2" t="s">
        <v>5</v>
      </c>
    </row>
    <row r="891" spans="1:4" ht="15" customHeight="1" x14ac:dyDescent="0.25">
      <c r="A891" s="2" t="str">
        <f>"03042000087"</f>
        <v>03042000087</v>
      </c>
      <c r="B891" s="2" t="s">
        <v>894</v>
      </c>
      <c r="C891" s="2">
        <v>42439.13</v>
      </c>
      <c r="D891" s="2" t="s">
        <v>5</v>
      </c>
    </row>
    <row r="892" spans="1:4" ht="15" customHeight="1" x14ac:dyDescent="0.25">
      <c r="A892" s="2" t="str">
        <f>"03042000089"</f>
        <v>03042000089</v>
      </c>
      <c r="B892" s="2" t="s">
        <v>895</v>
      </c>
      <c r="C892" s="2">
        <v>42439.13</v>
      </c>
      <c r="D892" s="2" t="s">
        <v>5</v>
      </c>
    </row>
    <row r="893" spans="1:4" ht="15" customHeight="1" x14ac:dyDescent="0.25">
      <c r="A893" s="2" t="str">
        <f>"03042000086"</f>
        <v>03042000086</v>
      </c>
      <c r="B893" s="2" t="s">
        <v>896</v>
      </c>
      <c r="C893" s="2">
        <v>42439.13</v>
      </c>
      <c r="D893" s="2" t="s">
        <v>5</v>
      </c>
    </row>
    <row r="894" spans="1:4" ht="15" customHeight="1" x14ac:dyDescent="0.25">
      <c r="A894" s="2" t="str">
        <f>"03042000088"</f>
        <v>03042000088</v>
      </c>
      <c r="B894" s="2" t="s">
        <v>897</v>
      </c>
      <c r="C894" s="2">
        <v>42439.13</v>
      </c>
      <c r="D894" s="2" t="s">
        <v>5</v>
      </c>
    </row>
    <row r="895" spans="1:4" ht="15" customHeight="1" x14ac:dyDescent="0.25">
      <c r="A895" s="2" t="str">
        <f>"03042000090"</f>
        <v>03042000090</v>
      </c>
      <c r="B895" s="2" t="s">
        <v>898</v>
      </c>
      <c r="C895" s="2">
        <v>42439.13</v>
      </c>
      <c r="D895" s="2" t="s">
        <v>5</v>
      </c>
    </row>
    <row r="896" spans="1:4" ht="15" customHeight="1" x14ac:dyDescent="0.25">
      <c r="A896" s="2" t="str">
        <f>"03042000084"</f>
        <v>03042000084</v>
      </c>
      <c r="B896" s="2" t="s">
        <v>899</v>
      </c>
      <c r="C896" s="2">
        <v>42439.13</v>
      </c>
      <c r="D896" s="2" t="s">
        <v>5</v>
      </c>
    </row>
    <row r="897" spans="1:4" ht="15" customHeight="1" x14ac:dyDescent="0.25">
      <c r="A897" s="2" t="str">
        <f>"03042000091"</f>
        <v>03042000091</v>
      </c>
      <c r="B897" s="2" t="s">
        <v>900</v>
      </c>
      <c r="C897" s="2">
        <v>42439.13</v>
      </c>
      <c r="D897" s="2" t="s">
        <v>5</v>
      </c>
    </row>
    <row r="898" spans="1:4" ht="15" customHeight="1" x14ac:dyDescent="0.25">
      <c r="A898" s="2" t="str">
        <f>"09500000235"</f>
        <v>09500000235</v>
      </c>
      <c r="B898" s="2" t="s">
        <v>901</v>
      </c>
      <c r="C898" s="2">
        <v>13987.35</v>
      </c>
      <c r="D898" s="2" t="s">
        <v>5</v>
      </c>
    </row>
    <row r="899" spans="1:4" ht="15" customHeight="1" x14ac:dyDescent="0.25">
      <c r="A899" s="2" t="str">
        <f>"09500000240"</f>
        <v>09500000240</v>
      </c>
      <c r="B899" s="2" t="s">
        <v>902</v>
      </c>
      <c r="C899" s="2">
        <v>17520.62</v>
      </c>
      <c r="D899" s="2" t="s">
        <v>5</v>
      </c>
    </row>
    <row r="900" spans="1:4" ht="15" customHeight="1" x14ac:dyDescent="0.25">
      <c r="A900" s="2" t="str">
        <f>"03042000078"</f>
        <v>03042000078</v>
      </c>
      <c r="B900" s="2" t="s">
        <v>903</v>
      </c>
      <c r="C900" s="2">
        <v>7764.65</v>
      </c>
      <c r="D900" s="2" t="s">
        <v>5</v>
      </c>
    </row>
    <row r="901" spans="1:4" ht="15" customHeight="1" x14ac:dyDescent="0.25">
      <c r="A901" s="2" t="str">
        <f>"03042000079"</f>
        <v>03042000079</v>
      </c>
      <c r="B901" s="2" t="s">
        <v>904</v>
      </c>
      <c r="C901" s="2">
        <v>7764.65</v>
      </c>
      <c r="D901" s="2" t="s">
        <v>5</v>
      </c>
    </row>
    <row r="902" spans="1:4" ht="15" customHeight="1" x14ac:dyDescent="0.25">
      <c r="A902" s="2" t="str">
        <f>"03047000050"</f>
        <v>03047000050</v>
      </c>
      <c r="B902" s="2" t="s">
        <v>905</v>
      </c>
      <c r="C902" s="2">
        <v>913.49</v>
      </c>
      <c r="D902" s="2" t="s">
        <v>5</v>
      </c>
    </row>
    <row r="903" spans="1:4" ht="15" customHeight="1" x14ac:dyDescent="0.25">
      <c r="A903" s="2" t="str">
        <f>"03047000055"</f>
        <v>03047000055</v>
      </c>
      <c r="B903" s="2" t="s">
        <v>906</v>
      </c>
      <c r="C903" s="2">
        <v>1167.24</v>
      </c>
      <c r="D903" s="2" t="s">
        <v>5</v>
      </c>
    </row>
    <row r="904" spans="1:4" ht="15" customHeight="1" x14ac:dyDescent="0.25">
      <c r="A904" s="2" t="str">
        <f>"01010000063"</f>
        <v>01010000063</v>
      </c>
      <c r="B904" s="2" t="s">
        <v>907</v>
      </c>
      <c r="C904" s="2">
        <v>18230.060000000001</v>
      </c>
      <c r="D904" s="2" t="s">
        <v>5</v>
      </c>
    </row>
    <row r="905" spans="1:4" ht="15" customHeight="1" x14ac:dyDescent="0.25">
      <c r="A905" s="2" t="str">
        <f>"01010000062"</f>
        <v>01010000062</v>
      </c>
      <c r="B905" s="2" t="s">
        <v>908</v>
      </c>
      <c r="C905" s="2">
        <v>18230.060000000001</v>
      </c>
      <c r="D905" s="2" t="s">
        <v>5</v>
      </c>
    </row>
    <row r="906" spans="1:4" ht="15" customHeight="1" x14ac:dyDescent="0.25">
      <c r="A906" s="2" t="str">
        <f>"03038000341"</f>
        <v>03038000341</v>
      </c>
      <c r="B906" s="2" t="s">
        <v>909</v>
      </c>
      <c r="C906" s="2">
        <v>2821.88</v>
      </c>
      <c r="D906" s="2" t="s">
        <v>5</v>
      </c>
    </row>
    <row r="907" spans="1:4" ht="15" customHeight="1" x14ac:dyDescent="0.25">
      <c r="A907" s="2" t="str">
        <f>"03032000070"</f>
        <v>03032000070</v>
      </c>
      <c r="B907" s="2" t="s">
        <v>910</v>
      </c>
      <c r="C907" s="2">
        <v>2821.88</v>
      </c>
      <c r="D907" s="2" t="s">
        <v>5</v>
      </c>
    </row>
    <row r="908" spans="1:4" ht="15" customHeight="1" x14ac:dyDescent="0.25">
      <c r="A908" s="2" t="str">
        <f>"01010000075"</f>
        <v>01010000075</v>
      </c>
      <c r="B908" s="2" t="s">
        <v>911</v>
      </c>
      <c r="C908" s="2">
        <v>40.5</v>
      </c>
      <c r="D908" s="2" t="s">
        <v>107</v>
      </c>
    </row>
    <row r="909" spans="1:4" ht="15" customHeight="1" x14ac:dyDescent="0.25">
      <c r="A909" s="2" t="str">
        <f>"01010000070"</f>
        <v>01010000070</v>
      </c>
      <c r="B909" s="2" t="s">
        <v>912</v>
      </c>
      <c r="C909" s="2">
        <v>40.5</v>
      </c>
      <c r="D909" s="2" t="s">
        <v>107</v>
      </c>
    </row>
    <row r="910" spans="1:4" ht="15" customHeight="1" x14ac:dyDescent="0.25">
      <c r="A910" s="2" t="str">
        <f>"01010000065"</f>
        <v>01010000065</v>
      </c>
      <c r="B910" s="2" t="s">
        <v>913</v>
      </c>
      <c r="C910" s="2">
        <v>40.5</v>
      </c>
      <c r="D910" s="2" t="s">
        <v>107</v>
      </c>
    </row>
    <row r="911" spans="1:4" ht="15" customHeight="1" x14ac:dyDescent="0.25">
      <c r="A911" s="2" t="str">
        <f>"01004000045"</f>
        <v>01004000045</v>
      </c>
      <c r="B911" s="2" t="s">
        <v>914</v>
      </c>
      <c r="C911" s="2">
        <v>1021.08</v>
      </c>
      <c r="D911" s="2" t="s">
        <v>5</v>
      </c>
    </row>
    <row r="912" spans="1:4" ht="15" customHeight="1" x14ac:dyDescent="0.25">
      <c r="A912" s="2" t="str">
        <f>"01031100047"</f>
        <v>01031100047</v>
      </c>
      <c r="B912" s="2" t="s">
        <v>915</v>
      </c>
      <c r="C912" s="2">
        <v>44829.08</v>
      </c>
      <c r="D912" s="2" t="s">
        <v>5</v>
      </c>
    </row>
    <row r="913" spans="1:4" ht="15" customHeight="1" x14ac:dyDescent="0.25">
      <c r="A913" s="2" t="str">
        <f>"01031100044"</f>
        <v>01031100044</v>
      </c>
      <c r="B913" s="2" t="s">
        <v>916</v>
      </c>
      <c r="C913" s="2">
        <v>13456.55</v>
      </c>
      <c r="D913" s="2" t="s">
        <v>5</v>
      </c>
    </row>
    <row r="914" spans="1:4" ht="15" customHeight="1" x14ac:dyDescent="0.25">
      <c r="A914" s="2" t="str">
        <f>"03062100147"</f>
        <v>03062100147</v>
      </c>
      <c r="B914" s="2" t="s">
        <v>917</v>
      </c>
      <c r="C914" s="2">
        <v>605.05999999999995</v>
      </c>
      <c r="D914" s="2" t="s">
        <v>5</v>
      </c>
    </row>
    <row r="915" spans="1:4" ht="15" customHeight="1" x14ac:dyDescent="0.25">
      <c r="A915" s="2" t="str">
        <f>"03062100148"</f>
        <v>03062100148</v>
      </c>
      <c r="B915" s="2" t="s">
        <v>918</v>
      </c>
      <c r="C915" s="2">
        <v>528.14</v>
      </c>
      <c r="D915" s="2" t="s">
        <v>5</v>
      </c>
    </row>
    <row r="916" spans="1:4" ht="15" customHeight="1" x14ac:dyDescent="0.25">
      <c r="A916" s="2" t="str">
        <f>"03062100149"</f>
        <v>03062100149</v>
      </c>
      <c r="B916" s="2" t="s">
        <v>919</v>
      </c>
      <c r="C916" s="2">
        <v>605.05999999999995</v>
      </c>
      <c r="D916" s="2" t="s">
        <v>5</v>
      </c>
    </row>
    <row r="917" spans="1:4" ht="15" customHeight="1" x14ac:dyDescent="0.25">
      <c r="A917" s="2" t="str">
        <f>"03018605020"</f>
        <v>03018605020</v>
      </c>
      <c r="B917" s="2" t="s">
        <v>920</v>
      </c>
      <c r="C917" s="2">
        <v>13829.99</v>
      </c>
      <c r="D917" s="2" t="s">
        <v>5</v>
      </c>
    </row>
    <row r="918" spans="1:4" ht="15" customHeight="1" x14ac:dyDescent="0.25">
      <c r="A918" s="2" t="str">
        <f>"03040000104"</f>
        <v>03040000104</v>
      </c>
      <c r="B918" s="2" t="s">
        <v>921</v>
      </c>
      <c r="C918" s="2">
        <v>1993.08</v>
      </c>
      <c r="D918" s="2" t="s">
        <v>5</v>
      </c>
    </row>
    <row r="919" spans="1:4" ht="15" customHeight="1" x14ac:dyDescent="0.25">
      <c r="A919" s="2" t="str">
        <f>"03040000102"</f>
        <v>03040000102</v>
      </c>
      <c r="B919" s="2" t="s">
        <v>922</v>
      </c>
      <c r="C919" s="2">
        <v>2745.93</v>
      </c>
      <c r="D919" s="2" t="s">
        <v>5</v>
      </c>
    </row>
    <row r="920" spans="1:4" ht="15" customHeight="1" x14ac:dyDescent="0.25">
      <c r="A920" s="2" t="str">
        <f>"03042000073"</f>
        <v>03042000073</v>
      </c>
      <c r="B920" s="2" t="s">
        <v>923</v>
      </c>
      <c r="C920" s="2">
        <v>2334.4699999999998</v>
      </c>
      <c r="D920" s="2" t="s">
        <v>5</v>
      </c>
    </row>
    <row r="921" spans="1:4" ht="15" customHeight="1" x14ac:dyDescent="0.25">
      <c r="A921" s="2" t="str">
        <f>"03040000101"</f>
        <v>03040000101</v>
      </c>
      <c r="B921" s="2" t="s">
        <v>924</v>
      </c>
      <c r="C921" s="2">
        <v>1993.08</v>
      </c>
      <c r="D921" s="2" t="s">
        <v>5</v>
      </c>
    </row>
    <row r="922" spans="1:4" ht="15" customHeight="1" x14ac:dyDescent="0.25">
      <c r="A922" s="2" t="str">
        <f>"03040000100"</f>
        <v>03040000100</v>
      </c>
      <c r="B922" s="2" t="s">
        <v>925</v>
      </c>
      <c r="C922" s="2">
        <v>2745.93</v>
      </c>
      <c r="D922" s="2" t="s">
        <v>5</v>
      </c>
    </row>
    <row r="923" spans="1:4" ht="15" customHeight="1" x14ac:dyDescent="0.25">
      <c r="A923" s="2" t="str">
        <f>"03042000072"</f>
        <v>03042000072</v>
      </c>
      <c r="B923" s="2" t="s">
        <v>926</v>
      </c>
      <c r="C923" s="2">
        <v>2841.96</v>
      </c>
      <c r="D923" s="2" t="s">
        <v>5</v>
      </c>
    </row>
    <row r="924" spans="1:4" ht="15" customHeight="1" x14ac:dyDescent="0.25">
      <c r="A924" s="2" t="str">
        <f>"06080000230"</f>
        <v>06080000230</v>
      </c>
      <c r="B924" s="2" t="s">
        <v>927</v>
      </c>
      <c r="C924" s="2">
        <v>2211.69</v>
      </c>
      <c r="D924" s="2" t="s">
        <v>5</v>
      </c>
    </row>
    <row r="925" spans="1:4" ht="15" customHeight="1" x14ac:dyDescent="0.25">
      <c r="A925" s="2" t="str">
        <f>"06080000390"</f>
        <v>06080000390</v>
      </c>
      <c r="B925" s="2" t="s">
        <v>928</v>
      </c>
      <c r="C925" s="2">
        <v>2257.2199999999998</v>
      </c>
      <c r="D925" s="2" t="s">
        <v>5</v>
      </c>
    </row>
    <row r="926" spans="1:4" ht="15" customHeight="1" x14ac:dyDescent="0.25">
      <c r="A926" s="2" t="str">
        <f>"06080000215"</f>
        <v>06080000215</v>
      </c>
      <c r="B926" s="2" t="s">
        <v>929</v>
      </c>
      <c r="C926" s="2">
        <v>4185.8</v>
      </c>
      <c r="D926" s="2" t="s">
        <v>5</v>
      </c>
    </row>
    <row r="927" spans="1:4" ht="15" customHeight="1" x14ac:dyDescent="0.25">
      <c r="A927" s="2" t="str">
        <f>"06080000005"</f>
        <v>06080000005</v>
      </c>
      <c r="B927" s="2" t="s">
        <v>930</v>
      </c>
      <c r="C927" s="2">
        <v>2975.22</v>
      </c>
      <c r="D927" s="2" t="s">
        <v>5</v>
      </c>
    </row>
    <row r="928" spans="1:4" ht="15" customHeight="1" x14ac:dyDescent="0.25">
      <c r="A928" s="2" t="str">
        <f>"06080000010"</f>
        <v>06080000010</v>
      </c>
      <c r="B928" s="2" t="s">
        <v>931</v>
      </c>
      <c r="C928" s="2">
        <v>3690.35</v>
      </c>
      <c r="D928" s="2" t="s">
        <v>5</v>
      </c>
    </row>
    <row r="929" spans="1:4" ht="15" customHeight="1" x14ac:dyDescent="0.25">
      <c r="A929" s="2" t="str">
        <f>"06080000015"</f>
        <v>06080000015</v>
      </c>
      <c r="B929" s="2" t="s">
        <v>932</v>
      </c>
      <c r="C929" s="2">
        <v>5085.2700000000004</v>
      </c>
      <c r="D929" s="2" t="s">
        <v>5</v>
      </c>
    </row>
    <row r="930" spans="1:4" ht="15" customHeight="1" x14ac:dyDescent="0.25">
      <c r="A930" s="2" t="str">
        <f>"06080000020"</f>
        <v>06080000020</v>
      </c>
      <c r="B930" s="2" t="s">
        <v>933</v>
      </c>
      <c r="C930" s="2">
        <v>6356.57</v>
      </c>
      <c r="D930" s="2" t="s">
        <v>5</v>
      </c>
    </row>
    <row r="931" spans="1:4" ht="15" customHeight="1" x14ac:dyDescent="0.25">
      <c r="A931" s="2" t="str">
        <f>"06080000022"</f>
        <v>06080000022</v>
      </c>
      <c r="B931" s="2" t="s">
        <v>934</v>
      </c>
      <c r="C931" s="2">
        <v>8740.2900000000009</v>
      </c>
      <c r="D931" s="2" t="s">
        <v>5</v>
      </c>
    </row>
    <row r="932" spans="1:4" ht="15" customHeight="1" x14ac:dyDescent="0.25">
      <c r="A932" s="2" t="str">
        <f>"06080000315"</f>
        <v>06080000315</v>
      </c>
      <c r="B932" s="2" t="s">
        <v>935</v>
      </c>
      <c r="C932" s="2">
        <v>5770.43</v>
      </c>
      <c r="D932" s="2" t="s">
        <v>5</v>
      </c>
    </row>
    <row r="933" spans="1:4" ht="15" customHeight="1" x14ac:dyDescent="0.25">
      <c r="A933" s="2" t="str">
        <f>"06080000317"</f>
        <v>06080000317</v>
      </c>
      <c r="B933" s="2" t="s">
        <v>936</v>
      </c>
      <c r="C933" s="2">
        <v>7936.61</v>
      </c>
      <c r="D933" s="2" t="s">
        <v>5</v>
      </c>
    </row>
    <row r="934" spans="1:4" ht="15" customHeight="1" x14ac:dyDescent="0.25">
      <c r="A934" s="2" t="str">
        <f>"06080000320"</f>
        <v>06080000320</v>
      </c>
      <c r="B934" s="2" t="s">
        <v>937</v>
      </c>
      <c r="C934" s="2">
        <v>9720.51</v>
      </c>
      <c r="D934" s="2" t="s">
        <v>5</v>
      </c>
    </row>
    <row r="935" spans="1:4" ht="15" customHeight="1" x14ac:dyDescent="0.25">
      <c r="A935" s="2" t="str">
        <f>"06080000225"</f>
        <v>06080000225</v>
      </c>
      <c r="B935" s="2" t="s">
        <v>938</v>
      </c>
      <c r="C935" s="2">
        <v>4978.58</v>
      </c>
      <c r="D935" s="2" t="s">
        <v>5</v>
      </c>
    </row>
    <row r="936" spans="1:4" ht="15" customHeight="1" x14ac:dyDescent="0.25">
      <c r="A936" s="2" t="str">
        <f>"06080000220"</f>
        <v>06080000220</v>
      </c>
      <c r="B936" s="2" t="s">
        <v>939</v>
      </c>
      <c r="C936" s="2">
        <v>4978.58</v>
      </c>
      <c r="D936" s="2" t="s">
        <v>5</v>
      </c>
    </row>
    <row r="937" spans="1:4" ht="15" customHeight="1" x14ac:dyDescent="0.25">
      <c r="A937" s="2" t="str">
        <f>"06080000400"</f>
        <v>06080000400</v>
      </c>
      <c r="B937" s="2" t="s">
        <v>940</v>
      </c>
      <c r="C937" s="2">
        <v>4022.93</v>
      </c>
      <c r="D937" s="2" t="s">
        <v>5</v>
      </c>
    </row>
    <row r="938" spans="1:4" ht="15" customHeight="1" x14ac:dyDescent="0.25">
      <c r="A938" s="2" t="str">
        <f>"06080000395"</f>
        <v>06080000395</v>
      </c>
      <c r="B938" s="2" t="s">
        <v>941</v>
      </c>
      <c r="C938" s="2">
        <v>4022.93</v>
      </c>
      <c r="D938" s="2" t="s">
        <v>5</v>
      </c>
    </row>
    <row r="939" spans="1:4" ht="15" customHeight="1" x14ac:dyDescent="0.25">
      <c r="A939" s="2" t="str">
        <f>"06080000335"</f>
        <v>06080000335</v>
      </c>
      <c r="B939" s="2" t="s">
        <v>942</v>
      </c>
      <c r="C939" s="2">
        <v>2284.52</v>
      </c>
      <c r="D939" s="2" t="s">
        <v>5</v>
      </c>
    </row>
    <row r="940" spans="1:4" ht="15" customHeight="1" x14ac:dyDescent="0.25">
      <c r="A940" s="2" t="str">
        <f>"06080000325"</f>
        <v>06080000325</v>
      </c>
      <c r="B940" s="2" t="s">
        <v>943</v>
      </c>
      <c r="C940" s="2">
        <v>2976.23</v>
      </c>
      <c r="D940" s="2" t="s">
        <v>5</v>
      </c>
    </row>
    <row r="941" spans="1:4" ht="15" customHeight="1" x14ac:dyDescent="0.25">
      <c r="A941" s="2" t="str">
        <f>"06080000337"</f>
        <v>06080000337</v>
      </c>
      <c r="B941" s="2" t="s">
        <v>944</v>
      </c>
      <c r="C941" s="2">
        <v>1681.58</v>
      </c>
      <c r="D941" s="2" t="s">
        <v>5</v>
      </c>
    </row>
    <row r="942" spans="1:4" ht="15" customHeight="1" x14ac:dyDescent="0.25">
      <c r="A942" s="2" t="str">
        <f>"06080000327"</f>
        <v>06080000327</v>
      </c>
      <c r="B942" s="2" t="s">
        <v>945</v>
      </c>
      <c r="C942" s="2">
        <v>2739.72</v>
      </c>
      <c r="D942" s="2" t="s">
        <v>5</v>
      </c>
    </row>
    <row r="943" spans="1:4" ht="15" customHeight="1" x14ac:dyDescent="0.25">
      <c r="A943" s="2" t="str">
        <f>"06080000340"</f>
        <v>06080000340</v>
      </c>
      <c r="B943" s="2" t="s">
        <v>946</v>
      </c>
      <c r="C943" s="2">
        <v>4687.34</v>
      </c>
      <c r="D943" s="2" t="s">
        <v>5</v>
      </c>
    </row>
    <row r="944" spans="1:4" ht="15" customHeight="1" x14ac:dyDescent="0.25">
      <c r="A944" s="2" t="str">
        <f>"06080000330"</f>
        <v>06080000330</v>
      </c>
      <c r="B944" s="2" t="s">
        <v>947</v>
      </c>
      <c r="C944" s="2">
        <v>6343.83</v>
      </c>
      <c r="D944" s="2" t="s">
        <v>5</v>
      </c>
    </row>
    <row r="945" spans="1:4" ht="15" customHeight="1" x14ac:dyDescent="0.25">
      <c r="A945" s="2" t="str">
        <f>"06080000085"</f>
        <v>06080000085</v>
      </c>
      <c r="B945" s="2" t="s">
        <v>948</v>
      </c>
      <c r="C945" s="2">
        <v>1236</v>
      </c>
      <c r="D945" s="2" t="s">
        <v>5</v>
      </c>
    </row>
    <row r="946" spans="1:4" ht="15" customHeight="1" x14ac:dyDescent="0.25">
      <c r="A946" s="2" t="str">
        <f>"06080000065"</f>
        <v>06080000065</v>
      </c>
      <c r="B946" s="2" t="s">
        <v>949</v>
      </c>
      <c r="C946" s="2">
        <v>1333.13</v>
      </c>
      <c r="D946" s="2" t="s">
        <v>5</v>
      </c>
    </row>
    <row r="947" spans="1:4" ht="15" customHeight="1" x14ac:dyDescent="0.25">
      <c r="A947" s="2" t="str">
        <f>"06080000090"</f>
        <v>06080000090</v>
      </c>
      <c r="B947" s="2" t="s">
        <v>950</v>
      </c>
      <c r="C947" s="2">
        <v>1518.51</v>
      </c>
      <c r="D947" s="2" t="s">
        <v>5</v>
      </c>
    </row>
    <row r="948" spans="1:4" ht="15" customHeight="1" x14ac:dyDescent="0.25">
      <c r="A948" s="2" t="str">
        <f>"06080000070"</f>
        <v>06080000070</v>
      </c>
      <c r="B948" s="2" t="s">
        <v>951</v>
      </c>
      <c r="C948" s="2">
        <v>1756.89</v>
      </c>
      <c r="D948" s="2" t="s">
        <v>5</v>
      </c>
    </row>
    <row r="949" spans="1:4" ht="15" customHeight="1" x14ac:dyDescent="0.25">
      <c r="A949" s="2" t="str">
        <f>"06080000095"</f>
        <v>06080000095</v>
      </c>
      <c r="B949" s="2" t="s">
        <v>952</v>
      </c>
      <c r="C949" s="2">
        <v>3098.84</v>
      </c>
      <c r="D949" s="2" t="s">
        <v>5</v>
      </c>
    </row>
    <row r="950" spans="1:4" ht="15" customHeight="1" x14ac:dyDescent="0.25">
      <c r="A950" s="2" t="str">
        <f>"06080000075"</f>
        <v>06080000075</v>
      </c>
      <c r="B950" s="2" t="s">
        <v>953</v>
      </c>
      <c r="C950" s="2">
        <v>3319.55</v>
      </c>
      <c r="D950" s="2" t="s">
        <v>5</v>
      </c>
    </row>
    <row r="951" spans="1:4" ht="15" customHeight="1" x14ac:dyDescent="0.25">
      <c r="A951" s="2" t="str">
        <f>"06080000100"</f>
        <v>06080000100</v>
      </c>
      <c r="B951" s="2" t="s">
        <v>954</v>
      </c>
      <c r="C951" s="2">
        <v>3972.86</v>
      </c>
      <c r="D951" s="2" t="s">
        <v>5</v>
      </c>
    </row>
    <row r="952" spans="1:4" ht="15" customHeight="1" x14ac:dyDescent="0.25">
      <c r="A952" s="2" t="str">
        <f>"06080000080"</f>
        <v>06080000080</v>
      </c>
      <c r="B952" s="2" t="s">
        <v>955</v>
      </c>
      <c r="C952" s="2">
        <v>4679.1499999999996</v>
      </c>
      <c r="D952" s="2" t="s">
        <v>5</v>
      </c>
    </row>
    <row r="953" spans="1:4" ht="15" customHeight="1" x14ac:dyDescent="0.25">
      <c r="A953" s="2" t="str">
        <f>"06080000105"</f>
        <v>06080000105</v>
      </c>
      <c r="B953" s="2" t="s">
        <v>956</v>
      </c>
      <c r="C953" s="2">
        <v>1721.58</v>
      </c>
      <c r="D953" s="2" t="s">
        <v>5</v>
      </c>
    </row>
    <row r="954" spans="1:4" ht="15" customHeight="1" x14ac:dyDescent="0.25">
      <c r="A954" s="2" t="str">
        <f>"06080000110"</f>
        <v>06080000110</v>
      </c>
      <c r="B954" s="2" t="s">
        <v>957</v>
      </c>
      <c r="C954" s="2">
        <v>2065.89</v>
      </c>
      <c r="D954" s="2" t="s">
        <v>5</v>
      </c>
    </row>
    <row r="955" spans="1:4" ht="15" customHeight="1" x14ac:dyDescent="0.25">
      <c r="A955" s="2" t="str">
        <f>"06080000115"</f>
        <v>06080000115</v>
      </c>
      <c r="B955" s="2" t="s">
        <v>958</v>
      </c>
      <c r="C955" s="2">
        <v>3354.86</v>
      </c>
      <c r="D955" s="2" t="s">
        <v>5</v>
      </c>
    </row>
    <row r="956" spans="1:4" ht="15" customHeight="1" x14ac:dyDescent="0.25">
      <c r="A956" s="2" t="str">
        <f>"06080000120"</f>
        <v>06080000120</v>
      </c>
      <c r="B956" s="2" t="s">
        <v>959</v>
      </c>
      <c r="C956" s="2">
        <v>4211.22</v>
      </c>
      <c r="D956" s="2" t="s">
        <v>5</v>
      </c>
    </row>
    <row r="957" spans="1:4" ht="15" customHeight="1" x14ac:dyDescent="0.25">
      <c r="A957" s="2" t="str">
        <f>"06080000122"</f>
        <v>06080000122</v>
      </c>
      <c r="B957" s="2" t="s">
        <v>960</v>
      </c>
      <c r="C957" s="2">
        <v>10744.37</v>
      </c>
      <c r="D957" s="2" t="s">
        <v>5</v>
      </c>
    </row>
    <row r="958" spans="1:4" ht="15" customHeight="1" x14ac:dyDescent="0.25">
      <c r="A958" s="2" t="str">
        <f>"06080000160"</f>
        <v>06080000160</v>
      </c>
      <c r="B958" s="2" t="s">
        <v>961</v>
      </c>
      <c r="C958" s="2">
        <v>8141.13</v>
      </c>
      <c r="D958" s="2" t="s">
        <v>5</v>
      </c>
    </row>
    <row r="959" spans="1:4" ht="15" customHeight="1" x14ac:dyDescent="0.25">
      <c r="A959" s="2" t="str">
        <f>"06080000125"</f>
        <v>06080000125</v>
      </c>
      <c r="B959" s="2" t="s">
        <v>962</v>
      </c>
      <c r="C959" s="2">
        <v>2730.5</v>
      </c>
      <c r="D959" s="2" t="s">
        <v>5</v>
      </c>
    </row>
    <row r="960" spans="1:4" ht="15" customHeight="1" x14ac:dyDescent="0.25">
      <c r="A960" s="2" t="str">
        <f>"06080000130"</f>
        <v>06080000130</v>
      </c>
      <c r="B960" s="2" t="s">
        <v>963</v>
      </c>
      <c r="C960" s="2">
        <v>2930.72</v>
      </c>
      <c r="D960" s="2" t="s">
        <v>5</v>
      </c>
    </row>
    <row r="961" spans="1:4" ht="15" customHeight="1" x14ac:dyDescent="0.25">
      <c r="A961" s="2" t="str">
        <f>"06080000132"</f>
        <v>06080000132</v>
      </c>
      <c r="B961" s="2" t="s">
        <v>964</v>
      </c>
      <c r="C961" s="2">
        <v>3003.53</v>
      </c>
      <c r="D961" s="2" t="s">
        <v>5</v>
      </c>
    </row>
    <row r="962" spans="1:4" ht="15" customHeight="1" x14ac:dyDescent="0.25">
      <c r="A962" s="2" t="str">
        <f>"06080000135"</f>
        <v>06080000135</v>
      </c>
      <c r="B962" s="2" t="s">
        <v>965</v>
      </c>
      <c r="C962" s="2">
        <v>3094.55</v>
      </c>
      <c r="D962" s="2" t="s">
        <v>5</v>
      </c>
    </row>
    <row r="963" spans="1:4" ht="15" customHeight="1" x14ac:dyDescent="0.25">
      <c r="A963" s="2" t="str">
        <f>"06080000136"</f>
        <v>06080000136</v>
      </c>
      <c r="B963" s="2" t="s">
        <v>966</v>
      </c>
      <c r="C963" s="2">
        <v>4969.49</v>
      </c>
      <c r="D963" s="2" t="s">
        <v>5</v>
      </c>
    </row>
    <row r="964" spans="1:4" ht="15" customHeight="1" x14ac:dyDescent="0.25">
      <c r="A964" s="2" t="str">
        <f>"06080000137"</f>
        <v>06080000137</v>
      </c>
      <c r="B964" s="2" t="s">
        <v>967</v>
      </c>
      <c r="C964" s="2">
        <v>5433.66</v>
      </c>
      <c r="D964" s="2" t="s">
        <v>5</v>
      </c>
    </row>
    <row r="965" spans="1:4" ht="15" customHeight="1" x14ac:dyDescent="0.25">
      <c r="A965" s="2" t="str">
        <f>"06080000138"</f>
        <v>06080000138</v>
      </c>
      <c r="B965" s="2" t="s">
        <v>968</v>
      </c>
      <c r="C965" s="2">
        <v>3386.66</v>
      </c>
      <c r="D965" s="2" t="s">
        <v>5</v>
      </c>
    </row>
    <row r="966" spans="1:4" ht="15" customHeight="1" x14ac:dyDescent="0.25">
      <c r="A966" s="2" t="str">
        <f>"06080000357"</f>
        <v>06080000357</v>
      </c>
      <c r="B966" s="2" t="s">
        <v>969</v>
      </c>
      <c r="C966" s="2">
        <v>7699.11</v>
      </c>
      <c r="D966" s="2" t="s">
        <v>5</v>
      </c>
    </row>
    <row r="967" spans="1:4" ht="15" customHeight="1" x14ac:dyDescent="0.25">
      <c r="A967" s="2" t="str">
        <f>"06080000345"</f>
        <v>06080000345</v>
      </c>
      <c r="B967" s="2" t="s">
        <v>970</v>
      </c>
      <c r="C967" s="2">
        <v>6780.72</v>
      </c>
      <c r="D967" s="2" t="s">
        <v>5</v>
      </c>
    </row>
    <row r="968" spans="1:4" ht="15" customHeight="1" x14ac:dyDescent="0.25">
      <c r="A968" s="2" t="str">
        <f>"06080000347"</f>
        <v>06080000347</v>
      </c>
      <c r="B968" s="2" t="s">
        <v>971</v>
      </c>
      <c r="C968" s="2">
        <v>6675.29</v>
      </c>
      <c r="D968" s="2" t="s">
        <v>5</v>
      </c>
    </row>
    <row r="969" spans="1:4" ht="15" customHeight="1" x14ac:dyDescent="0.25">
      <c r="A969" s="2" t="str">
        <f>"06080000350"</f>
        <v>06080000350</v>
      </c>
      <c r="B969" s="2" t="s">
        <v>972</v>
      </c>
      <c r="C969" s="2">
        <v>10212.02</v>
      </c>
      <c r="D969" s="2" t="s">
        <v>5</v>
      </c>
    </row>
    <row r="970" spans="1:4" ht="15" customHeight="1" x14ac:dyDescent="0.25">
      <c r="A970" s="2" t="str">
        <f>"06080000045"</f>
        <v>06080000045</v>
      </c>
      <c r="B970" s="2" t="s">
        <v>973</v>
      </c>
      <c r="C970" s="2">
        <v>3710.55</v>
      </c>
      <c r="D970" s="2" t="s">
        <v>5</v>
      </c>
    </row>
    <row r="971" spans="1:4" ht="15" customHeight="1" x14ac:dyDescent="0.25">
      <c r="A971" s="2" t="str">
        <f>"06080000050"</f>
        <v>06080000050</v>
      </c>
      <c r="B971" s="2" t="s">
        <v>974</v>
      </c>
      <c r="C971" s="2">
        <v>3960.3</v>
      </c>
      <c r="D971" s="2" t="s">
        <v>5</v>
      </c>
    </row>
    <row r="972" spans="1:4" ht="15" customHeight="1" x14ac:dyDescent="0.25">
      <c r="A972" s="2" t="str">
        <f>"06080000055"</f>
        <v>06080000055</v>
      </c>
      <c r="B972" s="2" t="s">
        <v>975</v>
      </c>
      <c r="C972" s="2">
        <v>4923.62</v>
      </c>
      <c r="D972" s="2" t="s">
        <v>5</v>
      </c>
    </row>
    <row r="973" spans="1:4" ht="15" customHeight="1" x14ac:dyDescent="0.25">
      <c r="A973" s="2" t="str">
        <f>"06080000060"</f>
        <v>06080000060</v>
      </c>
      <c r="B973" s="2" t="s">
        <v>976</v>
      </c>
      <c r="C973" s="2">
        <v>5423.12</v>
      </c>
      <c r="D973" s="2" t="s">
        <v>5</v>
      </c>
    </row>
    <row r="974" spans="1:4" ht="15" customHeight="1" x14ac:dyDescent="0.25">
      <c r="A974" s="2" t="str">
        <f>"06080000151"</f>
        <v>06080000151</v>
      </c>
      <c r="B974" s="2" t="s">
        <v>977</v>
      </c>
      <c r="C974" s="2">
        <v>26017.79</v>
      </c>
      <c r="D974" s="2" t="s">
        <v>5</v>
      </c>
    </row>
    <row r="975" spans="1:4" ht="15" customHeight="1" x14ac:dyDescent="0.25">
      <c r="A975" s="2" t="str">
        <f>"06080000152"</f>
        <v>06080000152</v>
      </c>
      <c r="B975" s="2" t="s">
        <v>978</v>
      </c>
      <c r="C975" s="2">
        <v>39145.86</v>
      </c>
      <c r="D975" s="2" t="s">
        <v>5</v>
      </c>
    </row>
    <row r="976" spans="1:4" ht="15" customHeight="1" x14ac:dyDescent="0.25">
      <c r="A976" s="2" t="str">
        <f>"06080000153"</f>
        <v>06080000153</v>
      </c>
      <c r="B976" s="2" t="s">
        <v>979</v>
      </c>
      <c r="C976" s="2">
        <v>42606.66</v>
      </c>
      <c r="D976" s="2" t="s">
        <v>5</v>
      </c>
    </row>
    <row r="977" spans="1:4" ht="15" customHeight="1" x14ac:dyDescent="0.25">
      <c r="A977" s="2" t="str">
        <f>"06080000062"</f>
        <v>06080000062</v>
      </c>
      <c r="B977" s="2" t="s">
        <v>980</v>
      </c>
      <c r="C977" s="2">
        <v>25581.93</v>
      </c>
      <c r="D977" s="2" t="s">
        <v>5</v>
      </c>
    </row>
    <row r="978" spans="1:4" ht="15" customHeight="1" x14ac:dyDescent="0.25">
      <c r="A978" s="2" t="str">
        <f>"06080000140"</f>
        <v>06080000140</v>
      </c>
      <c r="B978" s="2" t="s">
        <v>981</v>
      </c>
      <c r="C978" s="2">
        <v>7972.2</v>
      </c>
      <c r="D978" s="2" t="s">
        <v>5</v>
      </c>
    </row>
    <row r="979" spans="1:4" ht="15" customHeight="1" x14ac:dyDescent="0.25">
      <c r="A979" s="2" t="str">
        <f>"06080000145"</f>
        <v>06080000145</v>
      </c>
      <c r="B979" s="2" t="s">
        <v>982</v>
      </c>
      <c r="C979" s="2">
        <v>9155.24</v>
      </c>
      <c r="D979" s="2" t="s">
        <v>5</v>
      </c>
    </row>
    <row r="980" spans="1:4" ht="15" customHeight="1" x14ac:dyDescent="0.25">
      <c r="A980" s="2" t="str">
        <f>"06080000150"</f>
        <v>06080000150</v>
      </c>
      <c r="B980" s="2" t="s">
        <v>983</v>
      </c>
      <c r="C980" s="2">
        <v>13693.11</v>
      </c>
      <c r="D980" s="2" t="s">
        <v>5</v>
      </c>
    </row>
    <row r="981" spans="1:4" ht="15" customHeight="1" x14ac:dyDescent="0.25">
      <c r="A981" s="2" t="str">
        <f>"06080000155"</f>
        <v>06080000155</v>
      </c>
      <c r="B981" s="2" t="s">
        <v>984</v>
      </c>
      <c r="C981" s="2">
        <v>15979.71</v>
      </c>
      <c r="D981" s="2" t="s">
        <v>5</v>
      </c>
    </row>
    <row r="982" spans="1:4" ht="15" customHeight="1" x14ac:dyDescent="0.25">
      <c r="A982" s="2" t="str">
        <f>"06080000380"</f>
        <v>06080000380</v>
      </c>
      <c r="B982" s="2" t="s">
        <v>985</v>
      </c>
      <c r="C982" s="2">
        <v>1288.3399999999999</v>
      </c>
      <c r="D982" s="2" t="s">
        <v>5</v>
      </c>
    </row>
    <row r="983" spans="1:4" ht="15" customHeight="1" x14ac:dyDescent="0.25">
      <c r="A983" s="2" t="str">
        <f>"06080000165"</f>
        <v>06080000165</v>
      </c>
      <c r="B983" s="2" t="s">
        <v>986</v>
      </c>
      <c r="C983" s="2">
        <v>4768.79</v>
      </c>
      <c r="D983" s="2" t="s">
        <v>5</v>
      </c>
    </row>
    <row r="984" spans="1:4" ht="15" customHeight="1" x14ac:dyDescent="0.25">
      <c r="A984" s="2" t="str">
        <f>"06080000170"</f>
        <v>06080000170</v>
      </c>
      <c r="B984" s="2" t="s">
        <v>987</v>
      </c>
      <c r="C984" s="2">
        <v>8887.74</v>
      </c>
      <c r="D984" s="2" t="s">
        <v>5</v>
      </c>
    </row>
    <row r="985" spans="1:4" ht="15" customHeight="1" x14ac:dyDescent="0.25">
      <c r="A985" s="2" t="str">
        <f>"06080000175"</f>
        <v>06080000175</v>
      </c>
      <c r="B985" s="2" t="s">
        <v>988</v>
      </c>
      <c r="C985" s="2">
        <v>11076.21</v>
      </c>
      <c r="D985" s="2" t="s">
        <v>5</v>
      </c>
    </row>
    <row r="986" spans="1:4" ht="15" customHeight="1" x14ac:dyDescent="0.25">
      <c r="A986" s="2" t="str">
        <f>"06080000176"</f>
        <v>06080000176</v>
      </c>
      <c r="B986" s="2" t="s">
        <v>989</v>
      </c>
      <c r="C986" s="2">
        <v>13799.87</v>
      </c>
      <c r="D986" s="2" t="s">
        <v>5</v>
      </c>
    </row>
    <row r="987" spans="1:4" ht="15" customHeight="1" x14ac:dyDescent="0.25">
      <c r="A987" s="2" t="str">
        <f>"06080000180"</f>
        <v>06080000180</v>
      </c>
      <c r="B987" s="2" t="s">
        <v>990</v>
      </c>
      <c r="C987" s="2">
        <v>15730.32</v>
      </c>
      <c r="D987" s="2" t="s">
        <v>5</v>
      </c>
    </row>
    <row r="988" spans="1:4" ht="15" customHeight="1" x14ac:dyDescent="0.25">
      <c r="A988" s="2" t="str">
        <f>"06080000025"</f>
        <v>06080000025</v>
      </c>
      <c r="B988" s="2" t="s">
        <v>991</v>
      </c>
      <c r="C988" s="2">
        <v>3681.5</v>
      </c>
      <c r="D988" s="2" t="s">
        <v>5</v>
      </c>
    </row>
    <row r="989" spans="1:4" ht="15" customHeight="1" x14ac:dyDescent="0.25">
      <c r="A989" s="2" t="str">
        <f>"06080000030"</f>
        <v>06080000030</v>
      </c>
      <c r="B989" s="2" t="s">
        <v>992</v>
      </c>
      <c r="C989" s="2">
        <v>4484.91</v>
      </c>
      <c r="D989" s="2" t="s">
        <v>5</v>
      </c>
    </row>
    <row r="990" spans="1:4" ht="15" customHeight="1" x14ac:dyDescent="0.25">
      <c r="A990" s="2" t="str">
        <f>"06080000035"</f>
        <v>06080000035</v>
      </c>
      <c r="B990" s="2" t="s">
        <v>993</v>
      </c>
      <c r="C990" s="2">
        <v>6082.88</v>
      </c>
      <c r="D990" s="2" t="s">
        <v>5</v>
      </c>
    </row>
    <row r="991" spans="1:4" ht="15" customHeight="1" x14ac:dyDescent="0.25">
      <c r="A991" s="2" t="str">
        <f>"06080000040"</f>
        <v>06080000040</v>
      </c>
      <c r="B991" s="2" t="s">
        <v>994</v>
      </c>
      <c r="C991" s="2">
        <v>7318.88</v>
      </c>
      <c r="D991" s="2" t="s">
        <v>5</v>
      </c>
    </row>
    <row r="992" spans="1:4" ht="15" customHeight="1" x14ac:dyDescent="0.25">
      <c r="A992" s="2" t="str">
        <f>"03011600100"</f>
        <v>03011600100</v>
      </c>
      <c r="B992" s="2" t="s">
        <v>995</v>
      </c>
      <c r="C992" s="2">
        <v>270.87</v>
      </c>
      <c r="D992" s="2" t="s">
        <v>5</v>
      </c>
    </row>
    <row r="993" spans="1:4" ht="15" customHeight="1" x14ac:dyDescent="0.25">
      <c r="A993" s="2" t="str">
        <f>"05015000208"</f>
        <v>05015000208</v>
      </c>
      <c r="B993" s="2" t="s">
        <v>996</v>
      </c>
      <c r="C993" s="2">
        <v>25.28</v>
      </c>
      <c r="D993" s="2" t="s">
        <v>5</v>
      </c>
    </row>
    <row r="994" spans="1:4" ht="15" customHeight="1" x14ac:dyDescent="0.25">
      <c r="A994" s="2" t="str">
        <f>"05015000206"</f>
        <v>05015000206</v>
      </c>
      <c r="B994" s="2" t="s">
        <v>997</v>
      </c>
      <c r="C994" s="2">
        <v>100.89</v>
      </c>
      <c r="D994" s="2" t="s">
        <v>5</v>
      </c>
    </row>
    <row r="995" spans="1:4" ht="15" customHeight="1" x14ac:dyDescent="0.25">
      <c r="A995" s="2" t="str">
        <f>"05015000240"</f>
        <v>05015000240</v>
      </c>
      <c r="B995" s="2" t="s">
        <v>998</v>
      </c>
      <c r="C995" s="2">
        <v>24.23</v>
      </c>
      <c r="D995" s="2" t="s">
        <v>5</v>
      </c>
    </row>
    <row r="996" spans="1:4" ht="15" customHeight="1" x14ac:dyDescent="0.25">
      <c r="A996" s="2" t="str">
        <f>"05015000241"</f>
        <v>05015000241</v>
      </c>
      <c r="B996" s="2" t="s">
        <v>999</v>
      </c>
      <c r="C996" s="2">
        <v>35.78</v>
      </c>
      <c r="D996" s="2" t="s">
        <v>5</v>
      </c>
    </row>
    <row r="997" spans="1:4" ht="15" customHeight="1" x14ac:dyDescent="0.25">
      <c r="A997" s="2" t="str">
        <f>"05015000242"</f>
        <v>05015000242</v>
      </c>
      <c r="B997" s="2" t="s">
        <v>1000</v>
      </c>
      <c r="C997" s="2">
        <v>43.05</v>
      </c>
      <c r="D997" s="2" t="s">
        <v>5</v>
      </c>
    </row>
    <row r="998" spans="1:4" ht="15" customHeight="1" x14ac:dyDescent="0.25">
      <c r="A998" s="2" t="str">
        <f>"05015000207"</f>
        <v>05015000207</v>
      </c>
      <c r="B998" s="2" t="s">
        <v>1001</v>
      </c>
      <c r="C998" s="2">
        <v>18.059999999999999</v>
      </c>
      <c r="D998" s="2" t="s">
        <v>5</v>
      </c>
    </row>
    <row r="999" spans="1:4" ht="15" customHeight="1" x14ac:dyDescent="0.25">
      <c r="A999" s="2" t="str">
        <f>"05022000990"</f>
        <v>05022000990</v>
      </c>
      <c r="B999" s="2" t="s">
        <v>1002</v>
      </c>
      <c r="C999" s="2">
        <v>0</v>
      </c>
      <c r="D999" s="2" t="s">
        <v>5</v>
      </c>
    </row>
    <row r="1000" spans="1:4" ht="15" customHeight="1" x14ac:dyDescent="0.25">
      <c r="A1000" s="2" t="str">
        <f>"06070000095"</f>
        <v>06070000095</v>
      </c>
      <c r="B1000" s="2" t="s">
        <v>1003</v>
      </c>
      <c r="C1000" s="2">
        <v>820.25</v>
      </c>
      <c r="D1000" s="2" t="s">
        <v>5</v>
      </c>
    </row>
    <row r="1001" spans="1:4" ht="15" customHeight="1" x14ac:dyDescent="0.25">
      <c r="A1001" s="2" t="str">
        <f>"03019500075"</f>
        <v>03019500075</v>
      </c>
      <c r="B1001" s="2" t="s">
        <v>1004</v>
      </c>
      <c r="C1001" s="2">
        <v>7427.85</v>
      </c>
      <c r="D1001" s="2" t="s">
        <v>5</v>
      </c>
    </row>
    <row r="1002" spans="1:4" ht="15" customHeight="1" x14ac:dyDescent="0.25">
      <c r="A1002" s="2" t="str">
        <f>"03019500074"</f>
        <v>03019500074</v>
      </c>
      <c r="B1002" s="2" t="s">
        <v>1005</v>
      </c>
      <c r="C1002" s="2">
        <v>5896.34</v>
      </c>
      <c r="D1002" s="2" t="s">
        <v>5</v>
      </c>
    </row>
    <row r="1003" spans="1:4" ht="15" customHeight="1" x14ac:dyDescent="0.25">
      <c r="A1003" s="2" t="str">
        <f>"03034000014"</f>
        <v>03034000014</v>
      </c>
      <c r="B1003" s="2" t="s">
        <v>1006</v>
      </c>
      <c r="C1003" s="2">
        <v>9263.0300000000007</v>
      </c>
      <c r="D1003" s="2" t="s">
        <v>5</v>
      </c>
    </row>
    <row r="1004" spans="1:4" ht="15" customHeight="1" x14ac:dyDescent="0.25">
      <c r="A1004" s="2" t="str">
        <f>"03038000361"</f>
        <v>03038000361</v>
      </c>
      <c r="B1004" s="2" t="s">
        <v>1007</v>
      </c>
      <c r="C1004" s="2">
        <v>372.18</v>
      </c>
      <c r="D1004" s="2" t="s">
        <v>5</v>
      </c>
    </row>
    <row r="1005" spans="1:4" ht="15" customHeight="1" x14ac:dyDescent="0.25">
      <c r="A1005" s="2" t="str">
        <f>"03015305016"</f>
        <v>03015305016</v>
      </c>
      <c r="B1005" s="2" t="s">
        <v>1008</v>
      </c>
      <c r="C1005" s="2">
        <v>748.8</v>
      </c>
      <c r="D1005" s="2" t="s">
        <v>5</v>
      </c>
    </row>
    <row r="1006" spans="1:4" ht="15" customHeight="1" x14ac:dyDescent="0.25">
      <c r="A1006" s="2" t="str">
        <f>"03015305015"</f>
        <v>03015305015</v>
      </c>
      <c r="B1006" s="2" t="s">
        <v>1009</v>
      </c>
      <c r="C1006" s="2">
        <v>532.26</v>
      </c>
      <c r="D1006" s="2" t="s">
        <v>5</v>
      </c>
    </row>
    <row r="1007" spans="1:4" ht="15" customHeight="1" x14ac:dyDescent="0.25">
      <c r="A1007" s="2" t="str">
        <f>"03050000218"</f>
        <v>03050000218</v>
      </c>
      <c r="B1007" s="2" t="s">
        <v>1010</v>
      </c>
      <c r="C1007" s="2">
        <v>4159.28</v>
      </c>
      <c r="D1007" s="2" t="s">
        <v>5</v>
      </c>
    </row>
    <row r="1008" spans="1:4" ht="15" customHeight="1" x14ac:dyDescent="0.25">
      <c r="A1008" s="2" t="str">
        <f>"03050000217"</f>
        <v>03050000217</v>
      </c>
      <c r="B1008" s="2" t="s">
        <v>1011</v>
      </c>
      <c r="C1008" s="2">
        <v>4948.41</v>
      </c>
      <c r="D1008" s="2" t="s">
        <v>5</v>
      </c>
    </row>
    <row r="1009" spans="1:4" ht="15" customHeight="1" x14ac:dyDescent="0.25">
      <c r="A1009" s="2" t="str">
        <f>"03034000028"</f>
        <v>03034000028</v>
      </c>
      <c r="B1009" s="2" t="s">
        <v>1012</v>
      </c>
      <c r="C1009" s="2">
        <v>5258.57</v>
      </c>
      <c r="D1009" s="2" t="s">
        <v>5</v>
      </c>
    </row>
    <row r="1010" spans="1:4" ht="15" customHeight="1" x14ac:dyDescent="0.25">
      <c r="A1010" s="2" t="str">
        <f>"03015305019"</f>
        <v>03015305019</v>
      </c>
      <c r="B1010" s="2" t="s">
        <v>1013</v>
      </c>
      <c r="C1010" s="2">
        <v>897</v>
      </c>
      <c r="D1010" s="2" t="s">
        <v>5</v>
      </c>
    </row>
    <row r="1011" spans="1:4" ht="15" customHeight="1" x14ac:dyDescent="0.25">
      <c r="A1011" s="2" t="str">
        <f>"03015305020"</f>
        <v>03015305020</v>
      </c>
      <c r="B1011" s="2" t="s">
        <v>1014</v>
      </c>
      <c r="C1011" s="2">
        <v>532.26</v>
      </c>
      <c r="D1011" s="2" t="s">
        <v>5</v>
      </c>
    </row>
    <row r="1012" spans="1:4" ht="15" customHeight="1" x14ac:dyDescent="0.25">
      <c r="A1012" s="2" t="str">
        <f>"03050000255"</f>
        <v>03050000255</v>
      </c>
      <c r="B1012" s="2" t="s">
        <v>1015</v>
      </c>
      <c r="C1012" s="2">
        <v>6403.19</v>
      </c>
      <c r="D1012" s="2" t="s">
        <v>5</v>
      </c>
    </row>
    <row r="1013" spans="1:4" ht="15" customHeight="1" x14ac:dyDescent="0.25">
      <c r="A1013" s="2" t="str">
        <f>"03050000250"</f>
        <v>03050000250</v>
      </c>
      <c r="B1013" s="2" t="s">
        <v>1016</v>
      </c>
      <c r="C1013" s="2">
        <v>6401.96</v>
      </c>
      <c r="D1013" s="2" t="s">
        <v>5</v>
      </c>
    </row>
    <row r="1014" spans="1:4" ht="15" customHeight="1" x14ac:dyDescent="0.25">
      <c r="A1014" s="2" t="str">
        <f>"03034000030"</f>
        <v>03034000030</v>
      </c>
      <c r="B1014" s="2" t="s">
        <v>1017</v>
      </c>
      <c r="C1014" s="2">
        <v>1431.92</v>
      </c>
      <c r="D1014" s="2" t="s">
        <v>5</v>
      </c>
    </row>
    <row r="1015" spans="1:4" ht="15" customHeight="1" x14ac:dyDescent="0.25">
      <c r="A1015" s="2" t="str">
        <f>"03028000100"</f>
        <v>03028000100</v>
      </c>
      <c r="B1015" s="2" t="s">
        <v>1018</v>
      </c>
      <c r="C1015" s="2">
        <v>21302.84</v>
      </c>
      <c r="D1015" s="2" t="s">
        <v>5</v>
      </c>
    </row>
    <row r="1016" spans="1:4" ht="15" customHeight="1" x14ac:dyDescent="0.25">
      <c r="A1016" s="2" t="str">
        <f>"03028000090"</f>
        <v>03028000090</v>
      </c>
      <c r="B1016" s="2" t="s">
        <v>1019</v>
      </c>
      <c r="C1016" s="2">
        <v>21302.84</v>
      </c>
      <c r="D1016" s="2" t="s">
        <v>5</v>
      </c>
    </row>
    <row r="1017" spans="1:4" ht="15" customHeight="1" x14ac:dyDescent="0.25">
      <c r="A1017" s="2" t="str">
        <f>"03028000110"</f>
        <v>03028000110</v>
      </c>
      <c r="B1017" s="2" t="s">
        <v>1020</v>
      </c>
      <c r="C1017" s="2">
        <v>21302.84</v>
      </c>
      <c r="D1017" s="2" t="s">
        <v>5</v>
      </c>
    </row>
    <row r="1018" spans="1:4" ht="15" customHeight="1" x14ac:dyDescent="0.25">
      <c r="A1018" s="2" t="str">
        <f>"05012002131"</f>
        <v>05012002131</v>
      </c>
      <c r="B1018" s="2" t="s">
        <v>1021</v>
      </c>
      <c r="C1018" s="2">
        <v>7014.96</v>
      </c>
      <c r="D1018" s="2" t="s">
        <v>5</v>
      </c>
    </row>
    <row r="1019" spans="1:4" ht="15" customHeight="1" x14ac:dyDescent="0.25">
      <c r="A1019" s="2" t="str">
        <f>"03058000130"</f>
        <v>03058000130</v>
      </c>
      <c r="B1019" s="2" t="s">
        <v>1022</v>
      </c>
      <c r="C1019" s="2">
        <v>2428.0100000000002</v>
      </c>
      <c r="D1019" s="2" t="s">
        <v>5</v>
      </c>
    </row>
    <row r="1020" spans="1:4" ht="15" customHeight="1" x14ac:dyDescent="0.25">
      <c r="A1020" s="2" t="str">
        <f>"01004000092"</f>
        <v>01004000092</v>
      </c>
      <c r="B1020" s="2" t="s">
        <v>1023</v>
      </c>
      <c r="C1020" s="2">
        <v>2325.5</v>
      </c>
      <c r="D1020" s="2" t="s">
        <v>5</v>
      </c>
    </row>
    <row r="1021" spans="1:4" ht="15" customHeight="1" x14ac:dyDescent="0.25">
      <c r="A1021" s="2" t="str">
        <f>"01004000094"</f>
        <v>01004000094</v>
      </c>
      <c r="B1021" s="2" t="s">
        <v>1024</v>
      </c>
      <c r="C1021" s="2">
        <v>2324.84</v>
      </c>
      <c r="D1021" s="2" t="s">
        <v>5</v>
      </c>
    </row>
    <row r="1022" spans="1:4" ht="15" customHeight="1" x14ac:dyDescent="0.25">
      <c r="A1022" s="2" t="str">
        <f>"03010000508"</f>
        <v>03010000508</v>
      </c>
      <c r="B1022" s="2" t="s">
        <v>1025</v>
      </c>
      <c r="C1022" s="2">
        <v>817.26</v>
      </c>
      <c r="D1022" s="2" t="s">
        <v>5</v>
      </c>
    </row>
    <row r="1023" spans="1:4" ht="15" customHeight="1" x14ac:dyDescent="0.25">
      <c r="A1023" s="2" t="str">
        <f>"01004000050"</f>
        <v>01004000050</v>
      </c>
      <c r="B1023" s="2" t="s">
        <v>1026</v>
      </c>
      <c r="C1023" s="2">
        <v>3755.61</v>
      </c>
      <c r="D1023" s="2" t="s">
        <v>5</v>
      </c>
    </row>
    <row r="1024" spans="1:4" ht="15" customHeight="1" x14ac:dyDescent="0.25">
      <c r="A1024" s="2" t="str">
        <f>"01004000055"</f>
        <v>01004000055</v>
      </c>
      <c r="B1024" s="2" t="s">
        <v>1027</v>
      </c>
      <c r="C1024" s="2">
        <v>3461.36</v>
      </c>
      <c r="D1024" s="2" t="s">
        <v>5</v>
      </c>
    </row>
    <row r="1025" spans="1:4" ht="15" customHeight="1" x14ac:dyDescent="0.25">
      <c r="A1025" s="2" t="str">
        <f>"05021000055"</f>
        <v>05021000055</v>
      </c>
      <c r="B1025" s="2" t="s">
        <v>1028</v>
      </c>
      <c r="C1025" s="2">
        <v>1192.82</v>
      </c>
      <c r="D1025" s="2" t="s">
        <v>5</v>
      </c>
    </row>
    <row r="1026" spans="1:4" ht="15" customHeight="1" x14ac:dyDescent="0.25">
      <c r="A1026" s="2" t="str">
        <f>"05021000060"</f>
        <v>05021000060</v>
      </c>
      <c r="B1026" s="2" t="s">
        <v>1029</v>
      </c>
      <c r="C1026" s="2">
        <v>1192.82</v>
      </c>
      <c r="D1026" s="2" t="s">
        <v>5</v>
      </c>
    </row>
    <row r="1027" spans="1:4" ht="15" customHeight="1" x14ac:dyDescent="0.25">
      <c r="A1027" s="2" t="str">
        <f>"05021000062"</f>
        <v>05021000062</v>
      </c>
      <c r="B1027" s="2" t="s">
        <v>1030</v>
      </c>
      <c r="C1027" s="2">
        <v>1192.82</v>
      </c>
      <c r="D1027" s="2" t="s">
        <v>5</v>
      </c>
    </row>
    <row r="1028" spans="1:4" ht="15" customHeight="1" x14ac:dyDescent="0.25">
      <c r="A1028" s="2" t="str">
        <f>"05023000010"</f>
        <v>05023000010</v>
      </c>
      <c r="B1028" s="2" t="s">
        <v>1031</v>
      </c>
      <c r="C1028" s="2">
        <v>699.84</v>
      </c>
      <c r="D1028" s="2" t="s">
        <v>5</v>
      </c>
    </row>
    <row r="1029" spans="1:4" ht="15" customHeight="1" x14ac:dyDescent="0.25">
      <c r="A1029" s="2" t="str">
        <f>"05023000015"</f>
        <v>05023000015</v>
      </c>
      <c r="B1029" s="2" t="s">
        <v>1032</v>
      </c>
      <c r="C1029" s="2">
        <v>466.56</v>
      </c>
      <c r="D1029" s="2" t="s">
        <v>5</v>
      </c>
    </row>
    <row r="1030" spans="1:4" ht="15" customHeight="1" x14ac:dyDescent="0.25">
      <c r="A1030" s="2" t="str">
        <f>"03005800010"</f>
        <v>03005800010</v>
      </c>
      <c r="B1030" s="2" t="s">
        <v>1033</v>
      </c>
      <c r="C1030" s="2">
        <v>814.91</v>
      </c>
      <c r="D1030" s="2" t="s">
        <v>5</v>
      </c>
    </row>
    <row r="1031" spans="1:4" ht="15" customHeight="1" x14ac:dyDescent="0.25">
      <c r="A1031" s="2" t="str">
        <f>"03005800020"</f>
        <v>03005800020</v>
      </c>
      <c r="B1031" s="2" t="s">
        <v>1034</v>
      </c>
      <c r="C1031" s="2">
        <v>1020.89</v>
      </c>
      <c r="D1031" s="2" t="s">
        <v>5</v>
      </c>
    </row>
    <row r="1032" spans="1:4" ht="15" customHeight="1" x14ac:dyDescent="0.25">
      <c r="A1032" s="2" t="str">
        <f>"05021000106"</f>
        <v>05021000106</v>
      </c>
      <c r="B1032" s="2" t="s">
        <v>1035</v>
      </c>
      <c r="C1032" s="2">
        <v>915.35</v>
      </c>
      <c r="D1032" s="2" t="s">
        <v>5</v>
      </c>
    </row>
    <row r="1033" spans="1:4" ht="15" customHeight="1" x14ac:dyDescent="0.25">
      <c r="A1033" s="2" t="str">
        <f>"05021000107"</f>
        <v>05021000107</v>
      </c>
      <c r="B1033" s="2" t="s">
        <v>1036</v>
      </c>
      <c r="C1033" s="2">
        <v>915.35</v>
      </c>
      <c r="D1033" s="2" t="s">
        <v>5</v>
      </c>
    </row>
    <row r="1034" spans="1:4" ht="15" customHeight="1" x14ac:dyDescent="0.25">
      <c r="A1034" s="2" t="str">
        <f>"03034000210"</f>
        <v>03034000210</v>
      </c>
      <c r="B1034" s="2" t="s">
        <v>1037</v>
      </c>
      <c r="C1034" s="2">
        <v>466.04</v>
      </c>
      <c r="D1034" s="2" t="s">
        <v>5</v>
      </c>
    </row>
    <row r="1035" spans="1:4" ht="15" customHeight="1" x14ac:dyDescent="0.25">
      <c r="A1035" s="2" t="str">
        <f>"01040000115"</f>
        <v>01040000115</v>
      </c>
      <c r="B1035" s="2" t="s">
        <v>1038</v>
      </c>
      <c r="C1035" s="2">
        <v>227.93</v>
      </c>
      <c r="D1035" s="2" t="s">
        <v>5</v>
      </c>
    </row>
    <row r="1036" spans="1:4" ht="15" customHeight="1" x14ac:dyDescent="0.25">
      <c r="A1036" s="2" t="str">
        <f>"01040000110"</f>
        <v>01040000110</v>
      </c>
      <c r="B1036" s="2" t="s">
        <v>1039</v>
      </c>
      <c r="C1036" s="2">
        <v>214.52</v>
      </c>
      <c r="D1036" s="2" t="s">
        <v>5</v>
      </c>
    </row>
    <row r="1037" spans="1:4" ht="15" customHeight="1" x14ac:dyDescent="0.25">
      <c r="A1037" s="2" t="str">
        <f>"01004000060"</f>
        <v>01004000060</v>
      </c>
      <c r="B1037" s="2" t="s">
        <v>1040</v>
      </c>
      <c r="C1037" s="2">
        <v>3242.48</v>
      </c>
      <c r="D1037" s="2" t="s">
        <v>5</v>
      </c>
    </row>
    <row r="1038" spans="1:4" ht="15" customHeight="1" x14ac:dyDescent="0.25">
      <c r="A1038" s="2" t="str">
        <f>"01014000065"</f>
        <v>01014000065</v>
      </c>
      <c r="B1038" s="2" t="s">
        <v>1041</v>
      </c>
      <c r="C1038" s="2">
        <v>2278.14</v>
      </c>
      <c r="D1038" s="2" t="s">
        <v>5</v>
      </c>
    </row>
    <row r="1039" spans="1:4" ht="15" customHeight="1" x14ac:dyDescent="0.25">
      <c r="A1039" s="2" t="str">
        <f>"01014000060"</f>
        <v>01014000060</v>
      </c>
      <c r="B1039" s="2" t="s">
        <v>1042</v>
      </c>
      <c r="C1039" s="2">
        <v>2278.14</v>
      </c>
      <c r="D1039" s="2" t="s">
        <v>5</v>
      </c>
    </row>
    <row r="1040" spans="1:4" ht="15" customHeight="1" x14ac:dyDescent="0.25">
      <c r="A1040" s="2" t="str">
        <f>"03051000160"</f>
        <v>03051000160</v>
      </c>
      <c r="B1040" s="2" t="s">
        <v>1043</v>
      </c>
      <c r="C1040" s="2">
        <v>5731.17</v>
      </c>
      <c r="D1040" s="2" t="s">
        <v>5</v>
      </c>
    </row>
    <row r="1041" spans="1:4" ht="15" customHeight="1" x14ac:dyDescent="0.25">
      <c r="A1041" s="2" t="str">
        <f>"03051000170"</f>
        <v>03051000170</v>
      </c>
      <c r="B1041" s="2" t="s">
        <v>1044</v>
      </c>
      <c r="C1041" s="2">
        <v>6552</v>
      </c>
      <c r="D1041" s="2" t="s">
        <v>5</v>
      </c>
    </row>
    <row r="1042" spans="1:4" ht="15" customHeight="1" x14ac:dyDescent="0.25">
      <c r="A1042" s="2" t="str">
        <f>"01040000015"</f>
        <v>01040000015</v>
      </c>
      <c r="B1042" s="2" t="s">
        <v>1045</v>
      </c>
      <c r="C1042" s="2">
        <v>387.35</v>
      </c>
      <c r="D1042" s="2" t="s">
        <v>5</v>
      </c>
    </row>
    <row r="1043" spans="1:4" ht="15" customHeight="1" x14ac:dyDescent="0.25">
      <c r="A1043" s="2" t="str">
        <f>"05021000102"</f>
        <v>05021000102</v>
      </c>
      <c r="B1043" s="2" t="s">
        <v>1046</v>
      </c>
      <c r="C1043" s="2">
        <v>689.91</v>
      </c>
      <c r="D1043" s="2" t="s">
        <v>5</v>
      </c>
    </row>
    <row r="1044" spans="1:4" ht="15" customHeight="1" x14ac:dyDescent="0.25">
      <c r="A1044" s="2" t="str">
        <f>"05021000108"</f>
        <v>05021000108</v>
      </c>
      <c r="B1044" s="2" t="s">
        <v>1047</v>
      </c>
      <c r="C1044" s="2">
        <v>689.91</v>
      </c>
      <c r="D1044" s="2" t="s">
        <v>5</v>
      </c>
    </row>
    <row r="1045" spans="1:4" ht="15" customHeight="1" x14ac:dyDescent="0.25">
      <c r="A1045" s="2" t="str">
        <f>"05021000812"</f>
        <v>05021000812</v>
      </c>
      <c r="B1045" s="2" t="s">
        <v>1048</v>
      </c>
      <c r="C1045" s="2">
        <v>10167.93</v>
      </c>
      <c r="D1045" s="2" t="s">
        <v>5</v>
      </c>
    </row>
    <row r="1046" spans="1:4" ht="15" customHeight="1" x14ac:dyDescent="0.25">
      <c r="A1046" s="2" t="str">
        <f>"03034000305"</f>
        <v>03034000305</v>
      </c>
      <c r="B1046" s="2" t="s">
        <v>1049</v>
      </c>
      <c r="C1046" s="2">
        <v>3560.22</v>
      </c>
      <c r="D1046" s="2" t="s">
        <v>5</v>
      </c>
    </row>
    <row r="1047" spans="1:4" ht="15" customHeight="1" x14ac:dyDescent="0.25">
      <c r="A1047" s="2" t="str">
        <f>"03034000304"</f>
        <v>03034000304</v>
      </c>
      <c r="B1047" s="2" t="s">
        <v>1050</v>
      </c>
      <c r="C1047" s="2">
        <v>984.95</v>
      </c>
      <c r="D1047" s="2" t="s">
        <v>5</v>
      </c>
    </row>
    <row r="1048" spans="1:4" ht="15" customHeight="1" x14ac:dyDescent="0.25">
      <c r="A1048" s="2" t="str">
        <f>"09500000130"</f>
        <v>09500000130</v>
      </c>
      <c r="B1048" s="2" t="s">
        <v>1051</v>
      </c>
      <c r="C1048" s="2">
        <v>5432.25</v>
      </c>
      <c r="D1048" s="2" t="s">
        <v>5</v>
      </c>
    </row>
    <row r="1049" spans="1:4" ht="15" customHeight="1" x14ac:dyDescent="0.25">
      <c r="A1049" s="2" t="str">
        <f>"09500000135"</f>
        <v>09500000135</v>
      </c>
      <c r="B1049" s="2" t="s">
        <v>1052</v>
      </c>
      <c r="C1049" s="2">
        <v>22725.21</v>
      </c>
      <c r="D1049" s="2" t="s">
        <v>5</v>
      </c>
    </row>
    <row r="1050" spans="1:4" ht="15" customHeight="1" x14ac:dyDescent="0.25">
      <c r="A1050" s="2" t="str">
        <f>"03019500078"</f>
        <v>03019500078</v>
      </c>
      <c r="B1050" s="2" t="s">
        <v>1053</v>
      </c>
      <c r="C1050" s="2">
        <v>4290</v>
      </c>
      <c r="D1050" s="2" t="s">
        <v>5</v>
      </c>
    </row>
    <row r="1051" spans="1:4" ht="15" customHeight="1" x14ac:dyDescent="0.25">
      <c r="A1051" s="2" t="str">
        <f>"03019500061"</f>
        <v>03019500061</v>
      </c>
      <c r="B1051" s="2" t="s">
        <v>1054</v>
      </c>
      <c r="C1051" s="2">
        <v>1300.8599999999999</v>
      </c>
      <c r="D1051" s="2" t="s">
        <v>5</v>
      </c>
    </row>
    <row r="1052" spans="1:4" ht="15" customHeight="1" x14ac:dyDescent="0.25">
      <c r="A1052" s="2" t="str">
        <f>"03019500062"</f>
        <v>03019500062</v>
      </c>
      <c r="B1052" s="2" t="s">
        <v>1055</v>
      </c>
      <c r="C1052" s="2">
        <v>1472.39</v>
      </c>
      <c r="D1052" s="2" t="s">
        <v>5</v>
      </c>
    </row>
    <row r="1053" spans="1:4" ht="15" customHeight="1" x14ac:dyDescent="0.25">
      <c r="A1053" s="2" t="str">
        <f>"03019500063"</f>
        <v>03019500063</v>
      </c>
      <c r="B1053" s="2" t="s">
        <v>1056</v>
      </c>
      <c r="C1053" s="2">
        <v>1809.63</v>
      </c>
      <c r="D1053" s="2" t="s">
        <v>5</v>
      </c>
    </row>
    <row r="1054" spans="1:4" ht="15" customHeight="1" x14ac:dyDescent="0.25">
      <c r="A1054" s="2" t="str">
        <f>"03019500064"</f>
        <v>03019500064</v>
      </c>
      <c r="B1054" s="2" t="s">
        <v>1057</v>
      </c>
      <c r="C1054" s="2">
        <v>2149.34</v>
      </c>
      <c r="D1054" s="2" t="s">
        <v>5</v>
      </c>
    </row>
    <row r="1055" spans="1:4" ht="15" customHeight="1" x14ac:dyDescent="0.25">
      <c r="A1055" s="2" t="str">
        <f>"03019500065"</f>
        <v>03019500065</v>
      </c>
      <c r="B1055" s="2" t="s">
        <v>1058</v>
      </c>
      <c r="C1055" s="2">
        <v>2480.67</v>
      </c>
      <c r="D1055" s="2" t="s">
        <v>5</v>
      </c>
    </row>
    <row r="1056" spans="1:4" ht="15" customHeight="1" x14ac:dyDescent="0.25">
      <c r="A1056" s="2" t="str">
        <f>"03019500066"</f>
        <v>03019500066</v>
      </c>
      <c r="B1056" s="2" t="s">
        <v>1059</v>
      </c>
      <c r="C1056" s="2">
        <v>3197.93</v>
      </c>
      <c r="D1056" s="2" t="s">
        <v>5</v>
      </c>
    </row>
    <row r="1057" spans="1:4" ht="15" customHeight="1" x14ac:dyDescent="0.25">
      <c r="A1057" s="2" t="str">
        <f>"03019500076"</f>
        <v>03019500076</v>
      </c>
      <c r="B1057" s="2" t="s">
        <v>1060</v>
      </c>
      <c r="C1057" s="2">
        <v>5224.92</v>
      </c>
      <c r="D1057" s="2" t="s">
        <v>5</v>
      </c>
    </row>
    <row r="1058" spans="1:4" ht="15" customHeight="1" x14ac:dyDescent="0.25">
      <c r="A1058" s="2" t="str">
        <f>"03019500067"</f>
        <v>03019500067</v>
      </c>
      <c r="B1058" s="2" t="s">
        <v>1061</v>
      </c>
      <c r="C1058" s="2">
        <v>748.01</v>
      </c>
      <c r="D1058" s="2" t="s">
        <v>5</v>
      </c>
    </row>
    <row r="1059" spans="1:4" ht="15" customHeight="1" x14ac:dyDescent="0.25">
      <c r="A1059" s="2" t="str">
        <f>"03019500068"</f>
        <v>03019500068</v>
      </c>
      <c r="B1059" s="2" t="s">
        <v>1062</v>
      </c>
      <c r="C1059" s="2">
        <v>842.58</v>
      </c>
      <c r="D1059" s="2" t="s">
        <v>5</v>
      </c>
    </row>
    <row r="1060" spans="1:4" ht="15" customHeight="1" x14ac:dyDescent="0.25">
      <c r="A1060" s="2" t="str">
        <f>"03019500069"</f>
        <v>03019500069</v>
      </c>
      <c r="B1060" s="2" t="s">
        <v>1063</v>
      </c>
      <c r="C1060" s="2">
        <v>1036.47</v>
      </c>
      <c r="D1060" s="2" t="s">
        <v>5</v>
      </c>
    </row>
    <row r="1061" spans="1:4" ht="15" customHeight="1" x14ac:dyDescent="0.25">
      <c r="A1061" s="2" t="str">
        <f>"03019500070"</f>
        <v>03019500070</v>
      </c>
      <c r="B1061" s="2" t="s">
        <v>1064</v>
      </c>
      <c r="C1061" s="2">
        <v>1235.19</v>
      </c>
      <c r="D1061" s="2" t="s">
        <v>5</v>
      </c>
    </row>
    <row r="1062" spans="1:4" ht="15" customHeight="1" x14ac:dyDescent="0.25">
      <c r="A1062" s="2" t="str">
        <f>"03019500071"</f>
        <v>03019500071</v>
      </c>
      <c r="B1062" s="2" t="s">
        <v>1065</v>
      </c>
      <c r="C1062" s="2">
        <v>1424.61</v>
      </c>
      <c r="D1062" s="2" t="s">
        <v>5</v>
      </c>
    </row>
    <row r="1063" spans="1:4" ht="15" customHeight="1" x14ac:dyDescent="0.25">
      <c r="A1063" s="2" t="str">
        <f>"03019500072"</f>
        <v>03019500072</v>
      </c>
      <c r="B1063" s="2" t="s">
        <v>1066</v>
      </c>
      <c r="C1063" s="2">
        <v>1839.06</v>
      </c>
      <c r="D1063" s="2" t="s">
        <v>5</v>
      </c>
    </row>
    <row r="1064" spans="1:4" ht="15" customHeight="1" x14ac:dyDescent="0.25">
      <c r="A1064" s="2" t="str">
        <f>"03010000295"</f>
        <v>03010000295</v>
      </c>
      <c r="B1064" s="2" t="s">
        <v>1067</v>
      </c>
      <c r="C1064" s="2">
        <v>735.75</v>
      </c>
      <c r="D1064" s="2" t="s">
        <v>5</v>
      </c>
    </row>
    <row r="1065" spans="1:4" ht="15" customHeight="1" x14ac:dyDescent="0.25">
      <c r="A1065" s="2" t="str">
        <f>"03050000310"</f>
        <v>03050000310</v>
      </c>
      <c r="B1065" s="2" t="s">
        <v>1068</v>
      </c>
      <c r="C1065" s="2">
        <v>764.45</v>
      </c>
      <c r="D1065" s="2" t="s">
        <v>5</v>
      </c>
    </row>
    <row r="1066" spans="1:4" ht="15" customHeight="1" x14ac:dyDescent="0.25">
      <c r="A1066" s="2" t="str">
        <f>"03038000381"</f>
        <v>03038000381</v>
      </c>
      <c r="B1066" s="2" t="s">
        <v>1069</v>
      </c>
      <c r="C1066" s="2">
        <v>3229.91</v>
      </c>
      <c r="D1066" s="2" t="s">
        <v>5</v>
      </c>
    </row>
    <row r="1067" spans="1:4" ht="15" customHeight="1" x14ac:dyDescent="0.25">
      <c r="A1067" s="2" t="str">
        <f>"02002000815"</f>
        <v>02002000815</v>
      </c>
      <c r="B1067" s="2" t="s">
        <v>1070</v>
      </c>
      <c r="C1067" s="2">
        <v>3678.81</v>
      </c>
      <c r="D1067" s="2" t="s">
        <v>5</v>
      </c>
    </row>
    <row r="1068" spans="1:4" ht="15" customHeight="1" x14ac:dyDescent="0.25">
      <c r="A1068" s="2" t="str">
        <f>"02002000810"</f>
        <v>02002000810</v>
      </c>
      <c r="B1068" s="2" t="s">
        <v>1071</v>
      </c>
      <c r="C1068" s="2">
        <v>1295.25</v>
      </c>
      <c r="D1068" s="2" t="s">
        <v>5</v>
      </c>
    </row>
    <row r="1069" spans="1:4" ht="15" customHeight="1" x14ac:dyDescent="0.25">
      <c r="A1069" s="2" t="str">
        <f>"01003001000"</f>
        <v>01003001000</v>
      </c>
      <c r="B1069" s="2" t="s">
        <v>1072</v>
      </c>
      <c r="C1069" s="2">
        <v>34.61</v>
      </c>
      <c r="D1069" s="2" t="s">
        <v>107</v>
      </c>
    </row>
    <row r="1070" spans="1:4" ht="15" customHeight="1" x14ac:dyDescent="0.25">
      <c r="A1070" s="2" t="str">
        <f>"01003001010"</f>
        <v>01003001010</v>
      </c>
      <c r="B1070" s="2" t="s">
        <v>1073</v>
      </c>
      <c r="C1070" s="2">
        <v>50.52</v>
      </c>
      <c r="D1070" s="2" t="s">
        <v>107</v>
      </c>
    </row>
    <row r="1071" spans="1:4" ht="15" customHeight="1" x14ac:dyDescent="0.25">
      <c r="A1071" s="2" t="str">
        <f>"01003001005"</f>
        <v>01003001005</v>
      </c>
      <c r="B1071" s="2" t="s">
        <v>1074</v>
      </c>
      <c r="C1071" s="2">
        <v>39.72</v>
      </c>
      <c r="D1071" s="2" t="s">
        <v>107</v>
      </c>
    </row>
    <row r="1072" spans="1:4" ht="15" customHeight="1" x14ac:dyDescent="0.25">
      <c r="A1072" s="2" t="str">
        <f>"08800000151"</f>
        <v>08800000151</v>
      </c>
      <c r="B1072" s="2" t="s">
        <v>1075</v>
      </c>
      <c r="C1072" s="2">
        <v>1261.76</v>
      </c>
      <c r="D1072" s="2" t="s">
        <v>5</v>
      </c>
    </row>
    <row r="1073" spans="1:4" ht="15" customHeight="1" x14ac:dyDescent="0.25">
      <c r="A1073" s="2" t="str">
        <f>"08400000110"</f>
        <v>08400000110</v>
      </c>
      <c r="B1073" s="2" t="s">
        <v>1076</v>
      </c>
      <c r="C1073" s="2">
        <v>13.89</v>
      </c>
      <c r="D1073" s="2" t="s">
        <v>5</v>
      </c>
    </row>
    <row r="1074" spans="1:4" ht="15" customHeight="1" x14ac:dyDescent="0.25">
      <c r="A1074" s="2" t="str">
        <f>"08400000120"</f>
        <v>08400000120</v>
      </c>
      <c r="B1074" s="2" t="s">
        <v>1077</v>
      </c>
      <c r="C1074" s="2">
        <v>60.53</v>
      </c>
      <c r="D1074" s="2" t="s">
        <v>5</v>
      </c>
    </row>
    <row r="1075" spans="1:4" ht="15" customHeight="1" x14ac:dyDescent="0.25">
      <c r="A1075" s="2" t="str">
        <f>"08400003005"</f>
        <v>08400003005</v>
      </c>
      <c r="B1075" s="2" t="s">
        <v>1078</v>
      </c>
      <c r="C1075" s="2">
        <v>137.93</v>
      </c>
      <c r="D1075" s="2" t="s">
        <v>5</v>
      </c>
    </row>
    <row r="1076" spans="1:4" ht="15" customHeight="1" x14ac:dyDescent="0.25">
      <c r="A1076" s="2" t="str">
        <f>"08400003000"</f>
        <v>08400003000</v>
      </c>
      <c r="B1076" s="2" t="s">
        <v>1079</v>
      </c>
      <c r="C1076" s="2">
        <v>27.71</v>
      </c>
      <c r="D1076" s="2" t="s">
        <v>5</v>
      </c>
    </row>
    <row r="1077" spans="1:4" ht="15" customHeight="1" x14ac:dyDescent="0.25">
      <c r="A1077" s="2" t="str">
        <f>"03062100232"</f>
        <v>03062100232</v>
      </c>
      <c r="B1077" s="2" t="s">
        <v>1080</v>
      </c>
      <c r="C1077" s="2">
        <v>15606.41</v>
      </c>
      <c r="D1077" s="2" t="s">
        <v>5</v>
      </c>
    </row>
    <row r="1078" spans="1:4" ht="15" customHeight="1" x14ac:dyDescent="0.25">
      <c r="A1078" s="2" t="str">
        <f>"04010000145"</f>
        <v>04010000145</v>
      </c>
      <c r="B1078" s="2" t="s">
        <v>1081</v>
      </c>
      <c r="C1078" s="2">
        <v>2.81</v>
      </c>
      <c r="D1078" s="2" t="s">
        <v>107</v>
      </c>
    </row>
    <row r="1079" spans="1:4" ht="15" customHeight="1" x14ac:dyDescent="0.25">
      <c r="A1079" s="2" t="str">
        <f>"03028100090"</f>
        <v>03028100090</v>
      </c>
      <c r="B1079" s="2" t="s">
        <v>1082</v>
      </c>
      <c r="C1079" s="2">
        <v>2663.76</v>
      </c>
      <c r="D1079" s="2" t="s">
        <v>5</v>
      </c>
    </row>
    <row r="1080" spans="1:4" ht="15" customHeight="1" x14ac:dyDescent="0.25">
      <c r="A1080" s="2" t="str">
        <f>"03028100110"</f>
        <v>03028100110</v>
      </c>
      <c r="B1080" s="2" t="s">
        <v>1083</v>
      </c>
      <c r="C1080" s="2">
        <v>2663.76</v>
      </c>
      <c r="D1080" s="2" t="s">
        <v>5</v>
      </c>
    </row>
    <row r="1081" spans="1:4" ht="15" customHeight="1" x14ac:dyDescent="0.25">
      <c r="A1081" s="2" t="str">
        <f>"03028100100"</f>
        <v>03028100100</v>
      </c>
      <c r="B1081" s="2" t="s">
        <v>1084</v>
      </c>
      <c r="C1081" s="2">
        <v>2663.76</v>
      </c>
      <c r="D1081" s="2" t="s">
        <v>5</v>
      </c>
    </row>
    <row r="1082" spans="1:4" ht="15" customHeight="1" x14ac:dyDescent="0.25">
      <c r="A1082" s="2" t="str">
        <f>"03031000040"</f>
        <v>03031000040</v>
      </c>
      <c r="B1082" s="2" t="s">
        <v>1085</v>
      </c>
      <c r="C1082" s="2">
        <v>17884.560000000001</v>
      </c>
      <c r="D1082" s="2" t="s">
        <v>5</v>
      </c>
    </row>
    <row r="1083" spans="1:4" ht="15" customHeight="1" x14ac:dyDescent="0.25">
      <c r="A1083" s="2" t="str">
        <f>"03031000030"</f>
        <v>03031000030</v>
      </c>
      <c r="B1083" s="2" t="s">
        <v>1086</v>
      </c>
      <c r="C1083" s="2">
        <v>14034.12</v>
      </c>
      <c r="D1083" s="2" t="s">
        <v>5</v>
      </c>
    </row>
    <row r="1084" spans="1:4" ht="15" customHeight="1" x14ac:dyDescent="0.25">
      <c r="A1084" s="2" t="str">
        <f>"03031000020"</f>
        <v>03031000020</v>
      </c>
      <c r="B1084" s="2" t="s">
        <v>1087</v>
      </c>
      <c r="C1084" s="2">
        <v>12160.94</v>
      </c>
      <c r="D1084" s="2" t="s">
        <v>5</v>
      </c>
    </row>
    <row r="1085" spans="1:4" ht="15" customHeight="1" x14ac:dyDescent="0.25">
      <c r="A1085" s="2" t="str">
        <f>"03031000010"</f>
        <v>03031000010</v>
      </c>
      <c r="B1085" s="2" t="s">
        <v>1088</v>
      </c>
      <c r="C1085" s="2">
        <v>15278</v>
      </c>
      <c r="D1085" s="2" t="s">
        <v>5</v>
      </c>
    </row>
    <row r="1086" spans="1:4" ht="15" customHeight="1" x14ac:dyDescent="0.25">
      <c r="A1086" s="2" t="str">
        <f>"08800000010"</f>
        <v>08800000010</v>
      </c>
      <c r="B1086" s="2" t="s">
        <v>1089</v>
      </c>
      <c r="C1086" s="2">
        <v>19481.93</v>
      </c>
      <c r="D1086" s="2" t="s">
        <v>5</v>
      </c>
    </row>
    <row r="1087" spans="1:4" ht="15" customHeight="1" x14ac:dyDescent="0.25">
      <c r="A1087" s="2" t="str">
        <f>"03037000300"</f>
        <v>03037000300</v>
      </c>
      <c r="B1087" s="2" t="s">
        <v>1090</v>
      </c>
      <c r="C1087" s="2">
        <v>174080.3</v>
      </c>
      <c r="D1087" s="2" t="s">
        <v>5</v>
      </c>
    </row>
    <row r="1088" spans="1:4" ht="15" customHeight="1" x14ac:dyDescent="0.25">
      <c r="A1088" s="2" t="str">
        <f>"03037000070"</f>
        <v>03037000070</v>
      </c>
      <c r="B1088" s="2" t="s">
        <v>1091</v>
      </c>
      <c r="C1088" s="2">
        <v>67360.13</v>
      </c>
      <c r="D1088" s="2" t="s">
        <v>5</v>
      </c>
    </row>
    <row r="1089" spans="1:4" ht="15" customHeight="1" x14ac:dyDescent="0.25">
      <c r="A1089" s="2" t="str">
        <f>"03037000050"</f>
        <v>03037000050</v>
      </c>
      <c r="B1089" s="2" t="s">
        <v>1092</v>
      </c>
      <c r="C1089" s="2">
        <v>49122.54</v>
      </c>
      <c r="D1089" s="2" t="s">
        <v>5</v>
      </c>
    </row>
    <row r="1090" spans="1:4" ht="15" customHeight="1" x14ac:dyDescent="0.25">
      <c r="A1090" s="2" t="str">
        <f>"03037000080"</f>
        <v>03037000080</v>
      </c>
      <c r="B1090" s="2" t="s">
        <v>1093</v>
      </c>
      <c r="C1090" s="2">
        <v>67360.13</v>
      </c>
      <c r="D1090" s="2" t="s">
        <v>5</v>
      </c>
    </row>
    <row r="1091" spans="1:4" ht="15" customHeight="1" x14ac:dyDescent="0.25">
      <c r="A1091" s="2" t="str">
        <f>"03037000060"</f>
        <v>03037000060</v>
      </c>
      <c r="B1091" s="2" t="s">
        <v>1094</v>
      </c>
      <c r="C1091" s="2">
        <v>49122.54</v>
      </c>
      <c r="D1091" s="2" t="s">
        <v>5</v>
      </c>
    </row>
    <row r="1092" spans="1:4" ht="15" customHeight="1" x14ac:dyDescent="0.25">
      <c r="A1092" s="2" t="str">
        <f>"03037000030"</f>
        <v>03037000030</v>
      </c>
      <c r="B1092" s="2" t="s">
        <v>1095</v>
      </c>
      <c r="C1092" s="2">
        <v>48350.76</v>
      </c>
      <c r="D1092" s="2" t="s">
        <v>5</v>
      </c>
    </row>
    <row r="1093" spans="1:4" ht="15" customHeight="1" x14ac:dyDescent="0.25">
      <c r="A1093" s="2" t="str">
        <f>"03037000010"</f>
        <v>03037000010</v>
      </c>
      <c r="B1093" s="2" t="s">
        <v>1096</v>
      </c>
      <c r="C1093" s="2">
        <v>34489.31</v>
      </c>
      <c r="D1093" s="2" t="s">
        <v>5</v>
      </c>
    </row>
    <row r="1094" spans="1:4" ht="15" customHeight="1" x14ac:dyDescent="0.25">
      <c r="A1094" s="2" t="str">
        <f>"03037000040"</f>
        <v>03037000040</v>
      </c>
      <c r="B1094" s="2" t="s">
        <v>1097</v>
      </c>
      <c r="C1094" s="2">
        <v>48350.76</v>
      </c>
      <c r="D1094" s="2" t="s">
        <v>5</v>
      </c>
    </row>
    <row r="1095" spans="1:4" ht="15" customHeight="1" x14ac:dyDescent="0.25">
      <c r="A1095" s="2" t="str">
        <f>"03037000020"</f>
        <v>03037000020</v>
      </c>
      <c r="B1095" s="2" t="s">
        <v>1098</v>
      </c>
      <c r="C1095" s="2">
        <v>34489.31</v>
      </c>
      <c r="D1095" s="2" t="s">
        <v>5</v>
      </c>
    </row>
    <row r="1096" spans="1:4" ht="15" customHeight="1" x14ac:dyDescent="0.25">
      <c r="A1096" s="2" t="str">
        <f>"03035000050"</f>
        <v>03035000050</v>
      </c>
      <c r="B1096" s="2" t="s">
        <v>1099</v>
      </c>
      <c r="C1096" s="2">
        <v>35249.82</v>
      </c>
      <c r="D1096" s="2" t="s">
        <v>5</v>
      </c>
    </row>
    <row r="1097" spans="1:4" ht="15" customHeight="1" x14ac:dyDescent="0.25">
      <c r="A1097" s="2" t="str">
        <f>"03035000040"</f>
        <v>03035000040</v>
      </c>
      <c r="B1097" s="2" t="s">
        <v>1100</v>
      </c>
      <c r="C1097" s="2">
        <v>35249.82</v>
      </c>
      <c r="D1097" s="2" t="s">
        <v>5</v>
      </c>
    </row>
    <row r="1098" spans="1:4" ht="15" customHeight="1" x14ac:dyDescent="0.25">
      <c r="A1098" s="2" t="str">
        <f>"03035000030"</f>
        <v>03035000030</v>
      </c>
      <c r="B1098" s="2" t="s">
        <v>1101</v>
      </c>
      <c r="C1098" s="2">
        <v>8241.06</v>
      </c>
      <c r="D1098" s="2" t="s">
        <v>5</v>
      </c>
    </row>
    <row r="1099" spans="1:4" ht="15" customHeight="1" x14ac:dyDescent="0.25">
      <c r="A1099" s="2" t="str">
        <f>"03035000010"</f>
        <v>03035000010</v>
      </c>
      <c r="B1099" s="2" t="s">
        <v>1102</v>
      </c>
      <c r="C1099" s="2">
        <v>5074.32</v>
      </c>
      <c r="D1099" s="2" t="s">
        <v>5</v>
      </c>
    </row>
    <row r="1100" spans="1:4" ht="15" customHeight="1" x14ac:dyDescent="0.25">
      <c r="A1100" s="2" t="str">
        <f>"03035000020"</f>
        <v>03035000020</v>
      </c>
      <c r="B1100" s="2" t="s">
        <v>1103</v>
      </c>
      <c r="C1100" s="2">
        <v>6973.31</v>
      </c>
      <c r="D1100" s="2" t="s">
        <v>5</v>
      </c>
    </row>
    <row r="1101" spans="1:4" ht="15" customHeight="1" x14ac:dyDescent="0.25">
      <c r="A1101" s="2" t="str">
        <f>"03033000065"</f>
        <v>03033000065</v>
      </c>
      <c r="B1101" s="2" t="s">
        <v>1104</v>
      </c>
      <c r="C1101" s="2">
        <v>10900.62</v>
      </c>
      <c r="D1101" s="2" t="s">
        <v>5</v>
      </c>
    </row>
    <row r="1102" spans="1:4" ht="15" customHeight="1" x14ac:dyDescent="0.25">
      <c r="A1102" s="2" t="str">
        <f>"03016500710"</f>
        <v>03016500710</v>
      </c>
      <c r="B1102" s="2" t="s">
        <v>1105</v>
      </c>
      <c r="C1102" s="2">
        <v>52732.11</v>
      </c>
      <c r="D1102" s="2" t="s">
        <v>5</v>
      </c>
    </row>
    <row r="1103" spans="1:4" ht="15" customHeight="1" x14ac:dyDescent="0.25">
      <c r="A1103" s="2" t="str">
        <f>"08800000022"</f>
        <v>08800000022</v>
      </c>
      <c r="B1103" s="2" t="s">
        <v>1106</v>
      </c>
      <c r="C1103" s="2">
        <v>36182.85</v>
      </c>
      <c r="D1103" s="2" t="s">
        <v>5</v>
      </c>
    </row>
    <row r="1104" spans="1:4" ht="15" customHeight="1" x14ac:dyDescent="0.25">
      <c r="A1104" s="2" t="str">
        <f>"08800000024"</f>
        <v>08800000024</v>
      </c>
      <c r="B1104" s="2" t="s">
        <v>1107</v>
      </c>
      <c r="C1104" s="2">
        <v>42268.94</v>
      </c>
      <c r="D1104" s="2" t="s">
        <v>5</v>
      </c>
    </row>
    <row r="1105" spans="1:4" ht="15" customHeight="1" x14ac:dyDescent="0.25">
      <c r="A1105" s="2" t="str">
        <f>"08800000026"</f>
        <v>08800000026</v>
      </c>
      <c r="B1105" s="2" t="s">
        <v>1108</v>
      </c>
      <c r="C1105" s="2">
        <v>49522.13</v>
      </c>
      <c r="D1105" s="2" t="s">
        <v>5</v>
      </c>
    </row>
    <row r="1106" spans="1:4" ht="15" customHeight="1" x14ac:dyDescent="0.25">
      <c r="A1106" s="2" t="str">
        <f>"08800000016"</f>
        <v>08800000016</v>
      </c>
      <c r="B1106" s="2" t="s">
        <v>1109</v>
      </c>
      <c r="C1106" s="2">
        <v>10652.93</v>
      </c>
      <c r="D1106" s="2" t="s">
        <v>5</v>
      </c>
    </row>
    <row r="1107" spans="1:4" ht="15" customHeight="1" x14ac:dyDescent="0.25">
      <c r="A1107" s="2" t="str">
        <f>"08800000018"</f>
        <v>08800000018</v>
      </c>
      <c r="B1107" s="2" t="s">
        <v>1110</v>
      </c>
      <c r="C1107" s="2">
        <v>13630.37</v>
      </c>
      <c r="D1107" s="2" t="s">
        <v>5</v>
      </c>
    </row>
    <row r="1108" spans="1:4" ht="15" customHeight="1" x14ac:dyDescent="0.25">
      <c r="A1108" s="2" t="str">
        <f>"08800000020"</f>
        <v>08800000020</v>
      </c>
      <c r="B1108" s="2" t="s">
        <v>1111</v>
      </c>
      <c r="C1108" s="2">
        <v>14821.59</v>
      </c>
      <c r="D1108" s="2" t="s">
        <v>5</v>
      </c>
    </row>
    <row r="1109" spans="1:4" ht="15" customHeight="1" x14ac:dyDescent="0.25">
      <c r="A1109" s="2" t="str">
        <f>"03010000235"</f>
        <v>03010000235</v>
      </c>
      <c r="B1109" s="2" t="s">
        <v>1112</v>
      </c>
      <c r="C1109" s="2">
        <v>799.08</v>
      </c>
      <c r="D1109" s="2" t="s">
        <v>5</v>
      </c>
    </row>
    <row r="1110" spans="1:4" ht="15" customHeight="1" x14ac:dyDescent="0.25">
      <c r="A1110" s="2" t="str">
        <f>"03010000285"</f>
        <v>03010000285</v>
      </c>
      <c r="B1110" s="2" t="s">
        <v>1113</v>
      </c>
      <c r="C1110" s="2">
        <v>892.43</v>
      </c>
      <c r="D1110" s="2" t="s">
        <v>5</v>
      </c>
    </row>
    <row r="1111" spans="1:4" ht="15" customHeight="1" x14ac:dyDescent="0.25">
      <c r="A1111" s="2" t="str">
        <f>"03018605025"</f>
        <v>03018605025</v>
      </c>
      <c r="B1111" s="2" t="s">
        <v>1114</v>
      </c>
      <c r="C1111" s="2">
        <v>29624.91</v>
      </c>
      <c r="D1111" s="2" t="s">
        <v>5</v>
      </c>
    </row>
    <row r="1112" spans="1:4" ht="15" customHeight="1" x14ac:dyDescent="0.25">
      <c r="A1112" s="2" t="str">
        <f>"03018605023"</f>
        <v>03018605023</v>
      </c>
      <c r="B1112" s="2" t="s">
        <v>1115</v>
      </c>
      <c r="C1112" s="2">
        <v>20210.93</v>
      </c>
      <c r="D1112" s="2" t="s">
        <v>5</v>
      </c>
    </row>
    <row r="1113" spans="1:4" ht="15" customHeight="1" x14ac:dyDescent="0.25">
      <c r="A1113" s="2" t="str">
        <f>"05022000999"</f>
        <v>05022000999</v>
      </c>
      <c r="B1113" s="2" t="s">
        <v>1116</v>
      </c>
      <c r="C1113" s="2">
        <v>1955.93</v>
      </c>
      <c r="D1113" s="2" t="s">
        <v>5</v>
      </c>
    </row>
    <row r="1114" spans="1:4" ht="15" customHeight="1" x14ac:dyDescent="0.25">
      <c r="A1114" s="2" t="str">
        <f>"06070000010"</f>
        <v>06070000010</v>
      </c>
      <c r="B1114" s="2" t="s">
        <v>1117</v>
      </c>
      <c r="C1114" s="2">
        <v>4204.8</v>
      </c>
      <c r="D1114" s="2" t="s">
        <v>5</v>
      </c>
    </row>
    <row r="1115" spans="1:4" ht="15" customHeight="1" x14ac:dyDescent="0.25">
      <c r="A1115" s="2" t="str">
        <f>"03037000310"</f>
        <v>03037000310</v>
      </c>
      <c r="B1115" s="2" t="s">
        <v>1118</v>
      </c>
      <c r="C1115" s="2">
        <v>11462</v>
      </c>
      <c r="D1115" s="2" t="s">
        <v>5</v>
      </c>
    </row>
    <row r="1116" spans="1:4" ht="15" customHeight="1" x14ac:dyDescent="0.25">
      <c r="A1116" s="2" t="str">
        <f>"03038000850"</f>
        <v>03038000850</v>
      </c>
      <c r="B1116" s="2" t="s">
        <v>1119</v>
      </c>
      <c r="C1116" s="2">
        <v>6327.81</v>
      </c>
      <c r="D1116" s="2" t="s">
        <v>5</v>
      </c>
    </row>
    <row r="1117" spans="1:4" ht="15" customHeight="1" x14ac:dyDescent="0.25">
      <c r="A1117" s="2" t="str">
        <f>"05021000521"</f>
        <v>05021000521</v>
      </c>
      <c r="B1117" s="2" t="s">
        <v>1120</v>
      </c>
      <c r="C1117" s="2">
        <v>9854.82</v>
      </c>
      <c r="D1117" s="2" t="s">
        <v>5</v>
      </c>
    </row>
    <row r="1118" spans="1:4" ht="15" customHeight="1" x14ac:dyDescent="0.25">
      <c r="A1118" s="2" t="str">
        <f>"03038000804"</f>
        <v>03038000804</v>
      </c>
      <c r="B1118" s="2" t="s">
        <v>1121</v>
      </c>
      <c r="C1118" s="2">
        <v>39588.71</v>
      </c>
      <c r="D1118" s="2" t="s">
        <v>5</v>
      </c>
    </row>
    <row r="1119" spans="1:4" ht="15" customHeight="1" x14ac:dyDescent="0.25">
      <c r="A1119" s="2" t="str">
        <f>"03038000800"</f>
        <v>03038000800</v>
      </c>
      <c r="B1119" s="2" t="s">
        <v>1122</v>
      </c>
      <c r="C1119" s="2">
        <v>39588.71</v>
      </c>
      <c r="D1119" s="2" t="s">
        <v>5</v>
      </c>
    </row>
    <row r="1120" spans="1:4" ht="15" customHeight="1" x14ac:dyDescent="0.25">
      <c r="A1120" s="2" t="str">
        <f>"03032000201"</f>
        <v>03032000201</v>
      </c>
      <c r="B1120" s="2" t="s">
        <v>1123</v>
      </c>
      <c r="C1120" s="2">
        <v>4978.28</v>
      </c>
      <c r="D1120" s="2" t="s">
        <v>5</v>
      </c>
    </row>
    <row r="1121" spans="1:4" ht="15" customHeight="1" x14ac:dyDescent="0.25">
      <c r="A1121" s="2" t="str">
        <f>"03032000205"</f>
        <v>03032000205</v>
      </c>
      <c r="B1121" s="2" t="s">
        <v>1124</v>
      </c>
      <c r="C1121" s="2">
        <v>6108.69</v>
      </c>
      <c r="D1121" s="2" t="s">
        <v>5</v>
      </c>
    </row>
    <row r="1122" spans="1:4" ht="15" customHeight="1" x14ac:dyDescent="0.25">
      <c r="A1122" s="2" t="str">
        <f>"03018605010"</f>
        <v>03018605010</v>
      </c>
      <c r="B1122" s="2" t="s">
        <v>1125</v>
      </c>
      <c r="C1122" s="2">
        <v>20210.93</v>
      </c>
      <c r="D1122" s="2" t="s">
        <v>5</v>
      </c>
    </row>
    <row r="1123" spans="1:4" ht="15" customHeight="1" x14ac:dyDescent="0.25">
      <c r="A1123" s="2" t="str">
        <f>"03018605030"</f>
        <v>03018605030</v>
      </c>
      <c r="B1123" s="2" t="s">
        <v>1126</v>
      </c>
      <c r="C1123" s="2">
        <v>16163.66</v>
      </c>
      <c r="D1123" s="2" t="s">
        <v>5</v>
      </c>
    </row>
    <row r="1124" spans="1:4" ht="15" customHeight="1" x14ac:dyDescent="0.25">
      <c r="A1124" s="2" t="str">
        <f>"05021000524"</f>
        <v>05021000524</v>
      </c>
      <c r="B1124" s="2" t="s">
        <v>1127</v>
      </c>
      <c r="C1124" s="2">
        <v>7792.26</v>
      </c>
      <c r="D1124" s="2" t="s">
        <v>5</v>
      </c>
    </row>
    <row r="1125" spans="1:4" ht="15" customHeight="1" x14ac:dyDescent="0.25">
      <c r="A1125" s="2" t="str">
        <f>"05022000500"</f>
        <v>05022000500</v>
      </c>
      <c r="B1125" s="2" t="s">
        <v>1128</v>
      </c>
      <c r="C1125" s="2">
        <v>2854.22</v>
      </c>
      <c r="D1125" s="2" t="s">
        <v>5</v>
      </c>
    </row>
    <row r="1126" spans="1:4" ht="15" customHeight="1" x14ac:dyDescent="0.25">
      <c r="A1126" s="2" t="str">
        <f>"05021000512"</f>
        <v>05021000512</v>
      </c>
      <c r="B1126" s="2" t="s">
        <v>1129</v>
      </c>
      <c r="C1126" s="2">
        <v>4089</v>
      </c>
      <c r="D1126" s="2" t="s">
        <v>5</v>
      </c>
    </row>
    <row r="1127" spans="1:4" ht="15" customHeight="1" x14ac:dyDescent="0.25">
      <c r="A1127" s="2" t="str">
        <f>"05021000526"</f>
        <v>05021000526</v>
      </c>
      <c r="B1127" s="2" t="s">
        <v>1130</v>
      </c>
      <c r="C1127" s="2">
        <v>4774.41</v>
      </c>
      <c r="D1127" s="2" t="s">
        <v>5</v>
      </c>
    </row>
    <row r="1128" spans="1:4" ht="15" customHeight="1" x14ac:dyDescent="0.25">
      <c r="A1128" s="2" t="str">
        <f>"05022000400"</f>
        <v>05022000400</v>
      </c>
      <c r="B1128" s="2" t="s">
        <v>1131</v>
      </c>
      <c r="C1128" s="2">
        <v>6859.92</v>
      </c>
      <c r="D1128" s="2" t="s">
        <v>5</v>
      </c>
    </row>
    <row r="1129" spans="1:4" ht="15" customHeight="1" x14ac:dyDescent="0.25">
      <c r="A1129" s="2" t="str">
        <f>"05021000520"</f>
        <v>05021000520</v>
      </c>
      <c r="B1129" s="2" t="s">
        <v>1132</v>
      </c>
      <c r="C1129" s="2">
        <v>5728.67</v>
      </c>
      <c r="D1129" s="2" t="s">
        <v>5</v>
      </c>
    </row>
    <row r="1130" spans="1:4" ht="15" customHeight="1" x14ac:dyDescent="0.25">
      <c r="A1130" s="2" t="str">
        <f>"03018608047"</f>
        <v>03018608047</v>
      </c>
      <c r="B1130" s="2" t="s">
        <v>1133</v>
      </c>
      <c r="C1130" s="2">
        <v>29789.87</v>
      </c>
      <c r="D1130" s="2" t="s">
        <v>5</v>
      </c>
    </row>
    <row r="1131" spans="1:4" ht="15" customHeight="1" x14ac:dyDescent="0.25">
      <c r="A1131" s="2" t="str">
        <f>"03018608046"</f>
        <v>03018608046</v>
      </c>
      <c r="B1131" s="2" t="s">
        <v>1134</v>
      </c>
      <c r="C1131" s="2">
        <v>29789.87</v>
      </c>
      <c r="D1131" s="2" t="s">
        <v>5</v>
      </c>
    </row>
    <row r="1132" spans="1:4" ht="15" customHeight="1" x14ac:dyDescent="0.25">
      <c r="A1132" s="2" t="str">
        <f>"03038000852"</f>
        <v>03038000852</v>
      </c>
      <c r="B1132" s="2" t="s">
        <v>1135</v>
      </c>
      <c r="C1132" s="2">
        <v>5880.78</v>
      </c>
      <c r="D1132" s="2" t="s">
        <v>5</v>
      </c>
    </row>
    <row r="1133" spans="1:4" ht="15" customHeight="1" x14ac:dyDescent="0.25">
      <c r="A1133" s="2" t="str">
        <f>"03038000803"</f>
        <v>03038000803</v>
      </c>
      <c r="B1133" s="2" t="s">
        <v>1136</v>
      </c>
      <c r="C1133" s="2">
        <v>25765.08</v>
      </c>
      <c r="D1133" s="2" t="s">
        <v>5</v>
      </c>
    </row>
    <row r="1134" spans="1:4" ht="15" customHeight="1" x14ac:dyDescent="0.25">
      <c r="A1134" s="2" t="str">
        <f>"03038000802"</f>
        <v>03038000802</v>
      </c>
      <c r="B1134" s="2" t="s">
        <v>1137</v>
      </c>
      <c r="C1134" s="2">
        <v>33230.81</v>
      </c>
      <c r="D1134" s="2" t="s">
        <v>5</v>
      </c>
    </row>
    <row r="1135" spans="1:4" ht="15" customHeight="1" x14ac:dyDescent="0.25">
      <c r="A1135" s="2" t="str">
        <f>"03038000730"</f>
        <v>03038000730</v>
      </c>
      <c r="B1135" s="2" t="s">
        <v>1138</v>
      </c>
      <c r="C1135" s="2">
        <v>23025.38</v>
      </c>
      <c r="D1135" s="2" t="s">
        <v>5</v>
      </c>
    </row>
    <row r="1136" spans="1:4" ht="15" customHeight="1" x14ac:dyDescent="0.25">
      <c r="A1136" s="2" t="str">
        <f>"05021000523"</f>
        <v>05021000523</v>
      </c>
      <c r="B1136" s="2" t="s">
        <v>1139</v>
      </c>
      <c r="C1136" s="2">
        <v>7964.67</v>
      </c>
      <c r="D1136" s="2" t="s">
        <v>5</v>
      </c>
    </row>
    <row r="1137" spans="1:4" ht="15" customHeight="1" x14ac:dyDescent="0.25">
      <c r="A1137" s="2" t="str">
        <f>"05022000505"</f>
        <v>05022000505</v>
      </c>
      <c r="B1137" s="2" t="s">
        <v>1140</v>
      </c>
      <c r="C1137" s="2">
        <v>4286.12</v>
      </c>
      <c r="D1137" s="2" t="s">
        <v>5</v>
      </c>
    </row>
    <row r="1138" spans="1:4" ht="15" customHeight="1" x14ac:dyDescent="0.25">
      <c r="A1138" s="2" t="str">
        <f>"05021000515"</f>
        <v>05021000515</v>
      </c>
      <c r="B1138" s="2" t="s">
        <v>1141</v>
      </c>
      <c r="C1138" s="2">
        <v>5008.2</v>
      </c>
      <c r="D1138" s="2" t="s">
        <v>5</v>
      </c>
    </row>
    <row r="1139" spans="1:4" ht="15" customHeight="1" x14ac:dyDescent="0.25">
      <c r="A1139" s="2" t="str">
        <f>"05021000513"</f>
        <v>05021000513</v>
      </c>
      <c r="B1139" s="2" t="s">
        <v>1142</v>
      </c>
      <c r="C1139" s="2">
        <v>5965.4</v>
      </c>
      <c r="D1139" s="2" t="s">
        <v>5</v>
      </c>
    </row>
    <row r="1140" spans="1:4" ht="15" customHeight="1" x14ac:dyDescent="0.25">
      <c r="A1140" s="2" t="str">
        <f>"03010000145"</f>
        <v>03010000145</v>
      </c>
      <c r="B1140" s="2" t="s">
        <v>1143</v>
      </c>
      <c r="C1140" s="2">
        <v>14401.77</v>
      </c>
      <c r="D1140" s="2" t="s">
        <v>5</v>
      </c>
    </row>
    <row r="1141" spans="1:4" ht="15" customHeight="1" x14ac:dyDescent="0.25">
      <c r="A1141" s="2" t="str">
        <f>"05022000510"</f>
        <v>05022000510</v>
      </c>
      <c r="B1141" s="2" t="s">
        <v>1144</v>
      </c>
      <c r="C1141" s="2">
        <v>9481.6200000000008</v>
      </c>
      <c r="D1141" s="2" t="s">
        <v>5</v>
      </c>
    </row>
    <row r="1142" spans="1:4" ht="15" customHeight="1" x14ac:dyDescent="0.25">
      <c r="A1142" s="2" t="str">
        <f>"05021000522"</f>
        <v>05021000522</v>
      </c>
      <c r="B1142" s="2" t="s">
        <v>1145</v>
      </c>
      <c r="C1142" s="2">
        <v>4970.72</v>
      </c>
      <c r="D1142" s="2" t="s">
        <v>5</v>
      </c>
    </row>
    <row r="1143" spans="1:4" ht="15" customHeight="1" x14ac:dyDescent="0.25">
      <c r="A1143" s="2" t="str">
        <f>"05022000993"</f>
        <v>05022000993</v>
      </c>
      <c r="B1143" s="2" t="s">
        <v>1146</v>
      </c>
      <c r="C1143" s="2">
        <v>2305.1999999999998</v>
      </c>
      <c r="D1143" s="2" t="s">
        <v>5</v>
      </c>
    </row>
    <row r="1144" spans="1:4" ht="15" customHeight="1" x14ac:dyDescent="0.25">
      <c r="A1144" s="2" t="str">
        <f>"05022000955"</f>
        <v>05022000955</v>
      </c>
      <c r="B1144" s="2" t="s">
        <v>1147</v>
      </c>
      <c r="C1144" s="2">
        <v>4558.9399999999996</v>
      </c>
      <c r="D1144" s="2" t="s">
        <v>5</v>
      </c>
    </row>
    <row r="1145" spans="1:4" ht="15" customHeight="1" x14ac:dyDescent="0.25">
      <c r="A1145" s="2" t="str">
        <f>"05021000098"</f>
        <v>05021000098</v>
      </c>
      <c r="B1145" s="2" t="s">
        <v>1148</v>
      </c>
      <c r="C1145" s="2">
        <v>2987.52</v>
      </c>
      <c r="D1145" s="2" t="s">
        <v>5</v>
      </c>
    </row>
    <row r="1146" spans="1:4" ht="15" customHeight="1" x14ac:dyDescent="0.25">
      <c r="A1146" s="2" t="str">
        <f>"05022000960"</f>
        <v>05022000960</v>
      </c>
      <c r="B1146" s="2" t="s">
        <v>1149</v>
      </c>
      <c r="C1146" s="2">
        <v>3528.62</v>
      </c>
      <c r="D1146" s="2" t="s">
        <v>5</v>
      </c>
    </row>
    <row r="1147" spans="1:4" ht="15" customHeight="1" x14ac:dyDescent="0.25">
      <c r="A1147" s="2" t="str">
        <f>"05021000100"</f>
        <v>05021000100</v>
      </c>
      <c r="B1147" s="2" t="s">
        <v>1150</v>
      </c>
      <c r="C1147" s="2">
        <v>2987.52</v>
      </c>
      <c r="D1147" s="2" t="s">
        <v>5</v>
      </c>
    </row>
    <row r="1148" spans="1:4" ht="15" customHeight="1" x14ac:dyDescent="0.25">
      <c r="A1148" s="2" t="str">
        <f>"01007000362"</f>
        <v>01007000362</v>
      </c>
      <c r="B1148" s="2" t="s">
        <v>1151</v>
      </c>
      <c r="C1148" s="2">
        <v>737.1</v>
      </c>
      <c r="D1148" s="2" t="s">
        <v>5</v>
      </c>
    </row>
    <row r="1149" spans="1:4" ht="15" customHeight="1" x14ac:dyDescent="0.25">
      <c r="A1149" s="2" t="str">
        <f>"05022000230"</f>
        <v>05022000230</v>
      </c>
      <c r="B1149" s="2" t="s">
        <v>1152</v>
      </c>
      <c r="C1149" s="2">
        <v>181.38</v>
      </c>
      <c r="D1149" s="2" t="s">
        <v>5</v>
      </c>
    </row>
    <row r="1150" spans="1:4" ht="15" customHeight="1" x14ac:dyDescent="0.25">
      <c r="A1150" s="2" t="str">
        <f>"05015000218"</f>
        <v>05015000218</v>
      </c>
      <c r="B1150" s="2" t="s">
        <v>1153</v>
      </c>
      <c r="C1150" s="2">
        <v>55.98</v>
      </c>
      <c r="D1150" s="2" t="s">
        <v>5</v>
      </c>
    </row>
    <row r="1151" spans="1:4" ht="15" customHeight="1" x14ac:dyDescent="0.25">
      <c r="A1151" s="2" t="str">
        <f>"05015000221"</f>
        <v>05015000221</v>
      </c>
      <c r="B1151" s="2" t="s">
        <v>1154</v>
      </c>
      <c r="C1151" s="2">
        <v>42.9</v>
      </c>
      <c r="D1151" s="2" t="s">
        <v>5</v>
      </c>
    </row>
    <row r="1152" spans="1:4" ht="15" customHeight="1" x14ac:dyDescent="0.25">
      <c r="A1152" s="2" t="str">
        <f>"05015000220"</f>
        <v>05015000220</v>
      </c>
      <c r="B1152" s="2" t="s">
        <v>1155</v>
      </c>
      <c r="C1152" s="2">
        <v>95.06</v>
      </c>
      <c r="D1152" s="2" t="s">
        <v>5</v>
      </c>
    </row>
    <row r="1153" spans="1:4" ht="15" customHeight="1" x14ac:dyDescent="0.25">
      <c r="A1153" s="2" t="str">
        <f>"05015000219"</f>
        <v>05015000219</v>
      </c>
      <c r="B1153" s="2" t="s">
        <v>1156</v>
      </c>
      <c r="C1153" s="2">
        <v>23.13</v>
      </c>
      <c r="D1153" s="2" t="s">
        <v>5</v>
      </c>
    </row>
    <row r="1154" spans="1:4" ht="15" customHeight="1" x14ac:dyDescent="0.25">
      <c r="A1154" s="2" t="str">
        <f>"05015000500"</f>
        <v>05015000500</v>
      </c>
      <c r="B1154" s="2" t="s">
        <v>1157</v>
      </c>
      <c r="C1154" s="2">
        <v>22.74</v>
      </c>
      <c r="D1154" s="2" t="s">
        <v>5</v>
      </c>
    </row>
    <row r="1155" spans="1:4" ht="15" customHeight="1" x14ac:dyDescent="0.25">
      <c r="A1155" s="2" t="str">
        <f>"03038000461"</f>
        <v>03038000461</v>
      </c>
      <c r="B1155" s="2" t="s">
        <v>1158</v>
      </c>
      <c r="C1155" s="2">
        <v>178.2</v>
      </c>
      <c r="D1155" s="2" t="s">
        <v>5</v>
      </c>
    </row>
    <row r="1156" spans="1:4" ht="15" customHeight="1" x14ac:dyDescent="0.25">
      <c r="A1156" s="2" t="str">
        <f>"03038000481"</f>
        <v>03038000481</v>
      </c>
      <c r="B1156" s="2" t="s">
        <v>1159</v>
      </c>
      <c r="C1156" s="2">
        <v>71.13</v>
      </c>
      <c r="D1156" s="2" t="s">
        <v>5</v>
      </c>
    </row>
    <row r="1157" spans="1:4" ht="15" customHeight="1" x14ac:dyDescent="0.25">
      <c r="A1157" s="2" t="str">
        <f>"08100000022"</f>
        <v>08100000022</v>
      </c>
      <c r="B1157" s="2" t="s">
        <v>1160</v>
      </c>
      <c r="C1157" s="2">
        <v>75494.789999999994</v>
      </c>
      <c r="D1157" s="2" t="s">
        <v>5</v>
      </c>
    </row>
    <row r="1158" spans="1:4" ht="15" customHeight="1" x14ac:dyDescent="0.25">
      <c r="A1158" s="2" t="str">
        <f>"08100000020"</f>
        <v>08100000020</v>
      </c>
      <c r="B1158" s="2" t="s">
        <v>1161</v>
      </c>
      <c r="C1158" s="2">
        <v>97684.04</v>
      </c>
      <c r="D1158" s="2" t="s">
        <v>5</v>
      </c>
    </row>
    <row r="1159" spans="1:4" ht="15" customHeight="1" x14ac:dyDescent="0.25">
      <c r="A1159" s="2" t="str">
        <f>"08100000024"</f>
        <v>08100000024</v>
      </c>
      <c r="B1159" s="2" t="s">
        <v>1162</v>
      </c>
      <c r="C1159" s="2">
        <v>95554.23</v>
      </c>
      <c r="D1159" s="2" t="s">
        <v>5</v>
      </c>
    </row>
    <row r="1160" spans="1:4" ht="15" customHeight="1" x14ac:dyDescent="0.25">
      <c r="A1160" s="2" t="str">
        <f>"08100000021"</f>
        <v>08100000021</v>
      </c>
      <c r="B1160" s="2" t="s">
        <v>1163</v>
      </c>
      <c r="C1160" s="2">
        <v>114112.23</v>
      </c>
      <c r="D1160" s="2" t="s">
        <v>5</v>
      </c>
    </row>
    <row r="1161" spans="1:4" ht="15" customHeight="1" x14ac:dyDescent="0.25">
      <c r="A1161" s="2" t="str">
        <f>"08100000026"</f>
        <v>08100000026</v>
      </c>
      <c r="B1161" s="2" t="s">
        <v>1164</v>
      </c>
      <c r="C1161" s="2">
        <v>7845.89</v>
      </c>
      <c r="D1161" s="2" t="s">
        <v>5</v>
      </c>
    </row>
    <row r="1162" spans="1:4" ht="15" customHeight="1" x14ac:dyDescent="0.25">
      <c r="A1162" s="2" t="str">
        <f>"08100000030"</f>
        <v>08100000030</v>
      </c>
      <c r="B1162" s="2" t="s">
        <v>1165</v>
      </c>
      <c r="C1162" s="2">
        <v>6408.69</v>
      </c>
      <c r="D1162" s="2" t="s">
        <v>5</v>
      </c>
    </row>
    <row r="1163" spans="1:4" ht="15" customHeight="1" x14ac:dyDescent="0.25">
      <c r="A1163" s="2" t="str">
        <f>"08100000028"</f>
        <v>08100000028</v>
      </c>
      <c r="B1163" s="2" t="s">
        <v>1166</v>
      </c>
      <c r="C1163" s="2">
        <v>6408.69</v>
      </c>
      <c r="D1163" s="2" t="s">
        <v>5</v>
      </c>
    </row>
    <row r="1164" spans="1:4" ht="15" customHeight="1" x14ac:dyDescent="0.25">
      <c r="A1164" s="2" t="str">
        <f>"09500000175"</f>
        <v>09500000175</v>
      </c>
      <c r="B1164" s="2" t="s">
        <v>1167</v>
      </c>
      <c r="C1164" s="2">
        <v>8603.57</v>
      </c>
      <c r="D1164" s="2" t="s">
        <v>5</v>
      </c>
    </row>
    <row r="1165" spans="1:4" ht="15" customHeight="1" x14ac:dyDescent="0.25">
      <c r="A1165" s="2" t="str">
        <f>"09500000340"</f>
        <v>09500000340</v>
      </c>
      <c r="B1165" s="2" t="s">
        <v>1168</v>
      </c>
      <c r="C1165" s="2">
        <v>6239.4</v>
      </c>
      <c r="D1165" s="2" t="s">
        <v>5</v>
      </c>
    </row>
    <row r="1166" spans="1:4" ht="15" customHeight="1" x14ac:dyDescent="0.25">
      <c r="A1166" s="2" t="str">
        <f>"05021000570"</f>
        <v>05021000570</v>
      </c>
      <c r="B1166" s="2" t="s">
        <v>1169</v>
      </c>
      <c r="C1166" s="2">
        <v>1109.57</v>
      </c>
      <c r="D1166" s="2" t="s">
        <v>5</v>
      </c>
    </row>
    <row r="1167" spans="1:4" ht="15" customHeight="1" x14ac:dyDescent="0.25">
      <c r="A1167" s="2" t="str">
        <f>"09500000115"</f>
        <v>09500000115</v>
      </c>
      <c r="B1167" s="2" t="s">
        <v>1170</v>
      </c>
      <c r="C1167" s="2">
        <v>9102.15</v>
      </c>
      <c r="D1167" s="2" t="s">
        <v>5</v>
      </c>
    </row>
    <row r="1168" spans="1:4" ht="15" customHeight="1" x14ac:dyDescent="0.25">
      <c r="A1168" s="2" t="str">
        <f>"03019503005"</f>
        <v>03019503005</v>
      </c>
      <c r="B1168" s="2" t="s">
        <v>1171</v>
      </c>
      <c r="C1168" s="2">
        <v>41915.49</v>
      </c>
      <c r="D1168" s="2" t="s">
        <v>5</v>
      </c>
    </row>
    <row r="1169" spans="1:4" ht="15" customHeight="1" x14ac:dyDescent="0.25">
      <c r="A1169" s="2" t="str">
        <f>"05021000109"</f>
        <v>05021000109</v>
      </c>
      <c r="B1169" s="2" t="s">
        <v>1172</v>
      </c>
      <c r="C1169" s="2">
        <v>340.41</v>
      </c>
      <c r="D1169" s="2" t="s">
        <v>5</v>
      </c>
    </row>
    <row r="1170" spans="1:4" ht="15" customHeight="1" x14ac:dyDescent="0.25">
      <c r="A1170" s="2" t="str">
        <f>"05021000531"</f>
        <v>05021000531</v>
      </c>
      <c r="B1170" s="2" t="s">
        <v>1173</v>
      </c>
      <c r="C1170" s="2">
        <v>5681.55</v>
      </c>
      <c r="D1170" s="2" t="s">
        <v>5</v>
      </c>
    </row>
    <row r="1171" spans="1:4" ht="15" customHeight="1" x14ac:dyDescent="0.25">
      <c r="A1171" s="2" t="str">
        <f>"05022000995"</f>
        <v>05022000995</v>
      </c>
      <c r="B1171" s="2" t="s">
        <v>1174</v>
      </c>
      <c r="C1171" s="2">
        <v>5107.01</v>
      </c>
      <c r="D1171" s="2" t="s">
        <v>5</v>
      </c>
    </row>
    <row r="1172" spans="1:4" ht="15" customHeight="1" x14ac:dyDescent="0.25">
      <c r="A1172" s="2" t="str">
        <f>"05021000509"</f>
        <v>05021000509</v>
      </c>
      <c r="B1172" s="2" t="s">
        <v>1175</v>
      </c>
      <c r="C1172" s="2">
        <v>3405.42</v>
      </c>
      <c r="D1172" s="2" t="s">
        <v>5</v>
      </c>
    </row>
    <row r="1173" spans="1:4" ht="15" customHeight="1" x14ac:dyDescent="0.25">
      <c r="A1173" s="2" t="str">
        <f>"05022000005"</f>
        <v>05022000005</v>
      </c>
      <c r="B1173" s="2" t="s">
        <v>1176</v>
      </c>
      <c r="C1173" s="2">
        <v>2689.83</v>
      </c>
      <c r="D1173" s="2" t="s">
        <v>5</v>
      </c>
    </row>
    <row r="1174" spans="1:4" ht="15" customHeight="1" x14ac:dyDescent="0.25">
      <c r="A1174" s="2" t="str">
        <f>"05022000050"</f>
        <v>05022000050</v>
      </c>
      <c r="B1174" s="2" t="s">
        <v>1177</v>
      </c>
      <c r="C1174" s="2">
        <v>2080.34</v>
      </c>
      <c r="D1174" s="2" t="s">
        <v>5</v>
      </c>
    </row>
    <row r="1175" spans="1:4" ht="15" customHeight="1" x14ac:dyDescent="0.25">
      <c r="A1175" s="2" t="str">
        <f>"05021000510"</f>
        <v>05021000510</v>
      </c>
      <c r="B1175" s="2" t="s">
        <v>1178</v>
      </c>
      <c r="C1175" s="2">
        <v>3499.46</v>
      </c>
      <c r="D1175" s="2" t="s">
        <v>5</v>
      </c>
    </row>
    <row r="1176" spans="1:4" ht="15" customHeight="1" x14ac:dyDescent="0.25">
      <c r="A1176" s="2" t="str">
        <f>"05022000030"</f>
        <v>05022000030</v>
      </c>
      <c r="B1176" s="2" t="s">
        <v>1179</v>
      </c>
      <c r="C1176" s="2">
        <v>5771.42</v>
      </c>
      <c r="D1176" s="2" t="s">
        <v>5</v>
      </c>
    </row>
    <row r="1177" spans="1:4" ht="15" customHeight="1" x14ac:dyDescent="0.25">
      <c r="A1177" s="2" t="str">
        <f>"05022000075"</f>
        <v>05022000075</v>
      </c>
      <c r="B1177" s="2" t="s">
        <v>1180</v>
      </c>
      <c r="C1177" s="2">
        <v>5440.02</v>
      </c>
      <c r="D1177" s="2" t="s">
        <v>5</v>
      </c>
    </row>
    <row r="1178" spans="1:4" ht="15" customHeight="1" x14ac:dyDescent="0.25">
      <c r="A1178" s="2" t="str">
        <f>"05022000010"</f>
        <v>05022000010</v>
      </c>
      <c r="B1178" s="2" t="s">
        <v>1181</v>
      </c>
      <c r="C1178" s="2">
        <v>2689.83</v>
      </c>
      <c r="D1178" s="2" t="s">
        <v>5</v>
      </c>
    </row>
    <row r="1179" spans="1:4" ht="15" customHeight="1" x14ac:dyDescent="0.25">
      <c r="A1179" s="2" t="str">
        <f>"05022000055"</f>
        <v>05022000055</v>
      </c>
      <c r="B1179" s="2" t="s">
        <v>1182</v>
      </c>
      <c r="C1179" s="2">
        <v>2080.34</v>
      </c>
      <c r="D1179" s="2" t="s">
        <v>5</v>
      </c>
    </row>
    <row r="1180" spans="1:4" ht="15" customHeight="1" x14ac:dyDescent="0.25">
      <c r="A1180" s="2" t="str">
        <f>"05022000035"</f>
        <v>05022000035</v>
      </c>
      <c r="B1180" s="2" t="s">
        <v>1183</v>
      </c>
      <c r="C1180" s="2">
        <v>5771.42</v>
      </c>
      <c r="D1180" s="2" t="s">
        <v>5</v>
      </c>
    </row>
    <row r="1181" spans="1:4" ht="15" customHeight="1" x14ac:dyDescent="0.25">
      <c r="A1181" s="2" t="str">
        <f>"05022000080"</f>
        <v>05022000080</v>
      </c>
      <c r="B1181" s="2" t="s">
        <v>1184</v>
      </c>
      <c r="C1181" s="2">
        <v>5440.02</v>
      </c>
      <c r="D1181" s="2" t="s">
        <v>5</v>
      </c>
    </row>
    <row r="1182" spans="1:4" ht="15" customHeight="1" x14ac:dyDescent="0.25">
      <c r="A1182" s="2" t="str">
        <f>"05022000015"</f>
        <v>05022000015</v>
      </c>
      <c r="B1182" s="2" t="s">
        <v>1185</v>
      </c>
      <c r="C1182" s="2">
        <v>2689.83</v>
      </c>
      <c r="D1182" s="2" t="s">
        <v>5</v>
      </c>
    </row>
    <row r="1183" spans="1:4" ht="15" customHeight="1" x14ac:dyDescent="0.25">
      <c r="A1183" s="2" t="str">
        <f>"05022000060"</f>
        <v>05022000060</v>
      </c>
      <c r="B1183" s="2" t="s">
        <v>1186</v>
      </c>
      <c r="C1183" s="2">
        <v>2080.34</v>
      </c>
      <c r="D1183" s="2" t="s">
        <v>5</v>
      </c>
    </row>
    <row r="1184" spans="1:4" ht="15" customHeight="1" x14ac:dyDescent="0.25">
      <c r="A1184" s="2" t="str">
        <f>"05021000532"</f>
        <v>05021000532</v>
      </c>
      <c r="B1184" s="2" t="s">
        <v>1187</v>
      </c>
      <c r="C1184" s="2">
        <v>5681.55</v>
      </c>
      <c r="D1184" s="2" t="s">
        <v>5</v>
      </c>
    </row>
    <row r="1185" spans="1:4" ht="15" customHeight="1" x14ac:dyDescent="0.25">
      <c r="A1185" s="2" t="str">
        <f>"05022001008"</f>
        <v>05022001008</v>
      </c>
      <c r="B1185" s="2" t="s">
        <v>1188</v>
      </c>
      <c r="C1185" s="2">
        <v>2080.34</v>
      </c>
      <c r="D1185" s="2" t="s">
        <v>5</v>
      </c>
    </row>
    <row r="1186" spans="1:4" ht="15" customHeight="1" x14ac:dyDescent="0.25">
      <c r="A1186" s="2" t="str">
        <f>"05022000037"</f>
        <v>05022000037</v>
      </c>
      <c r="B1186" s="2" t="s">
        <v>1189</v>
      </c>
      <c r="C1186" s="2">
        <v>5771.42</v>
      </c>
      <c r="D1186" s="2" t="s">
        <v>5</v>
      </c>
    </row>
    <row r="1187" spans="1:4" ht="15" customHeight="1" x14ac:dyDescent="0.25">
      <c r="A1187" s="2" t="str">
        <f>"05022000085"</f>
        <v>05022000085</v>
      </c>
      <c r="B1187" s="2" t="s">
        <v>1190</v>
      </c>
      <c r="C1187" s="2">
        <v>4582.67</v>
      </c>
      <c r="D1187" s="2" t="s">
        <v>5</v>
      </c>
    </row>
    <row r="1188" spans="1:4" ht="15" customHeight="1" x14ac:dyDescent="0.25">
      <c r="A1188" s="2" t="str">
        <f>"05022000097"</f>
        <v>05022000097</v>
      </c>
      <c r="B1188" s="2" t="s">
        <v>1191</v>
      </c>
      <c r="C1188" s="2">
        <v>2689.83</v>
      </c>
      <c r="D1188" s="2" t="s">
        <v>5</v>
      </c>
    </row>
    <row r="1189" spans="1:4" ht="15" customHeight="1" x14ac:dyDescent="0.25">
      <c r="A1189" s="2" t="str">
        <f>"05022000095"</f>
        <v>05022000095</v>
      </c>
      <c r="B1189" s="2" t="s">
        <v>1192</v>
      </c>
      <c r="C1189" s="2">
        <v>1908.59</v>
      </c>
      <c r="D1189" s="2" t="s">
        <v>5</v>
      </c>
    </row>
    <row r="1190" spans="1:4" ht="15" customHeight="1" x14ac:dyDescent="0.25">
      <c r="A1190" s="2" t="str">
        <f>"05022000039"</f>
        <v>05022000039</v>
      </c>
      <c r="B1190" s="2" t="s">
        <v>1193</v>
      </c>
      <c r="C1190" s="2">
        <v>5771.42</v>
      </c>
      <c r="D1190" s="2" t="s">
        <v>5</v>
      </c>
    </row>
    <row r="1191" spans="1:4" ht="15" customHeight="1" x14ac:dyDescent="0.25">
      <c r="A1191" s="2" t="str">
        <f>"05022000090"</f>
        <v>05022000090</v>
      </c>
      <c r="B1191" s="2" t="s">
        <v>1194</v>
      </c>
      <c r="C1191" s="2">
        <v>5440.02</v>
      </c>
      <c r="D1191" s="2" t="s">
        <v>5</v>
      </c>
    </row>
    <row r="1192" spans="1:4" ht="15" customHeight="1" x14ac:dyDescent="0.25">
      <c r="A1192" s="2" t="str">
        <f>"05022000098"</f>
        <v>05022000098</v>
      </c>
      <c r="B1192" s="2" t="s">
        <v>1195</v>
      </c>
      <c r="C1192" s="2">
        <v>2689.83</v>
      </c>
      <c r="D1192" s="2" t="s">
        <v>5</v>
      </c>
    </row>
    <row r="1193" spans="1:4" ht="15" customHeight="1" x14ac:dyDescent="0.25">
      <c r="A1193" s="2" t="str">
        <f>"05022000096"</f>
        <v>05022000096</v>
      </c>
      <c r="B1193" s="2" t="s">
        <v>1196</v>
      </c>
      <c r="C1193" s="2">
        <v>2080.34</v>
      </c>
      <c r="D1193" s="2" t="s">
        <v>5</v>
      </c>
    </row>
    <row r="1194" spans="1:4" ht="15" customHeight="1" x14ac:dyDescent="0.25">
      <c r="A1194" s="2" t="str">
        <f>"05021000535"</f>
        <v>05021000535</v>
      </c>
      <c r="B1194" s="2" t="s">
        <v>1197</v>
      </c>
      <c r="C1194" s="2">
        <v>4713.93</v>
      </c>
      <c r="D1194" s="2" t="s">
        <v>5</v>
      </c>
    </row>
    <row r="1195" spans="1:4" ht="15" customHeight="1" x14ac:dyDescent="0.25">
      <c r="A1195" s="2" t="str">
        <f>"05021000536"</f>
        <v>05021000536</v>
      </c>
      <c r="B1195" s="2" t="s">
        <v>1198</v>
      </c>
      <c r="C1195" s="2">
        <v>4713.93</v>
      </c>
      <c r="D1195" s="2" t="s">
        <v>5</v>
      </c>
    </row>
    <row r="1196" spans="1:4" ht="15" customHeight="1" x14ac:dyDescent="0.25">
      <c r="A1196" s="2" t="str">
        <f>"03011600305"</f>
        <v>03011600305</v>
      </c>
      <c r="B1196" s="2" t="s">
        <v>1199</v>
      </c>
      <c r="C1196" s="2">
        <v>2620.4699999999998</v>
      </c>
      <c r="D1196" s="2" t="s">
        <v>5</v>
      </c>
    </row>
    <row r="1197" spans="1:4" ht="15" customHeight="1" x14ac:dyDescent="0.25">
      <c r="A1197" s="2" t="str">
        <f>"03011600300"</f>
        <v>03011600300</v>
      </c>
      <c r="B1197" s="2" t="s">
        <v>1200</v>
      </c>
      <c r="C1197" s="2">
        <v>2620.4699999999998</v>
      </c>
      <c r="D1197" s="2" t="s">
        <v>5</v>
      </c>
    </row>
    <row r="1198" spans="1:4" ht="15" customHeight="1" x14ac:dyDescent="0.25">
      <c r="A1198" s="2" t="str">
        <f>"05021000530"</f>
        <v>05021000530</v>
      </c>
      <c r="B1198" s="2" t="s">
        <v>1201</v>
      </c>
      <c r="C1198" s="2">
        <v>3329.01</v>
      </c>
      <c r="D1198" s="2" t="s">
        <v>5</v>
      </c>
    </row>
    <row r="1199" spans="1:4" ht="15" customHeight="1" x14ac:dyDescent="0.25">
      <c r="A1199" s="2" t="str">
        <f>"05021000527"</f>
        <v>05021000527</v>
      </c>
      <c r="B1199" s="2" t="s">
        <v>1202</v>
      </c>
      <c r="C1199" s="2">
        <v>1856.9</v>
      </c>
      <c r="D1199" s="2" t="s">
        <v>5</v>
      </c>
    </row>
    <row r="1200" spans="1:4" ht="15" customHeight="1" x14ac:dyDescent="0.25">
      <c r="A1200" s="2" t="str">
        <f>"05021000525"</f>
        <v>05021000525</v>
      </c>
      <c r="B1200" s="2" t="s">
        <v>1203</v>
      </c>
      <c r="C1200" s="2">
        <v>1856.9</v>
      </c>
      <c r="D1200" s="2" t="s">
        <v>5</v>
      </c>
    </row>
    <row r="1201" spans="1:4" ht="15" customHeight="1" x14ac:dyDescent="0.25">
      <c r="A1201" s="2" t="str">
        <f>"03032000180"</f>
        <v>03032000180</v>
      </c>
      <c r="B1201" s="2" t="s">
        <v>1204</v>
      </c>
      <c r="C1201" s="2">
        <v>3302.45</v>
      </c>
      <c r="D1201" s="2" t="s">
        <v>5</v>
      </c>
    </row>
    <row r="1202" spans="1:4" ht="15" customHeight="1" x14ac:dyDescent="0.25">
      <c r="A1202" s="2" t="str">
        <f>"03038000731"</f>
        <v>03038000731</v>
      </c>
      <c r="B1202" s="2" t="s">
        <v>1205</v>
      </c>
      <c r="C1202" s="2">
        <v>5431.17</v>
      </c>
      <c r="D1202" s="2" t="s">
        <v>5</v>
      </c>
    </row>
    <row r="1203" spans="1:4" ht="15" customHeight="1" x14ac:dyDescent="0.25">
      <c r="A1203" s="2" t="str">
        <f>"03038000732"</f>
        <v>03038000732</v>
      </c>
      <c r="B1203" s="2" t="s">
        <v>1206</v>
      </c>
      <c r="C1203" s="2">
        <v>5510.03</v>
      </c>
      <c r="D1203" s="2" t="s">
        <v>5</v>
      </c>
    </row>
    <row r="1204" spans="1:4" ht="15" customHeight="1" x14ac:dyDescent="0.25">
      <c r="A1204" s="2" t="str">
        <f>"03038000734"</f>
        <v>03038000734</v>
      </c>
      <c r="B1204" s="2" t="s">
        <v>1207</v>
      </c>
      <c r="C1204" s="2">
        <v>24490.19</v>
      </c>
      <c r="D1204" s="2" t="s">
        <v>5</v>
      </c>
    </row>
    <row r="1205" spans="1:4" ht="15" customHeight="1" x14ac:dyDescent="0.25">
      <c r="A1205" s="2" t="str">
        <f>"03038000729"</f>
        <v>03038000729</v>
      </c>
      <c r="B1205" s="2" t="s">
        <v>1208</v>
      </c>
      <c r="C1205" s="2">
        <v>24489.23</v>
      </c>
      <c r="D1205" s="2" t="s">
        <v>5</v>
      </c>
    </row>
    <row r="1206" spans="1:4" ht="15" customHeight="1" x14ac:dyDescent="0.25">
      <c r="A1206" s="2" t="str">
        <f>"03038000733"</f>
        <v>03038000733</v>
      </c>
      <c r="B1206" s="2" t="s">
        <v>1209</v>
      </c>
      <c r="C1206" s="2">
        <v>16873.939999999999</v>
      </c>
      <c r="D1206" s="2" t="s">
        <v>5</v>
      </c>
    </row>
    <row r="1207" spans="1:4" ht="15" customHeight="1" x14ac:dyDescent="0.25">
      <c r="A1207" s="2" t="str">
        <f>"05021000538"</f>
        <v>05021000538</v>
      </c>
      <c r="B1207" s="2" t="s">
        <v>1210</v>
      </c>
      <c r="C1207" s="2">
        <v>2913.18</v>
      </c>
      <c r="D1207" s="2" t="s">
        <v>5</v>
      </c>
    </row>
    <row r="1208" spans="1:4" ht="15" customHeight="1" x14ac:dyDescent="0.25">
      <c r="A1208" s="2" t="str">
        <f>"03019502010"</f>
        <v>03019502010</v>
      </c>
      <c r="B1208" s="2" t="s">
        <v>1211</v>
      </c>
      <c r="C1208" s="2">
        <v>32606.42</v>
      </c>
      <c r="D1208" s="2" t="s">
        <v>5</v>
      </c>
    </row>
    <row r="1209" spans="1:4" ht="15" customHeight="1" x14ac:dyDescent="0.25">
      <c r="A1209" s="2" t="str">
        <f>"03019502025"</f>
        <v>03019502025</v>
      </c>
      <c r="B1209" s="2" t="s">
        <v>1212</v>
      </c>
      <c r="C1209" s="2">
        <v>29732.240000000002</v>
      </c>
      <c r="D1209" s="2" t="s">
        <v>5</v>
      </c>
    </row>
    <row r="1210" spans="1:4" ht="15" customHeight="1" x14ac:dyDescent="0.25">
      <c r="A1210" s="2" t="str">
        <f>"03019502030"</f>
        <v>03019502030</v>
      </c>
      <c r="B1210" s="2" t="s">
        <v>1213</v>
      </c>
      <c r="C1210" s="2">
        <v>33168.870000000003</v>
      </c>
      <c r="D1210" s="2" t="s">
        <v>5</v>
      </c>
    </row>
    <row r="1211" spans="1:4" ht="15" customHeight="1" x14ac:dyDescent="0.25">
      <c r="A1211" s="2" t="str">
        <f>"03019502000"</f>
        <v>03019502000</v>
      </c>
      <c r="B1211" s="2" t="s">
        <v>1214</v>
      </c>
      <c r="C1211" s="2">
        <v>21868.799999999999</v>
      </c>
      <c r="D1211" s="2" t="s">
        <v>5</v>
      </c>
    </row>
    <row r="1212" spans="1:4" ht="15" customHeight="1" x14ac:dyDescent="0.25">
      <c r="A1212" s="2" t="str">
        <f>"03019502020"</f>
        <v>03019502020</v>
      </c>
      <c r="B1212" s="2" t="s">
        <v>1215</v>
      </c>
      <c r="C1212" s="2">
        <v>49052.99</v>
      </c>
      <c r="D1212" s="2" t="s">
        <v>5</v>
      </c>
    </row>
    <row r="1213" spans="1:4" ht="15" customHeight="1" x14ac:dyDescent="0.25">
      <c r="A1213" s="2" t="str">
        <f>"05012001000"</f>
        <v>05012001000</v>
      </c>
      <c r="B1213" s="2" t="s">
        <v>1216</v>
      </c>
      <c r="C1213" s="2">
        <v>6731.24</v>
      </c>
      <c r="D1213" s="2" t="s">
        <v>5</v>
      </c>
    </row>
    <row r="1214" spans="1:4" ht="15" customHeight="1" x14ac:dyDescent="0.25">
      <c r="A1214" s="2" t="str">
        <f>"05012001005"</f>
        <v>05012001005</v>
      </c>
      <c r="B1214" s="2" t="s">
        <v>1217</v>
      </c>
      <c r="C1214" s="2">
        <v>9104.07</v>
      </c>
      <c r="D1214" s="2" t="s">
        <v>5</v>
      </c>
    </row>
    <row r="1215" spans="1:4" ht="15" customHeight="1" x14ac:dyDescent="0.25">
      <c r="A1215" s="2" t="str">
        <f>"05012001010"</f>
        <v>05012001010</v>
      </c>
      <c r="B1215" s="2" t="s">
        <v>1218</v>
      </c>
      <c r="C1215" s="2">
        <v>3361.35</v>
      </c>
      <c r="D1215" s="2" t="s">
        <v>5</v>
      </c>
    </row>
    <row r="1216" spans="1:4" ht="15" customHeight="1" x14ac:dyDescent="0.25">
      <c r="A1216" s="2" t="str">
        <f>"03047600100"</f>
        <v>03047600100</v>
      </c>
      <c r="B1216" s="2" t="s">
        <v>1219</v>
      </c>
      <c r="C1216" s="2">
        <v>69.69</v>
      </c>
      <c r="D1216" s="2" t="s">
        <v>5</v>
      </c>
    </row>
    <row r="1217" spans="1:4" ht="15" customHeight="1" x14ac:dyDescent="0.25">
      <c r="A1217" s="2" t="str">
        <f>"03047600110"</f>
        <v>03047600110</v>
      </c>
      <c r="B1217" s="2" t="s">
        <v>1220</v>
      </c>
      <c r="C1217" s="2">
        <v>83.48</v>
      </c>
      <c r="D1217" s="2" t="s">
        <v>5</v>
      </c>
    </row>
    <row r="1218" spans="1:4" ht="15" customHeight="1" x14ac:dyDescent="0.25">
      <c r="A1218" s="2" t="str">
        <f>"03047600115"</f>
        <v>03047600115</v>
      </c>
      <c r="B1218" s="2" t="s">
        <v>1221</v>
      </c>
      <c r="C1218" s="2">
        <v>48.83</v>
      </c>
      <c r="D1218" s="2" t="s">
        <v>5</v>
      </c>
    </row>
    <row r="1219" spans="1:4" ht="15" customHeight="1" x14ac:dyDescent="0.25">
      <c r="A1219" s="2" t="str">
        <f>"03019502040"</f>
        <v>03019502040</v>
      </c>
      <c r="B1219" s="2" t="s">
        <v>1222</v>
      </c>
      <c r="C1219" s="2">
        <v>11049.44</v>
      </c>
      <c r="D1219" s="2" t="s">
        <v>5</v>
      </c>
    </row>
    <row r="1220" spans="1:4" ht="15" customHeight="1" x14ac:dyDescent="0.25">
      <c r="A1220" s="2" t="str">
        <f>"03019502050"</f>
        <v>03019502050</v>
      </c>
      <c r="B1220" s="2" t="s">
        <v>1223</v>
      </c>
      <c r="C1220" s="2">
        <v>20079.509999999998</v>
      </c>
      <c r="D1220" s="2" t="s">
        <v>5</v>
      </c>
    </row>
    <row r="1221" spans="1:4" ht="15" customHeight="1" x14ac:dyDescent="0.25">
      <c r="A1221" s="2" t="str">
        <f>"03019502060"</f>
        <v>03019502060</v>
      </c>
      <c r="B1221" s="2" t="s">
        <v>1224</v>
      </c>
      <c r="C1221" s="2">
        <v>14491.05</v>
      </c>
      <c r="D1221" s="2" t="s">
        <v>5</v>
      </c>
    </row>
    <row r="1222" spans="1:4" ht="15" customHeight="1" x14ac:dyDescent="0.25">
      <c r="A1222" s="2" t="str">
        <f>"03019502070"</f>
        <v>03019502070</v>
      </c>
      <c r="B1222" s="2" t="s">
        <v>1225</v>
      </c>
      <c r="C1222" s="2">
        <v>26540.400000000001</v>
      </c>
      <c r="D1222" s="2" t="s">
        <v>5</v>
      </c>
    </row>
    <row r="1223" spans="1:4" ht="15" customHeight="1" x14ac:dyDescent="0.25">
      <c r="A1223" s="2" t="str">
        <f>"05021000114"</f>
        <v>05021000114</v>
      </c>
      <c r="B1223" s="2" t="s">
        <v>1226</v>
      </c>
      <c r="C1223" s="2">
        <v>1243.56</v>
      </c>
      <c r="D1223" s="2" t="s">
        <v>5</v>
      </c>
    </row>
    <row r="1224" spans="1:4" ht="15" customHeight="1" x14ac:dyDescent="0.25">
      <c r="A1224" s="2" t="str">
        <f>"05022000930"</f>
        <v>05022000930</v>
      </c>
      <c r="B1224" s="2" t="s">
        <v>1227</v>
      </c>
      <c r="C1224" s="2">
        <v>964.86</v>
      </c>
      <c r="D1224" s="2" t="s">
        <v>5</v>
      </c>
    </row>
    <row r="1225" spans="1:4" ht="15" customHeight="1" x14ac:dyDescent="0.25">
      <c r="A1225" s="2" t="str">
        <f>"05022001005"</f>
        <v>05022001005</v>
      </c>
      <c r="B1225" s="2" t="s">
        <v>1228</v>
      </c>
      <c r="C1225" s="2">
        <v>811.02</v>
      </c>
      <c r="D1225" s="2" t="s">
        <v>5</v>
      </c>
    </row>
    <row r="1226" spans="1:4" ht="15" customHeight="1" x14ac:dyDescent="0.25">
      <c r="A1226" s="2" t="str">
        <f>"05021000113"</f>
        <v>05021000113</v>
      </c>
      <c r="B1226" s="2" t="s">
        <v>1229</v>
      </c>
      <c r="C1226" s="2">
        <v>11058.77</v>
      </c>
      <c r="D1226" s="2" t="s">
        <v>5</v>
      </c>
    </row>
    <row r="1227" spans="1:4" ht="15" customHeight="1" x14ac:dyDescent="0.25">
      <c r="A1227" s="2" t="str">
        <f>"05021000900"</f>
        <v>05021000900</v>
      </c>
      <c r="B1227" s="2" t="s">
        <v>1230</v>
      </c>
      <c r="C1227" s="2">
        <v>5372.63</v>
      </c>
      <c r="D1227" s="2" t="s">
        <v>5</v>
      </c>
    </row>
    <row r="1228" spans="1:4" ht="15" customHeight="1" x14ac:dyDescent="0.25">
      <c r="A1228" s="2" t="str">
        <f>"03025100220"</f>
        <v>03025100220</v>
      </c>
      <c r="B1228" s="2" t="s">
        <v>1231</v>
      </c>
      <c r="C1228" s="2">
        <v>2004.6</v>
      </c>
      <c r="D1228" s="2" t="s">
        <v>5</v>
      </c>
    </row>
    <row r="1229" spans="1:4" ht="15" customHeight="1" x14ac:dyDescent="0.25">
      <c r="A1229" s="2" t="str">
        <f>"03025100212"</f>
        <v>03025100212</v>
      </c>
      <c r="B1229" s="2" t="s">
        <v>1232</v>
      </c>
      <c r="C1229" s="2">
        <v>1573.23</v>
      </c>
      <c r="D1229" s="2" t="s">
        <v>5</v>
      </c>
    </row>
    <row r="1230" spans="1:4" ht="15" customHeight="1" x14ac:dyDescent="0.25">
      <c r="A1230" s="2" t="str">
        <f>"03025100210"</f>
        <v>03025100210</v>
      </c>
      <c r="B1230" s="2" t="s">
        <v>1233</v>
      </c>
      <c r="C1230" s="2">
        <v>1179.93</v>
      </c>
      <c r="D1230" s="2" t="s">
        <v>5</v>
      </c>
    </row>
    <row r="1231" spans="1:4" ht="15" customHeight="1" x14ac:dyDescent="0.25">
      <c r="A1231" s="2" t="str">
        <f>"03025100200"</f>
        <v>03025100200</v>
      </c>
      <c r="B1231" s="2" t="s">
        <v>1234</v>
      </c>
      <c r="C1231" s="2">
        <v>710.49</v>
      </c>
      <c r="D1231" s="2" t="s">
        <v>5</v>
      </c>
    </row>
    <row r="1232" spans="1:4" ht="15" customHeight="1" x14ac:dyDescent="0.25">
      <c r="A1232" s="2" t="str">
        <f>"03025100225"</f>
        <v>03025100225</v>
      </c>
      <c r="B1232" s="2" t="s">
        <v>1235</v>
      </c>
      <c r="C1232" s="2">
        <v>2930.78</v>
      </c>
      <c r="D1232" s="2" t="s">
        <v>5</v>
      </c>
    </row>
    <row r="1233" spans="1:4" ht="15" customHeight="1" x14ac:dyDescent="0.25">
      <c r="A1233" s="2" t="str">
        <f>"03025100205"</f>
        <v>03025100205</v>
      </c>
      <c r="B1233" s="2" t="s">
        <v>1236</v>
      </c>
      <c r="C1233" s="2">
        <v>812</v>
      </c>
      <c r="D1233" s="2" t="s">
        <v>5</v>
      </c>
    </row>
    <row r="1234" spans="1:4" ht="15" customHeight="1" x14ac:dyDescent="0.25">
      <c r="A1234" s="2" t="str">
        <f>"09004000020"</f>
        <v>09004000020</v>
      </c>
      <c r="B1234" s="2" t="s">
        <v>1237</v>
      </c>
      <c r="C1234" s="2">
        <v>82680</v>
      </c>
      <c r="D1234" s="2" t="s">
        <v>5</v>
      </c>
    </row>
    <row r="1235" spans="1:4" ht="15" customHeight="1" x14ac:dyDescent="0.25">
      <c r="A1235" s="2" t="str">
        <f>"09004000015"</f>
        <v>09004000015</v>
      </c>
      <c r="B1235" s="2" t="s">
        <v>1238</v>
      </c>
      <c r="C1235" s="2">
        <v>18285</v>
      </c>
      <c r="D1235" s="2" t="s">
        <v>5</v>
      </c>
    </row>
    <row r="1236" spans="1:4" ht="15" customHeight="1" x14ac:dyDescent="0.25">
      <c r="A1236" s="2" t="str">
        <f>"05021000131"</f>
        <v>05021000131</v>
      </c>
      <c r="B1236" s="2" t="s">
        <v>1239</v>
      </c>
      <c r="C1236" s="2">
        <v>3088.55</v>
      </c>
      <c r="D1236" s="2" t="s">
        <v>5</v>
      </c>
    </row>
    <row r="1237" spans="1:4" ht="15" customHeight="1" x14ac:dyDescent="0.25">
      <c r="A1237" s="2" t="str">
        <f>"05021000120"</f>
        <v>05021000120</v>
      </c>
      <c r="B1237" s="2" t="s">
        <v>1240</v>
      </c>
      <c r="C1237" s="2">
        <v>955.62</v>
      </c>
      <c r="D1237" s="2" t="s">
        <v>5</v>
      </c>
    </row>
    <row r="1238" spans="1:4" ht="15" customHeight="1" x14ac:dyDescent="0.25">
      <c r="A1238" s="2" t="str">
        <f>"05021000125"</f>
        <v>05021000125</v>
      </c>
      <c r="B1238" s="2" t="s">
        <v>1241</v>
      </c>
      <c r="C1238" s="2">
        <v>955.62</v>
      </c>
      <c r="D1238" s="2" t="s">
        <v>5</v>
      </c>
    </row>
    <row r="1239" spans="1:4" ht="15" customHeight="1" x14ac:dyDescent="0.25">
      <c r="A1239" s="2" t="str">
        <f>"05022000715"</f>
        <v>05022000715</v>
      </c>
      <c r="B1239" s="2" t="s">
        <v>1242</v>
      </c>
      <c r="C1239" s="2">
        <v>740.96</v>
      </c>
      <c r="D1239" s="2" t="s">
        <v>5</v>
      </c>
    </row>
    <row r="1240" spans="1:4" ht="15" customHeight="1" x14ac:dyDescent="0.25">
      <c r="A1240" s="2" t="str">
        <f>"05021000130"</f>
        <v>05021000130</v>
      </c>
      <c r="B1240" s="2" t="s">
        <v>1243</v>
      </c>
      <c r="C1240" s="2">
        <v>824.46</v>
      </c>
      <c r="D1240" s="2" t="s">
        <v>5</v>
      </c>
    </row>
    <row r="1241" spans="1:4" ht="15" customHeight="1" x14ac:dyDescent="0.25">
      <c r="A1241" s="2" t="str">
        <f>"05022000705"</f>
        <v>05022000705</v>
      </c>
      <c r="B1241" s="2" t="s">
        <v>1244</v>
      </c>
      <c r="C1241" s="2">
        <v>921.47</v>
      </c>
      <c r="D1241" s="2" t="s">
        <v>5</v>
      </c>
    </row>
    <row r="1242" spans="1:4" ht="15" customHeight="1" x14ac:dyDescent="0.25">
      <c r="A1242" s="2" t="str">
        <f>"05022000706"</f>
        <v>05022000706</v>
      </c>
      <c r="B1242" s="2" t="s">
        <v>1245</v>
      </c>
      <c r="C1242" s="2">
        <v>1257.74</v>
      </c>
      <c r="D1242" s="2" t="s">
        <v>5</v>
      </c>
    </row>
    <row r="1243" spans="1:4" ht="15" customHeight="1" x14ac:dyDescent="0.25">
      <c r="A1243" s="2" t="str">
        <f>"05022000700"</f>
        <v>05022000700</v>
      </c>
      <c r="B1243" s="2" t="s">
        <v>1246</v>
      </c>
      <c r="C1243" s="2">
        <v>921.47</v>
      </c>
      <c r="D1243" s="2" t="s">
        <v>5</v>
      </c>
    </row>
    <row r="1244" spans="1:4" ht="15" customHeight="1" x14ac:dyDescent="0.25">
      <c r="A1244" s="2" t="str">
        <f>"05021000132"</f>
        <v>05021000132</v>
      </c>
      <c r="B1244" s="2" t="s">
        <v>1247</v>
      </c>
      <c r="C1244" s="2">
        <v>1535.15</v>
      </c>
      <c r="D1244" s="2" t="s">
        <v>5</v>
      </c>
    </row>
    <row r="1245" spans="1:4" ht="15" customHeight="1" x14ac:dyDescent="0.25">
      <c r="A1245" s="2" t="str">
        <f>"05022000710"</f>
        <v>05022000710</v>
      </c>
      <c r="B1245" s="2" t="s">
        <v>1248</v>
      </c>
      <c r="C1245" s="2">
        <v>646.22</v>
      </c>
      <c r="D1245" s="2" t="s">
        <v>5</v>
      </c>
    </row>
    <row r="1246" spans="1:4" ht="15" customHeight="1" x14ac:dyDescent="0.25">
      <c r="A1246" s="2" t="str">
        <f>"03038000860"</f>
        <v>03038000860</v>
      </c>
      <c r="B1246" s="2" t="s">
        <v>1249</v>
      </c>
      <c r="C1246" s="2">
        <v>1365.62</v>
      </c>
      <c r="D1246" s="2" t="s">
        <v>5</v>
      </c>
    </row>
    <row r="1247" spans="1:4" ht="15" customHeight="1" x14ac:dyDescent="0.25">
      <c r="A1247" s="2" t="str">
        <f>"02007000188"</f>
        <v>02007000188</v>
      </c>
      <c r="B1247" s="2" t="s">
        <v>1250</v>
      </c>
      <c r="C1247" s="2">
        <v>5478</v>
      </c>
      <c r="D1247" s="2" t="s">
        <v>5</v>
      </c>
    </row>
    <row r="1248" spans="1:4" ht="15" customHeight="1" x14ac:dyDescent="0.25">
      <c r="A1248" s="2" t="str">
        <f>"02007000193"</f>
        <v>02007000193</v>
      </c>
      <c r="B1248" s="2" t="s">
        <v>1251</v>
      </c>
      <c r="C1248" s="2">
        <v>9900</v>
      </c>
      <c r="D1248" s="2" t="s">
        <v>5</v>
      </c>
    </row>
    <row r="1249" spans="1:4" ht="15" customHeight="1" x14ac:dyDescent="0.25">
      <c r="A1249" s="2" t="str">
        <f>"02007000189"</f>
        <v>02007000189</v>
      </c>
      <c r="B1249" s="2" t="s">
        <v>1252</v>
      </c>
      <c r="C1249" s="2">
        <v>10309.92</v>
      </c>
      <c r="D1249" s="2" t="s">
        <v>5</v>
      </c>
    </row>
    <row r="1250" spans="1:4" ht="15" customHeight="1" x14ac:dyDescent="0.25">
      <c r="A1250" s="2" t="str">
        <f>"02007000191"</f>
        <v>02007000191</v>
      </c>
      <c r="B1250" s="2" t="s">
        <v>1253</v>
      </c>
      <c r="C1250" s="2">
        <v>13093.59</v>
      </c>
      <c r="D1250" s="2" t="s">
        <v>5</v>
      </c>
    </row>
    <row r="1251" spans="1:4" ht="15" customHeight="1" x14ac:dyDescent="0.25">
      <c r="A1251" s="2" t="str">
        <f>"02007000196"</f>
        <v>02007000196</v>
      </c>
      <c r="B1251" s="2" t="s">
        <v>1254</v>
      </c>
      <c r="C1251" s="2">
        <v>19285.91</v>
      </c>
      <c r="D1251" s="2" t="s">
        <v>5</v>
      </c>
    </row>
    <row r="1252" spans="1:4" ht="15" customHeight="1" x14ac:dyDescent="0.25">
      <c r="A1252" s="2" t="str">
        <f>"02007000192"</f>
        <v>02007000192</v>
      </c>
      <c r="B1252" s="2" t="s">
        <v>1255</v>
      </c>
      <c r="C1252" s="2">
        <v>26253.96</v>
      </c>
      <c r="D1252" s="2" t="s">
        <v>5</v>
      </c>
    </row>
    <row r="1253" spans="1:4" ht="15" customHeight="1" x14ac:dyDescent="0.25">
      <c r="A1253" s="2" t="str">
        <f>"08500000180"</f>
        <v>08500000180</v>
      </c>
      <c r="B1253" s="2" t="s">
        <v>1256</v>
      </c>
      <c r="C1253" s="2">
        <v>2637.83</v>
      </c>
      <c r="D1253" s="2" t="s">
        <v>5</v>
      </c>
    </row>
    <row r="1254" spans="1:4" ht="15" customHeight="1" x14ac:dyDescent="0.25">
      <c r="A1254" s="2" t="str">
        <f>"08500000185"</f>
        <v>08500000185</v>
      </c>
      <c r="B1254" s="2" t="s">
        <v>1257</v>
      </c>
      <c r="C1254" s="2">
        <v>2770.29</v>
      </c>
      <c r="D1254" s="2" t="s">
        <v>5</v>
      </c>
    </row>
    <row r="1255" spans="1:4" ht="15" customHeight="1" x14ac:dyDescent="0.25">
      <c r="A1255" s="2" t="str">
        <f>"08500000190"</f>
        <v>08500000190</v>
      </c>
      <c r="B1255" s="2" t="s">
        <v>1258</v>
      </c>
      <c r="C1255" s="2">
        <v>2901.63</v>
      </c>
      <c r="D1255" s="2" t="s">
        <v>5</v>
      </c>
    </row>
    <row r="1256" spans="1:4" ht="15" customHeight="1" x14ac:dyDescent="0.25">
      <c r="A1256" s="2" t="str">
        <f>"08500000195"</f>
        <v>08500000195</v>
      </c>
      <c r="B1256" s="2" t="s">
        <v>1259</v>
      </c>
      <c r="C1256" s="2">
        <v>2931.95</v>
      </c>
      <c r="D1256" s="2" t="s">
        <v>5</v>
      </c>
    </row>
    <row r="1257" spans="1:4" ht="15" customHeight="1" x14ac:dyDescent="0.25">
      <c r="A1257" s="2" t="str">
        <f>"08500000200"</f>
        <v>08500000200</v>
      </c>
      <c r="B1257" s="2" t="s">
        <v>1260</v>
      </c>
      <c r="C1257" s="2">
        <v>3002.61</v>
      </c>
      <c r="D1257" s="2" t="s">
        <v>5</v>
      </c>
    </row>
    <row r="1258" spans="1:4" ht="15" customHeight="1" x14ac:dyDescent="0.25">
      <c r="A1258" s="2" t="str">
        <f>"08500000205"</f>
        <v>08500000205</v>
      </c>
      <c r="B1258" s="2" t="s">
        <v>1261</v>
      </c>
      <c r="C1258" s="2">
        <v>3429.14</v>
      </c>
      <c r="D1258" s="2" t="s">
        <v>5</v>
      </c>
    </row>
    <row r="1259" spans="1:4" ht="15" customHeight="1" x14ac:dyDescent="0.25">
      <c r="A1259" s="2" t="str">
        <f>"08500000210"</f>
        <v>08500000210</v>
      </c>
      <c r="B1259" s="2" t="s">
        <v>1262</v>
      </c>
      <c r="C1259" s="2">
        <v>3693.69</v>
      </c>
      <c r="D1259" s="2" t="s">
        <v>5</v>
      </c>
    </row>
    <row r="1260" spans="1:4" ht="15" customHeight="1" x14ac:dyDescent="0.25">
      <c r="A1260" s="2" t="str">
        <f>"03018608059"</f>
        <v>03018608059</v>
      </c>
      <c r="B1260" s="2" t="s">
        <v>1263</v>
      </c>
      <c r="C1260" s="2">
        <v>4072.64</v>
      </c>
      <c r="D1260" s="2"/>
    </row>
    <row r="1261" spans="1:4" ht="15" customHeight="1" x14ac:dyDescent="0.25">
      <c r="A1261" s="2" t="str">
        <f>"03018608048"</f>
        <v>03018608048</v>
      </c>
      <c r="B1261" s="2" t="s">
        <v>1264</v>
      </c>
      <c r="C1261" s="2">
        <v>4529.3900000000003</v>
      </c>
      <c r="D1261" s="2" t="s">
        <v>5</v>
      </c>
    </row>
    <row r="1262" spans="1:4" ht="15" customHeight="1" x14ac:dyDescent="0.25">
      <c r="A1262" s="2" t="str">
        <f>"03018608049"</f>
        <v>03018608049</v>
      </c>
      <c r="B1262" s="2" t="s">
        <v>1265</v>
      </c>
      <c r="C1262" s="2">
        <v>4757.75</v>
      </c>
      <c r="D1262" s="2" t="s">
        <v>5</v>
      </c>
    </row>
    <row r="1263" spans="1:4" ht="15" customHeight="1" x14ac:dyDescent="0.25">
      <c r="A1263" s="2" t="str">
        <f>"03018608050"</f>
        <v>03018608050</v>
      </c>
      <c r="B1263" s="2" t="s">
        <v>1266</v>
      </c>
      <c r="C1263" s="2">
        <v>5125.68</v>
      </c>
      <c r="D1263" s="2" t="s">
        <v>5</v>
      </c>
    </row>
    <row r="1264" spans="1:4" ht="15" customHeight="1" x14ac:dyDescent="0.25">
      <c r="A1264" s="2" t="str">
        <f>"03018608051"</f>
        <v>03018608051</v>
      </c>
      <c r="B1264" s="2" t="s">
        <v>1267</v>
      </c>
      <c r="C1264" s="2">
        <v>5595.12</v>
      </c>
      <c r="D1264" s="2" t="s">
        <v>5</v>
      </c>
    </row>
    <row r="1265" spans="1:4" ht="15" customHeight="1" x14ac:dyDescent="0.25">
      <c r="A1265" s="2" t="str">
        <f>"03018608052"</f>
        <v>03018608052</v>
      </c>
      <c r="B1265" s="2" t="s">
        <v>1268</v>
      </c>
      <c r="C1265" s="2">
        <v>6495.92</v>
      </c>
      <c r="D1265" s="2"/>
    </row>
    <row r="1266" spans="1:4" ht="15" customHeight="1" x14ac:dyDescent="0.25">
      <c r="A1266" s="2" t="str">
        <f>"03018608053"</f>
        <v>03018608053</v>
      </c>
      <c r="B1266" s="2" t="s">
        <v>1269</v>
      </c>
      <c r="C1266" s="2">
        <v>6140.67</v>
      </c>
      <c r="D1266" s="2"/>
    </row>
    <row r="1267" spans="1:4" ht="15" customHeight="1" x14ac:dyDescent="0.25">
      <c r="A1267" s="2" t="str">
        <f>"03018608054"</f>
        <v>03018608054</v>
      </c>
      <c r="B1267" s="2" t="s">
        <v>1270</v>
      </c>
      <c r="C1267" s="2">
        <v>6419.79</v>
      </c>
      <c r="D1267" s="2"/>
    </row>
    <row r="1268" spans="1:4" ht="15" customHeight="1" x14ac:dyDescent="0.25">
      <c r="A1268" s="2" t="str">
        <f>"03018608055"</f>
        <v>03018608055</v>
      </c>
      <c r="B1268" s="2" t="s">
        <v>1271</v>
      </c>
      <c r="C1268" s="2">
        <v>6521.3</v>
      </c>
      <c r="D1268" s="2"/>
    </row>
    <row r="1269" spans="1:4" ht="15" customHeight="1" x14ac:dyDescent="0.25">
      <c r="A1269" s="2" t="str">
        <f>"03018608056"</f>
        <v>03018608056</v>
      </c>
      <c r="B1269" s="2" t="s">
        <v>1272</v>
      </c>
      <c r="C1269" s="2">
        <v>6749.67</v>
      </c>
      <c r="D1269" s="2"/>
    </row>
    <row r="1270" spans="1:4" ht="15" customHeight="1" x14ac:dyDescent="0.25">
      <c r="A1270" s="2" t="str">
        <f>"03018608057"</f>
        <v>03018608057</v>
      </c>
      <c r="B1270" s="2" t="s">
        <v>1273</v>
      </c>
      <c r="C1270" s="2">
        <v>7155.66</v>
      </c>
      <c r="D1270" s="2"/>
    </row>
    <row r="1271" spans="1:4" ht="15" customHeight="1" x14ac:dyDescent="0.25">
      <c r="A1271" s="2" t="str">
        <f>"03018608058"</f>
        <v>03018608058</v>
      </c>
      <c r="B1271" s="2" t="s">
        <v>1274</v>
      </c>
      <c r="C1271" s="2">
        <v>8348.27</v>
      </c>
      <c r="D1271" s="2"/>
    </row>
    <row r="1272" spans="1:4" ht="15" customHeight="1" x14ac:dyDescent="0.25">
      <c r="A1272" s="2" t="str">
        <f>"03018607000"</f>
        <v>03018607000</v>
      </c>
      <c r="B1272" s="2" t="s">
        <v>1275</v>
      </c>
      <c r="C1272" s="2">
        <v>3700.71</v>
      </c>
      <c r="D1272" s="2" t="s">
        <v>5</v>
      </c>
    </row>
    <row r="1273" spans="1:4" ht="15" customHeight="1" x14ac:dyDescent="0.25">
      <c r="A1273" s="2" t="str">
        <f>"03018607005"</f>
        <v>03018607005</v>
      </c>
      <c r="B1273" s="2" t="s">
        <v>1276</v>
      </c>
      <c r="C1273" s="2">
        <v>4246.71</v>
      </c>
      <c r="D1273" s="2" t="s">
        <v>5</v>
      </c>
    </row>
    <row r="1274" spans="1:4" ht="15" customHeight="1" x14ac:dyDescent="0.25">
      <c r="A1274" s="2" t="str">
        <f>"03018607126"</f>
        <v>03018607126</v>
      </c>
      <c r="B1274" s="2" t="s">
        <v>1277</v>
      </c>
      <c r="C1274" s="2">
        <v>5519</v>
      </c>
      <c r="D1274" s="2" t="s">
        <v>5</v>
      </c>
    </row>
    <row r="1275" spans="1:4" ht="15" customHeight="1" x14ac:dyDescent="0.25">
      <c r="A1275" s="2" t="str">
        <f>"03018607010"</f>
        <v>03018607010</v>
      </c>
      <c r="B1275" s="2" t="s">
        <v>1278</v>
      </c>
      <c r="C1275" s="2">
        <v>4763.99</v>
      </c>
      <c r="D1275" s="2" t="s">
        <v>5</v>
      </c>
    </row>
    <row r="1276" spans="1:4" ht="15" customHeight="1" x14ac:dyDescent="0.25">
      <c r="A1276" s="2" t="str">
        <f>"03018607127"</f>
        <v>03018607127</v>
      </c>
      <c r="B1276" s="2" t="s">
        <v>1279</v>
      </c>
      <c r="C1276" s="2">
        <v>6140.67</v>
      </c>
      <c r="D1276" s="2" t="s">
        <v>5</v>
      </c>
    </row>
    <row r="1277" spans="1:4" ht="15" customHeight="1" x14ac:dyDescent="0.25">
      <c r="A1277" s="2" t="str">
        <f>"03018607015"</f>
        <v>03018607015</v>
      </c>
      <c r="B1277" s="2" t="s">
        <v>1280</v>
      </c>
      <c r="C1277" s="2">
        <v>5324.9</v>
      </c>
      <c r="D1277" s="2" t="s">
        <v>5</v>
      </c>
    </row>
    <row r="1278" spans="1:4" ht="15" customHeight="1" x14ac:dyDescent="0.25">
      <c r="A1278" s="2" t="str">
        <f>"03018607130"</f>
        <v>03018607130</v>
      </c>
      <c r="B1278" s="2" t="s">
        <v>1281</v>
      </c>
      <c r="C1278" s="2">
        <v>6597.41</v>
      </c>
      <c r="D1278" s="2" t="s">
        <v>5</v>
      </c>
    </row>
    <row r="1279" spans="1:4" ht="15" customHeight="1" x14ac:dyDescent="0.25">
      <c r="A1279" s="2" t="str">
        <f>"03018607020"</f>
        <v>03018607020</v>
      </c>
      <c r="B1279" s="2" t="s">
        <v>1282</v>
      </c>
      <c r="C1279" s="2">
        <v>5960.31</v>
      </c>
      <c r="D1279" s="2" t="s">
        <v>5</v>
      </c>
    </row>
    <row r="1280" spans="1:4" ht="15" customHeight="1" x14ac:dyDescent="0.25">
      <c r="A1280" s="2" t="str">
        <f>"03018607132"</f>
        <v>03018607132</v>
      </c>
      <c r="B1280" s="2" t="s">
        <v>1283</v>
      </c>
      <c r="C1280" s="2">
        <v>6914.6</v>
      </c>
      <c r="D1280" s="2" t="s">
        <v>5</v>
      </c>
    </row>
    <row r="1281" spans="1:4" ht="15" customHeight="1" x14ac:dyDescent="0.25">
      <c r="A1281" s="2" t="str">
        <f>"03018607025"</f>
        <v>03018607025</v>
      </c>
      <c r="B1281" s="2" t="s">
        <v>1284</v>
      </c>
      <c r="C1281" s="2">
        <v>6457.35</v>
      </c>
      <c r="D1281" s="2" t="s">
        <v>5</v>
      </c>
    </row>
    <row r="1282" spans="1:4" ht="15" customHeight="1" x14ac:dyDescent="0.25">
      <c r="A1282" s="2" t="str">
        <f>"03018607135"</f>
        <v>03018607135</v>
      </c>
      <c r="B1282" s="2" t="s">
        <v>1285</v>
      </c>
      <c r="C1282" s="2">
        <v>8031.09</v>
      </c>
      <c r="D1282" s="2" t="s">
        <v>5</v>
      </c>
    </row>
    <row r="1283" spans="1:4" ht="15" customHeight="1" x14ac:dyDescent="0.25">
      <c r="A1283" s="2" t="str">
        <f>"03018607030"</f>
        <v>03018607030</v>
      </c>
      <c r="B1283" s="2" t="s">
        <v>1286</v>
      </c>
      <c r="C1283" s="2">
        <v>7368.42</v>
      </c>
      <c r="D1283" s="2" t="s">
        <v>5</v>
      </c>
    </row>
    <row r="1284" spans="1:4" ht="15" customHeight="1" x14ac:dyDescent="0.25">
      <c r="A1284" s="2" t="str">
        <f>"03018607035"</f>
        <v>03018607035</v>
      </c>
      <c r="B1284" s="2" t="s">
        <v>1287</v>
      </c>
      <c r="C1284" s="2">
        <v>8044.29</v>
      </c>
      <c r="D1284" s="2" t="s">
        <v>5</v>
      </c>
    </row>
    <row r="1285" spans="1:4" ht="15" customHeight="1" x14ac:dyDescent="0.25">
      <c r="A1285" s="2" t="str">
        <f>"03018607128"</f>
        <v>03018607128</v>
      </c>
      <c r="B1285" s="2" t="s">
        <v>1288</v>
      </c>
      <c r="C1285" s="2">
        <v>9008.01</v>
      </c>
      <c r="D1285" s="2" t="s">
        <v>5</v>
      </c>
    </row>
    <row r="1286" spans="1:4" ht="15" customHeight="1" x14ac:dyDescent="0.25">
      <c r="A1286" s="2" t="str">
        <f>"03018607100"</f>
        <v>03018607100</v>
      </c>
      <c r="B1286" s="2" t="s">
        <v>1289</v>
      </c>
      <c r="C1286" s="2">
        <v>5401.52</v>
      </c>
      <c r="D1286" s="2" t="s">
        <v>5</v>
      </c>
    </row>
    <row r="1287" spans="1:4" ht="15" customHeight="1" x14ac:dyDescent="0.25">
      <c r="A1287" s="2" t="str">
        <f>"03018607137"</f>
        <v>03018607137</v>
      </c>
      <c r="B1287" s="2" t="s">
        <v>1290</v>
      </c>
      <c r="C1287" s="2">
        <v>8272.14</v>
      </c>
      <c r="D1287" s="2" t="s">
        <v>5</v>
      </c>
    </row>
    <row r="1288" spans="1:4" ht="15" customHeight="1" x14ac:dyDescent="0.25">
      <c r="A1288" s="2" t="str">
        <f>"03018607105"</f>
        <v>03018607105</v>
      </c>
      <c r="B1288" s="2" t="s">
        <v>1291</v>
      </c>
      <c r="C1288" s="2">
        <v>6466.92</v>
      </c>
      <c r="D1288" s="2" t="s">
        <v>5</v>
      </c>
    </row>
    <row r="1289" spans="1:4" ht="15" customHeight="1" x14ac:dyDescent="0.25">
      <c r="A1289" s="2" t="str">
        <f>"03018607138"</f>
        <v>03018607138</v>
      </c>
      <c r="B1289" s="2" t="s">
        <v>1292</v>
      </c>
      <c r="C1289" s="2">
        <v>8640.08</v>
      </c>
      <c r="D1289" s="2" t="s">
        <v>5</v>
      </c>
    </row>
    <row r="1290" spans="1:4" ht="15" customHeight="1" x14ac:dyDescent="0.25">
      <c r="A1290" s="2" t="str">
        <f>"03018607110"</f>
        <v>03018607110</v>
      </c>
      <c r="B1290" s="2" t="s">
        <v>1293</v>
      </c>
      <c r="C1290" s="2">
        <v>6939.5</v>
      </c>
      <c r="D1290" s="2" t="s">
        <v>5</v>
      </c>
    </row>
    <row r="1291" spans="1:4" ht="15" customHeight="1" x14ac:dyDescent="0.25">
      <c r="A1291" s="2" t="str">
        <f>"03018607136"</f>
        <v>03018607136</v>
      </c>
      <c r="B1291" s="2" t="s">
        <v>1294</v>
      </c>
      <c r="C1291" s="2">
        <v>9134.8799999999992</v>
      </c>
      <c r="D1291" s="2" t="s">
        <v>5</v>
      </c>
    </row>
    <row r="1292" spans="1:4" ht="15" customHeight="1" x14ac:dyDescent="0.25">
      <c r="A1292" s="2" t="str">
        <f>"03018607115"</f>
        <v>03018607115</v>
      </c>
      <c r="B1292" s="2" t="s">
        <v>1295</v>
      </c>
      <c r="C1292" s="2">
        <v>7955.94</v>
      </c>
      <c r="D1292" s="2" t="s">
        <v>5</v>
      </c>
    </row>
    <row r="1293" spans="1:4" ht="15" customHeight="1" x14ac:dyDescent="0.25">
      <c r="A1293" s="2" t="str">
        <f>"03018607140"</f>
        <v>03018607140</v>
      </c>
      <c r="B1293" s="2" t="s">
        <v>1296</v>
      </c>
      <c r="C1293" s="2">
        <v>10035.68</v>
      </c>
      <c r="D1293" s="2" t="s">
        <v>5</v>
      </c>
    </row>
    <row r="1294" spans="1:4" ht="15" customHeight="1" x14ac:dyDescent="0.25">
      <c r="A1294" s="2" t="str">
        <f>"03018607120"</f>
        <v>03018607120</v>
      </c>
      <c r="B1294" s="2" t="s">
        <v>1297</v>
      </c>
      <c r="C1294" s="2">
        <v>8959.6200000000008</v>
      </c>
      <c r="D1294" s="2" t="s">
        <v>5</v>
      </c>
    </row>
    <row r="1295" spans="1:4" ht="15" customHeight="1" x14ac:dyDescent="0.25">
      <c r="A1295" s="2" t="str">
        <f>"03018607141"</f>
        <v>03018607141</v>
      </c>
      <c r="B1295" s="2" t="s">
        <v>1298</v>
      </c>
      <c r="C1295" s="2">
        <v>10606.61</v>
      </c>
      <c r="D1295" s="2" t="s">
        <v>5</v>
      </c>
    </row>
    <row r="1296" spans="1:4" ht="15" customHeight="1" x14ac:dyDescent="0.25">
      <c r="A1296" s="2" t="str">
        <f>"03018607125"</f>
        <v>03018607125</v>
      </c>
      <c r="B1296" s="2" t="s">
        <v>1299</v>
      </c>
      <c r="C1296" s="2">
        <v>10521</v>
      </c>
      <c r="D1296" s="2" t="s">
        <v>5</v>
      </c>
    </row>
    <row r="1297" spans="1:4" ht="15" customHeight="1" x14ac:dyDescent="0.25">
      <c r="A1297" s="2" t="str">
        <f>"03018607142"</f>
        <v>03018607142</v>
      </c>
      <c r="B1297" s="2" t="s">
        <v>1300</v>
      </c>
      <c r="C1297" s="2">
        <v>12357.47</v>
      </c>
      <c r="D1297" s="2" t="s">
        <v>5</v>
      </c>
    </row>
    <row r="1298" spans="1:4" ht="15" customHeight="1" x14ac:dyDescent="0.25">
      <c r="A1298" s="2" t="str">
        <f>"03060000070"</f>
        <v>03060000070</v>
      </c>
      <c r="B1298" s="2" t="s">
        <v>1301</v>
      </c>
      <c r="C1298" s="2">
        <v>4542.0600000000004</v>
      </c>
      <c r="D1298" s="2" t="s">
        <v>5</v>
      </c>
    </row>
    <row r="1299" spans="1:4" ht="15" customHeight="1" x14ac:dyDescent="0.25">
      <c r="A1299" s="2" t="str">
        <f>"03060000075"</f>
        <v>03060000075</v>
      </c>
      <c r="B1299" s="2" t="s">
        <v>1302</v>
      </c>
      <c r="C1299" s="2">
        <v>5176.4399999999996</v>
      </c>
      <c r="D1299" s="2" t="s">
        <v>5</v>
      </c>
    </row>
    <row r="1300" spans="1:4" ht="15" customHeight="1" x14ac:dyDescent="0.25">
      <c r="A1300" s="2" t="str">
        <f>"03060000080"</f>
        <v>03060000080</v>
      </c>
      <c r="B1300" s="2" t="s">
        <v>1303</v>
      </c>
      <c r="C1300" s="2">
        <v>5582.43</v>
      </c>
      <c r="D1300" s="2" t="s">
        <v>5</v>
      </c>
    </row>
    <row r="1301" spans="1:4" ht="15" customHeight="1" x14ac:dyDescent="0.25">
      <c r="A1301" s="2" t="str">
        <f>"05021000715"</f>
        <v>05021000715</v>
      </c>
      <c r="B1301" s="2" t="s">
        <v>1304</v>
      </c>
      <c r="C1301" s="2">
        <v>1499.43</v>
      </c>
      <c r="D1301" s="2" t="s">
        <v>5</v>
      </c>
    </row>
    <row r="1302" spans="1:4" ht="15" customHeight="1" x14ac:dyDescent="0.25">
      <c r="A1302" s="2" t="str">
        <f>"01003000991"</f>
        <v>01003000991</v>
      </c>
      <c r="B1302" s="2" t="s">
        <v>1305</v>
      </c>
      <c r="C1302" s="2">
        <v>9.86</v>
      </c>
      <c r="D1302" s="2" t="s">
        <v>107</v>
      </c>
    </row>
    <row r="1303" spans="1:4" ht="15" customHeight="1" x14ac:dyDescent="0.25">
      <c r="A1303" s="2" t="str">
        <f>"01003000992"</f>
        <v>01003000992</v>
      </c>
      <c r="B1303" s="2" t="s">
        <v>1306</v>
      </c>
      <c r="C1303" s="2">
        <v>10.25</v>
      </c>
      <c r="D1303" s="2" t="s">
        <v>107</v>
      </c>
    </row>
    <row r="1304" spans="1:4" ht="15" customHeight="1" x14ac:dyDescent="0.25">
      <c r="A1304" s="2" t="str">
        <f>"01003000994"</f>
        <v>01003000994</v>
      </c>
      <c r="B1304" s="2" t="s">
        <v>1307</v>
      </c>
      <c r="C1304" s="2">
        <v>10.52</v>
      </c>
      <c r="D1304" s="2" t="s">
        <v>107</v>
      </c>
    </row>
    <row r="1305" spans="1:4" ht="15" customHeight="1" x14ac:dyDescent="0.25">
      <c r="A1305" s="2" t="str">
        <f>"01003000996"</f>
        <v>01003000996</v>
      </c>
      <c r="B1305" s="2" t="s">
        <v>1308</v>
      </c>
      <c r="C1305" s="2">
        <v>11.27</v>
      </c>
      <c r="D1305" s="2" t="s">
        <v>107</v>
      </c>
    </row>
    <row r="1306" spans="1:4" ht="15" customHeight="1" x14ac:dyDescent="0.25">
      <c r="A1306" s="2" t="str">
        <f>"03058000121"</f>
        <v>03058000121</v>
      </c>
      <c r="B1306" s="2" t="s">
        <v>1309</v>
      </c>
      <c r="C1306" s="2">
        <v>4766.51</v>
      </c>
      <c r="D1306" s="2" t="s">
        <v>5</v>
      </c>
    </row>
    <row r="1307" spans="1:4" ht="15" customHeight="1" x14ac:dyDescent="0.25">
      <c r="A1307" s="2" t="str">
        <f>"03058000101"</f>
        <v>03058000101</v>
      </c>
      <c r="B1307" s="2" t="s">
        <v>1310</v>
      </c>
      <c r="C1307" s="2">
        <v>4440.59</v>
      </c>
      <c r="D1307" s="2" t="s">
        <v>5</v>
      </c>
    </row>
    <row r="1308" spans="1:4" ht="15" customHeight="1" x14ac:dyDescent="0.25">
      <c r="A1308" s="2" t="str">
        <f>"03018608000"</f>
        <v>03018608000</v>
      </c>
      <c r="B1308" s="2" t="s">
        <v>1311</v>
      </c>
      <c r="C1308" s="2">
        <v>2893.85</v>
      </c>
      <c r="D1308" s="2" t="s">
        <v>5</v>
      </c>
    </row>
    <row r="1309" spans="1:4" ht="15" customHeight="1" x14ac:dyDescent="0.25">
      <c r="A1309" s="2" t="str">
        <f>"03018600334"</f>
        <v>03018600334</v>
      </c>
      <c r="B1309" s="2" t="s">
        <v>1312</v>
      </c>
      <c r="C1309" s="2">
        <v>2803.91</v>
      </c>
      <c r="D1309" s="2" t="s">
        <v>5</v>
      </c>
    </row>
    <row r="1310" spans="1:4" ht="15" customHeight="1" x14ac:dyDescent="0.25">
      <c r="A1310" s="2" t="str">
        <f>"03018608003"</f>
        <v>03018608003</v>
      </c>
      <c r="B1310" s="2" t="s">
        <v>1313</v>
      </c>
      <c r="C1310" s="2">
        <v>2993.16</v>
      </c>
      <c r="D1310" s="2" t="s">
        <v>5</v>
      </c>
    </row>
    <row r="1311" spans="1:4" ht="15" customHeight="1" x14ac:dyDescent="0.25">
      <c r="A1311" s="2" t="str">
        <f>"03018600335"</f>
        <v>03018600335</v>
      </c>
      <c r="B1311" s="2" t="s">
        <v>1314</v>
      </c>
      <c r="C1311" s="2">
        <v>2905.41</v>
      </c>
      <c r="D1311" s="2" t="s">
        <v>5</v>
      </c>
    </row>
    <row r="1312" spans="1:4" ht="15" customHeight="1" x14ac:dyDescent="0.25">
      <c r="A1312" s="2" t="str">
        <f>"03018608005"</f>
        <v>03018608005</v>
      </c>
      <c r="B1312" s="2" t="s">
        <v>1315</v>
      </c>
      <c r="C1312" s="2">
        <v>3133.89</v>
      </c>
      <c r="D1312" s="2" t="s">
        <v>5</v>
      </c>
    </row>
    <row r="1313" spans="1:4" ht="15" customHeight="1" x14ac:dyDescent="0.25">
      <c r="A1313" s="2" t="str">
        <f>"03018600336"</f>
        <v>03018600336</v>
      </c>
      <c r="B1313" s="2" t="s">
        <v>1316</v>
      </c>
      <c r="C1313" s="2">
        <v>3006.9</v>
      </c>
      <c r="D1313" s="2" t="s">
        <v>5</v>
      </c>
    </row>
    <row r="1314" spans="1:4" ht="15" customHeight="1" x14ac:dyDescent="0.25">
      <c r="A1314" s="2" t="str">
        <f>"03018608010"</f>
        <v>03018608010</v>
      </c>
      <c r="B1314" s="2" t="s">
        <v>1317</v>
      </c>
      <c r="C1314" s="2">
        <v>3311.28</v>
      </c>
      <c r="D1314" s="2" t="s">
        <v>5</v>
      </c>
    </row>
    <row r="1315" spans="1:4" ht="15" customHeight="1" x14ac:dyDescent="0.25">
      <c r="A1315" s="2" t="str">
        <f>"03018600337"</f>
        <v>03018600337</v>
      </c>
      <c r="B1315" s="2" t="s">
        <v>1318</v>
      </c>
      <c r="C1315" s="2">
        <v>3133.79</v>
      </c>
      <c r="D1315" s="2" t="s">
        <v>5</v>
      </c>
    </row>
    <row r="1316" spans="1:4" ht="15" customHeight="1" x14ac:dyDescent="0.25">
      <c r="A1316" s="2" t="str">
        <f>"03018608015"</f>
        <v>03018608015</v>
      </c>
      <c r="B1316" s="2" t="s">
        <v>1319</v>
      </c>
      <c r="C1316" s="2">
        <v>3429.54</v>
      </c>
      <c r="D1316" s="2" t="s">
        <v>5</v>
      </c>
    </row>
    <row r="1317" spans="1:4" ht="15" customHeight="1" x14ac:dyDescent="0.25">
      <c r="A1317" s="2" t="str">
        <f>"03018600340"</f>
        <v>03018600340</v>
      </c>
      <c r="B1317" s="2" t="s">
        <v>1320</v>
      </c>
      <c r="C1317" s="2">
        <v>3450.95</v>
      </c>
      <c r="D1317" s="2" t="s">
        <v>5</v>
      </c>
    </row>
    <row r="1318" spans="1:4" ht="15" customHeight="1" x14ac:dyDescent="0.25">
      <c r="A1318" s="2" t="str">
        <f>"03018608020"</f>
        <v>03018608020</v>
      </c>
      <c r="B1318" s="2" t="s">
        <v>1321</v>
      </c>
      <c r="C1318" s="2">
        <v>3754.76</v>
      </c>
      <c r="D1318" s="2" t="s">
        <v>5</v>
      </c>
    </row>
    <row r="1319" spans="1:4" ht="15" customHeight="1" x14ac:dyDescent="0.25">
      <c r="A1319" s="2" t="str">
        <f>"03018600345"</f>
        <v>03018600345</v>
      </c>
      <c r="B1319" s="2" t="s">
        <v>1322</v>
      </c>
      <c r="C1319" s="2">
        <v>3920.39</v>
      </c>
      <c r="D1319" s="2" t="s">
        <v>5</v>
      </c>
    </row>
    <row r="1320" spans="1:4" ht="15" customHeight="1" x14ac:dyDescent="0.25">
      <c r="A1320" s="2" t="str">
        <f>"03018600346"</f>
        <v>03018600346</v>
      </c>
      <c r="B1320" s="2" t="s">
        <v>1323</v>
      </c>
      <c r="C1320" s="2">
        <v>4922.7</v>
      </c>
      <c r="D1320" s="2" t="s">
        <v>5</v>
      </c>
    </row>
    <row r="1321" spans="1:4" ht="15" customHeight="1" x14ac:dyDescent="0.25">
      <c r="A1321" s="2" t="str">
        <f>"03018608025"</f>
        <v>03018608025</v>
      </c>
      <c r="B1321" s="2" t="s">
        <v>1324</v>
      </c>
      <c r="C1321" s="2">
        <v>5498.85</v>
      </c>
      <c r="D1321" s="2" t="s">
        <v>5</v>
      </c>
    </row>
    <row r="1322" spans="1:4" ht="15" customHeight="1" x14ac:dyDescent="0.25">
      <c r="A1322" s="2" t="str">
        <f>"03018600347"</f>
        <v>03018600347</v>
      </c>
      <c r="B1322" s="2" t="s">
        <v>1325</v>
      </c>
      <c r="C1322" s="2">
        <v>5239.88</v>
      </c>
      <c r="D1322" s="2" t="s">
        <v>5</v>
      </c>
    </row>
    <row r="1323" spans="1:4" ht="15" customHeight="1" x14ac:dyDescent="0.25">
      <c r="A1323" s="2" t="str">
        <f>"03018608030"</f>
        <v>03018608030</v>
      </c>
      <c r="B1323" s="2" t="s">
        <v>1326</v>
      </c>
      <c r="C1323" s="2">
        <v>6415.61</v>
      </c>
      <c r="D1323" s="2" t="s">
        <v>5</v>
      </c>
    </row>
    <row r="1324" spans="1:4" ht="15" customHeight="1" x14ac:dyDescent="0.25">
      <c r="A1324" s="2" t="str">
        <f>"03018600348"</f>
        <v>03018600348</v>
      </c>
      <c r="B1324" s="2" t="s">
        <v>1327</v>
      </c>
      <c r="C1324" s="2">
        <v>5658.56</v>
      </c>
      <c r="D1324" s="2" t="s">
        <v>5</v>
      </c>
    </row>
    <row r="1325" spans="1:4" ht="15" customHeight="1" x14ac:dyDescent="0.25">
      <c r="A1325" s="2" t="str">
        <f>"03018608035"</f>
        <v>03018608035</v>
      </c>
      <c r="B1325" s="2" t="s">
        <v>1328</v>
      </c>
      <c r="C1325" s="2">
        <v>6681.69</v>
      </c>
      <c r="D1325" s="2" t="s">
        <v>5</v>
      </c>
    </row>
    <row r="1326" spans="1:4" ht="15" customHeight="1" x14ac:dyDescent="0.25">
      <c r="A1326" s="2" t="str">
        <f>"03018600349"</f>
        <v>03018600349</v>
      </c>
      <c r="B1326" s="2" t="s">
        <v>1329</v>
      </c>
      <c r="C1326" s="2">
        <v>6026.48</v>
      </c>
      <c r="D1326" s="2" t="s">
        <v>5</v>
      </c>
    </row>
    <row r="1327" spans="1:4" ht="15" customHeight="1" x14ac:dyDescent="0.25">
      <c r="A1327" s="2" t="str">
        <f>"03018608040"</f>
        <v>03018608040</v>
      </c>
      <c r="B1327" s="2" t="s">
        <v>1330</v>
      </c>
      <c r="C1327" s="2">
        <v>6918.21</v>
      </c>
      <c r="D1327" s="2" t="s">
        <v>5</v>
      </c>
    </row>
    <row r="1328" spans="1:4" ht="15" customHeight="1" x14ac:dyDescent="0.25">
      <c r="A1328" s="2" t="str">
        <f>"03018600350"</f>
        <v>03018600350</v>
      </c>
      <c r="B1328" s="2" t="s">
        <v>1331</v>
      </c>
      <c r="C1328" s="2">
        <v>6445.17</v>
      </c>
      <c r="D1328" s="2" t="s">
        <v>5</v>
      </c>
    </row>
    <row r="1329" spans="1:4" ht="15" customHeight="1" x14ac:dyDescent="0.25">
      <c r="A1329" s="2" t="str">
        <f>"03018608045"</f>
        <v>03018608045</v>
      </c>
      <c r="B1329" s="2" t="s">
        <v>1332</v>
      </c>
      <c r="C1329" s="2">
        <v>7686.9</v>
      </c>
      <c r="D1329" s="2" t="s">
        <v>5</v>
      </c>
    </row>
    <row r="1330" spans="1:4" ht="15" customHeight="1" x14ac:dyDescent="0.25">
      <c r="A1330" s="2" t="str">
        <f>"03018600351"</f>
        <v>03018600351</v>
      </c>
      <c r="B1330" s="2" t="s">
        <v>1333</v>
      </c>
      <c r="C1330" s="2">
        <v>6927.27</v>
      </c>
      <c r="D1330" s="2" t="s">
        <v>5</v>
      </c>
    </row>
    <row r="1331" spans="1:4" ht="15" customHeight="1" x14ac:dyDescent="0.25">
      <c r="A1331" s="2" t="str">
        <f>"03018600352"</f>
        <v>03018600352</v>
      </c>
      <c r="B1331" s="2" t="s">
        <v>1334</v>
      </c>
      <c r="C1331" s="2">
        <v>3907.7</v>
      </c>
      <c r="D1331" s="2" t="s">
        <v>5</v>
      </c>
    </row>
    <row r="1332" spans="1:4" ht="15" customHeight="1" x14ac:dyDescent="0.25">
      <c r="A1332" s="2" t="str">
        <f>"03018600353"</f>
        <v>03018600353</v>
      </c>
      <c r="B1332" s="2" t="s">
        <v>1335</v>
      </c>
      <c r="C1332" s="2">
        <v>4339.07</v>
      </c>
      <c r="D1332" s="2" t="s">
        <v>5</v>
      </c>
    </row>
    <row r="1333" spans="1:4" ht="15" customHeight="1" x14ac:dyDescent="0.25">
      <c r="A1333" s="2" t="str">
        <f>"03018600355"</f>
        <v>03018600355</v>
      </c>
      <c r="B1333" s="2" t="s">
        <v>1336</v>
      </c>
      <c r="C1333" s="2">
        <v>4542.0600000000004</v>
      </c>
      <c r="D1333" s="2" t="s">
        <v>5</v>
      </c>
    </row>
    <row r="1334" spans="1:4" ht="15" customHeight="1" x14ac:dyDescent="0.25">
      <c r="A1334" s="2" t="str">
        <f>"03018600360"</f>
        <v>03018600360</v>
      </c>
      <c r="B1334" s="2" t="s">
        <v>1337</v>
      </c>
      <c r="C1334" s="2">
        <v>4910</v>
      </c>
      <c r="D1334" s="2" t="s">
        <v>5</v>
      </c>
    </row>
    <row r="1335" spans="1:4" ht="15" customHeight="1" x14ac:dyDescent="0.25">
      <c r="A1335" s="2" t="str">
        <f>"03018600365"</f>
        <v>03018600365</v>
      </c>
      <c r="B1335" s="2" t="s">
        <v>1338</v>
      </c>
      <c r="C1335" s="2">
        <v>5366.73</v>
      </c>
      <c r="D1335" s="2" t="s">
        <v>5</v>
      </c>
    </row>
    <row r="1336" spans="1:4" ht="15" customHeight="1" x14ac:dyDescent="0.25">
      <c r="A1336" s="2" t="str">
        <f>"03018600367"</f>
        <v>03018600367</v>
      </c>
      <c r="B1336" s="2" t="s">
        <v>1339</v>
      </c>
      <c r="C1336" s="2">
        <v>5848.86</v>
      </c>
      <c r="D1336" s="2" t="s">
        <v>5</v>
      </c>
    </row>
    <row r="1337" spans="1:4" ht="15" customHeight="1" x14ac:dyDescent="0.25">
      <c r="A1337" s="2" t="str">
        <f>"03018600368"</f>
        <v>03018600368</v>
      </c>
      <c r="B1337" s="2" t="s">
        <v>1340</v>
      </c>
      <c r="C1337" s="2">
        <v>6749.67</v>
      </c>
      <c r="D1337" s="2" t="s">
        <v>5</v>
      </c>
    </row>
    <row r="1338" spans="1:4" ht="15" customHeight="1" x14ac:dyDescent="0.25">
      <c r="A1338" s="2" t="str">
        <f>"03018600369"</f>
        <v>03018600369</v>
      </c>
      <c r="B1338" s="2" t="s">
        <v>1341</v>
      </c>
      <c r="C1338" s="2">
        <v>7257.15</v>
      </c>
      <c r="D1338" s="2" t="s">
        <v>5</v>
      </c>
    </row>
    <row r="1339" spans="1:4" ht="15" customHeight="1" x14ac:dyDescent="0.25">
      <c r="A1339" s="2" t="str">
        <f>"03018600370"</f>
        <v>03018600370</v>
      </c>
      <c r="B1339" s="2" t="s">
        <v>1342</v>
      </c>
      <c r="C1339" s="2">
        <v>7802.72</v>
      </c>
      <c r="D1339" s="2" t="s">
        <v>5</v>
      </c>
    </row>
    <row r="1340" spans="1:4" ht="15" customHeight="1" x14ac:dyDescent="0.25">
      <c r="A1340" s="2" t="str">
        <f>"03018600371"</f>
        <v>03018600371</v>
      </c>
      <c r="B1340" s="2" t="s">
        <v>1343</v>
      </c>
      <c r="C1340" s="2">
        <v>8183.33</v>
      </c>
      <c r="D1340" s="2" t="s">
        <v>5</v>
      </c>
    </row>
    <row r="1341" spans="1:4" ht="15" customHeight="1" x14ac:dyDescent="0.25">
      <c r="A1341" s="2" t="str">
        <f>"03018600372"</f>
        <v>03018600372</v>
      </c>
      <c r="B1341" s="2" t="s">
        <v>1344</v>
      </c>
      <c r="C1341" s="2">
        <v>8906.51</v>
      </c>
      <c r="D1341" s="2" t="s">
        <v>5</v>
      </c>
    </row>
    <row r="1342" spans="1:4" ht="15" customHeight="1" x14ac:dyDescent="0.25">
      <c r="A1342" s="2" t="str">
        <f>"03018600373"</f>
        <v>03018600373</v>
      </c>
      <c r="B1342" s="2" t="s">
        <v>1345</v>
      </c>
      <c r="C1342" s="2">
        <v>10048.370000000001</v>
      </c>
      <c r="D1342" s="2" t="s">
        <v>5</v>
      </c>
    </row>
    <row r="1343" spans="1:4" ht="15" customHeight="1" x14ac:dyDescent="0.25">
      <c r="A1343" s="2" t="str">
        <f>"03010000335"</f>
        <v>03010000335</v>
      </c>
      <c r="B1343" s="2" t="s">
        <v>1346</v>
      </c>
      <c r="C1343" s="2">
        <v>3037.83</v>
      </c>
      <c r="D1343" s="2" t="s">
        <v>5</v>
      </c>
    </row>
    <row r="1344" spans="1:4" ht="15" customHeight="1" x14ac:dyDescent="0.25">
      <c r="A1344" s="2" t="str">
        <f>"03010000325"</f>
        <v>03010000325</v>
      </c>
      <c r="B1344" s="2" t="s">
        <v>1347</v>
      </c>
      <c r="C1344" s="2">
        <v>2936.58</v>
      </c>
      <c r="D1344" s="2" t="s">
        <v>5</v>
      </c>
    </row>
    <row r="1345" spans="1:4" ht="15" customHeight="1" x14ac:dyDescent="0.25">
      <c r="A1345" s="2" t="str">
        <f>"08500000110"</f>
        <v>08500000110</v>
      </c>
      <c r="B1345" s="2" t="s">
        <v>1348</v>
      </c>
      <c r="C1345" s="2">
        <v>3598.71</v>
      </c>
      <c r="D1345" s="2" t="s">
        <v>5</v>
      </c>
    </row>
    <row r="1346" spans="1:4" ht="15" customHeight="1" x14ac:dyDescent="0.25">
      <c r="A1346" s="2" t="str">
        <f>"08500000115"</f>
        <v>08500000115</v>
      </c>
      <c r="B1346" s="2" t="s">
        <v>1349</v>
      </c>
      <c r="C1346" s="2">
        <v>3761.27</v>
      </c>
      <c r="D1346" s="2" t="s">
        <v>5</v>
      </c>
    </row>
    <row r="1347" spans="1:4" ht="15" customHeight="1" x14ac:dyDescent="0.25">
      <c r="A1347" s="2" t="str">
        <f>"08500000120"</f>
        <v>08500000120</v>
      </c>
      <c r="B1347" s="2" t="s">
        <v>1350</v>
      </c>
      <c r="C1347" s="2">
        <v>3925.64</v>
      </c>
      <c r="D1347" s="2" t="s">
        <v>5</v>
      </c>
    </row>
    <row r="1348" spans="1:4" ht="15" customHeight="1" x14ac:dyDescent="0.25">
      <c r="A1348" s="2" t="str">
        <f>"08500000125"</f>
        <v>08500000125</v>
      </c>
      <c r="B1348" s="2" t="s">
        <v>1351</v>
      </c>
      <c r="C1348" s="2">
        <v>4089.66</v>
      </c>
      <c r="D1348" s="2" t="s">
        <v>5</v>
      </c>
    </row>
    <row r="1349" spans="1:4" ht="15" customHeight="1" x14ac:dyDescent="0.25">
      <c r="A1349" s="2" t="str">
        <f>"08500000130"</f>
        <v>08500000130</v>
      </c>
      <c r="B1349" s="2" t="s">
        <v>1352</v>
      </c>
      <c r="C1349" s="2">
        <v>4252.97</v>
      </c>
      <c r="D1349" s="2" t="s">
        <v>5</v>
      </c>
    </row>
    <row r="1350" spans="1:4" ht="15" customHeight="1" x14ac:dyDescent="0.25">
      <c r="A1350" s="2" t="str">
        <f>"08500000135"</f>
        <v>08500000135</v>
      </c>
      <c r="B1350" s="2" t="s">
        <v>1353</v>
      </c>
      <c r="C1350" s="2">
        <v>5051.45</v>
      </c>
      <c r="D1350" s="2" t="s">
        <v>5</v>
      </c>
    </row>
    <row r="1351" spans="1:4" ht="15" customHeight="1" x14ac:dyDescent="0.25">
      <c r="A1351" s="2" t="str">
        <f>"08500000140"</f>
        <v>08500000140</v>
      </c>
      <c r="B1351" s="2" t="s">
        <v>1354</v>
      </c>
      <c r="C1351" s="2">
        <v>5475.32</v>
      </c>
      <c r="D1351" s="2" t="s">
        <v>5</v>
      </c>
    </row>
    <row r="1352" spans="1:4" ht="15" customHeight="1" x14ac:dyDescent="0.25">
      <c r="A1352" s="2" t="str">
        <f>"08500000145"</f>
        <v>08500000145</v>
      </c>
      <c r="B1352" s="2" t="s">
        <v>1355</v>
      </c>
      <c r="C1352" s="2">
        <v>5263.44</v>
      </c>
      <c r="D1352" s="2" t="s">
        <v>5</v>
      </c>
    </row>
    <row r="1353" spans="1:4" ht="15" customHeight="1" x14ac:dyDescent="0.25">
      <c r="A1353" s="2" t="str">
        <f>"08500000150"</f>
        <v>08500000150</v>
      </c>
      <c r="B1353" s="2" t="s">
        <v>1356</v>
      </c>
      <c r="C1353" s="2">
        <v>5567.87</v>
      </c>
      <c r="D1353" s="2" t="s">
        <v>5</v>
      </c>
    </row>
    <row r="1354" spans="1:4" ht="15" customHeight="1" x14ac:dyDescent="0.25">
      <c r="A1354" s="2" t="str">
        <f>"08500000155"</f>
        <v>08500000155</v>
      </c>
      <c r="B1354" s="2" t="s">
        <v>1357</v>
      </c>
      <c r="C1354" s="2">
        <v>5764.5</v>
      </c>
      <c r="D1354" s="2" t="s">
        <v>5</v>
      </c>
    </row>
    <row r="1355" spans="1:4" ht="15" customHeight="1" x14ac:dyDescent="0.25">
      <c r="A1355" s="2" t="str">
        <f>"08500000160"</f>
        <v>08500000160</v>
      </c>
      <c r="B1355" s="2" t="s">
        <v>1358</v>
      </c>
      <c r="C1355" s="2">
        <v>5961.95</v>
      </c>
      <c r="D1355" s="2" t="s">
        <v>5</v>
      </c>
    </row>
    <row r="1356" spans="1:4" ht="15" customHeight="1" x14ac:dyDescent="0.25">
      <c r="A1356" s="2" t="str">
        <f>"08500000165"</f>
        <v>08500000165</v>
      </c>
      <c r="B1356" s="2" t="s">
        <v>1359</v>
      </c>
      <c r="C1356" s="2">
        <v>6535.11</v>
      </c>
      <c r="D1356" s="2" t="s">
        <v>5</v>
      </c>
    </row>
    <row r="1357" spans="1:4" ht="15" customHeight="1" x14ac:dyDescent="0.25">
      <c r="A1357" s="2" t="str">
        <f>"08500000170"</f>
        <v>08500000170</v>
      </c>
      <c r="B1357" s="2" t="s">
        <v>1360</v>
      </c>
      <c r="C1357" s="2">
        <v>7064.96</v>
      </c>
      <c r="D1357" s="2" t="s">
        <v>5</v>
      </c>
    </row>
    <row r="1358" spans="1:4" ht="15" customHeight="1" x14ac:dyDescent="0.25">
      <c r="A1358" s="2" t="str">
        <f>"08500000175"</f>
        <v>08500000175</v>
      </c>
      <c r="B1358" s="2" t="s">
        <v>1361</v>
      </c>
      <c r="C1358" s="2">
        <v>7418.19</v>
      </c>
      <c r="D1358" s="2" t="s">
        <v>5</v>
      </c>
    </row>
    <row r="1359" spans="1:4" ht="15" customHeight="1" x14ac:dyDescent="0.25">
      <c r="A1359" s="2" t="str">
        <f>"03042000247"</f>
        <v>03042000247</v>
      </c>
      <c r="B1359" s="2" t="s">
        <v>1362</v>
      </c>
      <c r="C1359" s="2">
        <v>7574.34</v>
      </c>
      <c r="D1359" s="2" t="s">
        <v>5</v>
      </c>
    </row>
    <row r="1360" spans="1:4" ht="15" customHeight="1" x14ac:dyDescent="0.25">
      <c r="A1360" s="2" t="str">
        <f>"03042000248"</f>
        <v>03042000248</v>
      </c>
      <c r="B1360" s="2" t="s">
        <v>1363</v>
      </c>
      <c r="C1360" s="2">
        <v>8525.8799999999992</v>
      </c>
      <c r="D1360" s="2" t="s">
        <v>5</v>
      </c>
    </row>
    <row r="1361" spans="1:4" ht="15" customHeight="1" x14ac:dyDescent="0.25">
      <c r="A1361" s="2" t="str">
        <f>"03018300010"</f>
        <v>03018300010</v>
      </c>
      <c r="B1361" s="2" t="s">
        <v>1364</v>
      </c>
      <c r="C1361" s="2">
        <v>504.9</v>
      </c>
      <c r="D1361" s="2" t="s">
        <v>5</v>
      </c>
    </row>
    <row r="1362" spans="1:4" ht="15" customHeight="1" x14ac:dyDescent="0.25">
      <c r="A1362" s="2" t="str">
        <f>"03018300100"</f>
        <v>03018300100</v>
      </c>
      <c r="B1362" s="2" t="s">
        <v>1365</v>
      </c>
      <c r="C1362" s="2">
        <v>1335.68</v>
      </c>
      <c r="D1362" s="2" t="s">
        <v>5</v>
      </c>
    </row>
    <row r="1363" spans="1:4" ht="15" customHeight="1" x14ac:dyDescent="0.25">
      <c r="A1363" s="2" t="str">
        <f>"03018300020"</f>
        <v>03018300020</v>
      </c>
      <c r="B1363" s="2" t="s">
        <v>1366</v>
      </c>
      <c r="C1363" s="2">
        <v>617.96</v>
      </c>
      <c r="D1363" s="2" t="s">
        <v>5</v>
      </c>
    </row>
    <row r="1364" spans="1:4" ht="15" customHeight="1" x14ac:dyDescent="0.25">
      <c r="A1364" s="2" t="str">
        <f>"03018300110"</f>
        <v>03018300110</v>
      </c>
      <c r="B1364" s="2" t="s">
        <v>1367</v>
      </c>
      <c r="C1364" s="2">
        <v>1485.9</v>
      </c>
      <c r="D1364" s="2" t="s">
        <v>5</v>
      </c>
    </row>
    <row r="1365" spans="1:4" ht="15" customHeight="1" x14ac:dyDescent="0.25">
      <c r="A1365" s="2" t="str">
        <f>"03018300120"</f>
        <v>03018300120</v>
      </c>
      <c r="B1365" s="2" t="s">
        <v>1368</v>
      </c>
      <c r="C1365" s="2">
        <v>1695.54</v>
      </c>
      <c r="D1365" s="2" t="s">
        <v>5</v>
      </c>
    </row>
    <row r="1366" spans="1:4" ht="15" customHeight="1" x14ac:dyDescent="0.25">
      <c r="A1366" s="2" t="str">
        <f>"03018300030"</f>
        <v>03018300030</v>
      </c>
      <c r="B1366" s="2" t="s">
        <v>1369</v>
      </c>
      <c r="C1366" s="2">
        <v>715.92</v>
      </c>
      <c r="D1366" s="2" t="s">
        <v>5</v>
      </c>
    </row>
    <row r="1367" spans="1:4" ht="15" customHeight="1" x14ac:dyDescent="0.25">
      <c r="A1367" s="2" t="str">
        <f>"03018300130"</f>
        <v>03018300130</v>
      </c>
      <c r="B1367" s="2" t="s">
        <v>1370</v>
      </c>
      <c r="C1367" s="2">
        <v>1895.19</v>
      </c>
      <c r="D1367" s="2" t="s">
        <v>5</v>
      </c>
    </row>
    <row r="1368" spans="1:4" ht="15" customHeight="1" x14ac:dyDescent="0.25">
      <c r="A1368" s="2" t="str">
        <f>"03018300040"</f>
        <v>03018300040</v>
      </c>
      <c r="B1368" s="2" t="s">
        <v>1371</v>
      </c>
      <c r="C1368" s="2">
        <v>821.43</v>
      </c>
      <c r="D1368" s="2" t="s">
        <v>5</v>
      </c>
    </row>
    <row r="1369" spans="1:4" ht="15" customHeight="1" x14ac:dyDescent="0.25">
      <c r="A1369" s="2" t="str">
        <f>"03018300050"</f>
        <v>03018300050</v>
      </c>
      <c r="B1369" s="2" t="s">
        <v>1372</v>
      </c>
      <c r="C1369" s="2">
        <v>926.88</v>
      </c>
      <c r="D1369" s="2" t="s">
        <v>5</v>
      </c>
    </row>
    <row r="1370" spans="1:4" ht="15" customHeight="1" x14ac:dyDescent="0.25">
      <c r="A1370" s="2" t="str">
        <f>"03018300140"</f>
        <v>03018300140</v>
      </c>
      <c r="B1370" s="2" t="s">
        <v>1373</v>
      </c>
      <c r="C1370" s="2">
        <v>3061.64</v>
      </c>
      <c r="D1370" s="2" t="s">
        <v>5</v>
      </c>
    </row>
    <row r="1371" spans="1:4" ht="15" customHeight="1" x14ac:dyDescent="0.25">
      <c r="A1371" s="2" t="str">
        <f>"03018300150"</f>
        <v>03018300150</v>
      </c>
      <c r="B1371" s="2" t="s">
        <v>1374</v>
      </c>
      <c r="C1371" s="2">
        <v>3351.87</v>
      </c>
      <c r="D1371" s="2" t="s">
        <v>5</v>
      </c>
    </row>
    <row r="1372" spans="1:4" ht="15" customHeight="1" x14ac:dyDescent="0.25">
      <c r="A1372" s="2" t="str">
        <f>"03042000246"</f>
        <v>03042000246</v>
      </c>
      <c r="B1372" s="2" t="s">
        <v>1375</v>
      </c>
      <c r="C1372" s="2">
        <v>15922.61</v>
      </c>
      <c r="D1372" s="2" t="s">
        <v>5</v>
      </c>
    </row>
    <row r="1373" spans="1:4" ht="15" customHeight="1" x14ac:dyDescent="0.25">
      <c r="A1373" s="2" t="str">
        <f>"03011000260"</f>
        <v>03011000260</v>
      </c>
      <c r="B1373" s="2" t="s">
        <v>1376</v>
      </c>
      <c r="C1373" s="2">
        <v>13099.97</v>
      </c>
      <c r="D1373" s="2" t="s">
        <v>5</v>
      </c>
    </row>
    <row r="1374" spans="1:4" ht="15" customHeight="1" x14ac:dyDescent="0.25">
      <c r="A1374" s="2" t="str">
        <f>"03011000270"</f>
        <v>03011000270</v>
      </c>
      <c r="B1374" s="2" t="s">
        <v>1377</v>
      </c>
      <c r="C1374" s="2">
        <v>15128.99</v>
      </c>
      <c r="D1374" s="2" t="s">
        <v>5</v>
      </c>
    </row>
    <row r="1375" spans="1:4" ht="15" customHeight="1" x14ac:dyDescent="0.25">
      <c r="A1375" s="2" t="str">
        <f>"03011000415"</f>
        <v>03011000415</v>
      </c>
      <c r="B1375" s="2" t="s">
        <v>1378</v>
      </c>
      <c r="C1375" s="2">
        <v>8796.69</v>
      </c>
      <c r="D1375" s="2" t="s">
        <v>5</v>
      </c>
    </row>
    <row r="1376" spans="1:4" ht="15" customHeight="1" x14ac:dyDescent="0.25">
      <c r="A1376" s="2" t="str">
        <f>"03011000420"</f>
        <v>03011000420</v>
      </c>
      <c r="B1376" s="2" t="s">
        <v>1379</v>
      </c>
      <c r="C1376" s="2">
        <v>9213.2999999999993</v>
      </c>
      <c r="D1376" s="2" t="s">
        <v>5</v>
      </c>
    </row>
    <row r="1377" spans="1:4" ht="15" customHeight="1" x14ac:dyDescent="0.25">
      <c r="A1377" s="2" t="str">
        <f>"03011000226"</f>
        <v>03011000226</v>
      </c>
      <c r="B1377" s="2" t="s">
        <v>1380</v>
      </c>
      <c r="C1377" s="2">
        <v>21795.89</v>
      </c>
      <c r="D1377" s="2" t="s">
        <v>5</v>
      </c>
    </row>
    <row r="1378" spans="1:4" ht="15" customHeight="1" x14ac:dyDescent="0.25">
      <c r="A1378" s="2" t="str">
        <f>"03011000240"</f>
        <v>03011000240</v>
      </c>
      <c r="B1378" s="2" t="s">
        <v>1381</v>
      </c>
      <c r="C1378" s="2">
        <v>75644.929999999993</v>
      </c>
      <c r="D1378" s="2" t="s">
        <v>5</v>
      </c>
    </row>
    <row r="1379" spans="1:4" ht="15" customHeight="1" x14ac:dyDescent="0.25">
      <c r="A1379" s="2" t="str">
        <f>"03011000230"</f>
        <v>03011000230</v>
      </c>
      <c r="B1379" s="2" t="s">
        <v>1382</v>
      </c>
      <c r="C1379" s="2">
        <v>60515.94</v>
      </c>
      <c r="D1379" s="2" t="s">
        <v>5</v>
      </c>
    </row>
    <row r="1380" spans="1:4" ht="15" customHeight="1" x14ac:dyDescent="0.25">
      <c r="A1380" s="2" t="str">
        <f>"03011000222"</f>
        <v>03011000222</v>
      </c>
      <c r="B1380" s="2" t="s">
        <v>1383</v>
      </c>
      <c r="C1380" s="2">
        <v>12871.46</v>
      </c>
      <c r="D1380" s="2" t="s">
        <v>5</v>
      </c>
    </row>
    <row r="1381" spans="1:4" ht="15" customHeight="1" x14ac:dyDescent="0.25">
      <c r="A1381" s="2" t="str">
        <f>"03011000250"</f>
        <v>03011000250</v>
      </c>
      <c r="B1381" s="2" t="s">
        <v>1384</v>
      </c>
      <c r="C1381" s="2">
        <v>100859.91</v>
      </c>
      <c r="D1381" s="2" t="s">
        <v>5</v>
      </c>
    </row>
    <row r="1382" spans="1:4" ht="15" customHeight="1" x14ac:dyDescent="0.25">
      <c r="A1382" s="2" t="str">
        <f>"03011000224"</f>
        <v>03011000224</v>
      </c>
      <c r="B1382" s="2" t="s">
        <v>1385</v>
      </c>
      <c r="C1382" s="2">
        <v>15761.03</v>
      </c>
      <c r="D1382" s="2" t="s">
        <v>5</v>
      </c>
    </row>
    <row r="1383" spans="1:4" ht="15" customHeight="1" x14ac:dyDescent="0.25">
      <c r="A1383" s="2" t="str">
        <f>"03011000400"</f>
        <v>03011000400</v>
      </c>
      <c r="B1383" s="2" t="s">
        <v>1386</v>
      </c>
      <c r="C1383" s="2">
        <v>8651.73</v>
      </c>
      <c r="D1383" s="2" t="s">
        <v>5</v>
      </c>
    </row>
    <row r="1384" spans="1:4" ht="15" customHeight="1" x14ac:dyDescent="0.25">
      <c r="A1384" s="2" t="str">
        <f>"03011000410"</f>
        <v>03011000410</v>
      </c>
      <c r="B1384" s="2" t="s">
        <v>1387</v>
      </c>
      <c r="C1384" s="2">
        <v>9061.76</v>
      </c>
      <c r="D1384" s="2" t="s">
        <v>5</v>
      </c>
    </row>
    <row r="1385" spans="1:4" ht="15" customHeight="1" x14ac:dyDescent="0.25">
      <c r="A1385" s="2" t="str">
        <f>"03011000301"</f>
        <v>03011000301</v>
      </c>
      <c r="B1385" s="2" t="s">
        <v>1388</v>
      </c>
      <c r="C1385" s="2">
        <v>13395.45</v>
      </c>
      <c r="D1385" s="2" t="s">
        <v>5</v>
      </c>
    </row>
    <row r="1386" spans="1:4" ht="15" customHeight="1" x14ac:dyDescent="0.25">
      <c r="A1386" s="2" t="str">
        <f>"03011000300"</f>
        <v>03011000300</v>
      </c>
      <c r="B1386" s="2" t="s">
        <v>1389</v>
      </c>
      <c r="C1386" s="2">
        <v>14183.43</v>
      </c>
      <c r="D1386" s="2" t="s">
        <v>5</v>
      </c>
    </row>
    <row r="1387" spans="1:4" ht="15" customHeight="1" x14ac:dyDescent="0.25">
      <c r="A1387" s="2" t="str">
        <f>"03019500038"</f>
        <v>03019500038</v>
      </c>
      <c r="B1387" s="2" t="s">
        <v>1390</v>
      </c>
      <c r="C1387" s="2">
        <v>44982.3</v>
      </c>
      <c r="D1387" s="2" t="s">
        <v>5</v>
      </c>
    </row>
    <row r="1388" spans="1:4" ht="15" customHeight="1" x14ac:dyDescent="0.25">
      <c r="A1388" s="2" t="str">
        <f>"05022000946"</f>
        <v>05022000946</v>
      </c>
      <c r="B1388" s="2" t="s">
        <v>1391</v>
      </c>
      <c r="C1388" s="2">
        <v>2885.91</v>
      </c>
      <c r="D1388" s="2" t="s">
        <v>5</v>
      </c>
    </row>
    <row r="1389" spans="1:4" ht="15" customHeight="1" x14ac:dyDescent="0.25">
      <c r="A1389" s="2" t="str">
        <f>"05022000970"</f>
        <v>05022000970</v>
      </c>
      <c r="B1389" s="2" t="s">
        <v>1392</v>
      </c>
      <c r="C1389" s="2">
        <v>2824.28</v>
      </c>
      <c r="D1389" s="2" t="s">
        <v>5</v>
      </c>
    </row>
    <row r="1390" spans="1:4" ht="15" customHeight="1" x14ac:dyDescent="0.25">
      <c r="A1390" s="2" t="str">
        <f>"05022001007"</f>
        <v>05022001007</v>
      </c>
      <c r="B1390" s="2" t="s">
        <v>1393</v>
      </c>
      <c r="C1390" s="2">
        <v>1772.55</v>
      </c>
      <c r="D1390" s="2" t="s">
        <v>5</v>
      </c>
    </row>
    <row r="1391" spans="1:4" ht="15" customHeight="1" x14ac:dyDescent="0.25">
      <c r="A1391" s="2" t="str">
        <f>"05021000049"</f>
        <v>05021000049</v>
      </c>
      <c r="B1391" s="2" t="s">
        <v>1394</v>
      </c>
      <c r="C1391" s="2">
        <v>2080.4299999999998</v>
      </c>
      <c r="D1391" s="2" t="s">
        <v>5</v>
      </c>
    </row>
    <row r="1392" spans="1:4" ht="15" customHeight="1" x14ac:dyDescent="0.25">
      <c r="A1392" s="2" t="str">
        <f>"05021000050"</f>
        <v>05021000050</v>
      </c>
      <c r="B1392" s="2" t="s">
        <v>1395</v>
      </c>
      <c r="C1392" s="2">
        <v>2080.4299999999998</v>
      </c>
      <c r="D1392" s="2" t="s">
        <v>5</v>
      </c>
    </row>
    <row r="1393" spans="1:4" ht="15" customHeight="1" x14ac:dyDescent="0.25">
      <c r="A1393" s="2" t="str">
        <f>"03015300003"</f>
        <v>03015300003</v>
      </c>
      <c r="B1393" s="2" t="s">
        <v>1396</v>
      </c>
      <c r="C1393" s="2">
        <v>1170</v>
      </c>
      <c r="D1393" s="2" t="s">
        <v>5</v>
      </c>
    </row>
    <row r="1394" spans="1:4" ht="15" customHeight="1" x14ac:dyDescent="0.25">
      <c r="A1394" s="2" t="str">
        <f>"03015300004"</f>
        <v>03015300004</v>
      </c>
      <c r="B1394" s="2" t="s">
        <v>1397</v>
      </c>
      <c r="C1394" s="2">
        <v>1435.2</v>
      </c>
      <c r="D1394" s="2" t="s">
        <v>5</v>
      </c>
    </row>
    <row r="1395" spans="1:4" ht="15" customHeight="1" x14ac:dyDescent="0.25">
      <c r="A1395" s="2" t="str">
        <f>"03015305021"</f>
        <v>03015305021</v>
      </c>
      <c r="B1395" s="2" t="s">
        <v>1398</v>
      </c>
      <c r="C1395" s="2">
        <v>1095.1400000000001</v>
      </c>
      <c r="D1395" s="2" t="s">
        <v>5</v>
      </c>
    </row>
    <row r="1396" spans="1:4" ht="15" customHeight="1" x14ac:dyDescent="0.25">
      <c r="A1396" s="2" t="str">
        <f>"03015305022"</f>
        <v>03015305022</v>
      </c>
      <c r="B1396" s="2" t="s">
        <v>1399</v>
      </c>
      <c r="C1396" s="2">
        <v>1316.28</v>
      </c>
      <c r="D1396" s="2" t="s">
        <v>5</v>
      </c>
    </row>
    <row r="1397" spans="1:4" ht="15" customHeight="1" x14ac:dyDescent="0.25">
      <c r="A1397" s="2" t="str">
        <f>"05022000937"</f>
        <v>05022000937</v>
      </c>
      <c r="B1397" s="2" t="s">
        <v>1400</v>
      </c>
      <c r="C1397" s="2">
        <v>592.04999999999995</v>
      </c>
      <c r="D1397" s="2" t="s">
        <v>5</v>
      </c>
    </row>
    <row r="1398" spans="1:4" ht="15" customHeight="1" x14ac:dyDescent="0.25">
      <c r="A1398" s="2" t="str">
        <f>"08410000040"</f>
        <v>08410000040</v>
      </c>
      <c r="B1398" s="2" t="s">
        <v>1401</v>
      </c>
      <c r="C1398" s="2">
        <v>5743.73</v>
      </c>
      <c r="D1398" s="2" t="s">
        <v>5</v>
      </c>
    </row>
    <row r="1399" spans="1:4" ht="15" customHeight="1" x14ac:dyDescent="0.25">
      <c r="A1399" s="2" t="str">
        <f>"05022000935"</f>
        <v>05022000935</v>
      </c>
      <c r="B1399" s="2" t="s">
        <v>1402</v>
      </c>
      <c r="C1399" s="2">
        <v>940.94</v>
      </c>
      <c r="D1399" s="2" t="s">
        <v>5</v>
      </c>
    </row>
    <row r="1400" spans="1:4" ht="15" customHeight="1" x14ac:dyDescent="0.25">
      <c r="A1400" s="2" t="str">
        <f>"06070000030"</f>
        <v>06070000030</v>
      </c>
      <c r="B1400" s="2" t="s">
        <v>1403</v>
      </c>
      <c r="C1400" s="2">
        <v>924.84</v>
      </c>
      <c r="D1400" s="2" t="s">
        <v>5</v>
      </c>
    </row>
    <row r="1401" spans="1:4" ht="15" customHeight="1" x14ac:dyDescent="0.25">
      <c r="A1401" s="2" t="str">
        <f>"05022001006"</f>
        <v>05022001006</v>
      </c>
      <c r="B1401" s="2" t="s">
        <v>1404</v>
      </c>
      <c r="C1401" s="2">
        <v>1036.92</v>
      </c>
      <c r="D1401" s="2" t="s">
        <v>5</v>
      </c>
    </row>
    <row r="1402" spans="1:4" ht="15" customHeight="1" x14ac:dyDescent="0.25">
      <c r="A1402" s="2" t="str">
        <f>"05022001009"</f>
        <v>05022001009</v>
      </c>
      <c r="B1402" s="2" t="s">
        <v>1405</v>
      </c>
      <c r="C1402" s="2">
        <v>1379.07</v>
      </c>
      <c r="D1402" s="2" t="s">
        <v>5</v>
      </c>
    </row>
    <row r="1403" spans="1:4" ht="15" customHeight="1" x14ac:dyDescent="0.25">
      <c r="A1403" s="2" t="str">
        <f>"05022000944"</f>
        <v>05022000944</v>
      </c>
      <c r="B1403" s="2" t="s">
        <v>1406</v>
      </c>
      <c r="C1403" s="2">
        <v>682.95</v>
      </c>
      <c r="D1403" s="2" t="s">
        <v>5</v>
      </c>
    </row>
    <row r="1404" spans="1:4" ht="15" customHeight="1" x14ac:dyDescent="0.25">
      <c r="A1404" s="2" t="str">
        <f>"05022000940"</f>
        <v>05022000940</v>
      </c>
      <c r="B1404" s="2" t="s">
        <v>1407</v>
      </c>
      <c r="C1404" s="2">
        <v>1188.1199999999999</v>
      </c>
      <c r="D1404" s="2" t="s">
        <v>5</v>
      </c>
    </row>
    <row r="1405" spans="1:4" ht="15" customHeight="1" x14ac:dyDescent="0.25">
      <c r="A1405" s="2" t="str">
        <f>"06070000035"</f>
        <v>06070000035</v>
      </c>
      <c r="B1405" s="2" t="s">
        <v>1408</v>
      </c>
      <c r="C1405" s="2">
        <v>1072.08</v>
      </c>
      <c r="D1405" s="2" t="s">
        <v>5</v>
      </c>
    </row>
    <row r="1406" spans="1:4" ht="15" customHeight="1" x14ac:dyDescent="0.25">
      <c r="A1406" s="2" t="str">
        <f>"05022000947"</f>
        <v>05022000947</v>
      </c>
      <c r="B1406" s="2" t="s">
        <v>1409</v>
      </c>
      <c r="C1406" s="2">
        <v>3075</v>
      </c>
      <c r="D1406" s="2" t="s">
        <v>5</v>
      </c>
    </row>
    <row r="1407" spans="1:4" ht="15" customHeight="1" x14ac:dyDescent="0.25">
      <c r="A1407" s="2" t="str">
        <f>"08410000050"</f>
        <v>08410000050</v>
      </c>
      <c r="B1407" s="2" t="s">
        <v>1410</v>
      </c>
      <c r="C1407" s="2">
        <v>5743.73</v>
      </c>
      <c r="D1407" s="2" t="s">
        <v>5</v>
      </c>
    </row>
    <row r="1408" spans="1:4" ht="15" customHeight="1" x14ac:dyDescent="0.25">
      <c r="A1408" s="2" t="str">
        <f>"05022000932"</f>
        <v>05022000932</v>
      </c>
      <c r="B1408" s="2" t="s">
        <v>1411</v>
      </c>
      <c r="C1408" s="2">
        <v>598.16</v>
      </c>
      <c r="D1408" s="2" t="s">
        <v>5</v>
      </c>
    </row>
    <row r="1409" spans="1:4" ht="15" customHeight="1" x14ac:dyDescent="0.25">
      <c r="A1409" s="2" t="str">
        <f>"06070000042"</f>
        <v>06070000042</v>
      </c>
      <c r="B1409" s="2" t="s">
        <v>1412</v>
      </c>
      <c r="C1409" s="2">
        <v>994.95</v>
      </c>
      <c r="D1409" s="2" t="s">
        <v>5</v>
      </c>
    </row>
    <row r="1410" spans="1:4" ht="15" customHeight="1" x14ac:dyDescent="0.25">
      <c r="A1410" s="2" t="str">
        <f>"05022000945"</f>
        <v>05022000945</v>
      </c>
      <c r="B1410" s="2" t="s">
        <v>1413</v>
      </c>
      <c r="C1410" s="2">
        <v>864.65</v>
      </c>
      <c r="D1410" s="2" t="s">
        <v>5</v>
      </c>
    </row>
    <row r="1411" spans="1:4" ht="15" customHeight="1" x14ac:dyDescent="0.25">
      <c r="A1411" s="2" t="str">
        <f>"08410000045"</f>
        <v>08410000045</v>
      </c>
      <c r="B1411" s="2" t="s">
        <v>1414</v>
      </c>
      <c r="C1411" s="2">
        <v>7331.9</v>
      </c>
      <c r="D1411" s="2" t="s">
        <v>5</v>
      </c>
    </row>
    <row r="1412" spans="1:4" ht="15" customHeight="1" x14ac:dyDescent="0.25">
      <c r="A1412" s="2" t="str">
        <f>"05022000933"</f>
        <v>05022000933</v>
      </c>
      <c r="B1412" s="2" t="s">
        <v>1415</v>
      </c>
      <c r="C1412" s="2">
        <v>742.5</v>
      </c>
      <c r="D1412" s="2" t="s">
        <v>5</v>
      </c>
    </row>
    <row r="1413" spans="1:4" ht="15" customHeight="1" x14ac:dyDescent="0.25">
      <c r="A1413" s="2" t="str">
        <f>"06070000040"</f>
        <v>06070000040</v>
      </c>
      <c r="B1413" s="2" t="s">
        <v>1416</v>
      </c>
      <c r="C1413" s="2">
        <v>1131.24</v>
      </c>
      <c r="D1413" s="2" t="s">
        <v>5</v>
      </c>
    </row>
    <row r="1414" spans="1:4" ht="15" customHeight="1" x14ac:dyDescent="0.25">
      <c r="A1414" s="2" t="str">
        <f>"05022000936"</f>
        <v>05022000936</v>
      </c>
      <c r="B1414" s="2" t="s">
        <v>1417</v>
      </c>
      <c r="C1414" s="2">
        <v>1141.3699999999999</v>
      </c>
      <c r="D1414" s="2" t="s">
        <v>5</v>
      </c>
    </row>
    <row r="1415" spans="1:4" ht="15" customHeight="1" x14ac:dyDescent="0.25">
      <c r="A1415" s="2" t="str">
        <f>"03015100070"</f>
        <v>03015100070</v>
      </c>
      <c r="B1415" s="2" t="s">
        <v>1418</v>
      </c>
      <c r="C1415" s="2">
        <v>1657.38</v>
      </c>
      <c r="D1415" s="2" t="s">
        <v>5</v>
      </c>
    </row>
    <row r="1416" spans="1:4" ht="15" customHeight="1" x14ac:dyDescent="0.25">
      <c r="A1416" s="2" t="str">
        <f>"03015100090"</f>
        <v>03015100090</v>
      </c>
      <c r="B1416" s="2" t="s">
        <v>1419</v>
      </c>
      <c r="C1416" s="2">
        <v>1996.71</v>
      </c>
      <c r="D1416" s="2" t="s">
        <v>5</v>
      </c>
    </row>
    <row r="1417" spans="1:4" ht="15" customHeight="1" x14ac:dyDescent="0.25">
      <c r="A1417" s="2" t="str">
        <f>"03015100050"</f>
        <v>03015100050</v>
      </c>
      <c r="B1417" s="2" t="s">
        <v>1420</v>
      </c>
      <c r="C1417" s="2">
        <v>1053.23</v>
      </c>
      <c r="D1417" s="2" t="s">
        <v>5</v>
      </c>
    </row>
    <row r="1418" spans="1:4" ht="15" customHeight="1" x14ac:dyDescent="0.25">
      <c r="A1418" s="2" t="str">
        <f>"08600001075"</f>
        <v>08600001075</v>
      </c>
      <c r="B1418" s="2" t="s">
        <v>1421</v>
      </c>
      <c r="C1418" s="2">
        <v>174528.68</v>
      </c>
      <c r="D1418" s="2" t="s">
        <v>5</v>
      </c>
    </row>
    <row r="1419" spans="1:4" ht="15" customHeight="1" x14ac:dyDescent="0.25">
      <c r="A1419" s="2" t="str">
        <f>"08600001035"</f>
        <v>08600001035</v>
      </c>
      <c r="B1419" s="2" t="s">
        <v>1422</v>
      </c>
      <c r="C1419" s="2">
        <v>9829.7000000000007</v>
      </c>
      <c r="D1419" s="2" t="s">
        <v>5</v>
      </c>
    </row>
    <row r="1420" spans="1:4" ht="15" customHeight="1" x14ac:dyDescent="0.25">
      <c r="A1420" s="2" t="str">
        <f>"08600001040"</f>
        <v>08600001040</v>
      </c>
      <c r="B1420" s="2" t="s">
        <v>1423</v>
      </c>
      <c r="C1420" s="2">
        <v>12572.43</v>
      </c>
      <c r="D1420" s="2" t="s">
        <v>5</v>
      </c>
    </row>
    <row r="1421" spans="1:4" ht="15" customHeight="1" x14ac:dyDescent="0.25">
      <c r="A1421" s="2" t="str">
        <f>"08600001045"</f>
        <v>08600001045</v>
      </c>
      <c r="B1421" s="2" t="s">
        <v>1424</v>
      </c>
      <c r="C1421" s="2">
        <v>16777.009999999998</v>
      </c>
      <c r="D1421" s="2" t="s">
        <v>5</v>
      </c>
    </row>
    <row r="1422" spans="1:4" ht="15" customHeight="1" x14ac:dyDescent="0.25">
      <c r="A1422" s="2" t="str">
        <f>"08600001050"</f>
        <v>08600001050</v>
      </c>
      <c r="B1422" s="2" t="s">
        <v>1425</v>
      </c>
      <c r="C1422" s="2">
        <v>26703.56</v>
      </c>
      <c r="D1422" s="2" t="s">
        <v>5</v>
      </c>
    </row>
    <row r="1423" spans="1:4" ht="15" customHeight="1" x14ac:dyDescent="0.25">
      <c r="A1423" s="2" t="str">
        <f>"08600001055"</f>
        <v>08600001055</v>
      </c>
      <c r="B1423" s="2" t="s">
        <v>1426</v>
      </c>
      <c r="C1423" s="2">
        <v>33080.1</v>
      </c>
      <c r="D1423" s="2" t="s">
        <v>5</v>
      </c>
    </row>
    <row r="1424" spans="1:4" ht="15" customHeight="1" x14ac:dyDescent="0.25">
      <c r="A1424" s="2" t="str">
        <f>"08600001060"</f>
        <v>08600001060</v>
      </c>
      <c r="B1424" s="2" t="s">
        <v>1427</v>
      </c>
      <c r="C1424" s="2">
        <v>51080.51</v>
      </c>
      <c r="D1424" s="2" t="s">
        <v>5</v>
      </c>
    </row>
    <row r="1425" spans="1:4" ht="15" customHeight="1" x14ac:dyDescent="0.25">
      <c r="A1425" s="2" t="str">
        <f>"08600001065"</f>
        <v>08600001065</v>
      </c>
      <c r="B1425" s="2" t="s">
        <v>1428</v>
      </c>
      <c r="C1425" s="2">
        <v>87305.79</v>
      </c>
      <c r="D1425" s="2" t="s">
        <v>5</v>
      </c>
    </row>
    <row r="1426" spans="1:4" ht="15" customHeight="1" x14ac:dyDescent="0.25">
      <c r="A1426" s="2" t="str">
        <f>"08600001070"</f>
        <v>08600001070</v>
      </c>
      <c r="B1426" s="2" t="s">
        <v>1429</v>
      </c>
      <c r="C1426" s="2">
        <v>124074.56</v>
      </c>
      <c r="D1426" s="2" t="s">
        <v>5</v>
      </c>
    </row>
    <row r="1427" spans="1:4" ht="15" customHeight="1" x14ac:dyDescent="0.25">
      <c r="A1427" s="2" t="str">
        <f>"08600000540"</f>
        <v>08600000540</v>
      </c>
      <c r="B1427" s="2" t="s">
        <v>1430</v>
      </c>
      <c r="C1427" s="2">
        <v>16824.98</v>
      </c>
      <c r="D1427" s="2" t="s">
        <v>5</v>
      </c>
    </row>
    <row r="1428" spans="1:4" ht="15" customHeight="1" x14ac:dyDescent="0.25">
      <c r="A1428" s="2" t="str">
        <f>"08600000545"</f>
        <v>08600000545</v>
      </c>
      <c r="B1428" s="2" t="s">
        <v>1431</v>
      </c>
      <c r="C1428" s="2">
        <v>15710.45</v>
      </c>
      <c r="D1428" s="2" t="s">
        <v>5</v>
      </c>
    </row>
    <row r="1429" spans="1:4" ht="15" customHeight="1" x14ac:dyDescent="0.25">
      <c r="A1429" s="2" t="str">
        <f>"08600000470"</f>
        <v>08600000470</v>
      </c>
      <c r="B1429" s="2" t="s">
        <v>1432</v>
      </c>
      <c r="C1429" s="2">
        <v>383.78</v>
      </c>
      <c r="D1429" s="2" t="s">
        <v>5</v>
      </c>
    </row>
    <row r="1430" spans="1:4" ht="15" customHeight="1" x14ac:dyDescent="0.25">
      <c r="A1430" s="2" t="str">
        <f>"08030000080"</f>
        <v>08030000080</v>
      </c>
      <c r="B1430" s="2" t="s">
        <v>1433</v>
      </c>
      <c r="C1430" s="2">
        <v>305.97000000000003</v>
      </c>
      <c r="D1430" s="2" t="s">
        <v>5</v>
      </c>
    </row>
    <row r="1431" spans="1:4" ht="15" customHeight="1" x14ac:dyDescent="0.25">
      <c r="A1431" s="2" t="str">
        <f>"08610000020"</f>
        <v>08610000020</v>
      </c>
      <c r="B1431" s="2" t="s">
        <v>1434</v>
      </c>
      <c r="C1431" s="2">
        <v>228.38</v>
      </c>
      <c r="D1431" s="2" t="s">
        <v>5</v>
      </c>
    </row>
    <row r="1432" spans="1:4" ht="15" customHeight="1" x14ac:dyDescent="0.25">
      <c r="A1432" s="2" t="str">
        <f>"08600000475"</f>
        <v>08600000475</v>
      </c>
      <c r="B1432" s="2" t="s">
        <v>1435</v>
      </c>
      <c r="C1432" s="2">
        <v>465.15</v>
      </c>
      <c r="D1432" s="2" t="s">
        <v>5</v>
      </c>
    </row>
    <row r="1433" spans="1:4" ht="15" customHeight="1" x14ac:dyDescent="0.25">
      <c r="A1433" s="2" t="str">
        <f>"08030000085"</f>
        <v>08030000085</v>
      </c>
      <c r="B1433" s="2" t="s">
        <v>1436</v>
      </c>
      <c r="C1433" s="2">
        <v>385.04</v>
      </c>
      <c r="D1433" s="2" t="s">
        <v>5</v>
      </c>
    </row>
    <row r="1434" spans="1:4" ht="15" customHeight="1" x14ac:dyDescent="0.25">
      <c r="A1434" s="2" t="str">
        <f>"08610000025"</f>
        <v>08610000025</v>
      </c>
      <c r="B1434" s="2" t="s">
        <v>1437</v>
      </c>
      <c r="C1434" s="2">
        <v>291.8</v>
      </c>
      <c r="D1434" s="2" t="s">
        <v>5</v>
      </c>
    </row>
    <row r="1435" spans="1:4" ht="15" customHeight="1" x14ac:dyDescent="0.25">
      <c r="A1435" s="2" t="str">
        <f>"08600000480"</f>
        <v>08600000480</v>
      </c>
      <c r="B1435" s="2" t="s">
        <v>1438</v>
      </c>
      <c r="C1435" s="2">
        <v>572.34</v>
      </c>
      <c r="D1435" s="2" t="s">
        <v>5</v>
      </c>
    </row>
    <row r="1436" spans="1:4" ht="15" customHeight="1" x14ac:dyDescent="0.25">
      <c r="A1436" s="2" t="str">
        <f>"08030000090"</f>
        <v>08030000090</v>
      </c>
      <c r="B1436" s="2" t="s">
        <v>1439</v>
      </c>
      <c r="C1436" s="2">
        <v>465.78</v>
      </c>
      <c r="D1436" s="2" t="s">
        <v>5</v>
      </c>
    </row>
    <row r="1437" spans="1:4" ht="15" customHeight="1" x14ac:dyDescent="0.25">
      <c r="A1437" s="2" t="str">
        <f>"08610000030"</f>
        <v>08610000030</v>
      </c>
      <c r="B1437" s="2" t="s">
        <v>1440</v>
      </c>
      <c r="C1437" s="2">
        <v>342.57</v>
      </c>
      <c r="D1437" s="2" t="s">
        <v>5</v>
      </c>
    </row>
    <row r="1438" spans="1:4" ht="15" customHeight="1" x14ac:dyDescent="0.25">
      <c r="A1438" s="2" t="str">
        <f>"08031000015"</f>
        <v>08031000015</v>
      </c>
      <c r="B1438" s="2" t="s">
        <v>1441</v>
      </c>
      <c r="C1438" s="2">
        <v>163.62</v>
      </c>
      <c r="D1438" s="2" t="s">
        <v>5</v>
      </c>
    </row>
    <row r="1439" spans="1:4" ht="15" customHeight="1" x14ac:dyDescent="0.25">
      <c r="A1439" s="2" t="str">
        <f>"08600000485"</f>
        <v>08600000485</v>
      </c>
      <c r="B1439" s="2" t="s">
        <v>1442</v>
      </c>
      <c r="C1439" s="2">
        <v>1155.44</v>
      </c>
      <c r="D1439" s="2" t="s">
        <v>5</v>
      </c>
    </row>
    <row r="1440" spans="1:4" ht="15" customHeight="1" x14ac:dyDescent="0.25">
      <c r="A1440" s="2" t="str">
        <f>"08030000091"</f>
        <v>08030000091</v>
      </c>
      <c r="B1440" s="2" t="s">
        <v>1443</v>
      </c>
      <c r="C1440" s="2">
        <v>575.17999999999995</v>
      </c>
      <c r="D1440" s="2" t="s">
        <v>5</v>
      </c>
    </row>
    <row r="1441" spans="1:4" ht="15" customHeight="1" x14ac:dyDescent="0.25">
      <c r="A1441" s="2" t="str">
        <f>"08610000031"</f>
        <v>08610000031</v>
      </c>
      <c r="B1441" s="2" t="s">
        <v>1444</v>
      </c>
      <c r="C1441" s="2">
        <v>393.32</v>
      </c>
      <c r="D1441" s="2" t="s">
        <v>5</v>
      </c>
    </row>
    <row r="1442" spans="1:4" ht="15" customHeight="1" x14ac:dyDescent="0.25">
      <c r="A1442" s="2" t="str">
        <f>"08600000490"</f>
        <v>08600000490</v>
      </c>
      <c r="B1442" s="2" t="s">
        <v>1445</v>
      </c>
      <c r="C1442" s="2">
        <v>1155.44</v>
      </c>
      <c r="D1442" s="2" t="s">
        <v>5</v>
      </c>
    </row>
    <row r="1443" spans="1:4" ht="15" customHeight="1" x14ac:dyDescent="0.25">
      <c r="A1443" s="2" t="str">
        <f>"08030000092"</f>
        <v>08030000092</v>
      </c>
      <c r="B1443" s="2" t="s">
        <v>1446</v>
      </c>
      <c r="C1443" s="2">
        <v>626.54999999999995</v>
      </c>
      <c r="D1443" s="2" t="s">
        <v>5</v>
      </c>
    </row>
    <row r="1444" spans="1:4" ht="15" customHeight="1" x14ac:dyDescent="0.25">
      <c r="A1444" s="2" t="str">
        <f>"08610000032"</f>
        <v>08610000032</v>
      </c>
      <c r="B1444" s="2" t="s">
        <v>1447</v>
      </c>
      <c r="C1444" s="2">
        <v>418.68</v>
      </c>
      <c r="D1444" s="2" t="s">
        <v>5</v>
      </c>
    </row>
    <row r="1445" spans="1:4" ht="15" customHeight="1" x14ac:dyDescent="0.25">
      <c r="A1445" s="2" t="str">
        <f>"08600000495"</f>
        <v>08600000495</v>
      </c>
      <c r="B1445" s="2" t="s">
        <v>1448</v>
      </c>
      <c r="C1445" s="2">
        <v>2121.15</v>
      </c>
      <c r="D1445" s="2" t="s">
        <v>5</v>
      </c>
    </row>
    <row r="1446" spans="1:4" ht="15" customHeight="1" x14ac:dyDescent="0.25">
      <c r="A1446" s="2" t="str">
        <f>"08030000093"</f>
        <v>08030000093</v>
      </c>
      <c r="B1446" s="2" t="s">
        <v>1449</v>
      </c>
      <c r="C1446" s="2">
        <v>831.93</v>
      </c>
      <c r="D1446" s="2" t="s">
        <v>5</v>
      </c>
    </row>
    <row r="1447" spans="1:4" ht="15" customHeight="1" x14ac:dyDescent="0.25">
      <c r="A1447" s="2" t="str">
        <f>"08600000500"</f>
        <v>08600000500</v>
      </c>
      <c r="B1447" s="2" t="s">
        <v>1450</v>
      </c>
      <c r="C1447" s="2">
        <v>1768.04</v>
      </c>
      <c r="D1447" s="2" t="s">
        <v>5</v>
      </c>
    </row>
    <row r="1448" spans="1:4" ht="15" customHeight="1" x14ac:dyDescent="0.25">
      <c r="A1448" s="2" t="str">
        <f>"08610000033"</f>
        <v>08610000033</v>
      </c>
      <c r="B1448" s="2" t="s">
        <v>1451</v>
      </c>
      <c r="C1448" s="2">
        <v>558.24</v>
      </c>
      <c r="D1448" s="2" t="s">
        <v>5</v>
      </c>
    </row>
    <row r="1449" spans="1:4" ht="15" customHeight="1" x14ac:dyDescent="0.25">
      <c r="A1449" s="2" t="str">
        <f>"08600000505"</f>
        <v>08600000505</v>
      </c>
      <c r="B1449" s="2" t="s">
        <v>1452</v>
      </c>
      <c r="C1449" s="2">
        <v>1592.33</v>
      </c>
      <c r="D1449" s="2" t="s">
        <v>5</v>
      </c>
    </row>
    <row r="1450" spans="1:4" ht="15" customHeight="1" x14ac:dyDescent="0.25">
      <c r="A1450" s="2" t="str">
        <f>"08030000094"</f>
        <v>08030000094</v>
      </c>
      <c r="B1450" s="2" t="s">
        <v>1453</v>
      </c>
      <c r="C1450" s="2">
        <v>983</v>
      </c>
      <c r="D1450" s="2" t="s">
        <v>5</v>
      </c>
    </row>
    <row r="1451" spans="1:4" ht="15" customHeight="1" x14ac:dyDescent="0.25">
      <c r="A1451" s="2" t="str">
        <f>"08610000034"</f>
        <v>08610000034</v>
      </c>
      <c r="B1451" s="2" t="s">
        <v>1454</v>
      </c>
      <c r="C1451" s="2">
        <v>659.73</v>
      </c>
      <c r="D1451" s="2" t="s">
        <v>5</v>
      </c>
    </row>
    <row r="1452" spans="1:4" ht="15" customHeight="1" x14ac:dyDescent="0.25">
      <c r="A1452" s="2" t="str">
        <f>"08600000510"</f>
        <v>08600000510</v>
      </c>
      <c r="B1452" s="2" t="s">
        <v>1455</v>
      </c>
      <c r="C1452" s="2">
        <v>4006.53</v>
      </c>
      <c r="D1452" s="2" t="s">
        <v>5</v>
      </c>
    </row>
    <row r="1453" spans="1:4" ht="15" customHeight="1" x14ac:dyDescent="0.25">
      <c r="A1453" s="2" t="str">
        <f>"08030000095"</f>
        <v>08030000095</v>
      </c>
      <c r="B1453" s="2" t="s">
        <v>1456</v>
      </c>
      <c r="C1453" s="2">
        <v>2957.33</v>
      </c>
      <c r="D1453" s="2" t="s">
        <v>5</v>
      </c>
    </row>
    <row r="1454" spans="1:4" ht="15" customHeight="1" x14ac:dyDescent="0.25">
      <c r="A1454" s="2" t="str">
        <f>"08600000515"</f>
        <v>08600000515</v>
      </c>
      <c r="B1454" s="2" t="s">
        <v>1457</v>
      </c>
      <c r="C1454" s="2">
        <v>4006.53</v>
      </c>
      <c r="D1454" s="2" t="s">
        <v>5</v>
      </c>
    </row>
    <row r="1455" spans="1:4" ht="15" customHeight="1" x14ac:dyDescent="0.25">
      <c r="A1455" s="2" t="str">
        <f>"08030000096"</f>
        <v>08030000096</v>
      </c>
      <c r="B1455" s="2" t="s">
        <v>1458</v>
      </c>
      <c r="C1455" s="2">
        <v>3042</v>
      </c>
      <c r="D1455" s="2" t="s">
        <v>5</v>
      </c>
    </row>
    <row r="1456" spans="1:4" ht="15" customHeight="1" x14ac:dyDescent="0.25">
      <c r="A1456" s="2" t="str">
        <f>"08600000520"</f>
        <v>08600000520</v>
      </c>
      <c r="B1456" s="2" t="s">
        <v>1459</v>
      </c>
      <c r="C1456" s="2">
        <v>6644.7</v>
      </c>
      <c r="D1456" s="2" t="s">
        <v>5</v>
      </c>
    </row>
    <row r="1457" spans="1:4" ht="15" customHeight="1" x14ac:dyDescent="0.25">
      <c r="A1457" s="2" t="str">
        <f>"08600000525"</f>
        <v>08600000525</v>
      </c>
      <c r="B1457" s="2" t="s">
        <v>1460</v>
      </c>
      <c r="C1457" s="2">
        <v>6841.31</v>
      </c>
      <c r="D1457" s="2" t="s">
        <v>5</v>
      </c>
    </row>
    <row r="1458" spans="1:4" ht="15" customHeight="1" x14ac:dyDescent="0.25">
      <c r="A1458" s="2" t="str">
        <f>"08600000530"</f>
        <v>08600000530</v>
      </c>
      <c r="B1458" s="2" t="s">
        <v>1461</v>
      </c>
      <c r="C1458" s="2">
        <v>11019.35</v>
      </c>
      <c r="D1458" s="2" t="s">
        <v>5</v>
      </c>
    </row>
    <row r="1459" spans="1:4" ht="15" customHeight="1" x14ac:dyDescent="0.25">
      <c r="A1459" s="2" t="str">
        <f>"08600000535"</f>
        <v>08600000535</v>
      </c>
      <c r="B1459" s="2" t="s">
        <v>1462</v>
      </c>
      <c r="C1459" s="2">
        <v>11346.26</v>
      </c>
      <c r="D1459" s="2" t="s">
        <v>5</v>
      </c>
    </row>
    <row r="1460" spans="1:4" ht="15" customHeight="1" x14ac:dyDescent="0.25">
      <c r="A1460" s="2" t="str">
        <f>"08030000543"</f>
        <v>08030000543</v>
      </c>
      <c r="B1460" s="2" t="s">
        <v>1463</v>
      </c>
      <c r="C1460" s="2">
        <v>7398.18</v>
      </c>
      <c r="D1460" s="2" t="s">
        <v>5</v>
      </c>
    </row>
    <row r="1461" spans="1:4" ht="15" customHeight="1" x14ac:dyDescent="0.25">
      <c r="A1461" s="2" t="str">
        <f>"08030000555"</f>
        <v>08030000555</v>
      </c>
      <c r="B1461" s="2" t="s">
        <v>1464</v>
      </c>
      <c r="C1461" s="2">
        <v>1543.41</v>
      </c>
      <c r="D1461" s="2" t="s">
        <v>5</v>
      </c>
    </row>
    <row r="1462" spans="1:4" ht="15" customHeight="1" x14ac:dyDescent="0.25">
      <c r="A1462" s="2" t="str">
        <f>"08600000155"</f>
        <v>08600000155</v>
      </c>
      <c r="B1462" s="2" t="s">
        <v>1465</v>
      </c>
      <c r="C1462" s="2">
        <v>32046.45</v>
      </c>
      <c r="D1462" s="2" t="s">
        <v>5</v>
      </c>
    </row>
    <row r="1463" spans="1:4" ht="15" customHeight="1" x14ac:dyDescent="0.25">
      <c r="A1463" s="2" t="str">
        <f>"08600000200"</f>
        <v>08600000200</v>
      </c>
      <c r="B1463" s="2" t="s">
        <v>1466</v>
      </c>
      <c r="C1463" s="2">
        <v>30414.23</v>
      </c>
      <c r="D1463" s="2" t="s">
        <v>5</v>
      </c>
    </row>
    <row r="1464" spans="1:4" ht="15" customHeight="1" x14ac:dyDescent="0.25">
      <c r="A1464" s="2" t="str">
        <f>"08600000115"</f>
        <v>08600000115</v>
      </c>
      <c r="B1464" s="2" t="s">
        <v>1467</v>
      </c>
      <c r="C1464" s="2">
        <v>491.67</v>
      </c>
      <c r="D1464" s="2" t="s">
        <v>5</v>
      </c>
    </row>
    <row r="1465" spans="1:4" ht="15" customHeight="1" x14ac:dyDescent="0.25">
      <c r="A1465" s="2" t="str">
        <f>"08030000127"</f>
        <v>08030000127</v>
      </c>
      <c r="B1465" s="2" t="s">
        <v>1468</v>
      </c>
      <c r="C1465" s="2">
        <v>483.42</v>
      </c>
      <c r="D1465" s="2" t="s">
        <v>5</v>
      </c>
    </row>
    <row r="1466" spans="1:4" ht="15" customHeight="1" x14ac:dyDescent="0.25">
      <c r="A1466" s="2" t="str">
        <f>"08610000035"</f>
        <v>08610000035</v>
      </c>
      <c r="B1466" s="2" t="s">
        <v>1469</v>
      </c>
      <c r="C1466" s="2">
        <v>355.26</v>
      </c>
      <c r="D1466" s="2" t="s">
        <v>5</v>
      </c>
    </row>
    <row r="1467" spans="1:4" ht="15" customHeight="1" x14ac:dyDescent="0.25">
      <c r="A1467" s="2" t="str">
        <f>"08600000160"</f>
        <v>08600000160</v>
      </c>
      <c r="B1467" s="2" t="s">
        <v>1470</v>
      </c>
      <c r="C1467" s="2">
        <v>221.09</v>
      </c>
      <c r="D1467" s="2" t="s">
        <v>5</v>
      </c>
    </row>
    <row r="1468" spans="1:4" ht="15" customHeight="1" x14ac:dyDescent="0.25">
      <c r="A1468" s="2" t="str">
        <f>"08030000130"</f>
        <v>08030000130</v>
      </c>
      <c r="B1468" s="2" t="s">
        <v>1471</v>
      </c>
      <c r="C1468" s="2">
        <v>213.86</v>
      </c>
      <c r="D1468" s="2" t="s">
        <v>5</v>
      </c>
    </row>
    <row r="1469" spans="1:4" ht="15" customHeight="1" x14ac:dyDescent="0.25">
      <c r="A1469" s="2" t="str">
        <f>"08610000050"</f>
        <v>08610000050</v>
      </c>
      <c r="B1469" s="2" t="s">
        <v>1472</v>
      </c>
      <c r="C1469" s="2">
        <v>164.94</v>
      </c>
      <c r="D1469" s="2" t="s">
        <v>5</v>
      </c>
    </row>
    <row r="1470" spans="1:4" ht="15" customHeight="1" x14ac:dyDescent="0.25">
      <c r="A1470" s="2" t="str">
        <f>"08031000016"</f>
        <v>08031000016</v>
      </c>
      <c r="B1470" s="2" t="s">
        <v>1473</v>
      </c>
      <c r="C1470" s="2">
        <v>142.65</v>
      </c>
      <c r="D1470" s="2" t="s">
        <v>5</v>
      </c>
    </row>
    <row r="1471" spans="1:4" ht="15" customHeight="1" x14ac:dyDescent="0.25">
      <c r="A1471" s="2" t="str">
        <f>"08610000260"</f>
        <v>08610000260</v>
      </c>
      <c r="B1471" s="2" t="s">
        <v>1474</v>
      </c>
      <c r="C1471" s="2">
        <v>1116.48</v>
      </c>
      <c r="D1471" s="2" t="s">
        <v>5</v>
      </c>
    </row>
    <row r="1472" spans="1:4" ht="15" customHeight="1" x14ac:dyDescent="0.25">
      <c r="A1472" s="2" t="str">
        <f>"08610000280"</f>
        <v>08610000280</v>
      </c>
      <c r="B1472" s="2" t="s">
        <v>1475</v>
      </c>
      <c r="C1472" s="2">
        <v>1281.42</v>
      </c>
      <c r="D1472" s="2" t="s">
        <v>5</v>
      </c>
    </row>
    <row r="1473" spans="1:4" ht="15" customHeight="1" x14ac:dyDescent="0.25">
      <c r="A1473" s="2" t="str">
        <f>"08030000300"</f>
        <v>08030000300</v>
      </c>
      <c r="B1473" s="2" t="s">
        <v>1476</v>
      </c>
      <c r="C1473" s="2">
        <v>1556.46</v>
      </c>
      <c r="D1473" s="2" t="s">
        <v>5</v>
      </c>
    </row>
    <row r="1474" spans="1:4" ht="15" customHeight="1" x14ac:dyDescent="0.25">
      <c r="A1474" s="2" t="str">
        <f>"08031000005"</f>
        <v>08031000005</v>
      </c>
      <c r="B1474" s="2" t="s">
        <v>1477</v>
      </c>
      <c r="C1474" s="2">
        <v>1232.97</v>
      </c>
      <c r="D1474" s="2" t="s">
        <v>5</v>
      </c>
    </row>
    <row r="1475" spans="1:4" ht="15" customHeight="1" x14ac:dyDescent="0.25">
      <c r="A1475" s="2" t="str">
        <f>"08030000325"</f>
        <v>08030000325</v>
      </c>
      <c r="B1475" s="2" t="s">
        <v>1478</v>
      </c>
      <c r="C1475" s="2">
        <v>1789.49</v>
      </c>
      <c r="D1475" s="2" t="s">
        <v>5</v>
      </c>
    </row>
    <row r="1476" spans="1:4" ht="15" customHeight="1" x14ac:dyDescent="0.25">
      <c r="A1476" s="2" t="str">
        <f>"08600000120"</f>
        <v>08600000120</v>
      </c>
      <c r="B1476" s="2" t="s">
        <v>1479</v>
      </c>
      <c r="C1476" s="2">
        <v>616.07000000000005</v>
      </c>
      <c r="D1476" s="2" t="s">
        <v>5</v>
      </c>
    </row>
    <row r="1477" spans="1:4" ht="15" customHeight="1" x14ac:dyDescent="0.25">
      <c r="A1477" s="2" t="str">
        <f>"08030000133"</f>
        <v>08030000133</v>
      </c>
      <c r="B1477" s="2" t="s">
        <v>1480</v>
      </c>
      <c r="C1477" s="2">
        <v>611.91</v>
      </c>
      <c r="D1477" s="2" t="s">
        <v>5</v>
      </c>
    </row>
    <row r="1478" spans="1:4" ht="15" customHeight="1" x14ac:dyDescent="0.25">
      <c r="A1478" s="2" t="str">
        <f>"08610000040"</f>
        <v>08610000040</v>
      </c>
      <c r="B1478" s="2" t="s">
        <v>1481</v>
      </c>
      <c r="C1478" s="2">
        <v>456.74</v>
      </c>
      <c r="D1478" s="2" t="s">
        <v>5</v>
      </c>
    </row>
    <row r="1479" spans="1:4" ht="15" customHeight="1" x14ac:dyDescent="0.25">
      <c r="A1479" s="2" t="str">
        <f>"08600000165"</f>
        <v>08600000165</v>
      </c>
      <c r="B1479" s="2" t="s">
        <v>1482</v>
      </c>
      <c r="C1479" s="2">
        <v>352.14</v>
      </c>
      <c r="D1479" s="2" t="s">
        <v>5</v>
      </c>
    </row>
    <row r="1480" spans="1:4" ht="15" customHeight="1" x14ac:dyDescent="0.25">
      <c r="A1480" s="2" t="str">
        <f>"08030000135"</f>
        <v>08030000135</v>
      </c>
      <c r="B1480" s="2" t="s">
        <v>1483</v>
      </c>
      <c r="C1480" s="2">
        <v>348.69</v>
      </c>
      <c r="D1480" s="2" t="s">
        <v>5</v>
      </c>
    </row>
    <row r="1481" spans="1:4" ht="15" customHeight="1" x14ac:dyDescent="0.25">
      <c r="A1481" s="2" t="str">
        <f>"08610000055"</f>
        <v>08610000055</v>
      </c>
      <c r="B1481" s="2" t="s">
        <v>1484</v>
      </c>
      <c r="C1481" s="2">
        <v>266.45</v>
      </c>
      <c r="D1481" s="2" t="s">
        <v>5</v>
      </c>
    </row>
    <row r="1482" spans="1:4" ht="15" customHeight="1" x14ac:dyDescent="0.25">
      <c r="A1482" s="2" t="str">
        <f>"08031000017"</f>
        <v>08031000017</v>
      </c>
      <c r="B1482" s="2" t="s">
        <v>1485</v>
      </c>
      <c r="C1482" s="2">
        <v>201.42</v>
      </c>
      <c r="D1482" s="2" t="s">
        <v>5</v>
      </c>
    </row>
    <row r="1483" spans="1:4" ht="15" customHeight="1" x14ac:dyDescent="0.25">
      <c r="A1483" s="2" t="str">
        <f>"08610000265"</f>
        <v>08610000265</v>
      </c>
      <c r="B1483" s="2" t="s">
        <v>1486</v>
      </c>
      <c r="C1483" s="2">
        <v>1509.8</v>
      </c>
      <c r="D1483" s="2" t="s">
        <v>5</v>
      </c>
    </row>
    <row r="1484" spans="1:4" ht="15" customHeight="1" x14ac:dyDescent="0.25">
      <c r="A1484" s="2" t="str">
        <f>"08610000285"</f>
        <v>08610000285</v>
      </c>
      <c r="B1484" s="2" t="s">
        <v>1487</v>
      </c>
      <c r="C1484" s="2">
        <v>1509.8</v>
      </c>
      <c r="D1484" s="2" t="s">
        <v>5</v>
      </c>
    </row>
    <row r="1485" spans="1:4" ht="15" customHeight="1" x14ac:dyDescent="0.25">
      <c r="A1485" s="2" t="str">
        <f>"08030000305"</f>
        <v>08030000305</v>
      </c>
      <c r="B1485" s="2" t="s">
        <v>1488</v>
      </c>
      <c r="C1485" s="2">
        <v>2109.9</v>
      </c>
      <c r="D1485" s="2" t="s">
        <v>5</v>
      </c>
    </row>
    <row r="1486" spans="1:4" ht="15" customHeight="1" x14ac:dyDescent="0.25">
      <c r="A1486" s="2" t="str">
        <f>"08030000330"</f>
        <v>08030000330</v>
      </c>
      <c r="B1486" s="2" t="s">
        <v>1489</v>
      </c>
      <c r="C1486" s="2">
        <v>2439.54</v>
      </c>
      <c r="D1486" s="2" t="s">
        <v>5</v>
      </c>
    </row>
    <row r="1487" spans="1:4" ht="15" customHeight="1" x14ac:dyDescent="0.25">
      <c r="A1487" s="2" t="str">
        <f>"08600000235"</f>
        <v>08600000235</v>
      </c>
      <c r="B1487" s="2" t="s">
        <v>1490</v>
      </c>
      <c r="C1487" s="2">
        <v>671.49</v>
      </c>
      <c r="D1487" s="2" t="s">
        <v>5</v>
      </c>
    </row>
    <row r="1488" spans="1:4" ht="15" customHeight="1" x14ac:dyDescent="0.25">
      <c r="A1488" s="2" t="str">
        <f>"08600000240"</f>
        <v>08600000240</v>
      </c>
      <c r="B1488" s="2" t="s">
        <v>1491</v>
      </c>
      <c r="C1488" s="2">
        <v>479.78</v>
      </c>
      <c r="D1488" s="2" t="s">
        <v>5</v>
      </c>
    </row>
    <row r="1489" spans="1:4" ht="15" customHeight="1" x14ac:dyDescent="0.25">
      <c r="A1489" s="2" t="str">
        <f>"08610000080"</f>
        <v>08610000080</v>
      </c>
      <c r="B1489" s="2" t="s">
        <v>1492</v>
      </c>
      <c r="C1489" s="2">
        <v>304.5</v>
      </c>
      <c r="D1489" s="2" t="s">
        <v>5</v>
      </c>
    </row>
    <row r="1490" spans="1:4" ht="15" customHeight="1" x14ac:dyDescent="0.25">
      <c r="A1490" s="2" t="str">
        <f>"08610000270"</f>
        <v>08610000270</v>
      </c>
      <c r="B1490" s="2" t="s">
        <v>1493</v>
      </c>
      <c r="C1490" s="2">
        <v>1611.29</v>
      </c>
      <c r="D1490" s="2" t="s">
        <v>5</v>
      </c>
    </row>
    <row r="1491" spans="1:4" ht="15" customHeight="1" x14ac:dyDescent="0.25">
      <c r="A1491" s="2" t="str">
        <f>"08610000290"</f>
        <v>08610000290</v>
      </c>
      <c r="B1491" s="2" t="s">
        <v>1494</v>
      </c>
      <c r="C1491" s="2">
        <v>1611.29</v>
      </c>
      <c r="D1491" s="2" t="s">
        <v>5</v>
      </c>
    </row>
    <row r="1492" spans="1:4" ht="15" customHeight="1" x14ac:dyDescent="0.25">
      <c r="A1492" s="2" t="str">
        <f>"08030000310"</f>
        <v>08030000310</v>
      </c>
      <c r="B1492" s="2" t="s">
        <v>1495</v>
      </c>
      <c r="C1492" s="2">
        <v>2241.11</v>
      </c>
      <c r="D1492" s="2" t="s">
        <v>5</v>
      </c>
    </row>
    <row r="1493" spans="1:4" ht="15" customHeight="1" x14ac:dyDescent="0.25">
      <c r="A1493" s="2" t="str">
        <f>"08030000335"</f>
        <v>08030000335</v>
      </c>
      <c r="B1493" s="2" t="s">
        <v>1496</v>
      </c>
      <c r="C1493" s="2">
        <v>2525.5700000000002</v>
      </c>
      <c r="D1493" s="2" t="s">
        <v>5</v>
      </c>
    </row>
    <row r="1494" spans="1:4" ht="15" customHeight="1" x14ac:dyDescent="0.25">
      <c r="A1494" s="2" t="str">
        <f>"08030000137"</f>
        <v>08030000137</v>
      </c>
      <c r="B1494" s="2" t="s">
        <v>1497</v>
      </c>
      <c r="C1494" s="2">
        <v>917.85</v>
      </c>
      <c r="D1494" s="2" t="s">
        <v>5</v>
      </c>
    </row>
    <row r="1495" spans="1:4" ht="15" customHeight="1" x14ac:dyDescent="0.25">
      <c r="A1495" s="2" t="str">
        <f>"08610000045"</f>
        <v>08610000045</v>
      </c>
      <c r="B1495" s="2" t="s">
        <v>1498</v>
      </c>
      <c r="C1495" s="2">
        <v>685.13</v>
      </c>
      <c r="D1495" s="2" t="s">
        <v>5</v>
      </c>
    </row>
    <row r="1496" spans="1:4" ht="15" customHeight="1" x14ac:dyDescent="0.25">
      <c r="A1496" s="2" t="str">
        <f>"08600000125"</f>
        <v>08600000125</v>
      </c>
      <c r="B1496" s="2" t="s">
        <v>1499</v>
      </c>
      <c r="C1496" s="2">
        <v>927.96</v>
      </c>
      <c r="D1496" s="2" t="s">
        <v>5</v>
      </c>
    </row>
    <row r="1497" spans="1:4" ht="15" customHeight="1" x14ac:dyDescent="0.25">
      <c r="A1497" s="2" t="str">
        <f>"08030000140"</f>
        <v>08030000140</v>
      </c>
      <c r="B1497" s="2" t="s">
        <v>1500</v>
      </c>
      <c r="C1497" s="2">
        <v>517.07000000000005</v>
      </c>
      <c r="D1497" s="2" t="s">
        <v>5</v>
      </c>
    </row>
    <row r="1498" spans="1:4" ht="15" customHeight="1" x14ac:dyDescent="0.25">
      <c r="A1498" s="2" t="str">
        <f>"08610000060"</f>
        <v>08610000060</v>
      </c>
      <c r="B1498" s="2" t="s">
        <v>1501</v>
      </c>
      <c r="C1498" s="2">
        <v>393.32</v>
      </c>
      <c r="D1498" s="2" t="s">
        <v>5</v>
      </c>
    </row>
    <row r="1499" spans="1:4" ht="15" customHeight="1" x14ac:dyDescent="0.25">
      <c r="A1499" s="2" t="str">
        <f>"08600000170"</f>
        <v>08600000170</v>
      </c>
      <c r="B1499" s="2" t="s">
        <v>1502</v>
      </c>
      <c r="C1499" s="2">
        <v>535.85</v>
      </c>
      <c r="D1499" s="2" t="s">
        <v>5</v>
      </c>
    </row>
    <row r="1500" spans="1:4" ht="15" customHeight="1" x14ac:dyDescent="0.25">
      <c r="A1500" s="2" t="str">
        <f>"08610000275"</f>
        <v>08610000275</v>
      </c>
      <c r="B1500" s="2" t="s">
        <v>1503</v>
      </c>
      <c r="C1500" s="2">
        <v>3019.59</v>
      </c>
      <c r="D1500" s="2" t="s">
        <v>5</v>
      </c>
    </row>
    <row r="1501" spans="1:4" ht="15" customHeight="1" x14ac:dyDescent="0.25">
      <c r="A1501" s="2" t="str">
        <f>"08610000295"</f>
        <v>08610000295</v>
      </c>
      <c r="B1501" s="2" t="s">
        <v>1504</v>
      </c>
      <c r="C1501" s="2">
        <v>3019.59</v>
      </c>
      <c r="D1501" s="2" t="s">
        <v>5</v>
      </c>
    </row>
    <row r="1502" spans="1:4" ht="15" customHeight="1" x14ac:dyDescent="0.25">
      <c r="A1502" s="2" t="str">
        <f>"08030000320"</f>
        <v>08030000320</v>
      </c>
      <c r="B1502" s="2" t="s">
        <v>1505</v>
      </c>
      <c r="C1502" s="2">
        <v>4198.5200000000004</v>
      </c>
      <c r="D1502" s="2" t="s">
        <v>5</v>
      </c>
    </row>
    <row r="1503" spans="1:4" ht="15" customHeight="1" x14ac:dyDescent="0.25">
      <c r="A1503" s="2" t="str">
        <f>"08030000345"</f>
        <v>08030000345</v>
      </c>
      <c r="B1503" s="2" t="s">
        <v>1506</v>
      </c>
      <c r="C1503" s="2">
        <v>4785.8100000000004</v>
      </c>
      <c r="D1503" s="2" t="s">
        <v>5</v>
      </c>
    </row>
    <row r="1504" spans="1:4" ht="15" customHeight="1" x14ac:dyDescent="0.25">
      <c r="A1504" s="2" t="str">
        <f>"08610000085"</f>
        <v>08610000085</v>
      </c>
      <c r="B1504" s="2" t="s">
        <v>1507</v>
      </c>
      <c r="C1504" s="2">
        <v>380.61</v>
      </c>
      <c r="D1504" s="2" t="s">
        <v>5</v>
      </c>
    </row>
    <row r="1505" spans="1:4" ht="15" customHeight="1" x14ac:dyDescent="0.25">
      <c r="A1505" s="2" t="str">
        <f>"08610000090"</f>
        <v>08610000090</v>
      </c>
      <c r="B1505" s="2" t="s">
        <v>1508</v>
      </c>
      <c r="C1505" s="2">
        <v>482.13</v>
      </c>
      <c r="D1505" s="2" t="s">
        <v>5</v>
      </c>
    </row>
    <row r="1506" spans="1:4" ht="15" customHeight="1" x14ac:dyDescent="0.25">
      <c r="A1506" s="2" t="str">
        <f>"08030000315"</f>
        <v>08030000315</v>
      </c>
      <c r="B1506" s="2" t="s">
        <v>1509</v>
      </c>
      <c r="C1506" s="2">
        <v>3521.28</v>
      </c>
      <c r="D1506" s="2" t="s">
        <v>5</v>
      </c>
    </row>
    <row r="1507" spans="1:4" ht="15" customHeight="1" x14ac:dyDescent="0.25">
      <c r="A1507" s="2" t="str">
        <f>"08030000340"</f>
        <v>08030000340</v>
      </c>
      <c r="B1507" s="2" t="s">
        <v>1510</v>
      </c>
      <c r="C1507" s="2">
        <v>3775.34</v>
      </c>
      <c r="D1507" s="2" t="s">
        <v>5</v>
      </c>
    </row>
    <row r="1508" spans="1:4" ht="15" customHeight="1" x14ac:dyDescent="0.25">
      <c r="A1508" s="2" t="str">
        <f>"08600000130"</f>
        <v>08600000130</v>
      </c>
      <c r="B1508" s="2" t="s">
        <v>1511</v>
      </c>
      <c r="C1508" s="2">
        <v>1584.26</v>
      </c>
      <c r="D1508" s="2" t="s">
        <v>5</v>
      </c>
    </row>
    <row r="1509" spans="1:4" ht="15" customHeight="1" x14ac:dyDescent="0.25">
      <c r="A1509" s="2" t="str">
        <f>"08030000145"</f>
        <v>08030000145</v>
      </c>
      <c r="B1509" s="2" t="s">
        <v>1512</v>
      </c>
      <c r="C1509" s="2">
        <v>1141.79</v>
      </c>
      <c r="D1509" s="2" t="s">
        <v>5</v>
      </c>
    </row>
    <row r="1510" spans="1:4" ht="15" customHeight="1" x14ac:dyDescent="0.25">
      <c r="A1510" s="2" t="str">
        <f>"08610000065"</f>
        <v>08610000065</v>
      </c>
      <c r="B1510" s="2" t="s">
        <v>1513</v>
      </c>
      <c r="C1510" s="2">
        <v>862.74</v>
      </c>
      <c r="D1510" s="2" t="s">
        <v>5</v>
      </c>
    </row>
    <row r="1511" spans="1:4" ht="15" customHeight="1" x14ac:dyDescent="0.25">
      <c r="A1511" s="2" t="str">
        <f>"08600000175"</f>
        <v>08600000175</v>
      </c>
      <c r="B1511" s="2" t="s">
        <v>1514</v>
      </c>
      <c r="C1511" s="2">
        <v>1188.3800000000001</v>
      </c>
      <c r="D1511" s="2" t="s">
        <v>5</v>
      </c>
    </row>
    <row r="1512" spans="1:4" ht="15" customHeight="1" x14ac:dyDescent="0.25">
      <c r="A1512" s="2" t="str">
        <f>"08600000135"</f>
        <v>08600000135</v>
      </c>
      <c r="B1512" s="2" t="s">
        <v>1515</v>
      </c>
      <c r="C1512" s="2">
        <v>2781.47</v>
      </c>
      <c r="D1512" s="2" t="s">
        <v>5</v>
      </c>
    </row>
    <row r="1513" spans="1:4" ht="15" customHeight="1" x14ac:dyDescent="0.25">
      <c r="A1513" s="2" t="str">
        <f>"08030000150"</f>
        <v>08030000150</v>
      </c>
      <c r="B1513" s="2" t="s">
        <v>1516</v>
      </c>
      <c r="C1513" s="2">
        <v>1973.94</v>
      </c>
      <c r="D1513" s="2" t="s">
        <v>5</v>
      </c>
    </row>
    <row r="1514" spans="1:4" ht="15" customHeight="1" x14ac:dyDescent="0.25">
      <c r="A1514" s="2" t="str">
        <f>"08610000070"</f>
        <v>08610000070</v>
      </c>
      <c r="B1514" s="2" t="s">
        <v>1517</v>
      </c>
      <c r="C1514" s="2">
        <v>1484.42</v>
      </c>
      <c r="D1514" s="2" t="s">
        <v>5</v>
      </c>
    </row>
    <row r="1515" spans="1:4" ht="15" customHeight="1" x14ac:dyDescent="0.25">
      <c r="A1515" s="2" t="str">
        <f>"08600000180"</f>
        <v>08600000180</v>
      </c>
      <c r="B1515" s="2" t="s">
        <v>1518</v>
      </c>
      <c r="C1515" s="2">
        <v>2227.04</v>
      </c>
      <c r="D1515" s="2" t="s">
        <v>5</v>
      </c>
    </row>
    <row r="1516" spans="1:4" ht="15" customHeight="1" x14ac:dyDescent="0.25">
      <c r="A1516" s="2" t="str">
        <f>"08600000140"</f>
        <v>08600000140</v>
      </c>
      <c r="B1516" s="2" t="s">
        <v>1519</v>
      </c>
      <c r="C1516" s="2">
        <v>4372.28</v>
      </c>
      <c r="D1516" s="2" t="s">
        <v>5</v>
      </c>
    </row>
    <row r="1517" spans="1:4" ht="15" customHeight="1" x14ac:dyDescent="0.25">
      <c r="A1517" s="2" t="str">
        <f>"08030000153"</f>
        <v>08030000153</v>
      </c>
      <c r="B1517" s="2" t="s">
        <v>1520</v>
      </c>
      <c r="C1517" s="2">
        <v>3270.59</v>
      </c>
      <c r="D1517" s="2" t="s">
        <v>5</v>
      </c>
    </row>
    <row r="1518" spans="1:4" ht="15" customHeight="1" x14ac:dyDescent="0.25">
      <c r="A1518" s="2" t="str">
        <f>"08610000075"</f>
        <v>08610000075</v>
      </c>
      <c r="B1518" s="2" t="s">
        <v>1521</v>
      </c>
      <c r="C1518" s="2">
        <v>2461.35</v>
      </c>
      <c r="D1518" s="2" t="s">
        <v>5</v>
      </c>
    </row>
    <row r="1519" spans="1:4" ht="15" customHeight="1" x14ac:dyDescent="0.25">
      <c r="A1519" s="2" t="str">
        <f>"08600000185"</f>
        <v>08600000185</v>
      </c>
      <c r="B1519" s="2" t="s">
        <v>1522</v>
      </c>
      <c r="C1519" s="2">
        <v>3343.17</v>
      </c>
      <c r="D1519" s="2" t="s">
        <v>5</v>
      </c>
    </row>
    <row r="1520" spans="1:4" ht="15" customHeight="1" x14ac:dyDescent="0.25">
      <c r="A1520" s="2" t="str">
        <f>"08600000145"</f>
        <v>08600000145</v>
      </c>
      <c r="B1520" s="2" t="s">
        <v>1523</v>
      </c>
      <c r="C1520" s="2">
        <v>11264.63</v>
      </c>
      <c r="D1520" s="2" t="s">
        <v>5</v>
      </c>
    </row>
    <row r="1521" spans="1:4" ht="15" customHeight="1" x14ac:dyDescent="0.25">
      <c r="A1521" s="2" t="str">
        <f>"08600000190"</f>
        <v>08600000190</v>
      </c>
      <c r="B1521" s="2" t="s">
        <v>1524</v>
      </c>
      <c r="C1521" s="2">
        <v>8017.37</v>
      </c>
      <c r="D1521" s="2" t="s">
        <v>5</v>
      </c>
    </row>
    <row r="1522" spans="1:4" ht="15" customHeight="1" x14ac:dyDescent="0.25">
      <c r="A1522" s="2" t="str">
        <f>"08600000150"</f>
        <v>08600000150</v>
      </c>
      <c r="B1522" s="2" t="s">
        <v>1525</v>
      </c>
      <c r="C1522" s="2">
        <v>20029.28</v>
      </c>
      <c r="D1522" s="2" t="s">
        <v>5</v>
      </c>
    </row>
    <row r="1523" spans="1:4" ht="15" customHeight="1" x14ac:dyDescent="0.25">
      <c r="A1523" s="2" t="str">
        <f>"08600000195"</f>
        <v>08600000195</v>
      </c>
      <c r="B1523" s="2" t="s">
        <v>1526</v>
      </c>
      <c r="C1523" s="2">
        <v>19920.29</v>
      </c>
      <c r="D1523" s="2" t="s">
        <v>5</v>
      </c>
    </row>
    <row r="1524" spans="1:4" ht="15" customHeight="1" x14ac:dyDescent="0.25">
      <c r="A1524" s="2" t="str">
        <f>"08600000735"</f>
        <v>08600000735</v>
      </c>
      <c r="B1524" s="2" t="s">
        <v>1527</v>
      </c>
      <c r="C1524" s="2">
        <v>1541.73</v>
      </c>
      <c r="D1524" s="2" t="s">
        <v>5</v>
      </c>
    </row>
    <row r="1525" spans="1:4" ht="15" customHeight="1" x14ac:dyDescent="0.25">
      <c r="A1525" s="2" t="str">
        <f>"08600000715"</f>
        <v>08600000715</v>
      </c>
      <c r="B1525" s="2" t="s">
        <v>1528</v>
      </c>
      <c r="C1525" s="2">
        <v>1793.79</v>
      </c>
      <c r="D1525" s="2" t="s">
        <v>5</v>
      </c>
    </row>
    <row r="1526" spans="1:4" ht="15" customHeight="1" x14ac:dyDescent="0.25">
      <c r="A1526" s="2" t="str">
        <f>"08600000740"</f>
        <v>08600000740</v>
      </c>
      <c r="B1526" s="2" t="s">
        <v>1529</v>
      </c>
      <c r="C1526" s="2">
        <v>2229.89</v>
      </c>
      <c r="D1526" s="2" t="s">
        <v>5</v>
      </c>
    </row>
    <row r="1527" spans="1:4" ht="15" customHeight="1" x14ac:dyDescent="0.25">
      <c r="A1527" s="2" t="str">
        <f>"08600000745"</f>
        <v>08600000745</v>
      </c>
      <c r="B1527" s="2" t="s">
        <v>1530</v>
      </c>
      <c r="C1527" s="2">
        <v>2352.96</v>
      </c>
      <c r="D1527" s="2" t="s">
        <v>5</v>
      </c>
    </row>
    <row r="1528" spans="1:4" ht="15" customHeight="1" x14ac:dyDescent="0.25">
      <c r="A1528" s="2" t="str">
        <f>"08600000720"</f>
        <v>08600000720</v>
      </c>
      <c r="B1528" s="2" t="s">
        <v>1531</v>
      </c>
      <c r="C1528" s="2">
        <v>2524.61</v>
      </c>
      <c r="D1528" s="2" t="s">
        <v>5</v>
      </c>
    </row>
    <row r="1529" spans="1:4" ht="15" customHeight="1" x14ac:dyDescent="0.25">
      <c r="A1529" s="2" t="str">
        <f>"08600000755"</f>
        <v>08600000755</v>
      </c>
      <c r="B1529" s="2" t="s">
        <v>1532</v>
      </c>
      <c r="C1529" s="2">
        <v>4212.17</v>
      </c>
      <c r="D1529" s="2" t="s">
        <v>5</v>
      </c>
    </row>
    <row r="1530" spans="1:4" ht="15" customHeight="1" x14ac:dyDescent="0.25">
      <c r="A1530" s="2" t="str">
        <f>"08600000730"</f>
        <v>08600000730</v>
      </c>
      <c r="B1530" s="2" t="s">
        <v>1533</v>
      </c>
      <c r="C1530" s="2">
        <v>5349.92</v>
      </c>
      <c r="D1530" s="2" t="s">
        <v>5</v>
      </c>
    </row>
    <row r="1531" spans="1:4" ht="15" customHeight="1" x14ac:dyDescent="0.25">
      <c r="A1531" s="2" t="str">
        <f>"08600000750"</f>
        <v>08600000750</v>
      </c>
      <c r="B1531" s="2" t="s">
        <v>1534</v>
      </c>
      <c r="C1531" s="2">
        <v>3681.57</v>
      </c>
      <c r="D1531" s="2" t="s">
        <v>5</v>
      </c>
    </row>
    <row r="1532" spans="1:4" ht="15" customHeight="1" x14ac:dyDescent="0.25">
      <c r="A1532" s="2" t="str">
        <f>"08600000725"</f>
        <v>08600000725</v>
      </c>
      <c r="B1532" s="2" t="s">
        <v>1535</v>
      </c>
      <c r="C1532" s="2">
        <v>3625.4</v>
      </c>
      <c r="D1532" s="2" t="s">
        <v>5</v>
      </c>
    </row>
    <row r="1533" spans="1:4" ht="15" customHeight="1" x14ac:dyDescent="0.25">
      <c r="A1533" s="2" t="str">
        <f>"08600000205"</f>
        <v>08600000205</v>
      </c>
      <c r="B1533" s="2" t="s">
        <v>1536</v>
      </c>
      <c r="C1533" s="2">
        <v>509.91</v>
      </c>
      <c r="D1533" s="2" t="s">
        <v>5</v>
      </c>
    </row>
    <row r="1534" spans="1:4" ht="15" customHeight="1" x14ac:dyDescent="0.25">
      <c r="A1534" s="2" t="str">
        <f>"08600000220"</f>
        <v>08600000220</v>
      </c>
      <c r="B1534" s="2" t="s">
        <v>1537</v>
      </c>
      <c r="C1534" s="2">
        <v>285.63</v>
      </c>
      <c r="D1534" s="2" t="s">
        <v>5</v>
      </c>
    </row>
    <row r="1535" spans="1:4" ht="15" customHeight="1" x14ac:dyDescent="0.25">
      <c r="A1535" s="2" t="str">
        <f>"08600000210"</f>
        <v>08600000210</v>
      </c>
      <c r="B1535" s="2" t="s">
        <v>1538</v>
      </c>
      <c r="C1535" s="2">
        <v>669.9</v>
      </c>
      <c r="D1535" s="2" t="s">
        <v>5</v>
      </c>
    </row>
    <row r="1536" spans="1:4" ht="15" customHeight="1" x14ac:dyDescent="0.25">
      <c r="A1536" s="2" t="str">
        <f>"08600000225"</f>
        <v>08600000225</v>
      </c>
      <c r="B1536" s="2" t="s">
        <v>1539</v>
      </c>
      <c r="C1536" s="2">
        <v>454.83</v>
      </c>
      <c r="D1536" s="2" t="s">
        <v>5</v>
      </c>
    </row>
    <row r="1537" spans="1:4" ht="15" customHeight="1" x14ac:dyDescent="0.25">
      <c r="A1537" s="2" t="str">
        <f>"08600000215"</f>
        <v>08600000215</v>
      </c>
      <c r="B1537" s="2" t="s">
        <v>1540</v>
      </c>
      <c r="C1537" s="2">
        <v>985.61</v>
      </c>
      <c r="D1537" s="2" t="s">
        <v>5</v>
      </c>
    </row>
    <row r="1538" spans="1:4" ht="15" customHeight="1" x14ac:dyDescent="0.25">
      <c r="A1538" s="2" t="str">
        <f>"08600000230"</f>
        <v>08600000230</v>
      </c>
      <c r="B1538" s="2" t="s">
        <v>1541</v>
      </c>
      <c r="C1538" s="2">
        <v>972.74</v>
      </c>
      <c r="D1538" s="2" t="s">
        <v>5</v>
      </c>
    </row>
    <row r="1539" spans="1:4" ht="15" customHeight="1" x14ac:dyDescent="0.25">
      <c r="A1539" s="2" t="str">
        <f>"08600000760"</f>
        <v>08600000760</v>
      </c>
      <c r="B1539" s="2" t="s">
        <v>1542</v>
      </c>
      <c r="C1539" s="2">
        <v>14534.85</v>
      </c>
      <c r="D1539" s="2" t="s">
        <v>5</v>
      </c>
    </row>
    <row r="1540" spans="1:4" ht="15" customHeight="1" x14ac:dyDescent="0.25">
      <c r="A1540" s="2" t="str">
        <f>"08600000110"</f>
        <v>08600000110</v>
      </c>
      <c r="B1540" s="2" t="s">
        <v>1543</v>
      </c>
      <c r="C1540" s="2">
        <v>15698.79</v>
      </c>
      <c r="D1540" s="2" t="s">
        <v>5</v>
      </c>
    </row>
    <row r="1541" spans="1:4" ht="15" customHeight="1" x14ac:dyDescent="0.25">
      <c r="A1541" s="2" t="str">
        <f>"08030000100"</f>
        <v>08030000100</v>
      </c>
      <c r="B1541" s="2" t="s">
        <v>1544</v>
      </c>
      <c r="C1541" s="2">
        <v>159.29</v>
      </c>
      <c r="D1541" s="2" t="s">
        <v>5</v>
      </c>
    </row>
    <row r="1542" spans="1:4" ht="15" customHeight="1" x14ac:dyDescent="0.25">
      <c r="A1542" s="2" t="str">
        <f>"08610000140"</f>
        <v>08610000140</v>
      </c>
      <c r="B1542" s="2" t="s">
        <v>1545</v>
      </c>
      <c r="C1542" s="2">
        <v>126.87</v>
      </c>
      <c r="D1542" s="2" t="s">
        <v>5</v>
      </c>
    </row>
    <row r="1543" spans="1:4" ht="15" customHeight="1" x14ac:dyDescent="0.25">
      <c r="A1543" s="2" t="str">
        <f>"08600000070"</f>
        <v>08600000070</v>
      </c>
      <c r="B1543" s="2" t="s">
        <v>1546</v>
      </c>
      <c r="C1543" s="2">
        <v>170.45</v>
      </c>
      <c r="D1543" s="2" t="s">
        <v>5</v>
      </c>
    </row>
    <row r="1544" spans="1:4" ht="15" customHeight="1" x14ac:dyDescent="0.25">
      <c r="A1544" s="2" t="str">
        <f>"08030000105"</f>
        <v>08030000105</v>
      </c>
      <c r="B1544" s="2" t="s">
        <v>1547</v>
      </c>
      <c r="C1544" s="2">
        <v>251.15</v>
      </c>
      <c r="D1544" s="2" t="s">
        <v>5</v>
      </c>
    </row>
    <row r="1545" spans="1:4" ht="15" customHeight="1" x14ac:dyDescent="0.25">
      <c r="A1545" s="2" t="str">
        <f>"08610000145"</f>
        <v>08610000145</v>
      </c>
      <c r="B1545" s="2" t="s">
        <v>1548</v>
      </c>
      <c r="C1545" s="2">
        <v>190.31</v>
      </c>
      <c r="D1545" s="2" t="s">
        <v>5</v>
      </c>
    </row>
    <row r="1546" spans="1:4" ht="15" customHeight="1" x14ac:dyDescent="0.25">
      <c r="A1546" s="2" t="str">
        <f>"08600000075"</f>
        <v>08600000075</v>
      </c>
      <c r="B1546" s="2" t="s">
        <v>1549</v>
      </c>
      <c r="C1546" s="2">
        <v>268.67</v>
      </c>
      <c r="D1546" s="2" t="s">
        <v>5</v>
      </c>
    </row>
    <row r="1547" spans="1:4" ht="15" customHeight="1" x14ac:dyDescent="0.25">
      <c r="A1547" s="2" t="str">
        <f>"08030000210"</f>
        <v>08030000210</v>
      </c>
      <c r="B1547" s="2" t="s">
        <v>1550</v>
      </c>
      <c r="C1547" s="2">
        <v>305.97000000000003</v>
      </c>
      <c r="D1547" s="2" t="s">
        <v>5</v>
      </c>
    </row>
    <row r="1548" spans="1:4" ht="15" customHeight="1" x14ac:dyDescent="0.25">
      <c r="A1548" s="2" t="str">
        <f>"08610000155"</f>
        <v>08610000155</v>
      </c>
      <c r="B1548" s="2" t="s">
        <v>1551</v>
      </c>
      <c r="C1548" s="2">
        <v>228.38</v>
      </c>
      <c r="D1548" s="2" t="s">
        <v>5</v>
      </c>
    </row>
    <row r="1549" spans="1:4" ht="15" customHeight="1" x14ac:dyDescent="0.25">
      <c r="A1549" s="2" t="str">
        <f>"08600000975"</f>
        <v>08600000975</v>
      </c>
      <c r="B1549" s="2" t="s">
        <v>1552</v>
      </c>
      <c r="C1549" s="2">
        <v>505.05</v>
      </c>
      <c r="D1549" s="2" t="s">
        <v>5</v>
      </c>
    </row>
    <row r="1550" spans="1:4" ht="15" customHeight="1" x14ac:dyDescent="0.25">
      <c r="A1550" s="2" t="str">
        <f>"08030000110"</f>
        <v>08030000110</v>
      </c>
      <c r="B1550" s="2" t="s">
        <v>1553</v>
      </c>
      <c r="C1550" s="2">
        <v>348.78</v>
      </c>
      <c r="D1550" s="2" t="s">
        <v>5</v>
      </c>
    </row>
    <row r="1551" spans="1:4" ht="15" customHeight="1" x14ac:dyDescent="0.25">
      <c r="A1551" s="2" t="str">
        <f>"08610000150"</f>
        <v>08610000150</v>
      </c>
      <c r="B1551" s="2" t="s">
        <v>1554</v>
      </c>
      <c r="C1551" s="2">
        <v>266.45</v>
      </c>
      <c r="D1551" s="2" t="s">
        <v>5</v>
      </c>
    </row>
    <row r="1552" spans="1:4" ht="15" customHeight="1" x14ac:dyDescent="0.25">
      <c r="A1552" s="2" t="str">
        <f>"08600000080"</f>
        <v>08600000080</v>
      </c>
      <c r="B1552" s="2" t="s">
        <v>1555</v>
      </c>
      <c r="C1552" s="2">
        <v>377.27</v>
      </c>
      <c r="D1552" s="2" t="s">
        <v>5</v>
      </c>
    </row>
    <row r="1553" spans="1:4" ht="15" customHeight="1" x14ac:dyDescent="0.25">
      <c r="A1553" s="2" t="str">
        <f>"08030000215"</f>
        <v>08030000215</v>
      </c>
      <c r="B1553" s="2" t="s">
        <v>1556</v>
      </c>
      <c r="C1553" s="2">
        <v>385.04</v>
      </c>
      <c r="D1553" s="2" t="s">
        <v>5</v>
      </c>
    </row>
    <row r="1554" spans="1:4" ht="15" customHeight="1" x14ac:dyDescent="0.25">
      <c r="A1554" s="2" t="str">
        <f>"08610000160"</f>
        <v>08610000160</v>
      </c>
      <c r="B1554" s="2" t="s">
        <v>1557</v>
      </c>
      <c r="C1554" s="2">
        <v>291.8</v>
      </c>
      <c r="D1554" s="2" t="s">
        <v>5</v>
      </c>
    </row>
    <row r="1555" spans="1:4" ht="15" customHeight="1" x14ac:dyDescent="0.25">
      <c r="A1555" s="2" t="str">
        <f>"08600000980"</f>
        <v>08600000980</v>
      </c>
      <c r="B1555" s="2" t="s">
        <v>1558</v>
      </c>
      <c r="C1555" s="2">
        <v>654.87</v>
      </c>
      <c r="D1555" s="2" t="s">
        <v>5</v>
      </c>
    </row>
    <row r="1556" spans="1:4" ht="15" customHeight="1" x14ac:dyDescent="0.25">
      <c r="A1556" s="2" t="str">
        <f>"08030000220"</f>
        <v>08030000220</v>
      </c>
      <c r="B1556" s="2" t="s">
        <v>1559</v>
      </c>
      <c r="C1556" s="2">
        <v>465.78</v>
      </c>
      <c r="D1556" s="2" t="s">
        <v>5</v>
      </c>
    </row>
    <row r="1557" spans="1:4" ht="15" customHeight="1" x14ac:dyDescent="0.25">
      <c r="A1557" s="2" t="str">
        <f>"08610000165"</f>
        <v>08610000165</v>
      </c>
      <c r="B1557" s="2" t="s">
        <v>1560</v>
      </c>
      <c r="C1557" s="2">
        <v>342.57</v>
      </c>
      <c r="D1557" s="2" t="s">
        <v>5</v>
      </c>
    </row>
    <row r="1558" spans="1:4" ht="15" customHeight="1" x14ac:dyDescent="0.25">
      <c r="A1558" s="2" t="str">
        <f>"08600000985"</f>
        <v>08600000985</v>
      </c>
      <c r="B1558" s="2" t="s">
        <v>1561</v>
      </c>
      <c r="C1558" s="2">
        <v>745.52</v>
      </c>
      <c r="D1558" s="2" t="s">
        <v>5</v>
      </c>
    </row>
    <row r="1559" spans="1:4" ht="15" customHeight="1" x14ac:dyDescent="0.25">
      <c r="A1559" s="2" t="str">
        <f>"08030000115"</f>
        <v>08030000115</v>
      </c>
      <c r="B1559" s="2" t="s">
        <v>1562</v>
      </c>
      <c r="C1559" s="2">
        <v>644.22</v>
      </c>
      <c r="D1559" s="2" t="s">
        <v>5</v>
      </c>
    </row>
    <row r="1560" spans="1:4" ht="15" customHeight="1" x14ac:dyDescent="0.25">
      <c r="A1560" s="2" t="str">
        <f>"08610000152"</f>
        <v>08610000152</v>
      </c>
      <c r="B1560" s="2" t="s">
        <v>1563</v>
      </c>
      <c r="C1560" s="2">
        <v>431.37</v>
      </c>
      <c r="D1560" s="2" t="s">
        <v>5</v>
      </c>
    </row>
    <row r="1561" spans="1:4" ht="15" customHeight="1" x14ac:dyDescent="0.25">
      <c r="A1561" s="2" t="str">
        <f>"08600000085"</f>
        <v>08600000085</v>
      </c>
      <c r="B1561" s="2" t="s">
        <v>1564</v>
      </c>
      <c r="C1561" s="2">
        <v>930.9</v>
      </c>
      <c r="D1561" s="2" t="s">
        <v>5</v>
      </c>
    </row>
    <row r="1562" spans="1:4" ht="15" customHeight="1" x14ac:dyDescent="0.25">
      <c r="A1562" s="2" t="str">
        <f>"08030000225"</f>
        <v>08030000225</v>
      </c>
      <c r="B1562" s="2" t="s">
        <v>1565</v>
      </c>
      <c r="C1562" s="2">
        <v>575.17999999999995</v>
      </c>
      <c r="D1562" s="2" t="s">
        <v>5</v>
      </c>
    </row>
    <row r="1563" spans="1:4" ht="15" customHeight="1" x14ac:dyDescent="0.25">
      <c r="A1563" s="2" t="str">
        <f>"08610000166"</f>
        <v>08610000166</v>
      </c>
      <c r="B1563" s="2" t="s">
        <v>1566</v>
      </c>
      <c r="C1563" s="2">
        <v>380.61</v>
      </c>
      <c r="D1563" s="2" t="s">
        <v>5</v>
      </c>
    </row>
    <row r="1564" spans="1:4" ht="15" customHeight="1" x14ac:dyDescent="0.25">
      <c r="A1564" s="2" t="str">
        <f>"08030000230"</f>
        <v>08030000230</v>
      </c>
      <c r="B1564" s="2" t="s">
        <v>1567</v>
      </c>
      <c r="C1564" s="2">
        <v>626.54999999999995</v>
      </c>
      <c r="D1564" s="2" t="s">
        <v>5</v>
      </c>
    </row>
    <row r="1565" spans="1:4" ht="15" customHeight="1" x14ac:dyDescent="0.25">
      <c r="A1565" s="2" t="str">
        <f>"08610000167"</f>
        <v>08610000167</v>
      </c>
      <c r="B1565" s="2" t="s">
        <v>1568</v>
      </c>
      <c r="C1565" s="2">
        <v>418.68</v>
      </c>
      <c r="D1565" s="2" t="s">
        <v>5</v>
      </c>
    </row>
    <row r="1566" spans="1:4" ht="15" customHeight="1" x14ac:dyDescent="0.25">
      <c r="A1566" s="2" t="str">
        <f>"08030000120"</f>
        <v>08030000120</v>
      </c>
      <c r="B1566" s="2" t="s">
        <v>1569</v>
      </c>
      <c r="C1566" s="2">
        <v>1040.6300000000001</v>
      </c>
      <c r="D1566" s="2" t="s">
        <v>5</v>
      </c>
    </row>
    <row r="1567" spans="1:4" ht="15" customHeight="1" x14ac:dyDescent="0.25">
      <c r="A1567" s="2" t="str">
        <f>"08610000153"</f>
        <v>08610000153</v>
      </c>
      <c r="B1567" s="2" t="s">
        <v>1570</v>
      </c>
      <c r="C1567" s="2">
        <v>710.49</v>
      </c>
      <c r="D1567" s="2" t="s">
        <v>5</v>
      </c>
    </row>
    <row r="1568" spans="1:4" ht="15" customHeight="1" x14ac:dyDescent="0.25">
      <c r="A1568" s="2" t="str">
        <f>"08600000090"</f>
        <v>08600000090</v>
      </c>
      <c r="B1568" s="2" t="s">
        <v>1571</v>
      </c>
      <c r="C1568" s="2">
        <v>1556.54</v>
      </c>
      <c r="D1568" s="2" t="s">
        <v>5</v>
      </c>
    </row>
    <row r="1569" spans="1:4" ht="15" customHeight="1" x14ac:dyDescent="0.25">
      <c r="A1569" s="2" t="str">
        <f>"08030000235"</f>
        <v>08030000235</v>
      </c>
      <c r="B1569" s="2" t="s">
        <v>1572</v>
      </c>
      <c r="C1569" s="2">
        <v>831.93</v>
      </c>
      <c r="D1569" s="2" t="s">
        <v>5</v>
      </c>
    </row>
    <row r="1570" spans="1:4" ht="15" customHeight="1" x14ac:dyDescent="0.25">
      <c r="A1570" s="2" t="str">
        <f>"08610000168"</f>
        <v>08610000168</v>
      </c>
      <c r="B1570" s="2" t="s">
        <v>1573</v>
      </c>
      <c r="C1570" s="2">
        <v>558.24</v>
      </c>
      <c r="D1570" s="2" t="s">
        <v>5</v>
      </c>
    </row>
    <row r="1571" spans="1:4" ht="15" customHeight="1" x14ac:dyDescent="0.25">
      <c r="A1571" s="2" t="str">
        <f>"08030000240"</f>
        <v>08030000240</v>
      </c>
      <c r="B1571" s="2" t="s">
        <v>1574</v>
      </c>
      <c r="C1571" s="2">
        <v>983</v>
      </c>
      <c r="D1571" s="2" t="s">
        <v>5</v>
      </c>
    </row>
    <row r="1572" spans="1:4" ht="15" customHeight="1" x14ac:dyDescent="0.25">
      <c r="A1572" s="2" t="str">
        <f>"08030000125"</f>
        <v>08030000125</v>
      </c>
      <c r="B1572" s="2" t="s">
        <v>1575</v>
      </c>
      <c r="C1572" s="2">
        <v>2316.5300000000002</v>
      </c>
      <c r="D1572" s="2" t="s">
        <v>5</v>
      </c>
    </row>
    <row r="1573" spans="1:4" ht="15" customHeight="1" x14ac:dyDescent="0.25">
      <c r="A1573" s="2" t="str">
        <f>"08610000154"</f>
        <v>08610000154</v>
      </c>
      <c r="B1573" s="2" t="s">
        <v>1576</v>
      </c>
      <c r="C1573" s="2">
        <v>1573.23</v>
      </c>
      <c r="D1573" s="2" t="s">
        <v>5</v>
      </c>
    </row>
    <row r="1574" spans="1:4" ht="15" customHeight="1" x14ac:dyDescent="0.25">
      <c r="A1574" s="2" t="str">
        <f>"08600000095"</f>
        <v>08600000095</v>
      </c>
      <c r="B1574" s="2" t="s">
        <v>1577</v>
      </c>
      <c r="C1574" s="2">
        <v>2738.99</v>
      </c>
      <c r="D1574" s="2" t="s">
        <v>5</v>
      </c>
    </row>
    <row r="1575" spans="1:4" ht="15" customHeight="1" x14ac:dyDescent="0.25">
      <c r="A1575" s="2" t="str">
        <f>"08030000243"</f>
        <v>08030000243</v>
      </c>
      <c r="B1575" s="2" t="s">
        <v>1578</v>
      </c>
      <c r="C1575" s="2">
        <v>2957.33</v>
      </c>
      <c r="D1575" s="2" t="s">
        <v>5</v>
      </c>
    </row>
    <row r="1576" spans="1:4" ht="15" customHeight="1" x14ac:dyDescent="0.25">
      <c r="A1576" s="2" t="str">
        <f>"08030000245"</f>
        <v>08030000245</v>
      </c>
      <c r="B1576" s="2" t="s">
        <v>1579</v>
      </c>
      <c r="C1576" s="2">
        <v>3042</v>
      </c>
      <c r="D1576" s="2" t="s">
        <v>5</v>
      </c>
    </row>
    <row r="1577" spans="1:4" ht="15" customHeight="1" x14ac:dyDescent="0.25">
      <c r="A1577" s="2" t="str">
        <f>"08600000100"</f>
        <v>08600000100</v>
      </c>
      <c r="B1577" s="2" t="s">
        <v>1580</v>
      </c>
      <c r="C1577" s="2">
        <v>7091.25</v>
      </c>
      <c r="D1577" s="2" t="s">
        <v>5</v>
      </c>
    </row>
    <row r="1578" spans="1:4" ht="15" customHeight="1" x14ac:dyDescent="0.25">
      <c r="A1578" s="2" t="str">
        <f>"08600000105"</f>
        <v>08600000105</v>
      </c>
      <c r="B1578" s="2" t="s">
        <v>1581</v>
      </c>
      <c r="C1578" s="2">
        <v>11934.41</v>
      </c>
      <c r="D1578" s="2" t="s">
        <v>5</v>
      </c>
    </row>
    <row r="1579" spans="1:4" ht="15" customHeight="1" x14ac:dyDescent="0.25">
      <c r="A1579" s="2" t="str">
        <f>"08030000460"</f>
        <v>08030000460</v>
      </c>
      <c r="B1579" s="2" t="s">
        <v>1582</v>
      </c>
      <c r="C1579" s="2">
        <v>724.52</v>
      </c>
      <c r="D1579" s="2" t="s">
        <v>5</v>
      </c>
    </row>
    <row r="1580" spans="1:4" ht="15" customHeight="1" x14ac:dyDescent="0.25">
      <c r="A1580" s="2" t="str">
        <f>"08610000095"</f>
        <v>08610000095</v>
      </c>
      <c r="B1580" s="2" t="s">
        <v>1583</v>
      </c>
      <c r="C1580" s="2">
        <v>799.29</v>
      </c>
      <c r="D1580" s="2" t="s">
        <v>5</v>
      </c>
    </row>
    <row r="1581" spans="1:4" ht="15" customHeight="1" x14ac:dyDescent="0.25">
      <c r="A1581" s="2" t="str">
        <f>"08600000410"</f>
        <v>08600000410</v>
      </c>
      <c r="B1581" s="2" t="s">
        <v>1584</v>
      </c>
      <c r="C1581" s="2">
        <v>923.55</v>
      </c>
      <c r="D1581" s="2" t="s">
        <v>5</v>
      </c>
    </row>
    <row r="1582" spans="1:4" ht="15" customHeight="1" x14ac:dyDescent="0.25">
      <c r="A1582" s="2" t="str">
        <f>"08030000465"</f>
        <v>08030000465</v>
      </c>
      <c r="B1582" s="2" t="s">
        <v>1585</v>
      </c>
      <c r="C1582" s="2">
        <v>989.7</v>
      </c>
      <c r="D1582" s="2" t="s">
        <v>5</v>
      </c>
    </row>
    <row r="1583" spans="1:4" ht="15" customHeight="1" x14ac:dyDescent="0.25">
      <c r="A1583" s="2" t="str">
        <f>"08610000100"</f>
        <v>08610000100</v>
      </c>
      <c r="B1583" s="2" t="s">
        <v>1586</v>
      </c>
      <c r="C1583" s="2">
        <v>735.87</v>
      </c>
      <c r="D1583" s="2" t="s">
        <v>5</v>
      </c>
    </row>
    <row r="1584" spans="1:4" ht="15" customHeight="1" x14ac:dyDescent="0.25">
      <c r="A1584" s="2" t="str">
        <f>"08600000415"</f>
        <v>08600000415</v>
      </c>
      <c r="B1584" s="2" t="s">
        <v>1587</v>
      </c>
      <c r="C1584" s="2">
        <v>1185.5999999999999</v>
      </c>
      <c r="D1584" s="2" t="s">
        <v>5</v>
      </c>
    </row>
    <row r="1585" spans="1:4" ht="15" customHeight="1" x14ac:dyDescent="0.25">
      <c r="A1585" s="2" t="str">
        <f>"08030000470"</f>
        <v>08030000470</v>
      </c>
      <c r="B1585" s="2" t="s">
        <v>1588</v>
      </c>
      <c r="C1585" s="2">
        <v>1401.3</v>
      </c>
      <c r="D1585" s="2" t="s">
        <v>5</v>
      </c>
    </row>
    <row r="1586" spans="1:4" ht="15" customHeight="1" x14ac:dyDescent="0.25">
      <c r="A1586" s="2" t="str">
        <f>"08610000105"</f>
        <v>08610000105</v>
      </c>
      <c r="B1586" s="2" t="s">
        <v>1589</v>
      </c>
      <c r="C1586" s="2">
        <v>1053.05</v>
      </c>
      <c r="D1586" s="2" t="s">
        <v>5</v>
      </c>
    </row>
    <row r="1587" spans="1:4" ht="15" customHeight="1" x14ac:dyDescent="0.25">
      <c r="A1587" s="2" t="str">
        <f>"08600000420"</f>
        <v>08600000420</v>
      </c>
      <c r="B1587" s="2" t="s">
        <v>1590</v>
      </c>
      <c r="C1587" s="2">
        <v>1733.96</v>
      </c>
      <c r="D1587" s="2" t="s">
        <v>5</v>
      </c>
    </row>
    <row r="1588" spans="1:4" ht="15" customHeight="1" x14ac:dyDescent="0.25">
      <c r="A1588" s="2" t="str">
        <f>"08030000490"</f>
        <v>08030000490</v>
      </c>
      <c r="B1588" s="2" t="s">
        <v>1591</v>
      </c>
      <c r="C1588" s="2">
        <v>959.37</v>
      </c>
      <c r="D1588" s="2" t="s">
        <v>5</v>
      </c>
    </row>
    <row r="1589" spans="1:4" ht="15" customHeight="1" x14ac:dyDescent="0.25">
      <c r="A1589" s="2" t="str">
        <f>"08610000110"</f>
        <v>08610000110</v>
      </c>
      <c r="B1589" s="2" t="s">
        <v>1592</v>
      </c>
      <c r="C1589" s="2">
        <v>532.88</v>
      </c>
      <c r="D1589" s="2" t="s">
        <v>5</v>
      </c>
    </row>
    <row r="1590" spans="1:4" ht="15" customHeight="1" x14ac:dyDescent="0.25">
      <c r="A1590" s="2" t="str">
        <f>"08610000500"</f>
        <v>08610000500</v>
      </c>
      <c r="B1590" s="2" t="s">
        <v>1593</v>
      </c>
      <c r="C1590" s="2">
        <v>0.59</v>
      </c>
      <c r="D1590" s="2" t="s">
        <v>107</v>
      </c>
    </row>
    <row r="1591" spans="1:4" ht="15" customHeight="1" x14ac:dyDescent="0.25">
      <c r="A1591" s="2" t="str">
        <f>"08610000115"</f>
        <v>08610000115</v>
      </c>
      <c r="B1591" s="2" t="s">
        <v>1594</v>
      </c>
      <c r="C1591" s="2">
        <v>761.25</v>
      </c>
      <c r="D1591" s="2" t="s">
        <v>5</v>
      </c>
    </row>
    <row r="1592" spans="1:4" ht="15" customHeight="1" x14ac:dyDescent="0.25">
      <c r="A1592" s="2" t="str">
        <f>"08610000501"</f>
        <v>08610000501</v>
      </c>
      <c r="B1592" s="2" t="s">
        <v>1595</v>
      </c>
      <c r="C1592" s="2">
        <v>0.78</v>
      </c>
      <c r="D1592" s="2" t="s">
        <v>107</v>
      </c>
    </row>
    <row r="1593" spans="1:4" ht="15" customHeight="1" x14ac:dyDescent="0.25">
      <c r="A1593" s="2" t="str">
        <f>"08610000120"</f>
        <v>08610000120</v>
      </c>
      <c r="B1593" s="2" t="s">
        <v>1596</v>
      </c>
      <c r="C1593" s="2">
        <v>1522.47</v>
      </c>
      <c r="D1593" s="2" t="s">
        <v>5</v>
      </c>
    </row>
    <row r="1594" spans="1:4" ht="15" customHeight="1" x14ac:dyDescent="0.25">
      <c r="A1594" s="2" t="str">
        <f>"08030000480"</f>
        <v>08030000480</v>
      </c>
      <c r="B1594" s="2" t="s">
        <v>1597</v>
      </c>
      <c r="C1594" s="2">
        <v>703.65</v>
      </c>
      <c r="D1594" s="2" t="s">
        <v>5</v>
      </c>
    </row>
    <row r="1595" spans="1:4" ht="15" customHeight="1" x14ac:dyDescent="0.25">
      <c r="A1595" s="2" t="str">
        <f>"08030000485"</f>
        <v>08030000485</v>
      </c>
      <c r="B1595" s="2" t="s">
        <v>1598</v>
      </c>
      <c r="C1595" s="2">
        <v>1016</v>
      </c>
      <c r="D1595" s="2" t="s">
        <v>5</v>
      </c>
    </row>
    <row r="1596" spans="1:4" ht="15" customHeight="1" x14ac:dyDescent="0.25">
      <c r="A1596" s="2" t="str">
        <f>"08600000550"</f>
        <v>08600000550</v>
      </c>
      <c r="B1596" s="2" t="s">
        <v>1599</v>
      </c>
      <c r="C1596" s="2">
        <v>956.76</v>
      </c>
      <c r="D1596" s="2" t="s">
        <v>5</v>
      </c>
    </row>
    <row r="1597" spans="1:4" ht="15" customHeight="1" x14ac:dyDescent="0.25">
      <c r="A1597" s="2" t="str">
        <f>"08610000125"</f>
        <v>08610000125</v>
      </c>
      <c r="B1597" s="2" t="s">
        <v>1600</v>
      </c>
      <c r="C1597" s="2">
        <v>723.18</v>
      </c>
      <c r="D1597" s="2" t="s">
        <v>5</v>
      </c>
    </row>
    <row r="1598" spans="1:4" ht="15" customHeight="1" x14ac:dyDescent="0.25">
      <c r="A1598" s="2" t="str">
        <f>"08600000555"</f>
        <v>08600000555</v>
      </c>
      <c r="B1598" s="2" t="s">
        <v>1601</v>
      </c>
      <c r="C1598" s="2">
        <v>1214.0999999999999</v>
      </c>
      <c r="D1598" s="2" t="s">
        <v>5</v>
      </c>
    </row>
    <row r="1599" spans="1:4" ht="15" customHeight="1" x14ac:dyDescent="0.25">
      <c r="A1599" s="2" t="str">
        <f>"08610000130"</f>
        <v>08610000130</v>
      </c>
      <c r="B1599" s="2" t="s">
        <v>1602</v>
      </c>
      <c r="C1599" s="2">
        <v>989.63</v>
      </c>
      <c r="D1599" s="2" t="s">
        <v>5</v>
      </c>
    </row>
    <row r="1600" spans="1:4" ht="15" customHeight="1" x14ac:dyDescent="0.25">
      <c r="A1600" s="2" t="str">
        <f>"08600000560"</f>
        <v>08600000560</v>
      </c>
      <c r="B1600" s="2" t="s">
        <v>1603</v>
      </c>
      <c r="C1600" s="2">
        <v>1517.64</v>
      </c>
      <c r="D1600" s="2" t="s">
        <v>5</v>
      </c>
    </row>
    <row r="1601" spans="1:4" ht="15" customHeight="1" x14ac:dyDescent="0.25">
      <c r="A1601" s="2" t="str">
        <f>"08610000135"</f>
        <v>08610000135</v>
      </c>
      <c r="B1601" s="2" t="s">
        <v>1604</v>
      </c>
      <c r="C1601" s="2">
        <v>1408.31</v>
      </c>
      <c r="D1601" s="2" t="s">
        <v>5</v>
      </c>
    </row>
    <row r="1602" spans="1:4" ht="15" customHeight="1" x14ac:dyDescent="0.25">
      <c r="A1602" s="2" t="str">
        <f>"08610000170"</f>
        <v>08610000170</v>
      </c>
      <c r="B1602" s="2" t="s">
        <v>1605</v>
      </c>
      <c r="C1602" s="2">
        <v>76.13</v>
      </c>
      <c r="D1602" s="2" t="s">
        <v>5</v>
      </c>
    </row>
    <row r="1603" spans="1:4" ht="15" customHeight="1" x14ac:dyDescent="0.25">
      <c r="A1603" s="2" t="str">
        <f>"08610000175"</f>
        <v>08610000175</v>
      </c>
      <c r="B1603" s="2" t="s">
        <v>1606</v>
      </c>
      <c r="C1603" s="2">
        <v>114.2</v>
      </c>
      <c r="D1603" s="2" t="s">
        <v>5</v>
      </c>
    </row>
    <row r="1604" spans="1:4" ht="15" customHeight="1" x14ac:dyDescent="0.25">
      <c r="A1604" s="2" t="str">
        <f>"08610000180"</f>
        <v>08610000180</v>
      </c>
      <c r="B1604" s="2" t="s">
        <v>1607</v>
      </c>
      <c r="C1604" s="2">
        <v>152.24</v>
      </c>
      <c r="D1604" s="2" t="s">
        <v>5</v>
      </c>
    </row>
    <row r="1605" spans="1:4" ht="15" customHeight="1" x14ac:dyDescent="0.25">
      <c r="A1605" s="2" t="str">
        <f>"08030000620"</f>
        <v>08030000620</v>
      </c>
      <c r="B1605" s="2" t="s">
        <v>1608</v>
      </c>
      <c r="C1605" s="2">
        <v>11690.1</v>
      </c>
      <c r="D1605" s="2" t="s">
        <v>5</v>
      </c>
    </row>
    <row r="1606" spans="1:4" ht="15" customHeight="1" x14ac:dyDescent="0.25">
      <c r="A1606" s="2" t="str">
        <f>"08610000450"</f>
        <v>08610000450</v>
      </c>
      <c r="B1606" s="2" t="s">
        <v>1609</v>
      </c>
      <c r="C1606" s="2">
        <v>11025.29</v>
      </c>
      <c r="D1606" s="2" t="s">
        <v>5</v>
      </c>
    </row>
    <row r="1607" spans="1:4" ht="15" customHeight="1" x14ac:dyDescent="0.25">
      <c r="A1607" s="2" t="str">
        <f>"08600000835"</f>
        <v>08600000835</v>
      </c>
      <c r="B1607" s="2" t="s">
        <v>1610</v>
      </c>
      <c r="C1607" s="2">
        <v>10935.72</v>
      </c>
      <c r="D1607" s="2" t="s">
        <v>5</v>
      </c>
    </row>
    <row r="1608" spans="1:4" ht="15" customHeight="1" x14ac:dyDescent="0.25">
      <c r="A1608" s="2" t="str">
        <f>"08030000625"</f>
        <v>08030000625</v>
      </c>
      <c r="B1608" s="2" t="s">
        <v>1611</v>
      </c>
      <c r="C1608" s="2">
        <v>12055.1</v>
      </c>
      <c r="D1608" s="2" t="s">
        <v>5</v>
      </c>
    </row>
    <row r="1609" spans="1:4" ht="15" customHeight="1" x14ac:dyDescent="0.25">
      <c r="A1609" s="2" t="str">
        <f>"08610000451"</f>
        <v>08610000451</v>
      </c>
      <c r="B1609" s="2" t="s">
        <v>1612</v>
      </c>
      <c r="C1609" s="2">
        <v>12255.96</v>
      </c>
      <c r="D1609" s="2" t="s">
        <v>5</v>
      </c>
    </row>
    <row r="1610" spans="1:4" ht="15" customHeight="1" x14ac:dyDescent="0.25">
      <c r="A1610" s="2" t="str">
        <f>"08600000840"</f>
        <v>08600000840</v>
      </c>
      <c r="B1610" s="2" t="s">
        <v>1613</v>
      </c>
      <c r="C1610" s="2">
        <v>11654.69</v>
      </c>
      <c r="D1610" s="2" t="s">
        <v>5</v>
      </c>
    </row>
    <row r="1611" spans="1:4" ht="15" customHeight="1" x14ac:dyDescent="0.25">
      <c r="A1611" s="2" t="str">
        <f>"08030000630"</f>
        <v>08030000630</v>
      </c>
      <c r="B1611" s="2" t="s">
        <v>1614</v>
      </c>
      <c r="C1611" s="2">
        <v>12241.89</v>
      </c>
      <c r="D1611" s="2" t="s">
        <v>5</v>
      </c>
    </row>
    <row r="1612" spans="1:4" ht="15" customHeight="1" x14ac:dyDescent="0.25">
      <c r="A1612" s="2" t="str">
        <f>"08610000452"</f>
        <v>08610000452</v>
      </c>
      <c r="B1612" s="2" t="s">
        <v>1615</v>
      </c>
      <c r="C1612" s="2">
        <v>14894.94</v>
      </c>
      <c r="D1612" s="2" t="s">
        <v>5</v>
      </c>
    </row>
    <row r="1613" spans="1:4" ht="15" customHeight="1" x14ac:dyDescent="0.25">
      <c r="A1613" s="2" t="str">
        <f>"08600000845"</f>
        <v>08600000845</v>
      </c>
      <c r="B1613" s="2" t="s">
        <v>1616</v>
      </c>
      <c r="C1613" s="2">
        <v>12807.2</v>
      </c>
      <c r="D1613" s="2" t="s">
        <v>5</v>
      </c>
    </row>
    <row r="1614" spans="1:4" ht="15" customHeight="1" x14ac:dyDescent="0.25">
      <c r="A1614" s="2" t="str">
        <f>"08600000990"</f>
        <v>08600000990</v>
      </c>
      <c r="B1614" s="2" t="s">
        <v>1617</v>
      </c>
      <c r="C1614" s="2">
        <v>1835.51</v>
      </c>
      <c r="D1614" s="2" t="s">
        <v>5</v>
      </c>
    </row>
    <row r="1615" spans="1:4" ht="15" customHeight="1" x14ac:dyDescent="0.25">
      <c r="A1615" s="2" t="str">
        <f>"08600000995"</f>
        <v>08600000995</v>
      </c>
      <c r="B1615" s="2" t="s">
        <v>1618</v>
      </c>
      <c r="C1615" s="2">
        <v>2104.13</v>
      </c>
      <c r="D1615" s="2" t="s">
        <v>5</v>
      </c>
    </row>
    <row r="1616" spans="1:4" ht="15" customHeight="1" x14ac:dyDescent="0.25">
      <c r="A1616" s="2" t="str">
        <f>"08600001000"</f>
        <v>08600001000</v>
      </c>
      <c r="B1616" s="2" t="s">
        <v>1619</v>
      </c>
      <c r="C1616" s="2">
        <v>1835.51</v>
      </c>
      <c r="D1616" s="2" t="s">
        <v>5</v>
      </c>
    </row>
    <row r="1617" spans="1:4" ht="15" customHeight="1" x14ac:dyDescent="0.25">
      <c r="A1617" s="2" t="str">
        <f>"08600001005"</f>
        <v>08600001005</v>
      </c>
      <c r="B1617" s="2" t="s">
        <v>1620</v>
      </c>
      <c r="C1617" s="2">
        <v>2104.13</v>
      </c>
      <c r="D1617" s="2" t="s">
        <v>5</v>
      </c>
    </row>
    <row r="1618" spans="1:4" ht="15" customHeight="1" x14ac:dyDescent="0.25">
      <c r="A1618" s="2" t="str">
        <f>"08600001010"</f>
        <v>08600001010</v>
      </c>
      <c r="B1618" s="2" t="s">
        <v>1621</v>
      </c>
      <c r="C1618" s="2">
        <v>1835.51</v>
      </c>
      <c r="D1618" s="2" t="s">
        <v>5</v>
      </c>
    </row>
    <row r="1619" spans="1:4" ht="15" customHeight="1" x14ac:dyDescent="0.25">
      <c r="A1619" s="2" t="str">
        <f>"08600001015"</f>
        <v>08600001015</v>
      </c>
      <c r="B1619" s="2" t="s">
        <v>1622</v>
      </c>
      <c r="C1619" s="2">
        <v>1835.51</v>
      </c>
      <c r="D1619" s="2" t="s">
        <v>5</v>
      </c>
    </row>
    <row r="1620" spans="1:4" ht="15" customHeight="1" x14ac:dyDescent="0.25">
      <c r="A1620" s="2" t="str">
        <f>"08600001020"</f>
        <v>08600001020</v>
      </c>
      <c r="B1620" s="2" t="s">
        <v>1623</v>
      </c>
      <c r="C1620" s="2">
        <v>1835.51</v>
      </c>
      <c r="D1620" s="2" t="s">
        <v>5</v>
      </c>
    </row>
    <row r="1621" spans="1:4" ht="15" customHeight="1" x14ac:dyDescent="0.25">
      <c r="A1621" s="2" t="str">
        <f>"08600001025"</f>
        <v>08600001025</v>
      </c>
      <c r="B1621" s="2" t="s">
        <v>1624</v>
      </c>
      <c r="C1621" s="2">
        <v>2227.98</v>
      </c>
      <c r="D1621" s="2" t="s">
        <v>5</v>
      </c>
    </row>
    <row r="1622" spans="1:4" ht="15" customHeight="1" x14ac:dyDescent="0.25">
      <c r="A1622" s="2" t="str">
        <f>"08600000465"</f>
        <v>08600000465</v>
      </c>
      <c r="B1622" s="2" t="s">
        <v>1625</v>
      </c>
      <c r="C1622" s="2">
        <v>11124.05</v>
      </c>
      <c r="D1622" s="2" t="s">
        <v>5</v>
      </c>
    </row>
    <row r="1623" spans="1:4" ht="15" customHeight="1" x14ac:dyDescent="0.25">
      <c r="A1623" s="2" t="str">
        <f>"08030000250"</f>
        <v>08030000250</v>
      </c>
      <c r="B1623" s="2" t="s">
        <v>1626</v>
      </c>
      <c r="C1623" s="2">
        <v>159.29</v>
      </c>
      <c r="D1623" s="2" t="s">
        <v>5</v>
      </c>
    </row>
    <row r="1624" spans="1:4" ht="15" customHeight="1" x14ac:dyDescent="0.25">
      <c r="A1624" s="2" t="str">
        <f>"08610000185"</f>
        <v>08610000185</v>
      </c>
      <c r="B1624" s="2" t="s">
        <v>1627</v>
      </c>
      <c r="C1624" s="2">
        <v>126.87</v>
      </c>
      <c r="D1624" s="2" t="s">
        <v>5</v>
      </c>
    </row>
    <row r="1625" spans="1:4" ht="15" customHeight="1" x14ac:dyDescent="0.25">
      <c r="A1625" s="2" t="str">
        <f>"08600000425"</f>
        <v>08600000425</v>
      </c>
      <c r="B1625" s="2" t="s">
        <v>1628</v>
      </c>
      <c r="C1625" s="2">
        <v>185.58</v>
      </c>
      <c r="D1625" s="2" t="s">
        <v>5</v>
      </c>
    </row>
    <row r="1626" spans="1:4" ht="15" customHeight="1" x14ac:dyDescent="0.25">
      <c r="A1626" s="2" t="str">
        <f>"08030000255"</f>
        <v>08030000255</v>
      </c>
      <c r="B1626" s="2" t="s">
        <v>1629</v>
      </c>
      <c r="C1626" s="2">
        <v>262.88</v>
      </c>
      <c r="D1626" s="2" t="s">
        <v>5</v>
      </c>
    </row>
    <row r="1627" spans="1:4" ht="15" customHeight="1" x14ac:dyDescent="0.25">
      <c r="A1627" s="2" t="str">
        <f>"08610000190"</f>
        <v>08610000190</v>
      </c>
      <c r="B1627" s="2" t="s">
        <v>1630</v>
      </c>
      <c r="C1627" s="2">
        <v>203</v>
      </c>
      <c r="D1627" s="2" t="s">
        <v>5</v>
      </c>
    </row>
    <row r="1628" spans="1:4" ht="15" customHeight="1" x14ac:dyDescent="0.25">
      <c r="A1628" s="2" t="str">
        <f>"08600000430"</f>
        <v>08600000430</v>
      </c>
      <c r="B1628" s="2" t="s">
        <v>1631</v>
      </c>
      <c r="C1628" s="2">
        <v>305.87</v>
      </c>
      <c r="D1628" s="2" t="s">
        <v>5</v>
      </c>
    </row>
    <row r="1629" spans="1:4" ht="15" customHeight="1" x14ac:dyDescent="0.25">
      <c r="A1629" s="2" t="str">
        <f>"08030000260"</f>
        <v>08030000260</v>
      </c>
      <c r="B1629" s="2" t="s">
        <v>1632</v>
      </c>
      <c r="C1629" s="2">
        <v>381.54</v>
      </c>
      <c r="D1629" s="2" t="s">
        <v>5</v>
      </c>
    </row>
    <row r="1630" spans="1:4" ht="15" customHeight="1" x14ac:dyDescent="0.25">
      <c r="A1630" s="2" t="str">
        <f>"08610000195"</f>
        <v>08610000195</v>
      </c>
      <c r="B1630" s="2" t="s">
        <v>1633</v>
      </c>
      <c r="C1630" s="2">
        <v>291.8</v>
      </c>
      <c r="D1630" s="2" t="s">
        <v>5</v>
      </c>
    </row>
    <row r="1631" spans="1:4" ht="15" customHeight="1" x14ac:dyDescent="0.25">
      <c r="A1631" s="2" t="str">
        <f>"08600000435"</f>
        <v>08600000435</v>
      </c>
      <c r="B1631" s="2" t="s">
        <v>1634</v>
      </c>
      <c r="C1631" s="2">
        <v>436.73</v>
      </c>
      <c r="D1631" s="2" t="s">
        <v>5</v>
      </c>
    </row>
    <row r="1632" spans="1:4" ht="15" customHeight="1" x14ac:dyDescent="0.25">
      <c r="A1632" s="2" t="str">
        <f>"08030000265"</f>
        <v>08030000265</v>
      </c>
      <c r="B1632" s="2" t="s">
        <v>1635</v>
      </c>
      <c r="C1632" s="2">
        <v>710.84</v>
      </c>
      <c r="D1632" s="2" t="s">
        <v>5</v>
      </c>
    </row>
    <row r="1633" spans="1:4" ht="15" customHeight="1" x14ac:dyDescent="0.25">
      <c r="A1633" s="2" t="str">
        <f>"08600000440"</f>
        <v>08600000440</v>
      </c>
      <c r="B1633" s="2" t="s">
        <v>1636</v>
      </c>
      <c r="C1633" s="2">
        <v>925.89</v>
      </c>
      <c r="D1633" s="2" t="s">
        <v>5</v>
      </c>
    </row>
    <row r="1634" spans="1:4" ht="15" customHeight="1" x14ac:dyDescent="0.25">
      <c r="A1634" s="2" t="str">
        <f>"08030000270"</f>
        <v>08030000270</v>
      </c>
      <c r="B1634" s="2" t="s">
        <v>1637</v>
      </c>
      <c r="C1634" s="2">
        <v>925.55</v>
      </c>
      <c r="D1634" s="2" t="s">
        <v>5</v>
      </c>
    </row>
    <row r="1635" spans="1:4" ht="15" customHeight="1" x14ac:dyDescent="0.25">
      <c r="A1635" s="2" t="str">
        <f>"08600000445"</f>
        <v>08600000445</v>
      </c>
      <c r="B1635" s="2" t="s">
        <v>1638</v>
      </c>
      <c r="C1635" s="2">
        <v>1782.62</v>
      </c>
      <c r="D1635" s="2" t="s">
        <v>5</v>
      </c>
    </row>
    <row r="1636" spans="1:4" ht="15" customHeight="1" x14ac:dyDescent="0.25">
      <c r="A1636" s="2" t="str">
        <f>"08030000275"</f>
        <v>08030000275</v>
      </c>
      <c r="B1636" s="2" t="s">
        <v>1639</v>
      </c>
      <c r="C1636" s="2">
        <v>2008.49</v>
      </c>
      <c r="D1636" s="2" t="s">
        <v>5</v>
      </c>
    </row>
    <row r="1637" spans="1:4" ht="15" customHeight="1" x14ac:dyDescent="0.25">
      <c r="A1637" s="2" t="str">
        <f>"08600000450"</f>
        <v>08600000450</v>
      </c>
      <c r="B1637" s="2" t="s">
        <v>1640</v>
      </c>
      <c r="C1637" s="2">
        <v>2665.67</v>
      </c>
      <c r="D1637" s="2" t="s">
        <v>5</v>
      </c>
    </row>
    <row r="1638" spans="1:4" ht="15" customHeight="1" x14ac:dyDescent="0.25">
      <c r="A1638" s="2" t="str">
        <f>"08600000455"</f>
        <v>08600000455</v>
      </c>
      <c r="B1638" s="2" t="s">
        <v>1641</v>
      </c>
      <c r="C1638" s="2">
        <v>7010.37</v>
      </c>
      <c r="D1638" s="2" t="s">
        <v>5</v>
      </c>
    </row>
    <row r="1639" spans="1:4" ht="15" customHeight="1" x14ac:dyDescent="0.25">
      <c r="A1639" s="2" t="str">
        <f>"08600000460"</f>
        <v>08600000460</v>
      </c>
      <c r="B1639" s="2" t="s">
        <v>1642</v>
      </c>
      <c r="C1639" s="2">
        <v>7710.68</v>
      </c>
      <c r="D1639" s="2" t="s">
        <v>5</v>
      </c>
    </row>
    <row r="1640" spans="1:4" ht="15" customHeight="1" x14ac:dyDescent="0.25">
      <c r="A1640" s="2" t="str">
        <f>"08600001030"</f>
        <v>08600001030</v>
      </c>
      <c r="B1640" s="2" t="s">
        <v>1643</v>
      </c>
      <c r="C1640" s="2">
        <v>792.86</v>
      </c>
      <c r="D1640" s="2" t="s">
        <v>5</v>
      </c>
    </row>
    <row r="1641" spans="1:4" ht="15" customHeight="1" x14ac:dyDescent="0.25">
      <c r="A1641" s="2" t="str">
        <f>"08600000285"</f>
        <v>08600000285</v>
      </c>
      <c r="B1641" s="2" t="s">
        <v>1644</v>
      </c>
      <c r="C1641" s="2">
        <v>20538.900000000001</v>
      </c>
      <c r="D1641" s="2" t="s">
        <v>5</v>
      </c>
    </row>
    <row r="1642" spans="1:4" ht="15" customHeight="1" x14ac:dyDescent="0.25">
      <c r="A1642" s="2" t="str">
        <f>"08600000360"</f>
        <v>08600000360</v>
      </c>
      <c r="B1642" s="2" t="s">
        <v>1645</v>
      </c>
      <c r="C1642" s="2">
        <v>35346.69</v>
      </c>
      <c r="D1642" s="2" t="s">
        <v>5</v>
      </c>
    </row>
    <row r="1643" spans="1:4" ht="15" customHeight="1" x14ac:dyDescent="0.25">
      <c r="A1643" s="2" t="str">
        <f>"08600000365"</f>
        <v>08600000365</v>
      </c>
      <c r="B1643" s="2" t="s">
        <v>1646</v>
      </c>
      <c r="C1643" s="2">
        <v>30598.14</v>
      </c>
      <c r="D1643" s="2" t="s">
        <v>5</v>
      </c>
    </row>
    <row r="1644" spans="1:4" ht="15" customHeight="1" x14ac:dyDescent="0.25">
      <c r="A1644" s="2" t="str">
        <f>"08030000155"</f>
        <v>08030000155</v>
      </c>
      <c r="B1644" s="2" t="s">
        <v>1647</v>
      </c>
      <c r="C1644" s="2">
        <v>282.62</v>
      </c>
      <c r="D1644" s="2" t="s">
        <v>5</v>
      </c>
    </row>
    <row r="1645" spans="1:4" ht="15" customHeight="1" x14ac:dyDescent="0.25">
      <c r="A1645" s="2" t="str">
        <f>"08610000200"</f>
        <v>08610000200</v>
      </c>
      <c r="B1645" s="2" t="s">
        <v>1648</v>
      </c>
      <c r="C1645" s="2">
        <v>215.69</v>
      </c>
      <c r="D1645" s="2" t="s">
        <v>5</v>
      </c>
    </row>
    <row r="1646" spans="1:4" ht="15" customHeight="1" x14ac:dyDescent="0.25">
      <c r="A1646" s="2" t="str">
        <f>"08600000245"</f>
        <v>08600000245</v>
      </c>
      <c r="B1646" s="2" t="s">
        <v>1649</v>
      </c>
      <c r="C1646" s="2">
        <v>287.72000000000003</v>
      </c>
      <c r="D1646" s="2" t="s">
        <v>5</v>
      </c>
    </row>
    <row r="1647" spans="1:4" ht="15" customHeight="1" x14ac:dyDescent="0.25">
      <c r="A1647" s="2" t="str">
        <f>"08610000300"</f>
        <v>08610000300</v>
      </c>
      <c r="B1647" s="2" t="s">
        <v>1650</v>
      </c>
      <c r="C1647" s="2">
        <v>1420.98</v>
      </c>
      <c r="D1647" s="2" t="s">
        <v>5</v>
      </c>
    </row>
    <row r="1648" spans="1:4" ht="15" customHeight="1" x14ac:dyDescent="0.25">
      <c r="A1648" s="2" t="str">
        <f>"08600000805"</f>
        <v>08600000805</v>
      </c>
      <c r="B1648" s="2" t="s">
        <v>1651</v>
      </c>
      <c r="C1648" s="2">
        <v>2318.9899999999998</v>
      </c>
      <c r="D1648" s="2" t="s">
        <v>5</v>
      </c>
    </row>
    <row r="1649" spans="1:4" ht="15" customHeight="1" x14ac:dyDescent="0.25">
      <c r="A1649" s="2" t="str">
        <f>"08030000405"</f>
        <v>08030000405</v>
      </c>
      <c r="B1649" s="2" t="s">
        <v>1652</v>
      </c>
      <c r="C1649" s="2">
        <v>1971.29</v>
      </c>
      <c r="D1649" s="2" t="s">
        <v>5</v>
      </c>
    </row>
    <row r="1650" spans="1:4" ht="15" customHeight="1" x14ac:dyDescent="0.25">
      <c r="A1650" s="2" t="str">
        <f>"08600000775"</f>
        <v>08600000775</v>
      </c>
      <c r="B1650" s="2" t="s">
        <v>1653</v>
      </c>
      <c r="C1650" s="2">
        <v>2290.71</v>
      </c>
      <c r="D1650" s="2" t="s">
        <v>5</v>
      </c>
    </row>
    <row r="1651" spans="1:4" ht="15" customHeight="1" x14ac:dyDescent="0.25">
      <c r="A1651" s="2" t="str">
        <f>"08030000430"</f>
        <v>08030000430</v>
      </c>
      <c r="B1651" s="2" t="s">
        <v>1654</v>
      </c>
      <c r="C1651" s="2">
        <v>2240.0100000000002</v>
      </c>
      <c r="D1651" s="2" t="s">
        <v>5</v>
      </c>
    </row>
    <row r="1652" spans="1:4" ht="15" customHeight="1" x14ac:dyDescent="0.25">
      <c r="A1652" s="2" t="str">
        <f>"08610000320"</f>
        <v>08610000320</v>
      </c>
      <c r="B1652" s="2" t="s">
        <v>1655</v>
      </c>
      <c r="C1652" s="2">
        <v>1611.29</v>
      </c>
      <c r="D1652" s="2" t="s">
        <v>5</v>
      </c>
    </row>
    <row r="1653" spans="1:4" ht="15" customHeight="1" x14ac:dyDescent="0.25">
      <c r="A1653" s="2" t="str">
        <f>"08030000160"</f>
        <v>08030000160</v>
      </c>
      <c r="B1653" s="2" t="s">
        <v>1656</v>
      </c>
      <c r="C1653" s="2">
        <v>465.78</v>
      </c>
      <c r="D1653" s="2" t="s">
        <v>5</v>
      </c>
    </row>
    <row r="1654" spans="1:4" ht="15" customHeight="1" x14ac:dyDescent="0.25">
      <c r="A1654" s="2" t="str">
        <f>"08610000205"</f>
        <v>08610000205</v>
      </c>
      <c r="B1654" s="2" t="s">
        <v>1657</v>
      </c>
      <c r="C1654" s="2">
        <v>355.26</v>
      </c>
      <c r="D1654" s="2" t="s">
        <v>5</v>
      </c>
    </row>
    <row r="1655" spans="1:4" ht="15" customHeight="1" x14ac:dyDescent="0.25">
      <c r="A1655" s="2" t="str">
        <f>"08600000250"</f>
        <v>08600000250</v>
      </c>
      <c r="B1655" s="2" t="s">
        <v>1658</v>
      </c>
      <c r="C1655" s="2">
        <v>510.66</v>
      </c>
      <c r="D1655" s="2" t="s">
        <v>5</v>
      </c>
    </row>
    <row r="1656" spans="1:4" ht="15" customHeight="1" x14ac:dyDescent="0.25">
      <c r="A1656" s="2" t="str">
        <f>"08600000810"</f>
        <v>08600000810</v>
      </c>
      <c r="B1656" s="2" t="s">
        <v>1659</v>
      </c>
      <c r="C1656" s="2">
        <v>2567.33</v>
      </c>
      <c r="D1656" s="2" t="s">
        <v>5</v>
      </c>
    </row>
    <row r="1657" spans="1:4" ht="15" customHeight="1" x14ac:dyDescent="0.25">
      <c r="A1657" s="2" t="str">
        <f>"08030000410"</f>
        <v>08030000410</v>
      </c>
      <c r="B1657" s="2" t="s">
        <v>1660</v>
      </c>
      <c r="C1657" s="2">
        <v>2181.56</v>
      </c>
      <c r="D1657" s="2" t="s">
        <v>5</v>
      </c>
    </row>
    <row r="1658" spans="1:4" ht="15" customHeight="1" x14ac:dyDescent="0.25">
      <c r="A1658" s="2" t="str">
        <f>"08600000780"</f>
        <v>08600000780</v>
      </c>
      <c r="B1658" s="2" t="s">
        <v>1661</v>
      </c>
      <c r="C1658" s="2">
        <v>2436.29</v>
      </c>
      <c r="D1658" s="2" t="s">
        <v>5</v>
      </c>
    </row>
    <row r="1659" spans="1:4" ht="15" customHeight="1" x14ac:dyDescent="0.25">
      <c r="A1659" s="2" t="str">
        <f>"08030000435"</f>
        <v>08030000435</v>
      </c>
      <c r="B1659" s="2" t="s">
        <v>1662</v>
      </c>
      <c r="C1659" s="2">
        <v>2941.13</v>
      </c>
      <c r="D1659" s="2" t="s">
        <v>5</v>
      </c>
    </row>
    <row r="1660" spans="1:4" ht="15" customHeight="1" x14ac:dyDescent="0.25">
      <c r="A1660" s="2" t="str">
        <f>"08030000180"</f>
        <v>08030000180</v>
      </c>
      <c r="B1660" s="2" t="s">
        <v>1663</v>
      </c>
      <c r="C1660" s="2">
        <v>516.99</v>
      </c>
      <c r="D1660" s="2" t="s">
        <v>5</v>
      </c>
    </row>
    <row r="1661" spans="1:4" ht="15" customHeight="1" x14ac:dyDescent="0.25">
      <c r="A1661" s="2" t="str">
        <f>"08610000230"</f>
        <v>08610000230</v>
      </c>
      <c r="B1661" s="2" t="s">
        <v>1664</v>
      </c>
      <c r="C1661" s="2">
        <v>393.32</v>
      </c>
      <c r="D1661" s="2" t="s">
        <v>5</v>
      </c>
    </row>
    <row r="1662" spans="1:4" ht="15" customHeight="1" x14ac:dyDescent="0.25">
      <c r="A1662" s="2" t="str">
        <f>"08600000290"</f>
        <v>08600000290</v>
      </c>
      <c r="B1662" s="2" t="s">
        <v>1665</v>
      </c>
      <c r="C1662" s="2">
        <v>492.92</v>
      </c>
      <c r="D1662" s="2" t="s">
        <v>5</v>
      </c>
    </row>
    <row r="1663" spans="1:4" ht="15" customHeight="1" x14ac:dyDescent="0.25">
      <c r="A1663" s="2" t="str">
        <f>"08600000370"</f>
        <v>08600000370</v>
      </c>
      <c r="B1663" s="2" t="s">
        <v>1666</v>
      </c>
      <c r="C1663" s="2">
        <v>701.55</v>
      </c>
      <c r="D1663" s="2" t="s">
        <v>5</v>
      </c>
    </row>
    <row r="1664" spans="1:4" ht="15" customHeight="1" x14ac:dyDescent="0.25">
      <c r="A1664" s="2" t="str">
        <f>"08600000380"</f>
        <v>08600000380</v>
      </c>
      <c r="B1664" s="2" t="s">
        <v>1667</v>
      </c>
      <c r="C1664" s="2">
        <v>1001.24</v>
      </c>
      <c r="D1664" s="2" t="s">
        <v>5</v>
      </c>
    </row>
    <row r="1665" spans="1:4" ht="15" customHeight="1" x14ac:dyDescent="0.25">
      <c r="A1665" s="2" t="str">
        <f>"08600000815"</f>
        <v>08600000815</v>
      </c>
      <c r="B1665" s="2" t="s">
        <v>1668</v>
      </c>
      <c r="C1665" s="2">
        <v>3201.2</v>
      </c>
      <c r="D1665" s="2" t="s">
        <v>5</v>
      </c>
    </row>
    <row r="1666" spans="1:4" ht="15" customHeight="1" x14ac:dyDescent="0.25">
      <c r="A1666" s="2" t="str">
        <f>"08030000415"</f>
        <v>08030000415</v>
      </c>
      <c r="B1666" s="2" t="s">
        <v>1669</v>
      </c>
      <c r="C1666" s="2">
        <v>2741.03</v>
      </c>
      <c r="D1666" s="2" t="s">
        <v>5</v>
      </c>
    </row>
    <row r="1667" spans="1:4" ht="15" customHeight="1" x14ac:dyDescent="0.25">
      <c r="A1667" s="2" t="str">
        <f>"08610000305"</f>
        <v>08610000305</v>
      </c>
      <c r="B1667" s="2" t="s">
        <v>1670</v>
      </c>
      <c r="C1667" s="2">
        <v>1966.53</v>
      </c>
      <c r="D1667" s="2" t="s">
        <v>5</v>
      </c>
    </row>
    <row r="1668" spans="1:4" ht="15" customHeight="1" x14ac:dyDescent="0.25">
      <c r="A1668" s="2" t="str">
        <f>"08600000785"</f>
        <v>08600000785</v>
      </c>
      <c r="B1668" s="2" t="s">
        <v>1671</v>
      </c>
      <c r="C1668" s="2">
        <v>2637.47</v>
      </c>
      <c r="D1668" s="2" t="s">
        <v>5</v>
      </c>
    </row>
    <row r="1669" spans="1:4" ht="15" customHeight="1" x14ac:dyDescent="0.25">
      <c r="A1669" s="2" t="str">
        <f>"08030000440"</f>
        <v>08030000440</v>
      </c>
      <c r="B1669" s="2" t="s">
        <v>1672</v>
      </c>
      <c r="C1669" s="2">
        <v>3104.94</v>
      </c>
      <c r="D1669" s="2" t="s">
        <v>5</v>
      </c>
    </row>
    <row r="1670" spans="1:4" ht="15" customHeight="1" x14ac:dyDescent="0.25">
      <c r="A1670" s="2" t="str">
        <f>"08610000325"</f>
        <v>08610000325</v>
      </c>
      <c r="B1670" s="2" t="s">
        <v>1673</v>
      </c>
      <c r="C1670" s="2">
        <v>2232.98</v>
      </c>
      <c r="D1670" s="2" t="s">
        <v>5</v>
      </c>
    </row>
    <row r="1671" spans="1:4" ht="15" customHeight="1" x14ac:dyDescent="0.25">
      <c r="A1671" s="2" t="str">
        <f>"08030000165"</f>
        <v>08030000165</v>
      </c>
      <c r="B1671" s="2" t="s">
        <v>1674</v>
      </c>
      <c r="C1671" s="2">
        <v>753.95</v>
      </c>
      <c r="D1671" s="2" t="s">
        <v>5</v>
      </c>
    </row>
    <row r="1672" spans="1:4" ht="15" customHeight="1" x14ac:dyDescent="0.25">
      <c r="A1672" s="2" t="str">
        <f>"08610000210"</f>
        <v>08610000210</v>
      </c>
      <c r="B1672" s="2" t="s">
        <v>1675</v>
      </c>
      <c r="C1672" s="2">
        <v>570.91999999999996</v>
      </c>
      <c r="D1672" s="2" t="s">
        <v>5</v>
      </c>
    </row>
    <row r="1673" spans="1:4" ht="15" customHeight="1" x14ac:dyDescent="0.25">
      <c r="A1673" s="2" t="str">
        <f>"08600000255"</f>
        <v>08600000255</v>
      </c>
      <c r="B1673" s="2" t="s">
        <v>1676</v>
      </c>
      <c r="C1673" s="2">
        <v>806.9</v>
      </c>
      <c r="D1673" s="2" t="s">
        <v>5</v>
      </c>
    </row>
    <row r="1674" spans="1:4" ht="15" customHeight="1" x14ac:dyDescent="0.25">
      <c r="A1674" s="2" t="str">
        <f>"08600000830"</f>
        <v>08600000830</v>
      </c>
      <c r="B1674" s="2" t="s">
        <v>1677</v>
      </c>
      <c r="C1674" s="2">
        <v>4295.8500000000004</v>
      </c>
      <c r="D1674" s="2" t="s">
        <v>5</v>
      </c>
    </row>
    <row r="1675" spans="1:4" ht="15" customHeight="1" x14ac:dyDescent="0.25">
      <c r="A1675" s="2" t="str">
        <f>"08030000425"</f>
        <v>08030000425</v>
      </c>
      <c r="B1675" s="2" t="s">
        <v>1678</v>
      </c>
      <c r="C1675" s="2">
        <v>4418.93</v>
      </c>
      <c r="D1675" s="2" t="s">
        <v>5</v>
      </c>
    </row>
    <row r="1676" spans="1:4" ht="15" customHeight="1" x14ac:dyDescent="0.25">
      <c r="A1676" s="2" t="str">
        <f>"08610000310"</f>
        <v>08610000310</v>
      </c>
      <c r="B1676" s="2" t="s">
        <v>1679</v>
      </c>
      <c r="C1676" s="2">
        <v>3171.83</v>
      </c>
      <c r="D1676" s="2" t="s">
        <v>5</v>
      </c>
    </row>
    <row r="1677" spans="1:4" ht="15" customHeight="1" x14ac:dyDescent="0.25">
      <c r="A1677" s="2" t="str">
        <f>"08600000800"</f>
        <v>08600000800</v>
      </c>
      <c r="B1677" s="2" t="s">
        <v>1680</v>
      </c>
      <c r="C1677" s="2">
        <v>6174.44</v>
      </c>
      <c r="D1677" s="2" t="s">
        <v>5</v>
      </c>
    </row>
    <row r="1678" spans="1:4" ht="15" customHeight="1" x14ac:dyDescent="0.25">
      <c r="A1678" s="2" t="str">
        <f>"08030000450"</f>
        <v>08030000450</v>
      </c>
      <c r="B1678" s="2" t="s">
        <v>1681</v>
      </c>
      <c r="C1678" s="2">
        <v>5800.65</v>
      </c>
      <c r="D1678" s="2" t="s">
        <v>5</v>
      </c>
    </row>
    <row r="1679" spans="1:4" ht="15" customHeight="1" x14ac:dyDescent="0.25">
      <c r="A1679" s="2" t="str">
        <f>"08610000330"</f>
        <v>08610000330</v>
      </c>
      <c r="B1679" s="2" t="s">
        <v>1682</v>
      </c>
      <c r="C1679" s="2">
        <v>4161.45</v>
      </c>
      <c r="D1679" s="2" t="s">
        <v>5</v>
      </c>
    </row>
    <row r="1680" spans="1:4" ht="15" customHeight="1" x14ac:dyDescent="0.25">
      <c r="A1680" s="2" t="str">
        <f>"08600000820"</f>
        <v>08600000820</v>
      </c>
      <c r="B1680" s="2" t="s">
        <v>1683</v>
      </c>
      <c r="C1680" s="2">
        <v>5093.93</v>
      </c>
      <c r="D1680" s="2" t="s">
        <v>5</v>
      </c>
    </row>
    <row r="1681" spans="1:4" ht="15" customHeight="1" x14ac:dyDescent="0.25">
      <c r="A1681" s="2" t="str">
        <f>"08600000790"</f>
        <v>08600000790</v>
      </c>
      <c r="B1681" s="2" t="s">
        <v>1684</v>
      </c>
      <c r="C1681" s="2">
        <v>5084.78</v>
      </c>
      <c r="D1681" s="2" t="s">
        <v>5</v>
      </c>
    </row>
    <row r="1682" spans="1:4" ht="15" customHeight="1" x14ac:dyDescent="0.25">
      <c r="A1682" s="2" t="str">
        <f>"08030000185"</f>
        <v>08030000185</v>
      </c>
      <c r="B1682" s="2" t="s">
        <v>1685</v>
      </c>
      <c r="C1682" s="2">
        <v>929.69</v>
      </c>
      <c r="D1682" s="2" t="s">
        <v>5</v>
      </c>
    </row>
    <row r="1683" spans="1:4" ht="15" customHeight="1" x14ac:dyDescent="0.25">
      <c r="A1683" s="2" t="str">
        <f>"08610000235"</f>
        <v>08610000235</v>
      </c>
      <c r="B1683" s="2" t="s">
        <v>1686</v>
      </c>
      <c r="C1683" s="2">
        <v>697.8</v>
      </c>
      <c r="D1683" s="2" t="s">
        <v>5</v>
      </c>
    </row>
    <row r="1684" spans="1:4" ht="15" customHeight="1" x14ac:dyDescent="0.25">
      <c r="A1684" s="2" t="str">
        <f>"08600000295"</f>
        <v>08600000295</v>
      </c>
      <c r="B1684" s="2" t="s">
        <v>1687</v>
      </c>
      <c r="C1684" s="2">
        <v>990.48</v>
      </c>
      <c r="D1684" s="2" t="s">
        <v>5</v>
      </c>
    </row>
    <row r="1685" spans="1:4" ht="15" customHeight="1" x14ac:dyDescent="0.25">
      <c r="A1685" s="2" t="str">
        <f>"08600000390"</f>
        <v>08600000390</v>
      </c>
      <c r="B1685" s="2" t="s">
        <v>1688</v>
      </c>
      <c r="C1685" s="2">
        <v>1412.81</v>
      </c>
      <c r="D1685" s="2" t="s">
        <v>5</v>
      </c>
    </row>
    <row r="1686" spans="1:4" ht="15" customHeight="1" x14ac:dyDescent="0.25">
      <c r="A1686" s="2" t="str">
        <f>"08600000400"</f>
        <v>08600000400</v>
      </c>
      <c r="B1686" s="2" t="s">
        <v>1689</v>
      </c>
      <c r="C1686" s="2">
        <v>1202.0999999999999</v>
      </c>
      <c r="D1686" s="2" t="s">
        <v>5</v>
      </c>
    </row>
    <row r="1687" spans="1:4" ht="15" customHeight="1" x14ac:dyDescent="0.25">
      <c r="A1687" s="2" t="str">
        <f>"08030000190"</f>
        <v>08030000190</v>
      </c>
      <c r="B1687" s="2" t="s">
        <v>1690</v>
      </c>
      <c r="C1687" s="2">
        <v>892.07</v>
      </c>
      <c r="D1687" s="2" t="s">
        <v>5</v>
      </c>
    </row>
    <row r="1688" spans="1:4" ht="15" customHeight="1" x14ac:dyDescent="0.25">
      <c r="A1688" s="2" t="str">
        <f>"08610000240"</f>
        <v>08610000240</v>
      </c>
      <c r="B1688" s="2" t="s">
        <v>1691</v>
      </c>
      <c r="C1688" s="2">
        <v>672.44</v>
      </c>
      <c r="D1688" s="2" t="s">
        <v>5</v>
      </c>
    </row>
    <row r="1689" spans="1:4" ht="15" customHeight="1" x14ac:dyDescent="0.25">
      <c r="A1689" s="2" t="str">
        <f>"08600000300"</f>
        <v>08600000300</v>
      </c>
      <c r="B1689" s="2" t="s">
        <v>1692</v>
      </c>
      <c r="C1689" s="2">
        <v>917.28</v>
      </c>
      <c r="D1689" s="2" t="s">
        <v>5</v>
      </c>
    </row>
    <row r="1690" spans="1:4" ht="15" customHeight="1" x14ac:dyDescent="0.25">
      <c r="A1690" s="2" t="str">
        <f>"08600000405"</f>
        <v>08600000405</v>
      </c>
      <c r="B1690" s="2" t="s">
        <v>1693</v>
      </c>
      <c r="C1690" s="2">
        <v>1202.0999999999999</v>
      </c>
      <c r="D1690" s="2" t="s">
        <v>5</v>
      </c>
    </row>
    <row r="1691" spans="1:4" ht="15" customHeight="1" x14ac:dyDescent="0.25">
      <c r="A1691" s="2" t="str">
        <f>"08600000395"</f>
        <v>08600000395</v>
      </c>
      <c r="B1691" s="2" t="s">
        <v>1694</v>
      </c>
      <c r="C1691" s="2">
        <v>1804.59</v>
      </c>
      <c r="D1691" s="2" t="s">
        <v>5</v>
      </c>
    </row>
    <row r="1692" spans="1:4" ht="15" customHeight="1" x14ac:dyDescent="0.25">
      <c r="A1692" s="2" t="str">
        <f>"08600000825"</f>
        <v>08600000825</v>
      </c>
      <c r="B1692" s="2" t="s">
        <v>1695</v>
      </c>
      <c r="C1692" s="2">
        <v>4665.62</v>
      </c>
      <c r="D1692" s="2" t="s">
        <v>5</v>
      </c>
    </row>
    <row r="1693" spans="1:4" ht="15" customHeight="1" x14ac:dyDescent="0.25">
      <c r="A1693" s="2" t="str">
        <f>"08030000420"</f>
        <v>08030000420</v>
      </c>
      <c r="B1693" s="2" t="s">
        <v>1696</v>
      </c>
      <c r="C1693" s="2">
        <v>3393.77</v>
      </c>
      <c r="D1693" s="2" t="s">
        <v>5</v>
      </c>
    </row>
    <row r="1694" spans="1:4" ht="15" customHeight="1" x14ac:dyDescent="0.25">
      <c r="A1694" s="2" t="str">
        <f>"08600000795"</f>
        <v>08600000795</v>
      </c>
      <c r="B1694" s="2" t="s">
        <v>1697</v>
      </c>
      <c r="C1694" s="2">
        <v>4074.21</v>
      </c>
      <c r="D1694" s="2" t="s">
        <v>5</v>
      </c>
    </row>
    <row r="1695" spans="1:4" ht="15" customHeight="1" x14ac:dyDescent="0.25">
      <c r="A1695" s="2" t="str">
        <f>"08030000445"</f>
        <v>08030000445</v>
      </c>
      <c r="B1695" s="2" t="s">
        <v>1698</v>
      </c>
      <c r="C1695" s="2">
        <v>3709.01</v>
      </c>
      <c r="D1695" s="2" t="s">
        <v>5</v>
      </c>
    </row>
    <row r="1696" spans="1:4" ht="15" customHeight="1" x14ac:dyDescent="0.25">
      <c r="A1696" s="2" t="str">
        <f>"08600000375"</f>
        <v>08600000375</v>
      </c>
      <c r="B1696" s="2" t="s">
        <v>1699</v>
      </c>
      <c r="C1696" s="2">
        <v>1302.95</v>
      </c>
      <c r="D1696" s="2" t="s">
        <v>5</v>
      </c>
    </row>
    <row r="1697" spans="1:4" ht="15" customHeight="1" x14ac:dyDescent="0.25">
      <c r="A1697" s="2" t="str">
        <f>"08600000385"</f>
        <v>08600000385</v>
      </c>
      <c r="B1697" s="2" t="s">
        <v>1700</v>
      </c>
      <c r="C1697" s="2">
        <v>1233.71</v>
      </c>
      <c r="D1697" s="2" t="s">
        <v>5</v>
      </c>
    </row>
    <row r="1698" spans="1:4" ht="15" customHeight="1" x14ac:dyDescent="0.25">
      <c r="A1698" s="2" t="str">
        <f>"08030000170"</f>
        <v>08030000170</v>
      </c>
      <c r="B1698" s="2" t="s">
        <v>1701</v>
      </c>
      <c r="C1698" s="2">
        <v>1596.14</v>
      </c>
      <c r="D1698" s="2" t="s">
        <v>5</v>
      </c>
    </row>
    <row r="1699" spans="1:4" ht="15" customHeight="1" x14ac:dyDescent="0.25">
      <c r="A1699" s="2" t="str">
        <f>"08610000215"</f>
        <v>08610000215</v>
      </c>
      <c r="B1699" s="2" t="s">
        <v>1702</v>
      </c>
      <c r="C1699" s="2">
        <v>1205.28</v>
      </c>
      <c r="D1699" s="2" t="s">
        <v>5</v>
      </c>
    </row>
    <row r="1700" spans="1:4" ht="15" customHeight="1" x14ac:dyDescent="0.25">
      <c r="A1700" s="2" t="str">
        <f>"08600000260"</f>
        <v>08600000260</v>
      </c>
      <c r="B1700" s="2" t="s">
        <v>1703</v>
      </c>
      <c r="C1700" s="2">
        <v>1774.52</v>
      </c>
      <c r="D1700" s="2" t="s">
        <v>5</v>
      </c>
    </row>
    <row r="1701" spans="1:4" ht="15" customHeight="1" x14ac:dyDescent="0.25">
      <c r="A1701" s="2" t="str">
        <f>"08030000195"</f>
        <v>08030000195</v>
      </c>
      <c r="B1701" s="2" t="s">
        <v>1704</v>
      </c>
      <c r="C1701" s="2">
        <v>1664.52</v>
      </c>
      <c r="D1701" s="2" t="s">
        <v>5</v>
      </c>
    </row>
    <row r="1702" spans="1:4" ht="15" customHeight="1" x14ac:dyDescent="0.25">
      <c r="A1702" s="2" t="str">
        <f>"08600000305"</f>
        <v>08600000305</v>
      </c>
      <c r="B1702" s="2" t="s">
        <v>1705</v>
      </c>
      <c r="C1702" s="2">
        <v>1785.41</v>
      </c>
      <c r="D1702" s="2" t="s">
        <v>5</v>
      </c>
    </row>
    <row r="1703" spans="1:4" ht="15" customHeight="1" x14ac:dyDescent="0.25">
      <c r="A1703" s="2" t="str">
        <f>"08030000200"</f>
        <v>08030000200</v>
      </c>
      <c r="B1703" s="2" t="s">
        <v>1706</v>
      </c>
      <c r="C1703" s="2">
        <v>1544.21</v>
      </c>
      <c r="D1703" s="2" t="s">
        <v>5</v>
      </c>
    </row>
    <row r="1704" spans="1:4" ht="15" customHeight="1" x14ac:dyDescent="0.25">
      <c r="A1704" s="2" t="str">
        <f>"08600000310"</f>
        <v>08600000310</v>
      </c>
      <c r="B1704" s="2" t="s">
        <v>1707</v>
      </c>
      <c r="C1704" s="2">
        <v>1638.72</v>
      </c>
      <c r="D1704" s="2" t="s">
        <v>5</v>
      </c>
    </row>
    <row r="1705" spans="1:4" ht="15" customHeight="1" x14ac:dyDescent="0.25">
      <c r="A1705" s="2" t="str">
        <f>"08030000173"</f>
        <v>08030000173</v>
      </c>
      <c r="B1705" s="2" t="s">
        <v>1708</v>
      </c>
      <c r="C1705" s="2">
        <v>2872.92</v>
      </c>
      <c r="D1705" s="2" t="s">
        <v>5</v>
      </c>
    </row>
    <row r="1706" spans="1:4" ht="15" customHeight="1" x14ac:dyDescent="0.25">
      <c r="A1706" s="2" t="str">
        <f>"08610000220"</f>
        <v>08610000220</v>
      </c>
      <c r="B1706" s="2" t="s">
        <v>1709</v>
      </c>
      <c r="C1706" s="2">
        <v>2156.85</v>
      </c>
      <c r="D1706" s="2" t="s">
        <v>5</v>
      </c>
    </row>
    <row r="1707" spans="1:4" ht="15" customHeight="1" x14ac:dyDescent="0.25">
      <c r="A1707" s="2" t="str">
        <f>"08600000265"</f>
        <v>08600000265</v>
      </c>
      <c r="B1707" s="2" t="s">
        <v>1710</v>
      </c>
      <c r="C1707" s="2">
        <v>3206.03</v>
      </c>
      <c r="D1707" s="2" t="s">
        <v>5</v>
      </c>
    </row>
    <row r="1708" spans="1:4" ht="15" customHeight="1" x14ac:dyDescent="0.25">
      <c r="A1708" s="2" t="str">
        <f>"08600000315"</f>
        <v>08600000315</v>
      </c>
      <c r="B1708" s="2" t="s">
        <v>1711</v>
      </c>
      <c r="C1708" s="2">
        <v>3705.39</v>
      </c>
      <c r="D1708" s="2" t="s">
        <v>5</v>
      </c>
    </row>
    <row r="1709" spans="1:4" ht="15" customHeight="1" x14ac:dyDescent="0.25">
      <c r="A1709" s="2" t="str">
        <f>"08030000203"</f>
        <v>08030000203</v>
      </c>
      <c r="B1709" s="2" t="s">
        <v>1712</v>
      </c>
      <c r="C1709" s="2">
        <v>3118.35</v>
      </c>
      <c r="D1709" s="2" t="s">
        <v>5</v>
      </c>
    </row>
    <row r="1710" spans="1:4" ht="15" customHeight="1" x14ac:dyDescent="0.25">
      <c r="A1710" s="2" t="str">
        <f>"08600000320"</f>
        <v>08600000320</v>
      </c>
      <c r="B1710" s="2" t="s">
        <v>1713</v>
      </c>
      <c r="C1710" s="2">
        <v>3797.21</v>
      </c>
      <c r="D1710" s="2" t="s">
        <v>5</v>
      </c>
    </row>
    <row r="1711" spans="1:4" ht="15" customHeight="1" x14ac:dyDescent="0.25">
      <c r="A1711" s="2" t="str">
        <f>"08030000205"</f>
        <v>08030000205</v>
      </c>
      <c r="B1711" s="2" t="s">
        <v>1714</v>
      </c>
      <c r="C1711" s="2">
        <v>3037.85</v>
      </c>
      <c r="D1711" s="2" t="s">
        <v>5</v>
      </c>
    </row>
    <row r="1712" spans="1:4" ht="15" customHeight="1" x14ac:dyDescent="0.25">
      <c r="A1712" s="2" t="str">
        <f>"08600000325"</f>
        <v>08600000325</v>
      </c>
      <c r="B1712" s="2" t="s">
        <v>1715</v>
      </c>
      <c r="C1712" s="2">
        <v>3872.84</v>
      </c>
      <c r="D1712" s="2" t="s">
        <v>5</v>
      </c>
    </row>
    <row r="1713" spans="1:4" ht="15" customHeight="1" x14ac:dyDescent="0.25">
      <c r="A1713" s="2" t="str">
        <f>"08030000175"</f>
        <v>08030000175</v>
      </c>
      <c r="B1713" s="2" t="s">
        <v>1716</v>
      </c>
      <c r="C1713" s="2">
        <v>4814.7</v>
      </c>
      <c r="D1713" s="2" t="s">
        <v>5</v>
      </c>
    </row>
    <row r="1714" spans="1:4" ht="15" customHeight="1" x14ac:dyDescent="0.25">
      <c r="A1714" s="2" t="str">
        <f>"08610000225"</f>
        <v>08610000225</v>
      </c>
      <c r="B1714" s="2" t="s">
        <v>1717</v>
      </c>
      <c r="C1714" s="2">
        <v>3615.89</v>
      </c>
      <c r="D1714" s="2" t="s">
        <v>5</v>
      </c>
    </row>
    <row r="1715" spans="1:4" ht="15" customHeight="1" x14ac:dyDescent="0.25">
      <c r="A1715" s="2" t="str">
        <f>"08600000270"</f>
        <v>08600000270</v>
      </c>
      <c r="B1715" s="2" t="s">
        <v>1718</v>
      </c>
      <c r="C1715" s="2">
        <v>4651.26</v>
      </c>
      <c r="D1715" s="2" t="s">
        <v>5</v>
      </c>
    </row>
    <row r="1716" spans="1:4" ht="15" customHeight="1" x14ac:dyDescent="0.25">
      <c r="A1716" s="2" t="str">
        <f>"08030000207"</f>
        <v>08030000207</v>
      </c>
      <c r="B1716" s="2" t="s">
        <v>1719</v>
      </c>
      <c r="C1716" s="2">
        <v>4365.32</v>
      </c>
      <c r="D1716" s="2" t="s">
        <v>5</v>
      </c>
    </row>
    <row r="1717" spans="1:4" ht="15" customHeight="1" x14ac:dyDescent="0.25">
      <c r="A1717" s="2" t="str">
        <f>"08600000330"</f>
        <v>08600000330</v>
      </c>
      <c r="B1717" s="2" t="s">
        <v>1720</v>
      </c>
      <c r="C1717" s="2">
        <v>5480.82</v>
      </c>
      <c r="D1717" s="2" t="s">
        <v>5</v>
      </c>
    </row>
    <row r="1718" spans="1:4" ht="15" customHeight="1" x14ac:dyDescent="0.25">
      <c r="A1718" s="2" t="str">
        <f>"08030000209"</f>
        <v>08030000209</v>
      </c>
      <c r="B1718" s="2" t="s">
        <v>1721</v>
      </c>
      <c r="C1718" s="2">
        <v>4004.1</v>
      </c>
      <c r="D1718" s="2" t="s">
        <v>5</v>
      </c>
    </row>
    <row r="1719" spans="1:4" ht="15" customHeight="1" x14ac:dyDescent="0.25">
      <c r="A1719" s="2" t="str">
        <f>"08600000335"</f>
        <v>08600000335</v>
      </c>
      <c r="B1719" s="2" t="s">
        <v>1722</v>
      </c>
      <c r="C1719" s="2">
        <v>5250.71</v>
      </c>
      <c r="D1719" s="2" t="s">
        <v>5</v>
      </c>
    </row>
    <row r="1720" spans="1:4" ht="15" customHeight="1" x14ac:dyDescent="0.25">
      <c r="A1720" s="2" t="str">
        <f>"08600000275"</f>
        <v>08600000275</v>
      </c>
      <c r="B1720" s="2" t="s">
        <v>1723</v>
      </c>
      <c r="C1720" s="2">
        <v>7288.79</v>
      </c>
      <c r="D1720" s="2" t="s">
        <v>5</v>
      </c>
    </row>
    <row r="1721" spans="1:4" ht="15" customHeight="1" x14ac:dyDescent="0.25">
      <c r="A1721" s="2" t="str">
        <f>"08600000340"</f>
        <v>08600000340</v>
      </c>
      <c r="B1721" s="2" t="s">
        <v>1724</v>
      </c>
      <c r="C1721" s="2">
        <v>11213.63</v>
      </c>
      <c r="D1721" s="2" t="s">
        <v>5</v>
      </c>
    </row>
    <row r="1722" spans="1:4" ht="15" customHeight="1" x14ac:dyDescent="0.25">
      <c r="A1722" s="2" t="str">
        <f>"08600000345"</f>
        <v>08600000345</v>
      </c>
      <c r="B1722" s="2" t="s">
        <v>1725</v>
      </c>
      <c r="C1722" s="2">
        <v>11213.63</v>
      </c>
      <c r="D1722" s="2" t="s">
        <v>5</v>
      </c>
    </row>
    <row r="1723" spans="1:4" ht="15" customHeight="1" x14ac:dyDescent="0.25">
      <c r="A1723" s="2" t="str">
        <f>"08600000280"</f>
        <v>08600000280</v>
      </c>
      <c r="B1723" s="2" t="s">
        <v>1726</v>
      </c>
      <c r="C1723" s="2">
        <v>11966.42</v>
      </c>
      <c r="D1723" s="2" t="s">
        <v>5</v>
      </c>
    </row>
    <row r="1724" spans="1:4" ht="15" customHeight="1" x14ac:dyDescent="0.25">
      <c r="A1724" s="2" t="str">
        <f>"08600000350"</f>
        <v>08600000350</v>
      </c>
      <c r="B1724" s="2" t="s">
        <v>1727</v>
      </c>
      <c r="C1724" s="2">
        <v>25308.51</v>
      </c>
      <c r="D1724" s="2" t="s">
        <v>5</v>
      </c>
    </row>
    <row r="1725" spans="1:4" ht="15" customHeight="1" x14ac:dyDescent="0.25">
      <c r="A1725" s="2" t="str">
        <f>"08600000355"</f>
        <v>08600000355</v>
      </c>
      <c r="B1725" s="2" t="s">
        <v>1728</v>
      </c>
      <c r="C1725" s="2">
        <v>25308.51</v>
      </c>
      <c r="D1725" s="2" t="s">
        <v>5</v>
      </c>
    </row>
    <row r="1726" spans="1:4" ht="15" customHeight="1" x14ac:dyDescent="0.25">
      <c r="A1726" s="2" t="str">
        <f>"08600000620"</f>
        <v>08600000620</v>
      </c>
      <c r="B1726" s="2" t="s">
        <v>1729</v>
      </c>
      <c r="C1726" s="2">
        <v>128555.73</v>
      </c>
      <c r="D1726" s="2" t="s">
        <v>5</v>
      </c>
    </row>
    <row r="1727" spans="1:4" ht="15" customHeight="1" x14ac:dyDescent="0.25">
      <c r="A1727" s="2" t="str">
        <f>"08600000630"</f>
        <v>08600000630</v>
      </c>
      <c r="B1727" s="2" t="s">
        <v>1730</v>
      </c>
      <c r="C1727" s="2">
        <v>1476.45</v>
      </c>
      <c r="D1727" s="2" t="s">
        <v>5</v>
      </c>
    </row>
    <row r="1728" spans="1:4" ht="15" customHeight="1" x14ac:dyDescent="0.25">
      <c r="A1728" s="2" t="str">
        <f>"08030000360"</f>
        <v>08030000360</v>
      </c>
      <c r="B1728" s="2" t="s">
        <v>1731</v>
      </c>
      <c r="C1728" s="2">
        <v>1405.58</v>
      </c>
      <c r="D1728" s="2" t="s">
        <v>5</v>
      </c>
    </row>
    <row r="1729" spans="1:4" ht="15" customHeight="1" x14ac:dyDescent="0.25">
      <c r="A1729" s="2" t="str">
        <f>"08610000335"</f>
        <v>08610000335</v>
      </c>
      <c r="B1729" s="2" t="s">
        <v>1732</v>
      </c>
      <c r="C1729" s="2">
        <v>1014.99</v>
      </c>
      <c r="D1729" s="2" t="s">
        <v>5</v>
      </c>
    </row>
    <row r="1730" spans="1:4" ht="15" customHeight="1" x14ac:dyDescent="0.25">
      <c r="A1730" s="2" t="str">
        <f>"08600000565"</f>
        <v>08600000565</v>
      </c>
      <c r="B1730" s="2" t="s">
        <v>1733</v>
      </c>
      <c r="C1730" s="2">
        <v>1687.65</v>
      </c>
      <c r="D1730" s="2" t="s">
        <v>5</v>
      </c>
    </row>
    <row r="1731" spans="1:4" ht="15" customHeight="1" x14ac:dyDescent="0.25">
      <c r="A1731" s="2" t="str">
        <f>"08030000380"</f>
        <v>08030000380</v>
      </c>
      <c r="B1731" s="2" t="s">
        <v>1734</v>
      </c>
      <c r="C1731" s="2">
        <v>1797.2</v>
      </c>
      <c r="D1731" s="2" t="s">
        <v>5</v>
      </c>
    </row>
    <row r="1732" spans="1:4" ht="15" customHeight="1" x14ac:dyDescent="0.25">
      <c r="A1732" s="2" t="str">
        <f>"08610000355"</f>
        <v>08610000355</v>
      </c>
      <c r="B1732" s="2" t="s">
        <v>1735</v>
      </c>
      <c r="C1732" s="2">
        <v>1294.0999999999999</v>
      </c>
      <c r="D1732" s="2" t="s">
        <v>5</v>
      </c>
    </row>
    <row r="1733" spans="1:4" ht="15" customHeight="1" x14ac:dyDescent="0.25">
      <c r="A1733" s="2" t="str">
        <f>"08600000635"</f>
        <v>08600000635</v>
      </c>
      <c r="B1733" s="2" t="s">
        <v>1736</v>
      </c>
      <c r="C1733" s="2">
        <v>2162.7199999999998</v>
      </c>
      <c r="D1733" s="2" t="s">
        <v>5</v>
      </c>
    </row>
    <row r="1734" spans="1:4" ht="15" customHeight="1" x14ac:dyDescent="0.25">
      <c r="A1734" s="2" t="str">
        <f>"08030000362"</f>
        <v>08030000362</v>
      </c>
      <c r="B1734" s="2" t="s">
        <v>1737</v>
      </c>
      <c r="C1734" s="2">
        <v>1922.6</v>
      </c>
      <c r="D1734" s="2" t="s">
        <v>5</v>
      </c>
    </row>
    <row r="1735" spans="1:4" ht="15" customHeight="1" x14ac:dyDescent="0.25">
      <c r="A1735" s="2" t="str">
        <f>"08600000570"</f>
        <v>08600000570</v>
      </c>
      <c r="B1735" s="2" t="s">
        <v>1738</v>
      </c>
      <c r="C1735" s="2">
        <v>2350.0700000000002</v>
      </c>
      <c r="D1735" s="2" t="s">
        <v>5</v>
      </c>
    </row>
    <row r="1736" spans="1:4" ht="15" customHeight="1" x14ac:dyDescent="0.25">
      <c r="A1736" s="2" t="str">
        <f>"08030000382"</f>
        <v>08030000382</v>
      </c>
      <c r="B1736" s="2" t="s">
        <v>1739</v>
      </c>
      <c r="C1736" s="2">
        <v>2100.41</v>
      </c>
      <c r="D1736" s="2" t="s">
        <v>5</v>
      </c>
    </row>
    <row r="1737" spans="1:4" ht="15" customHeight="1" x14ac:dyDescent="0.25">
      <c r="A1737" s="2" t="str">
        <f>"08031000019"</f>
        <v>08031000019</v>
      </c>
      <c r="B1737" s="2" t="s">
        <v>1740</v>
      </c>
      <c r="C1737" s="2">
        <v>2296.9499999999998</v>
      </c>
      <c r="D1737" s="2" t="s">
        <v>5</v>
      </c>
    </row>
    <row r="1738" spans="1:4" ht="15" customHeight="1" x14ac:dyDescent="0.25">
      <c r="A1738" s="2" t="str">
        <f>"08600000625"</f>
        <v>08600000625</v>
      </c>
      <c r="B1738" s="2" t="s">
        <v>1741</v>
      </c>
      <c r="C1738" s="2">
        <v>1457.67</v>
      </c>
      <c r="D1738" s="2" t="s">
        <v>5</v>
      </c>
    </row>
    <row r="1739" spans="1:4" ht="15" customHeight="1" x14ac:dyDescent="0.25">
      <c r="A1739" s="2" t="str">
        <f>"08030000350"</f>
        <v>08030000350</v>
      </c>
      <c r="B1739" s="2" t="s">
        <v>1742</v>
      </c>
      <c r="C1739" s="2">
        <v>1399.44</v>
      </c>
      <c r="D1739" s="2" t="s">
        <v>5</v>
      </c>
    </row>
    <row r="1740" spans="1:4" ht="15" customHeight="1" x14ac:dyDescent="0.25">
      <c r="A1740" s="2" t="str">
        <f>"08600000640"</f>
        <v>08600000640</v>
      </c>
      <c r="B1740" s="2" t="s">
        <v>1743</v>
      </c>
      <c r="C1740" s="2">
        <v>2179.83</v>
      </c>
      <c r="D1740" s="2" t="s">
        <v>5</v>
      </c>
    </row>
    <row r="1741" spans="1:4" ht="15" customHeight="1" x14ac:dyDescent="0.25">
      <c r="A1741" s="2" t="str">
        <f>"08030000355"</f>
        <v>08030000355</v>
      </c>
      <c r="B1741" s="2" t="s">
        <v>1744</v>
      </c>
      <c r="C1741" s="2">
        <v>1812.41</v>
      </c>
      <c r="D1741" s="2" t="s">
        <v>5</v>
      </c>
    </row>
    <row r="1742" spans="1:4" ht="15" customHeight="1" x14ac:dyDescent="0.25">
      <c r="A1742" s="2" t="str">
        <f>"08610000340"</f>
        <v>08610000340</v>
      </c>
      <c r="B1742" s="2" t="s">
        <v>1745</v>
      </c>
      <c r="C1742" s="2">
        <v>1294.0999999999999</v>
      </c>
      <c r="D1742" s="2" t="s">
        <v>5</v>
      </c>
    </row>
    <row r="1743" spans="1:4" ht="15" customHeight="1" x14ac:dyDescent="0.25">
      <c r="A1743" s="2" t="str">
        <f>"08600000575"</f>
        <v>08600000575</v>
      </c>
      <c r="B1743" s="2" t="s">
        <v>1746</v>
      </c>
      <c r="C1743" s="2">
        <v>2126.31</v>
      </c>
      <c r="D1743" s="2" t="s">
        <v>5</v>
      </c>
    </row>
    <row r="1744" spans="1:4" ht="15" customHeight="1" x14ac:dyDescent="0.25">
      <c r="A1744" s="2" t="str">
        <f>"08030000385"</f>
        <v>08030000385</v>
      </c>
      <c r="B1744" s="2" t="s">
        <v>1747</v>
      </c>
      <c r="C1744" s="2">
        <v>1959.86</v>
      </c>
      <c r="D1744" s="2" t="s">
        <v>5</v>
      </c>
    </row>
    <row r="1745" spans="1:4" ht="15" customHeight="1" x14ac:dyDescent="0.25">
      <c r="A1745" s="2" t="str">
        <f>"08600000645"</f>
        <v>08600000645</v>
      </c>
      <c r="B1745" s="2" t="s">
        <v>1748</v>
      </c>
      <c r="C1745" s="2">
        <v>2454.27</v>
      </c>
      <c r="D1745" s="2" t="s">
        <v>5</v>
      </c>
    </row>
    <row r="1746" spans="1:4" ht="15" customHeight="1" x14ac:dyDescent="0.25">
      <c r="A1746" s="2" t="str">
        <f>"08030000365"</f>
        <v>08030000365</v>
      </c>
      <c r="B1746" s="2" t="s">
        <v>1749</v>
      </c>
      <c r="C1746" s="2">
        <v>2050.58</v>
      </c>
      <c r="D1746" s="2" t="s">
        <v>5</v>
      </c>
    </row>
    <row r="1747" spans="1:4" ht="15" customHeight="1" x14ac:dyDescent="0.25">
      <c r="A1747" s="2" t="str">
        <f>"08610000345"</f>
        <v>08610000345</v>
      </c>
      <c r="B1747" s="2" t="s">
        <v>1750</v>
      </c>
      <c r="C1747" s="2">
        <v>1471.73</v>
      </c>
      <c r="D1747" s="2" t="s">
        <v>5</v>
      </c>
    </row>
    <row r="1748" spans="1:4" ht="15" customHeight="1" x14ac:dyDescent="0.25">
      <c r="A1748" s="2" t="str">
        <f>"08600000580"</f>
        <v>08600000580</v>
      </c>
      <c r="B1748" s="2" t="s">
        <v>1751</v>
      </c>
      <c r="C1748" s="2">
        <v>2465.2399999999998</v>
      </c>
      <c r="D1748" s="2" t="s">
        <v>5</v>
      </c>
    </row>
    <row r="1749" spans="1:4" ht="15" customHeight="1" x14ac:dyDescent="0.25">
      <c r="A1749" s="2" t="str">
        <f>"08030000390"</f>
        <v>08030000390</v>
      </c>
      <c r="B1749" s="2" t="s">
        <v>1752</v>
      </c>
      <c r="C1749" s="2">
        <v>2352.59</v>
      </c>
      <c r="D1749" s="2" t="s">
        <v>5</v>
      </c>
    </row>
    <row r="1750" spans="1:4" ht="15" customHeight="1" x14ac:dyDescent="0.25">
      <c r="A1750" s="2" t="str">
        <f>"08610000360"</f>
        <v>08610000360</v>
      </c>
      <c r="B1750" s="2" t="s">
        <v>1753</v>
      </c>
      <c r="C1750" s="2">
        <v>1687.41</v>
      </c>
      <c r="D1750" s="2" t="s">
        <v>5</v>
      </c>
    </row>
    <row r="1751" spans="1:4" ht="15" customHeight="1" x14ac:dyDescent="0.25">
      <c r="A1751" s="2" t="str">
        <f>"08031000010"</f>
        <v>08031000010</v>
      </c>
      <c r="B1751" s="2" t="s">
        <v>1754</v>
      </c>
      <c r="C1751" s="2">
        <v>2318.25</v>
      </c>
      <c r="D1751" s="2" t="s">
        <v>5</v>
      </c>
    </row>
    <row r="1752" spans="1:4" ht="15" customHeight="1" x14ac:dyDescent="0.25">
      <c r="A1752" s="2" t="str">
        <f>"08600000655"</f>
        <v>08600000655</v>
      </c>
      <c r="B1752" s="2" t="s">
        <v>1755</v>
      </c>
      <c r="C1752" s="2">
        <v>4460.37</v>
      </c>
      <c r="D1752" s="2" t="s">
        <v>5</v>
      </c>
    </row>
    <row r="1753" spans="1:4" ht="15" customHeight="1" x14ac:dyDescent="0.25">
      <c r="A1753" s="2" t="str">
        <f>"08030000375"</f>
        <v>08030000375</v>
      </c>
      <c r="B1753" s="2" t="s">
        <v>1756</v>
      </c>
      <c r="C1753" s="2">
        <v>4079.31</v>
      </c>
      <c r="D1753" s="2" t="s">
        <v>5</v>
      </c>
    </row>
    <row r="1754" spans="1:4" ht="15" customHeight="1" x14ac:dyDescent="0.25">
      <c r="A1754" s="2" t="str">
        <f>"08610000350"</f>
        <v>08610000350</v>
      </c>
      <c r="B1754" s="2" t="s">
        <v>1757</v>
      </c>
      <c r="C1754" s="2">
        <v>3831.57</v>
      </c>
      <c r="D1754" s="2" t="s">
        <v>5</v>
      </c>
    </row>
    <row r="1755" spans="1:4" ht="15" customHeight="1" x14ac:dyDescent="0.25">
      <c r="A1755" s="2" t="str">
        <f>"08600000590"</f>
        <v>08600000590</v>
      </c>
      <c r="B1755" s="2" t="s">
        <v>1758</v>
      </c>
      <c r="C1755" s="2">
        <v>5804.87</v>
      </c>
      <c r="D1755" s="2" t="s">
        <v>5</v>
      </c>
    </row>
    <row r="1756" spans="1:4" ht="15" customHeight="1" x14ac:dyDescent="0.25">
      <c r="A1756" s="2" t="str">
        <f>"08030000400"</f>
        <v>08030000400</v>
      </c>
      <c r="B1756" s="2" t="s">
        <v>1759</v>
      </c>
      <c r="C1756" s="2">
        <v>5347.82</v>
      </c>
      <c r="D1756" s="2" t="s">
        <v>5</v>
      </c>
    </row>
    <row r="1757" spans="1:4" ht="15" customHeight="1" x14ac:dyDescent="0.25">
      <c r="A1757" s="2" t="str">
        <f>"08610000370"</f>
        <v>08610000370</v>
      </c>
      <c r="B1757" s="2" t="s">
        <v>1760</v>
      </c>
      <c r="C1757" s="2">
        <v>3831.57</v>
      </c>
      <c r="D1757" s="2" t="s">
        <v>5</v>
      </c>
    </row>
    <row r="1758" spans="1:4" ht="15" customHeight="1" x14ac:dyDescent="0.25">
      <c r="A1758" s="2" t="str">
        <f>"08610000365"</f>
        <v>08610000365</v>
      </c>
      <c r="B1758" s="2" t="s">
        <v>1761</v>
      </c>
      <c r="C1758" s="2">
        <v>2029.97</v>
      </c>
      <c r="D1758" s="2" t="s">
        <v>5</v>
      </c>
    </row>
    <row r="1759" spans="1:4" ht="15" customHeight="1" x14ac:dyDescent="0.25">
      <c r="A1759" s="2" t="str">
        <f>"08600000650"</f>
        <v>08600000650</v>
      </c>
      <c r="B1759" s="2" t="s">
        <v>1762</v>
      </c>
      <c r="C1759" s="2">
        <v>3165.24</v>
      </c>
      <c r="D1759" s="2" t="s">
        <v>5</v>
      </c>
    </row>
    <row r="1760" spans="1:4" ht="15" customHeight="1" x14ac:dyDescent="0.25">
      <c r="A1760" s="2" t="str">
        <f>"08030000370"</f>
        <v>08030000370</v>
      </c>
      <c r="B1760" s="2" t="s">
        <v>1763</v>
      </c>
      <c r="C1760" s="2">
        <v>3273.81</v>
      </c>
      <c r="D1760" s="2" t="s">
        <v>5</v>
      </c>
    </row>
    <row r="1761" spans="1:4" ht="15" customHeight="1" x14ac:dyDescent="0.25">
      <c r="A1761" s="2" t="str">
        <f>"08600000585"</f>
        <v>08600000585</v>
      </c>
      <c r="B1761" s="2" t="s">
        <v>1764</v>
      </c>
      <c r="C1761" s="2">
        <v>3492.2</v>
      </c>
      <c r="D1761" s="2" t="s">
        <v>5</v>
      </c>
    </row>
    <row r="1762" spans="1:4" ht="15" customHeight="1" x14ac:dyDescent="0.25">
      <c r="A1762" s="2" t="str">
        <f>"08030000395"</f>
        <v>08030000395</v>
      </c>
      <c r="B1762" s="2" t="s">
        <v>1765</v>
      </c>
      <c r="C1762" s="2">
        <v>3609.33</v>
      </c>
      <c r="D1762" s="2" t="s">
        <v>5</v>
      </c>
    </row>
    <row r="1763" spans="1:4" ht="15" customHeight="1" x14ac:dyDescent="0.25">
      <c r="A1763" s="2" t="str">
        <f>"08600000660"</f>
        <v>08600000660</v>
      </c>
      <c r="B1763" s="2" t="s">
        <v>1766</v>
      </c>
      <c r="C1763" s="2">
        <v>13499.37</v>
      </c>
      <c r="D1763" s="2" t="s">
        <v>5</v>
      </c>
    </row>
    <row r="1764" spans="1:4" ht="15" customHeight="1" x14ac:dyDescent="0.25">
      <c r="A1764" s="2" t="str">
        <f>"08030000376"</f>
        <v>08030000376</v>
      </c>
      <c r="B1764" s="2" t="s">
        <v>1767</v>
      </c>
      <c r="C1764" s="2">
        <v>11534.69</v>
      </c>
      <c r="D1764" s="2" t="s">
        <v>5</v>
      </c>
    </row>
    <row r="1765" spans="1:4" ht="15" customHeight="1" x14ac:dyDescent="0.25">
      <c r="A1765" s="2" t="str">
        <f>"08600000595"</f>
        <v>08600000595</v>
      </c>
      <c r="B1765" s="2" t="s">
        <v>1768</v>
      </c>
      <c r="C1765" s="2">
        <v>13463.4</v>
      </c>
      <c r="D1765" s="2" t="s">
        <v>5</v>
      </c>
    </row>
    <row r="1766" spans="1:4" ht="15" customHeight="1" x14ac:dyDescent="0.25">
      <c r="A1766" s="2" t="str">
        <f>"08030000401"</f>
        <v>08030000401</v>
      </c>
      <c r="B1766" s="2" t="s">
        <v>1769</v>
      </c>
      <c r="C1766" s="2">
        <v>13441.73</v>
      </c>
      <c r="D1766" s="2" t="s">
        <v>5</v>
      </c>
    </row>
    <row r="1767" spans="1:4" ht="15" customHeight="1" x14ac:dyDescent="0.25">
      <c r="A1767" s="2" t="str">
        <f>"08600000665"</f>
        <v>08600000665</v>
      </c>
      <c r="B1767" s="2" t="s">
        <v>1770</v>
      </c>
      <c r="C1767" s="2">
        <v>19563.59</v>
      </c>
      <c r="D1767" s="2" t="s">
        <v>5</v>
      </c>
    </row>
    <row r="1768" spans="1:4" ht="15" customHeight="1" x14ac:dyDescent="0.25">
      <c r="A1768" s="2" t="str">
        <f>"08030000377"</f>
        <v>08030000377</v>
      </c>
      <c r="B1768" s="2" t="s">
        <v>1771</v>
      </c>
      <c r="C1768" s="2">
        <v>16032.09</v>
      </c>
      <c r="D1768" s="2" t="s">
        <v>5</v>
      </c>
    </row>
    <row r="1769" spans="1:4" ht="15" customHeight="1" x14ac:dyDescent="0.25">
      <c r="A1769" s="2" t="str">
        <f>"08600000600"</f>
        <v>08600000600</v>
      </c>
      <c r="B1769" s="2" t="s">
        <v>1772</v>
      </c>
      <c r="C1769" s="2">
        <v>15894.06</v>
      </c>
      <c r="D1769" s="2" t="s">
        <v>5</v>
      </c>
    </row>
    <row r="1770" spans="1:4" ht="15" customHeight="1" x14ac:dyDescent="0.25">
      <c r="A1770" s="2" t="str">
        <f>"08030000402"</f>
        <v>08030000402</v>
      </c>
      <c r="B1770" s="2" t="s">
        <v>1773</v>
      </c>
      <c r="C1770" s="2">
        <v>18798.66</v>
      </c>
      <c r="D1770" s="2" t="s">
        <v>5</v>
      </c>
    </row>
    <row r="1771" spans="1:4" ht="15" customHeight="1" x14ac:dyDescent="0.25">
      <c r="A1771" s="2" t="str">
        <f>"08600000670"</f>
        <v>08600000670</v>
      </c>
      <c r="B1771" s="2" t="s">
        <v>1774</v>
      </c>
      <c r="C1771" s="2">
        <v>26082.78</v>
      </c>
      <c r="D1771" s="2" t="s">
        <v>5</v>
      </c>
    </row>
    <row r="1772" spans="1:4" ht="15" customHeight="1" x14ac:dyDescent="0.25">
      <c r="A1772" s="2" t="str">
        <f>"08030000378"</f>
        <v>08030000378</v>
      </c>
      <c r="B1772" s="2" t="s">
        <v>1775</v>
      </c>
      <c r="C1772" s="2">
        <v>21678.75</v>
      </c>
      <c r="D1772" s="2" t="s">
        <v>5</v>
      </c>
    </row>
    <row r="1773" spans="1:4" ht="15" customHeight="1" x14ac:dyDescent="0.25">
      <c r="A1773" s="2" t="str">
        <f>"08600000605"</f>
        <v>08600000605</v>
      </c>
      <c r="B1773" s="2" t="s">
        <v>1776</v>
      </c>
      <c r="C1773" s="2">
        <v>23301.68</v>
      </c>
      <c r="D1773" s="2" t="s">
        <v>5</v>
      </c>
    </row>
    <row r="1774" spans="1:4" ht="15" customHeight="1" x14ac:dyDescent="0.25">
      <c r="A1774" s="2" t="str">
        <f>"08030000403"</f>
        <v>08030000403</v>
      </c>
      <c r="B1774" s="2" t="s">
        <v>1777</v>
      </c>
      <c r="C1774" s="2">
        <v>28086.98</v>
      </c>
      <c r="D1774" s="2" t="s">
        <v>5</v>
      </c>
    </row>
    <row r="1775" spans="1:4" ht="15" customHeight="1" x14ac:dyDescent="0.25">
      <c r="A1775" s="2" t="str">
        <f>"08600000675"</f>
        <v>08600000675</v>
      </c>
      <c r="B1775" s="2" t="s">
        <v>1778</v>
      </c>
      <c r="C1775" s="2">
        <v>44504.88</v>
      </c>
      <c r="D1775" s="2" t="s">
        <v>5</v>
      </c>
    </row>
    <row r="1776" spans="1:4" ht="15" customHeight="1" x14ac:dyDescent="0.25">
      <c r="A1776" s="2" t="str">
        <f>"08600000610"</f>
        <v>08600000610</v>
      </c>
      <c r="B1776" s="2" t="s">
        <v>1779</v>
      </c>
      <c r="C1776" s="2">
        <v>54372.17</v>
      </c>
      <c r="D1776" s="2" t="s">
        <v>5</v>
      </c>
    </row>
    <row r="1777" spans="1:4" ht="15" customHeight="1" x14ac:dyDescent="0.25">
      <c r="A1777" s="2" t="str">
        <f>"08600000680"</f>
        <v>08600000680</v>
      </c>
      <c r="B1777" s="2" t="s">
        <v>1780</v>
      </c>
      <c r="C1777" s="2">
        <v>65209.53</v>
      </c>
      <c r="D1777" s="2" t="s">
        <v>5</v>
      </c>
    </row>
    <row r="1778" spans="1:4" ht="15" customHeight="1" x14ac:dyDescent="0.25">
      <c r="A1778" s="2" t="str">
        <f>"08600000615"</f>
        <v>08600000615</v>
      </c>
      <c r="B1778" s="2" t="s">
        <v>1781</v>
      </c>
      <c r="C1778" s="2">
        <v>74582.66</v>
      </c>
      <c r="D1778" s="2" t="s">
        <v>5</v>
      </c>
    </row>
    <row r="1779" spans="1:4" ht="15" customHeight="1" x14ac:dyDescent="0.25">
      <c r="A1779" s="2" t="str">
        <f>"08600000001"</f>
        <v>08600000001</v>
      </c>
      <c r="B1779" s="2" t="s">
        <v>1782</v>
      </c>
      <c r="C1779" s="2">
        <v>7878.09</v>
      </c>
      <c r="D1779" s="2" t="s">
        <v>5</v>
      </c>
    </row>
    <row r="1780" spans="1:4" ht="15" customHeight="1" x14ac:dyDescent="0.25">
      <c r="A1780" s="2" t="str">
        <f>"08600000005"</f>
        <v>08600000005</v>
      </c>
      <c r="B1780" s="2" t="s">
        <v>1783</v>
      </c>
      <c r="C1780" s="2">
        <v>11708.52</v>
      </c>
      <c r="D1780" s="2" t="s">
        <v>5</v>
      </c>
    </row>
    <row r="1781" spans="1:4" ht="15" customHeight="1" x14ac:dyDescent="0.25">
      <c r="A1781" s="2" t="str">
        <f>"08600000010"</f>
        <v>08600000010</v>
      </c>
      <c r="B1781" s="2" t="s">
        <v>1784</v>
      </c>
      <c r="C1781" s="2">
        <v>15508.07</v>
      </c>
      <c r="D1781" s="2" t="s">
        <v>5</v>
      </c>
    </row>
    <row r="1782" spans="1:4" ht="15" customHeight="1" x14ac:dyDescent="0.25">
      <c r="A1782" s="2" t="str">
        <f>"08600000015"</f>
        <v>08600000015</v>
      </c>
      <c r="B1782" s="2" t="s">
        <v>1785</v>
      </c>
      <c r="C1782" s="2">
        <v>22793.85</v>
      </c>
      <c r="D1782" s="2" t="s">
        <v>5</v>
      </c>
    </row>
    <row r="1783" spans="1:4" ht="15" customHeight="1" x14ac:dyDescent="0.25">
      <c r="A1783" s="2" t="str">
        <f>"08600000020"</f>
        <v>08600000020</v>
      </c>
      <c r="B1783" s="2" t="s">
        <v>1786</v>
      </c>
      <c r="C1783" s="2">
        <v>34931.67</v>
      </c>
      <c r="D1783" s="2" t="s">
        <v>5</v>
      </c>
    </row>
    <row r="1784" spans="1:4" ht="15" customHeight="1" x14ac:dyDescent="0.25">
      <c r="A1784" s="2" t="str">
        <f>"08600000025"</f>
        <v>08600000025</v>
      </c>
      <c r="B1784" s="2" t="s">
        <v>1787</v>
      </c>
      <c r="C1784" s="2">
        <v>51977.66</v>
      </c>
      <c r="D1784" s="2" t="s">
        <v>5</v>
      </c>
    </row>
    <row r="1785" spans="1:4" ht="15" customHeight="1" x14ac:dyDescent="0.25">
      <c r="A1785" s="2" t="str">
        <f>"08600000030"</f>
        <v>08600000030</v>
      </c>
      <c r="B1785" s="2" t="s">
        <v>1788</v>
      </c>
      <c r="C1785" s="2">
        <v>2778.39</v>
      </c>
      <c r="D1785" s="2" t="s">
        <v>5</v>
      </c>
    </row>
    <row r="1786" spans="1:4" ht="15" customHeight="1" x14ac:dyDescent="0.25">
      <c r="A1786" s="2" t="str">
        <f>"08600000035"</f>
        <v>08600000035</v>
      </c>
      <c r="B1786" s="2" t="s">
        <v>1789</v>
      </c>
      <c r="C1786" s="2">
        <v>4111.82</v>
      </c>
      <c r="D1786" s="2" t="s">
        <v>5</v>
      </c>
    </row>
    <row r="1787" spans="1:4" ht="15" customHeight="1" x14ac:dyDescent="0.25">
      <c r="A1787" s="2" t="str">
        <f>"08600000040"</f>
        <v>08600000040</v>
      </c>
      <c r="B1787" s="2" t="s">
        <v>1790</v>
      </c>
      <c r="C1787" s="2">
        <v>7005.42</v>
      </c>
      <c r="D1787" s="2" t="s">
        <v>5</v>
      </c>
    </row>
    <row r="1788" spans="1:4" ht="15" customHeight="1" x14ac:dyDescent="0.25">
      <c r="A1788" s="2" t="str">
        <f>"08600000045"</f>
        <v>08600000045</v>
      </c>
      <c r="B1788" s="2" t="s">
        <v>1791</v>
      </c>
      <c r="C1788" s="2">
        <v>14085.33</v>
      </c>
      <c r="D1788" s="2" t="s">
        <v>5</v>
      </c>
    </row>
    <row r="1789" spans="1:4" ht="15" customHeight="1" x14ac:dyDescent="0.25">
      <c r="A1789" s="2" t="str">
        <f>"08600000050"</f>
        <v>08600000050</v>
      </c>
      <c r="B1789" s="2" t="s">
        <v>1792</v>
      </c>
      <c r="C1789" s="2">
        <v>19573.099999999999</v>
      </c>
      <c r="D1789" s="2" t="s">
        <v>5</v>
      </c>
    </row>
    <row r="1790" spans="1:4" ht="15" customHeight="1" x14ac:dyDescent="0.25">
      <c r="A1790" s="2" t="str">
        <f>"08600000055"</f>
        <v>08600000055</v>
      </c>
      <c r="B1790" s="2" t="s">
        <v>1793</v>
      </c>
      <c r="C1790" s="2">
        <v>30762.21</v>
      </c>
      <c r="D1790" s="2" t="s">
        <v>5</v>
      </c>
    </row>
    <row r="1791" spans="1:4" ht="15" customHeight="1" x14ac:dyDescent="0.25">
      <c r="A1791" s="2" t="str">
        <f>"08600000060"</f>
        <v>08600000060</v>
      </c>
      <c r="B1791" s="2" t="s">
        <v>1794</v>
      </c>
      <c r="C1791" s="2">
        <v>53760.24</v>
      </c>
      <c r="D1791" s="2" t="s">
        <v>5</v>
      </c>
    </row>
    <row r="1792" spans="1:4" ht="15" customHeight="1" x14ac:dyDescent="0.25">
      <c r="A1792" s="2" t="str">
        <f>"08600000065"</f>
        <v>08600000065</v>
      </c>
      <c r="B1792" s="2" t="s">
        <v>1795</v>
      </c>
      <c r="C1792" s="2">
        <v>77255.179999999993</v>
      </c>
      <c r="D1792" s="2" t="s">
        <v>5</v>
      </c>
    </row>
    <row r="1793" spans="1:4" ht="15" customHeight="1" x14ac:dyDescent="0.25">
      <c r="A1793" s="2" t="str">
        <f>"08030000015"</f>
        <v>08030000015</v>
      </c>
      <c r="B1793" s="2" t="s">
        <v>1796</v>
      </c>
      <c r="C1793" s="2">
        <v>7931.61</v>
      </c>
      <c r="D1793" s="2" t="s">
        <v>5</v>
      </c>
    </row>
    <row r="1794" spans="1:4" ht="15" customHeight="1" x14ac:dyDescent="0.25">
      <c r="A1794" s="2" t="str">
        <f>"08030000020"</f>
        <v>08030000020</v>
      </c>
      <c r="B1794" s="2" t="s">
        <v>1797</v>
      </c>
      <c r="C1794" s="2">
        <v>12216.26</v>
      </c>
      <c r="D1794" s="2" t="s">
        <v>5</v>
      </c>
    </row>
    <row r="1795" spans="1:4" ht="15" customHeight="1" x14ac:dyDescent="0.25">
      <c r="A1795" s="2" t="str">
        <f>"08610000016"</f>
        <v>08610000016</v>
      </c>
      <c r="B1795" s="2" t="s">
        <v>1798</v>
      </c>
      <c r="C1795" s="2">
        <v>7028.79</v>
      </c>
      <c r="D1795" s="2" t="s">
        <v>5</v>
      </c>
    </row>
    <row r="1796" spans="1:4" ht="15" customHeight="1" x14ac:dyDescent="0.25">
      <c r="A1796" s="2" t="str">
        <f>"08030000025"</f>
        <v>08030000025</v>
      </c>
      <c r="B1796" s="2" t="s">
        <v>1799</v>
      </c>
      <c r="C1796" s="2">
        <v>15867.29</v>
      </c>
      <c r="D1796" s="2" t="s">
        <v>5</v>
      </c>
    </row>
    <row r="1797" spans="1:4" ht="15" customHeight="1" x14ac:dyDescent="0.25">
      <c r="A1797" s="2" t="str">
        <f>"08610000017"</f>
        <v>08610000017</v>
      </c>
      <c r="B1797" s="2" t="s">
        <v>1800</v>
      </c>
      <c r="C1797" s="2">
        <v>11469.36</v>
      </c>
      <c r="D1797" s="2" t="s">
        <v>5</v>
      </c>
    </row>
    <row r="1798" spans="1:4" ht="15" customHeight="1" x14ac:dyDescent="0.25">
      <c r="A1798" s="2" t="str">
        <f>"08030000030"</f>
        <v>08030000030</v>
      </c>
      <c r="B1798" s="2" t="s">
        <v>1801</v>
      </c>
      <c r="C1798" s="2">
        <v>23136.32</v>
      </c>
      <c r="D1798" s="2" t="s">
        <v>5</v>
      </c>
    </row>
    <row r="1799" spans="1:4" ht="15" customHeight="1" x14ac:dyDescent="0.25">
      <c r="A1799" s="2" t="str">
        <f>"08610000018"</f>
        <v>08610000018</v>
      </c>
      <c r="B1799" s="2" t="s">
        <v>1802</v>
      </c>
      <c r="C1799" s="2">
        <v>20743.79</v>
      </c>
      <c r="D1799" s="2" t="s">
        <v>5</v>
      </c>
    </row>
    <row r="1800" spans="1:4" ht="15" customHeight="1" x14ac:dyDescent="0.25">
      <c r="A1800" s="2" t="str">
        <f>"08030000631"</f>
        <v>08030000631</v>
      </c>
      <c r="B1800" s="2" t="s">
        <v>1803</v>
      </c>
      <c r="C1800" s="2">
        <v>3025.82</v>
      </c>
      <c r="D1800" s="2" t="s">
        <v>5</v>
      </c>
    </row>
    <row r="1801" spans="1:4" ht="15" customHeight="1" x14ac:dyDescent="0.25">
      <c r="A1801" s="2" t="str">
        <f>"08030000035"</f>
        <v>08030000035</v>
      </c>
      <c r="B1801" s="2" t="s">
        <v>1804</v>
      </c>
      <c r="C1801" s="2">
        <v>3674.81</v>
      </c>
      <c r="D1801" s="2" t="s">
        <v>5</v>
      </c>
    </row>
    <row r="1802" spans="1:4" ht="15" customHeight="1" x14ac:dyDescent="0.25">
      <c r="A1802" s="2" t="str">
        <f>"08610000005"</f>
        <v>08610000005</v>
      </c>
      <c r="B1802" s="2" t="s">
        <v>1805</v>
      </c>
      <c r="C1802" s="2">
        <v>2562.84</v>
      </c>
      <c r="D1802" s="2" t="s">
        <v>5</v>
      </c>
    </row>
    <row r="1803" spans="1:4" ht="15" customHeight="1" x14ac:dyDescent="0.25">
      <c r="A1803" s="2" t="str">
        <f>"08030000632"</f>
        <v>08030000632</v>
      </c>
      <c r="B1803" s="2" t="s">
        <v>1806</v>
      </c>
      <c r="C1803" s="2">
        <v>4754.7299999999996</v>
      </c>
      <c r="D1803" s="2" t="s">
        <v>5</v>
      </c>
    </row>
    <row r="1804" spans="1:4" ht="15" customHeight="1" x14ac:dyDescent="0.25">
      <c r="A1804" s="2" t="str">
        <f>"08030000040"</f>
        <v>08030000040</v>
      </c>
      <c r="B1804" s="2" t="s">
        <v>1807</v>
      </c>
      <c r="C1804" s="2">
        <v>5543.48</v>
      </c>
      <c r="D1804" s="2" t="s">
        <v>5</v>
      </c>
    </row>
    <row r="1805" spans="1:4" ht="15" customHeight="1" x14ac:dyDescent="0.25">
      <c r="A1805" s="2" t="str">
        <f>"08610000010"</f>
        <v>08610000010</v>
      </c>
      <c r="B1805" s="2" t="s">
        <v>1808</v>
      </c>
      <c r="C1805" s="2">
        <v>3882.33</v>
      </c>
      <c r="D1805" s="2" t="s">
        <v>5</v>
      </c>
    </row>
    <row r="1806" spans="1:4" ht="15" customHeight="1" x14ac:dyDescent="0.25">
      <c r="A1806" s="2" t="str">
        <f>"08030000633"</f>
        <v>08030000633</v>
      </c>
      <c r="B1806" s="2" t="s">
        <v>1809</v>
      </c>
      <c r="C1806" s="2">
        <v>7759.01</v>
      </c>
      <c r="D1806" s="2" t="s">
        <v>5</v>
      </c>
    </row>
    <row r="1807" spans="1:4" ht="15" customHeight="1" x14ac:dyDescent="0.25">
      <c r="A1807" s="2" t="str">
        <f>"08030000045"</f>
        <v>08030000045</v>
      </c>
      <c r="B1807" s="2" t="s">
        <v>1810</v>
      </c>
      <c r="C1807" s="2">
        <v>9195.5300000000007</v>
      </c>
      <c r="D1807" s="2" t="s">
        <v>5</v>
      </c>
    </row>
    <row r="1808" spans="1:4" ht="15" customHeight="1" x14ac:dyDescent="0.25">
      <c r="A1808" s="2" t="str">
        <f>"08610000015"</f>
        <v>08610000015</v>
      </c>
      <c r="B1808" s="2" t="s">
        <v>1811</v>
      </c>
      <c r="C1808" s="2">
        <v>6369.03</v>
      </c>
      <c r="D1808" s="2" t="s">
        <v>5</v>
      </c>
    </row>
    <row r="1809" spans="1:4" ht="15" customHeight="1" x14ac:dyDescent="0.25">
      <c r="A1809" s="2" t="str">
        <f>"08030000050"</f>
        <v>08030000050</v>
      </c>
      <c r="B1809" s="2" t="s">
        <v>1812</v>
      </c>
      <c r="C1809" s="2">
        <v>13919.22</v>
      </c>
      <c r="D1809" s="2" t="s">
        <v>5</v>
      </c>
    </row>
    <row r="1810" spans="1:4" ht="15" customHeight="1" x14ac:dyDescent="0.25">
      <c r="A1810" s="2" t="str">
        <f>"08610000011"</f>
        <v>08610000011</v>
      </c>
      <c r="B1810" s="2" t="s">
        <v>1813</v>
      </c>
      <c r="C1810" s="2">
        <v>10390.92</v>
      </c>
      <c r="D1810" s="2" t="s">
        <v>5</v>
      </c>
    </row>
    <row r="1811" spans="1:4" ht="15" customHeight="1" x14ac:dyDescent="0.25">
      <c r="A1811" s="2" t="str">
        <f>"08030000055"</f>
        <v>08030000055</v>
      </c>
      <c r="B1811" s="2" t="s">
        <v>1814</v>
      </c>
      <c r="C1811" s="2">
        <v>20587.34</v>
      </c>
      <c r="D1811" s="2" t="s">
        <v>5</v>
      </c>
    </row>
    <row r="1812" spans="1:4" ht="15" customHeight="1" x14ac:dyDescent="0.25">
      <c r="A1812" s="2" t="str">
        <f>"08610000012"</f>
        <v>08610000012</v>
      </c>
      <c r="B1812" s="2" t="s">
        <v>1815</v>
      </c>
      <c r="C1812" s="2">
        <v>15986.04</v>
      </c>
      <c r="D1812" s="2" t="s">
        <v>5</v>
      </c>
    </row>
    <row r="1813" spans="1:4" ht="15" customHeight="1" x14ac:dyDescent="0.25">
      <c r="A1813" s="2" t="str">
        <f>"08030000060"</f>
        <v>08030000060</v>
      </c>
      <c r="B1813" s="2" t="s">
        <v>1816</v>
      </c>
      <c r="C1813" s="2">
        <v>33052.74</v>
      </c>
      <c r="D1813" s="2" t="s">
        <v>5</v>
      </c>
    </row>
    <row r="1814" spans="1:4" ht="15" customHeight="1" x14ac:dyDescent="0.25">
      <c r="A1814" s="2" t="str">
        <f>"08600000915"</f>
        <v>08600000915</v>
      </c>
      <c r="B1814" s="2" t="s">
        <v>1817</v>
      </c>
      <c r="C1814" s="2">
        <v>103558.38</v>
      </c>
      <c r="D1814" s="2" t="s">
        <v>5</v>
      </c>
    </row>
    <row r="1815" spans="1:4" ht="15" customHeight="1" x14ac:dyDescent="0.25">
      <c r="A1815" s="2" t="str">
        <f>"08600000890"</f>
        <v>08600000890</v>
      </c>
      <c r="B1815" s="2" t="s">
        <v>1818</v>
      </c>
      <c r="C1815" s="2">
        <v>21116.13</v>
      </c>
      <c r="D1815" s="2" t="s">
        <v>5</v>
      </c>
    </row>
    <row r="1816" spans="1:4" ht="15" customHeight="1" x14ac:dyDescent="0.25">
      <c r="A1816" s="2" t="str">
        <f>"08600000950"</f>
        <v>08600000950</v>
      </c>
      <c r="B1816" s="2" t="s">
        <v>1819</v>
      </c>
      <c r="C1816" s="2">
        <v>35837.85</v>
      </c>
      <c r="D1816" s="2" t="s">
        <v>5</v>
      </c>
    </row>
    <row r="1817" spans="1:4" ht="15" customHeight="1" x14ac:dyDescent="0.25">
      <c r="A1817" s="2" t="str">
        <f>"08600000895"</f>
        <v>08600000895</v>
      </c>
      <c r="B1817" s="2" t="s">
        <v>1820</v>
      </c>
      <c r="C1817" s="2">
        <v>23463.35</v>
      </c>
      <c r="D1817" s="2" t="s">
        <v>5</v>
      </c>
    </row>
    <row r="1818" spans="1:4" ht="15" customHeight="1" x14ac:dyDescent="0.25">
      <c r="A1818" s="2" t="str">
        <f>"08600000955"</f>
        <v>08600000955</v>
      </c>
      <c r="B1818" s="2" t="s">
        <v>1821</v>
      </c>
      <c r="C1818" s="2">
        <v>48530.25</v>
      </c>
      <c r="D1818" s="2" t="s">
        <v>5</v>
      </c>
    </row>
    <row r="1819" spans="1:4" ht="15" customHeight="1" x14ac:dyDescent="0.25">
      <c r="A1819" s="2" t="str">
        <f>"08600000900"</f>
        <v>08600000900</v>
      </c>
      <c r="B1819" s="2" t="s">
        <v>1822</v>
      </c>
      <c r="C1819" s="2">
        <v>32519.45</v>
      </c>
      <c r="D1819" s="2" t="s">
        <v>5</v>
      </c>
    </row>
    <row r="1820" spans="1:4" ht="15" customHeight="1" x14ac:dyDescent="0.25">
      <c r="A1820" s="2" t="str">
        <f>"08600000960"</f>
        <v>08600000960</v>
      </c>
      <c r="B1820" s="2" t="s">
        <v>1823</v>
      </c>
      <c r="C1820" s="2">
        <v>63996.54</v>
      </c>
      <c r="D1820" s="2" t="s">
        <v>5</v>
      </c>
    </row>
    <row r="1821" spans="1:4" ht="15" customHeight="1" x14ac:dyDescent="0.25">
      <c r="A1821" s="2" t="str">
        <f>"08600000905"</f>
        <v>08600000905</v>
      </c>
      <c r="B1821" s="2" t="s">
        <v>1824</v>
      </c>
      <c r="C1821" s="2">
        <v>59340.71</v>
      </c>
      <c r="D1821" s="2" t="s">
        <v>5</v>
      </c>
    </row>
    <row r="1822" spans="1:4" ht="15" customHeight="1" x14ac:dyDescent="0.25">
      <c r="A1822" s="2" t="str">
        <f>"08600000965"</f>
        <v>08600000965</v>
      </c>
      <c r="B1822" s="2" t="s">
        <v>1825</v>
      </c>
      <c r="C1822" s="2">
        <v>84475.5</v>
      </c>
      <c r="D1822" s="2" t="s">
        <v>5</v>
      </c>
    </row>
    <row r="1823" spans="1:4" ht="15" customHeight="1" x14ac:dyDescent="0.25">
      <c r="A1823" s="2" t="str">
        <f>"08600000910"</f>
        <v>08600000910</v>
      </c>
      <c r="B1823" s="2" t="s">
        <v>1826</v>
      </c>
      <c r="C1823" s="2">
        <v>82162.05</v>
      </c>
      <c r="D1823" s="2" t="s">
        <v>5</v>
      </c>
    </row>
    <row r="1824" spans="1:4" ht="15" customHeight="1" x14ac:dyDescent="0.25">
      <c r="A1824" s="2" t="str">
        <f>"08600000970"</f>
        <v>08600000970</v>
      </c>
      <c r="B1824" s="2" t="s">
        <v>1827</v>
      </c>
      <c r="C1824" s="2">
        <v>140365.53</v>
      </c>
      <c r="D1824" s="2" t="s">
        <v>5</v>
      </c>
    </row>
    <row r="1825" spans="1:4" ht="15" customHeight="1" x14ac:dyDescent="0.25">
      <c r="A1825" s="2" t="str">
        <f>"08600000935"</f>
        <v>08600000935</v>
      </c>
      <c r="B1825" s="2" t="s">
        <v>1828</v>
      </c>
      <c r="C1825" s="2">
        <v>1432.16</v>
      </c>
      <c r="D1825" s="2" t="s">
        <v>5</v>
      </c>
    </row>
    <row r="1826" spans="1:4" ht="15" customHeight="1" x14ac:dyDescent="0.25">
      <c r="A1826" s="2" t="str">
        <f>"08030000280"</f>
        <v>08030000280</v>
      </c>
      <c r="B1826" s="2" t="s">
        <v>1829</v>
      </c>
      <c r="C1826" s="2">
        <v>1140.33</v>
      </c>
      <c r="D1826" s="2" t="s">
        <v>5</v>
      </c>
    </row>
    <row r="1827" spans="1:4" ht="15" customHeight="1" x14ac:dyDescent="0.25">
      <c r="A1827" s="2" t="str">
        <f>"08610000245"</f>
        <v>08610000245</v>
      </c>
      <c r="B1827" s="2" t="s">
        <v>1830</v>
      </c>
      <c r="C1827" s="2">
        <v>850.07</v>
      </c>
      <c r="D1827" s="2" t="s">
        <v>5</v>
      </c>
    </row>
    <row r="1828" spans="1:4" ht="15" customHeight="1" x14ac:dyDescent="0.25">
      <c r="A1828" s="2" t="str">
        <f>"08600000920"</f>
        <v>08600000920</v>
      </c>
      <c r="B1828" s="2" t="s">
        <v>1831</v>
      </c>
      <c r="C1828" s="2">
        <v>3068.37</v>
      </c>
      <c r="D1828" s="2" t="s">
        <v>5</v>
      </c>
    </row>
    <row r="1829" spans="1:4" ht="15" customHeight="1" x14ac:dyDescent="0.25">
      <c r="A1829" s="2" t="str">
        <f>"08030000520"</f>
        <v>08030000520</v>
      </c>
      <c r="B1829" s="2" t="s">
        <v>1832</v>
      </c>
      <c r="C1829" s="2">
        <v>2594.5700000000002</v>
      </c>
      <c r="D1829" s="2" t="s">
        <v>5</v>
      </c>
    </row>
    <row r="1830" spans="1:4" ht="15" customHeight="1" x14ac:dyDescent="0.25">
      <c r="A1830" s="2" t="str">
        <f>"08610000375"</f>
        <v>08610000375</v>
      </c>
      <c r="B1830" s="2" t="s">
        <v>1833</v>
      </c>
      <c r="C1830" s="2">
        <v>2207.6</v>
      </c>
      <c r="D1830" s="2" t="s">
        <v>5</v>
      </c>
    </row>
    <row r="1831" spans="1:4" ht="15" customHeight="1" x14ac:dyDescent="0.25">
      <c r="A1831" s="2" t="str">
        <f>"08030000535"</f>
        <v>08030000535</v>
      </c>
      <c r="B1831" s="2" t="s">
        <v>1834</v>
      </c>
      <c r="C1831" s="2">
        <v>2240.0100000000002</v>
      </c>
      <c r="D1831" s="2" t="s">
        <v>5</v>
      </c>
    </row>
    <row r="1832" spans="1:4" ht="15" customHeight="1" x14ac:dyDescent="0.25">
      <c r="A1832" s="2" t="str">
        <f>"08610000390"</f>
        <v>08610000390</v>
      </c>
      <c r="B1832" s="2" t="s">
        <v>1835</v>
      </c>
      <c r="C1832" s="2">
        <v>2232.98</v>
      </c>
      <c r="D1832" s="2" t="s">
        <v>5</v>
      </c>
    </row>
    <row r="1833" spans="1:4" ht="15" customHeight="1" x14ac:dyDescent="0.25">
      <c r="A1833" s="2" t="str">
        <f>"08600000940"</f>
        <v>08600000940</v>
      </c>
      <c r="B1833" s="2" t="s">
        <v>1836</v>
      </c>
      <c r="C1833" s="2">
        <v>1946.94</v>
      </c>
      <c r="D1833" s="2" t="s">
        <v>5</v>
      </c>
    </row>
    <row r="1834" spans="1:4" ht="15" customHeight="1" x14ac:dyDescent="0.25">
      <c r="A1834" s="2" t="str">
        <f>"08030000285"</f>
        <v>08030000285</v>
      </c>
      <c r="B1834" s="2" t="s">
        <v>1837</v>
      </c>
      <c r="C1834" s="2">
        <v>1432.67</v>
      </c>
      <c r="D1834" s="2" t="s">
        <v>5</v>
      </c>
    </row>
    <row r="1835" spans="1:4" ht="15" customHeight="1" x14ac:dyDescent="0.25">
      <c r="A1835" s="2" t="str">
        <f>"08610000250"</f>
        <v>08610000250</v>
      </c>
      <c r="B1835" s="2" t="s">
        <v>1838</v>
      </c>
      <c r="C1835" s="2">
        <v>1065.74</v>
      </c>
      <c r="D1835" s="2" t="s">
        <v>5</v>
      </c>
    </row>
    <row r="1836" spans="1:4" ht="15" customHeight="1" x14ac:dyDescent="0.25">
      <c r="A1836" s="2" t="str">
        <f>"08600000925"</f>
        <v>08600000925</v>
      </c>
      <c r="B1836" s="2" t="s">
        <v>1839</v>
      </c>
      <c r="C1836" s="2">
        <v>5453.84</v>
      </c>
      <c r="D1836" s="2" t="s">
        <v>5</v>
      </c>
    </row>
    <row r="1837" spans="1:4" ht="15" customHeight="1" x14ac:dyDescent="0.25">
      <c r="A1837" s="2" t="str">
        <f>"08030000525"</f>
        <v>08030000525</v>
      </c>
      <c r="B1837" s="2" t="s">
        <v>1840</v>
      </c>
      <c r="C1837" s="2">
        <v>3292.83</v>
      </c>
      <c r="D1837" s="2" t="s">
        <v>5</v>
      </c>
    </row>
    <row r="1838" spans="1:4" ht="15" customHeight="1" x14ac:dyDescent="0.25">
      <c r="A1838" s="2" t="str">
        <f>"08610000380"</f>
        <v>08610000380</v>
      </c>
      <c r="B1838" s="2" t="s">
        <v>1841</v>
      </c>
      <c r="C1838" s="2">
        <v>2841.96</v>
      </c>
      <c r="D1838" s="2" t="s">
        <v>5</v>
      </c>
    </row>
    <row r="1839" spans="1:4" ht="15" customHeight="1" x14ac:dyDescent="0.25">
      <c r="A1839" s="2" t="str">
        <f>"08030000540"</f>
        <v>08030000540</v>
      </c>
      <c r="B1839" s="2" t="s">
        <v>1842</v>
      </c>
      <c r="C1839" s="2">
        <v>3104.94</v>
      </c>
      <c r="D1839" s="2" t="s">
        <v>5</v>
      </c>
    </row>
    <row r="1840" spans="1:4" ht="15" customHeight="1" x14ac:dyDescent="0.25">
      <c r="A1840" s="2" t="str">
        <f>"08610000395"</f>
        <v>08610000395</v>
      </c>
      <c r="B1840" s="2" t="s">
        <v>1843</v>
      </c>
      <c r="C1840" s="2">
        <v>2956.16</v>
      </c>
      <c r="D1840" s="2" t="s">
        <v>5</v>
      </c>
    </row>
    <row r="1841" spans="1:4" ht="15" customHeight="1" x14ac:dyDescent="0.25">
      <c r="A1841" s="2" t="str">
        <f>"08600000945"</f>
        <v>08600000945</v>
      </c>
      <c r="B1841" s="2" t="s">
        <v>1844</v>
      </c>
      <c r="C1841" s="2">
        <v>3387</v>
      </c>
      <c r="D1841" s="2" t="s">
        <v>5</v>
      </c>
    </row>
    <row r="1842" spans="1:4" ht="15" customHeight="1" x14ac:dyDescent="0.25">
      <c r="A1842" s="2" t="str">
        <f>"08030000290"</f>
        <v>08030000290</v>
      </c>
      <c r="B1842" s="2" t="s">
        <v>1845</v>
      </c>
      <c r="C1842" s="2">
        <v>2152.7600000000002</v>
      </c>
      <c r="D1842" s="2" t="s">
        <v>5</v>
      </c>
    </row>
    <row r="1843" spans="1:4" ht="15" customHeight="1" x14ac:dyDescent="0.25">
      <c r="A1843" s="2" t="str">
        <f>"08610000255"</f>
        <v>08610000255</v>
      </c>
      <c r="B1843" s="2" t="s">
        <v>1846</v>
      </c>
      <c r="C1843" s="2">
        <v>1611.29</v>
      </c>
      <c r="D1843" s="2" t="s">
        <v>5</v>
      </c>
    </row>
    <row r="1844" spans="1:4" ht="15" customHeight="1" x14ac:dyDescent="0.25">
      <c r="A1844" s="2" t="str">
        <f>"08600000930"</f>
        <v>08600000930</v>
      </c>
      <c r="B1844" s="2" t="s">
        <v>1847</v>
      </c>
      <c r="C1844" s="2">
        <v>11103.29</v>
      </c>
      <c r="D1844" s="2" t="s">
        <v>5</v>
      </c>
    </row>
    <row r="1845" spans="1:4" ht="15" customHeight="1" x14ac:dyDescent="0.25">
      <c r="A1845" s="2" t="str">
        <f>"08030000530"</f>
        <v>08030000530</v>
      </c>
      <c r="B1845" s="2" t="s">
        <v>1848</v>
      </c>
      <c r="C1845" s="2">
        <v>5553.41</v>
      </c>
      <c r="D1845" s="2" t="s">
        <v>5</v>
      </c>
    </row>
    <row r="1846" spans="1:4" ht="15" customHeight="1" x14ac:dyDescent="0.25">
      <c r="A1846" s="2" t="str">
        <f>"08610000385"</f>
        <v>08610000385</v>
      </c>
      <c r="B1846" s="2" t="s">
        <v>1849</v>
      </c>
      <c r="C1846" s="2">
        <v>4440.57</v>
      </c>
      <c r="D1846" s="2" t="s">
        <v>5</v>
      </c>
    </row>
    <row r="1847" spans="1:4" ht="15" customHeight="1" x14ac:dyDescent="0.25">
      <c r="A1847" s="2" t="str">
        <f>"08030000545"</f>
        <v>08030000545</v>
      </c>
      <c r="B1847" s="2" t="s">
        <v>1850</v>
      </c>
      <c r="C1847" s="2">
        <v>6249.14</v>
      </c>
      <c r="D1847" s="2" t="s">
        <v>5</v>
      </c>
    </row>
    <row r="1848" spans="1:4" ht="15" customHeight="1" x14ac:dyDescent="0.25">
      <c r="A1848" s="2" t="str">
        <f>"08610000400"</f>
        <v>08610000400</v>
      </c>
      <c r="B1848" s="2" t="s">
        <v>1851</v>
      </c>
      <c r="C1848" s="2">
        <v>4491.32</v>
      </c>
      <c r="D1848" s="2" t="s">
        <v>5</v>
      </c>
    </row>
    <row r="1849" spans="1:4" ht="15" customHeight="1" x14ac:dyDescent="0.25">
      <c r="A1849" s="2" t="str">
        <f>"08030000277"</f>
        <v>08030000277</v>
      </c>
      <c r="B1849" s="2" t="s">
        <v>1852</v>
      </c>
      <c r="C1849" s="2">
        <v>9550.5300000000007</v>
      </c>
      <c r="D1849" s="2" t="s">
        <v>5</v>
      </c>
    </row>
    <row r="1850" spans="1:4" ht="15" customHeight="1" x14ac:dyDescent="0.25">
      <c r="A1850" s="2" t="str">
        <f>"08030000299"</f>
        <v>08030000299</v>
      </c>
      <c r="B1850" s="2" t="s">
        <v>1853</v>
      </c>
      <c r="C1850" s="2">
        <v>10538.69</v>
      </c>
      <c r="D1850" s="2" t="s">
        <v>5</v>
      </c>
    </row>
    <row r="1851" spans="1:4" ht="15" customHeight="1" x14ac:dyDescent="0.25">
      <c r="A1851" s="2" t="str">
        <f>"08030000291"</f>
        <v>08030000291</v>
      </c>
      <c r="B1851" s="2" t="s">
        <v>1854</v>
      </c>
      <c r="C1851" s="2">
        <v>12595.92</v>
      </c>
      <c r="D1851" s="2" t="s">
        <v>5</v>
      </c>
    </row>
    <row r="1852" spans="1:4" ht="15" customHeight="1" x14ac:dyDescent="0.25">
      <c r="A1852" s="2" t="str">
        <f>"08500000095"</f>
        <v>08500000095</v>
      </c>
      <c r="B1852" s="2" t="s">
        <v>1855</v>
      </c>
      <c r="C1852" s="2">
        <v>11167.44</v>
      </c>
      <c r="D1852" s="2" t="s">
        <v>5</v>
      </c>
    </row>
    <row r="1853" spans="1:4" ht="15" customHeight="1" x14ac:dyDescent="0.25">
      <c r="A1853" s="2" t="str">
        <f>"08610000405"</f>
        <v>08610000405</v>
      </c>
      <c r="B1853" s="2" t="s">
        <v>1856</v>
      </c>
      <c r="C1853" s="2">
        <v>8779.64</v>
      </c>
      <c r="D1853" s="2" t="s">
        <v>5</v>
      </c>
    </row>
    <row r="1854" spans="1:4" ht="15" customHeight="1" x14ac:dyDescent="0.25">
      <c r="A1854" s="2" t="str">
        <f>"08500000100"</f>
        <v>08500000100</v>
      </c>
      <c r="B1854" s="2" t="s">
        <v>1857</v>
      </c>
      <c r="C1854" s="2">
        <v>16905.29</v>
      </c>
      <c r="D1854" s="2" t="s">
        <v>5</v>
      </c>
    </row>
    <row r="1855" spans="1:4" ht="15" customHeight="1" x14ac:dyDescent="0.25">
      <c r="A1855" s="2" t="str">
        <f>"08610000410"</f>
        <v>08610000410</v>
      </c>
      <c r="B1855" s="2" t="s">
        <v>1858</v>
      </c>
      <c r="C1855" s="2">
        <v>11748.47</v>
      </c>
      <c r="D1855" s="2" t="s">
        <v>5</v>
      </c>
    </row>
    <row r="1856" spans="1:4" ht="15" customHeight="1" x14ac:dyDescent="0.25">
      <c r="A1856" s="2" t="str">
        <f>"08500000105"</f>
        <v>08500000105</v>
      </c>
      <c r="B1856" s="2" t="s">
        <v>1859</v>
      </c>
      <c r="C1856" s="2">
        <v>26713.67</v>
      </c>
      <c r="D1856" s="2" t="s">
        <v>5</v>
      </c>
    </row>
    <row r="1857" spans="1:4" ht="15" customHeight="1" x14ac:dyDescent="0.25">
      <c r="A1857" s="2" t="str">
        <f>"08610000415"</f>
        <v>08610000415</v>
      </c>
      <c r="B1857" s="2" t="s">
        <v>1860</v>
      </c>
      <c r="C1857" s="2">
        <v>19957.169999999998</v>
      </c>
      <c r="D1857" s="2" t="s">
        <v>5</v>
      </c>
    </row>
    <row r="1858" spans="1:4" ht="15" customHeight="1" x14ac:dyDescent="0.25">
      <c r="A1858" s="2" t="str">
        <f>"08500000106"</f>
        <v>08500000106</v>
      </c>
      <c r="B1858" s="2" t="s">
        <v>1861</v>
      </c>
      <c r="C1858" s="2">
        <v>47550.38</v>
      </c>
      <c r="D1858" s="2" t="s">
        <v>5</v>
      </c>
    </row>
    <row r="1859" spans="1:4" ht="15" customHeight="1" x14ac:dyDescent="0.25">
      <c r="A1859" s="2" t="str">
        <f>"08500000107"</f>
        <v>08500000107</v>
      </c>
      <c r="B1859" s="2" t="s">
        <v>1862</v>
      </c>
      <c r="C1859" s="2">
        <v>77714.509999999995</v>
      </c>
      <c r="D1859" s="2" t="s">
        <v>5</v>
      </c>
    </row>
    <row r="1860" spans="1:4" ht="15" customHeight="1" x14ac:dyDescent="0.25">
      <c r="A1860" s="2" t="str">
        <f>"08500000108"</f>
        <v>08500000108</v>
      </c>
      <c r="B1860" s="2" t="s">
        <v>1863</v>
      </c>
      <c r="C1860" s="2">
        <v>138298.32</v>
      </c>
      <c r="D1860" s="2" t="s">
        <v>5</v>
      </c>
    </row>
    <row r="1861" spans="1:4" ht="15" customHeight="1" x14ac:dyDescent="0.25">
      <c r="A1861" s="2" t="str">
        <f>"08610000420"</f>
        <v>08610000420</v>
      </c>
      <c r="B1861" s="2" t="s">
        <v>1864</v>
      </c>
      <c r="C1861" s="2">
        <v>4351.76</v>
      </c>
      <c r="D1861" s="2" t="s">
        <v>5</v>
      </c>
    </row>
    <row r="1862" spans="1:4" ht="15" customHeight="1" x14ac:dyDescent="0.25">
      <c r="A1862" s="2" t="str">
        <f>"08610000425"</f>
        <v>08610000425</v>
      </c>
      <c r="B1862" s="2" t="s">
        <v>1865</v>
      </c>
      <c r="C1862" s="2">
        <v>6013.79</v>
      </c>
      <c r="D1862" s="2" t="s">
        <v>5</v>
      </c>
    </row>
    <row r="1863" spans="1:4" ht="15" customHeight="1" x14ac:dyDescent="0.25">
      <c r="A1863" s="2" t="str">
        <f>"08610000430"</f>
        <v>08610000430</v>
      </c>
      <c r="B1863" s="2" t="s">
        <v>1866</v>
      </c>
      <c r="C1863" s="2">
        <v>7054.16</v>
      </c>
      <c r="D1863" s="2" t="s">
        <v>5</v>
      </c>
    </row>
    <row r="1864" spans="1:4" ht="15" customHeight="1" x14ac:dyDescent="0.25">
      <c r="A1864" s="2" t="str">
        <f>"08610000435"</f>
        <v>08610000435</v>
      </c>
      <c r="B1864" s="2" t="s">
        <v>1867</v>
      </c>
      <c r="C1864" s="2">
        <v>1636.67</v>
      </c>
      <c r="D1864" s="2" t="s">
        <v>5</v>
      </c>
    </row>
    <row r="1865" spans="1:4" ht="15" customHeight="1" x14ac:dyDescent="0.25">
      <c r="A1865" s="2" t="str">
        <f>"08610000440"</f>
        <v>08610000440</v>
      </c>
      <c r="B1865" s="2" t="s">
        <v>1868</v>
      </c>
      <c r="C1865" s="2">
        <v>2486.7199999999998</v>
      </c>
      <c r="D1865" s="2" t="s">
        <v>5</v>
      </c>
    </row>
    <row r="1866" spans="1:4" ht="15" customHeight="1" x14ac:dyDescent="0.25">
      <c r="A1866" s="2" t="str">
        <f>"08610000445"</f>
        <v>08610000445</v>
      </c>
      <c r="B1866" s="2" t="s">
        <v>1869</v>
      </c>
      <c r="C1866" s="2">
        <v>3730.08</v>
      </c>
      <c r="D1866" s="2" t="s">
        <v>5</v>
      </c>
    </row>
    <row r="1867" spans="1:4" ht="15" customHeight="1" x14ac:dyDescent="0.25">
      <c r="A1867" s="2" t="str">
        <f>"08600000860"</f>
        <v>08600000860</v>
      </c>
      <c r="B1867" s="2" t="s">
        <v>1870</v>
      </c>
      <c r="C1867" s="2">
        <v>5300.51</v>
      </c>
      <c r="D1867" s="2" t="s">
        <v>5</v>
      </c>
    </row>
    <row r="1868" spans="1:4" ht="15" customHeight="1" x14ac:dyDescent="0.25">
      <c r="A1868" s="2" t="str">
        <f>"08600000865"</f>
        <v>08600000865</v>
      </c>
      <c r="B1868" s="2" t="s">
        <v>1871</v>
      </c>
      <c r="C1868" s="2">
        <v>7571.91</v>
      </c>
      <c r="D1868" s="2" t="s">
        <v>5</v>
      </c>
    </row>
    <row r="1869" spans="1:4" ht="15" customHeight="1" x14ac:dyDescent="0.25">
      <c r="A1869" s="2" t="str">
        <f>"08600000870"</f>
        <v>08600000870</v>
      </c>
      <c r="B1869" s="2" t="s">
        <v>1872</v>
      </c>
      <c r="C1869" s="2">
        <v>11018.84</v>
      </c>
      <c r="D1869" s="2" t="s">
        <v>5</v>
      </c>
    </row>
    <row r="1870" spans="1:4" ht="15" customHeight="1" x14ac:dyDescent="0.25">
      <c r="A1870" s="2" t="str">
        <f>"08600000875"</f>
        <v>08600000875</v>
      </c>
      <c r="B1870" s="2" t="s">
        <v>1873</v>
      </c>
      <c r="C1870" s="2">
        <v>24610.2</v>
      </c>
      <c r="D1870" s="2" t="s">
        <v>5</v>
      </c>
    </row>
    <row r="1871" spans="1:4" ht="15" customHeight="1" x14ac:dyDescent="0.25">
      <c r="A1871" s="2" t="str">
        <f>"08600000880"</f>
        <v>08600000880</v>
      </c>
      <c r="B1871" s="2" t="s">
        <v>1874</v>
      </c>
      <c r="C1871" s="2">
        <v>37860.92</v>
      </c>
      <c r="D1871" s="2" t="s">
        <v>5</v>
      </c>
    </row>
    <row r="1872" spans="1:4" ht="15" customHeight="1" x14ac:dyDescent="0.25">
      <c r="A1872" s="2" t="str">
        <f>"08600000885"</f>
        <v>08600000885</v>
      </c>
      <c r="B1872" s="2" t="s">
        <v>1875</v>
      </c>
      <c r="C1872" s="2">
        <v>61522.34</v>
      </c>
      <c r="D1872" s="2" t="s">
        <v>5</v>
      </c>
    </row>
    <row r="1873" spans="1:4" ht="15" customHeight="1" x14ac:dyDescent="0.25">
      <c r="A1873" s="2" t="str">
        <f>"08600000850"</f>
        <v>08600000850</v>
      </c>
      <c r="B1873" s="2" t="s">
        <v>1876</v>
      </c>
      <c r="C1873" s="2">
        <v>13629.57</v>
      </c>
      <c r="D1873" s="2" t="s">
        <v>5</v>
      </c>
    </row>
    <row r="1874" spans="1:4" ht="15" customHeight="1" x14ac:dyDescent="0.25">
      <c r="A1874" s="2" t="str">
        <f>"08600000855"</f>
        <v>08600000855</v>
      </c>
      <c r="B1874" s="2" t="s">
        <v>1877</v>
      </c>
      <c r="C1874" s="2">
        <v>15144.57</v>
      </c>
      <c r="D1874" s="2" t="s">
        <v>5</v>
      </c>
    </row>
    <row r="1875" spans="1:4" ht="15" customHeight="1" x14ac:dyDescent="0.25">
      <c r="A1875" s="2" t="str">
        <f>"08030000500"</f>
        <v>08030000500</v>
      </c>
      <c r="B1875" s="2" t="s">
        <v>1878</v>
      </c>
      <c r="C1875" s="2">
        <v>8156.31</v>
      </c>
      <c r="D1875" s="2" t="s">
        <v>5</v>
      </c>
    </row>
    <row r="1876" spans="1:4" ht="15" customHeight="1" x14ac:dyDescent="0.25">
      <c r="A1876" s="2" t="str">
        <f>"08030000505"</f>
        <v>08030000505</v>
      </c>
      <c r="B1876" s="2" t="s">
        <v>1879</v>
      </c>
      <c r="C1876" s="2">
        <v>10889.49</v>
      </c>
      <c r="D1876" s="2" t="s">
        <v>5</v>
      </c>
    </row>
    <row r="1877" spans="1:4" ht="15" customHeight="1" x14ac:dyDescent="0.25">
      <c r="A1877" s="2" t="str">
        <f>"08030000510"</f>
        <v>08030000510</v>
      </c>
      <c r="B1877" s="2" t="s">
        <v>1880</v>
      </c>
      <c r="C1877" s="2">
        <v>16175.55</v>
      </c>
      <c r="D1877" s="2" t="s">
        <v>5</v>
      </c>
    </row>
    <row r="1878" spans="1:4" ht="15" customHeight="1" x14ac:dyDescent="0.25">
      <c r="A1878" s="2" t="str">
        <f>"08030000515"</f>
        <v>08030000515</v>
      </c>
      <c r="B1878" s="2" t="s">
        <v>1881</v>
      </c>
      <c r="C1878" s="2">
        <v>32227.73</v>
      </c>
      <c r="D1878" s="2" t="s">
        <v>5</v>
      </c>
    </row>
    <row r="1879" spans="1:4" ht="15" customHeight="1" x14ac:dyDescent="0.25">
      <c r="A1879" s="2" t="str">
        <f>"09008000055"</f>
        <v>09008000055</v>
      </c>
      <c r="B1879" s="2" t="s">
        <v>1882</v>
      </c>
      <c r="C1879" s="2">
        <v>57834</v>
      </c>
      <c r="D1879" s="2" t="s">
        <v>5</v>
      </c>
    </row>
    <row r="1880" spans="1:4" ht="15" customHeight="1" x14ac:dyDescent="0.25">
      <c r="A1880" s="2" t="str">
        <f>"09008000050"</f>
        <v>09008000050</v>
      </c>
      <c r="B1880" s="2" t="s">
        <v>1883</v>
      </c>
      <c r="C1880" s="2">
        <v>48762</v>
      </c>
      <c r="D1880" s="2" t="s">
        <v>5</v>
      </c>
    </row>
    <row r="1881" spans="1:4" ht="15" customHeight="1" x14ac:dyDescent="0.25">
      <c r="A1881" s="2" t="str">
        <f>"09008000060"</f>
        <v>09008000060</v>
      </c>
      <c r="B1881" s="2" t="s">
        <v>1884</v>
      </c>
      <c r="C1881" s="2">
        <v>57834</v>
      </c>
      <c r="D1881" s="2" t="s">
        <v>5</v>
      </c>
    </row>
    <row r="1882" spans="1:4" ht="15" customHeight="1" x14ac:dyDescent="0.25">
      <c r="A1882" s="2" t="str">
        <f>"09008000045"</f>
        <v>09008000045</v>
      </c>
      <c r="B1882" s="2" t="s">
        <v>1885</v>
      </c>
      <c r="C1882" s="2">
        <v>41296.879999999997</v>
      </c>
      <c r="D1882" s="2" t="s">
        <v>5</v>
      </c>
    </row>
    <row r="1883" spans="1:4" ht="15" customHeight="1" x14ac:dyDescent="0.25">
      <c r="A1883" s="2" t="str">
        <f>"09008000046"</f>
        <v>09008000046</v>
      </c>
      <c r="B1883" s="2" t="s">
        <v>1886</v>
      </c>
      <c r="C1883" s="2">
        <v>66906</v>
      </c>
      <c r="D1883" s="2" t="s">
        <v>5</v>
      </c>
    </row>
    <row r="1884" spans="1:4" ht="15" customHeight="1" x14ac:dyDescent="0.25">
      <c r="A1884" s="2" t="str">
        <f>"02015000040"</f>
        <v>02015000040</v>
      </c>
      <c r="B1884" s="2" t="s">
        <v>1887</v>
      </c>
      <c r="C1884" s="2">
        <v>568.08000000000004</v>
      </c>
      <c r="D1884" s="2" t="s">
        <v>5</v>
      </c>
    </row>
    <row r="1885" spans="1:4" ht="15" customHeight="1" x14ac:dyDescent="0.25">
      <c r="A1885" s="2" t="str">
        <f>"02015000010"</f>
        <v>02015000010</v>
      </c>
      <c r="B1885" s="2" t="s">
        <v>1888</v>
      </c>
      <c r="C1885" s="2">
        <v>455.55</v>
      </c>
      <c r="D1885" s="2" t="s">
        <v>5</v>
      </c>
    </row>
    <row r="1886" spans="1:4" ht="15" customHeight="1" x14ac:dyDescent="0.25">
      <c r="A1886" s="2" t="str">
        <f>"02015000020"</f>
        <v>02015000020</v>
      </c>
      <c r="B1886" s="2" t="s">
        <v>1889</v>
      </c>
      <c r="C1886" s="2">
        <v>457.71</v>
      </c>
      <c r="D1886" s="2" t="s">
        <v>5</v>
      </c>
    </row>
    <row r="1887" spans="1:4" ht="15" customHeight="1" x14ac:dyDescent="0.25">
      <c r="A1887" s="2" t="str">
        <f>"02015000030"</f>
        <v>02015000030</v>
      </c>
      <c r="B1887" s="2" t="s">
        <v>1890</v>
      </c>
      <c r="C1887" s="2">
        <v>493.52</v>
      </c>
      <c r="D1887" s="2" t="s">
        <v>5</v>
      </c>
    </row>
    <row r="1888" spans="1:4" ht="15" customHeight="1" x14ac:dyDescent="0.25">
      <c r="A1888" s="2" t="str">
        <f>"01003000800"</f>
        <v>01003000800</v>
      </c>
      <c r="B1888" s="2" t="s">
        <v>1891</v>
      </c>
      <c r="C1888" s="2">
        <v>0.48</v>
      </c>
      <c r="D1888" s="2" t="s">
        <v>107</v>
      </c>
    </row>
    <row r="1889" spans="1:4" ht="15" customHeight="1" x14ac:dyDescent="0.25">
      <c r="A1889" s="2" t="str">
        <f>"01003000805"</f>
        <v>01003000805</v>
      </c>
      <c r="B1889" s="2" t="s">
        <v>1892</v>
      </c>
      <c r="C1889" s="2">
        <v>0.53</v>
      </c>
      <c r="D1889" s="2" t="s">
        <v>107</v>
      </c>
    </row>
    <row r="1890" spans="1:4" ht="15" customHeight="1" x14ac:dyDescent="0.25">
      <c r="A1890" s="2" t="str">
        <f>"01444000026"</f>
        <v>01444000026</v>
      </c>
      <c r="B1890" s="2" t="s">
        <v>1893</v>
      </c>
      <c r="C1890" s="2">
        <v>2.4500000000000002</v>
      </c>
      <c r="D1890" s="2" t="s">
        <v>107</v>
      </c>
    </row>
    <row r="1891" spans="1:4" ht="15" customHeight="1" x14ac:dyDescent="0.25">
      <c r="A1891" s="2" t="str">
        <f>"01444000025"</f>
        <v>01444000025</v>
      </c>
      <c r="B1891" s="2" t="s">
        <v>1894</v>
      </c>
      <c r="C1891" s="2">
        <v>8.9</v>
      </c>
      <c r="D1891" s="2" t="s">
        <v>107</v>
      </c>
    </row>
    <row r="1892" spans="1:4" ht="15" customHeight="1" x14ac:dyDescent="0.25">
      <c r="A1892" s="2" t="str">
        <f>"01025100100"</f>
        <v>01025100100</v>
      </c>
      <c r="B1892" s="2" t="s">
        <v>1895</v>
      </c>
      <c r="C1892" s="2">
        <v>3310.25</v>
      </c>
      <c r="D1892" s="2" t="s">
        <v>5</v>
      </c>
    </row>
    <row r="1893" spans="1:4" ht="15" customHeight="1" x14ac:dyDescent="0.25">
      <c r="A1893" s="2" t="str">
        <f>"03050000192"</f>
        <v>03050000192</v>
      </c>
      <c r="B1893" s="2" t="s">
        <v>1896</v>
      </c>
      <c r="C1893" s="2">
        <v>662.09</v>
      </c>
      <c r="D1893" s="2" t="s">
        <v>5</v>
      </c>
    </row>
    <row r="1894" spans="1:4" ht="15" customHeight="1" x14ac:dyDescent="0.25">
      <c r="A1894" s="2" t="str">
        <f>"03050000193"</f>
        <v>03050000193</v>
      </c>
      <c r="B1894" s="2" t="s">
        <v>1897</v>
      </c>
      <c r="C1894" s="2">
        <v>662.09</v>
      </c>
      <c r="D1894" s="2" t="s">
        <v>5</v>
      </c>
    </row>
    <row r="1895" spans="1:4" ht="15" customHeight="1" x14ac:dyDescent="0.25">
      <c r="A1895" s="2" t="str">
        <f>"01031100035"</f>
        <v>01031100035</v>
      </c>
      <c r="B1895" s="2" t="s">
        <v>1898</v>
      </c>
      <c r="C1895" s="2">
        <v>16300.07</v>
      </c>
      <c r="D1895" s="2" t="s">
        <v>5</v>
      </c>
    </row>
    <row r="1896" spans="1:4" ht="15" customHeight="1" x14ac:dyDescent="0.25">
      <c r="A1896" s="2" t="str">
        <f>"01031100040"</f>
        <v>01031100040</v>
      </c>
      <c r="B1896" s="2" t="s">
        <v>1899</v>
      </c>
      <c r="C1896" s="2">
        <v>32600.13</v>
      </c>
      <c r="D1896" s="2" t="s">
        <v>5</v>
      </c>
    </row>
    <row r="1897" spans="1:4" ht="15" customHeight="1" x14ac:dyDescent="0.25">
      <c r="A1897" s="2" t="str">
        <f>"01444000065"</f>
        <v>01444000065</v>
      </c>
      <c r="B1897" s="2" t="s">
        <v>1900</v>
      </c>
      <c r="C1897" s="2">
        <v>3.57</v>
      </c>
      <c r="D1897" s="2" t="s">
        <v>107</v>
      </c>
    </row>
    <row r="1898" spans="1:4" ht="15" customHeight="1" x14ac:dyDescent="0.25">
      <c r="A1898" s="2" t="str">
        <f>"01444000070"</f>
        <v>01444000070</v>
      </c>
      <c r="B1898" s="2" t="s">
        <v>1901</v>
      </c>
      <c r="C1898" s="2">
        <v>3.57</v>
      </c>
      <c r="D1898" s="2" t="s">
        <v>107</v>
      </c>
    </row>
    <row r="1899" spans="1:4" ht="15" customHeight="1" x14ac:dyDescent="0.25">
      <c r="A1899" s="2" t="str">
        <f>"01444000022"</f>
        <v>01444000022</v>
      </c>
      <c r="B1899" s="2" t="s">
        <v>1902</v>
      </c>
      <c r="C1899" s="2">
        <v>6.3</v>
      </c>
      <c r="D1899" s="2" t="s">
        <v>107</v>
      </c>
    </row>
    <row r="1900" spans="1:4" ht="15" customHeight="1" x14ac:dyDescent="0.25">
      <c r="A1900" s="2" t="str">
        <f>"01444000020"</f>
        <v>01444000020</v>
      </c>
      <c r="B1900" s="2" t="s">
        <v>1903</v>
      </c>
      <c r="C1900" s="2">
        <v>4.05</v>
      </c>
      <c r="D1900" s="2" t="s">
        <v>107</v>
      </c>
    </row>
    <row r="1901" spans="1:4" ht="15" customHeight="1" x14ac:dyDescent="0.25">
      <c r="A1901" s="2" t="str">
        <f>"01003000044"</f>
        <v>01003000044</v>
      </c>
      <c r="B1901" s="2" t="s">
        <v>1904</v>
      </c>
      <c r="C1901" s="2">
        <v>3.62</v>
      </c>
      <c r="D1901" s="2" t="s">
        <v>107</v>
      </c>
    </row>
    <row r="1902" spans="1:4" ht="15" customHeight="1" x14ac:dyDescent="0.25">
      <c r="A1902" s="2" t="str">
        <f>"01444000055"</f>
        <v>01444000055</v>
      </c>
      <c r="B1902" s="2" t="s">
        <v>1905</v>
      </c>
      <c r="C1902" s="2">
        <v>5.4</v>
      </c>
      <c r="D1902" s="2" t="s">
        <v>107</v>
      </c>
    </row>
    <row r="1903" spans="1:4" ht="15" customHeight="1" x14ac:dyDescent="0.25">
      <c r="A1903" s="2" t="str">
        <f>"01444000060"</f>
        <v>01444000060</v>
      </c>
      <c r="B1903" s="2" t="s">
        <v>1906</v>
      </c>
      <c r="C1903" s="2">
        <v>6.3</v>
      </c>
      <c r="D1903" s="2" t="s">
        <v>107</v>
      </c>
    </row>
    <row r="1904" spans="1:4" ht="15" customHeight="1" x14ac:dyDescent="0.25">
      <c r="A1904" s="2" t="str">
        <f>"01003000500"</f>
        <v>01003000500</v>
      </c>
      <c r="B1904" s="2" t="s">
        <v>1907</v>
      </c>
      <c r="C1904" s="2">
        <v>13.47</v>
      </c>
      <c r="D1904" s="2" t="s">
        <v>107</v>
      </c>
    </row>
    <row r="1905" spans="1:4" ht="15" customHeight="1" x14ac:dyDescent="0.25">
      <c r="A1905" s="2" t="str">
        <f>"01003000100"</f>
        <v>01003000100</v>
      </c>
      <c r="B1905" s="2" t="s">
        <v>1908</v>
      </c>
      <c r="C1905" s="2">
        <v>12</v>
      </c>
      <c r="D1905" s="2" t="s">
        <v>107</v>
      </c>
    </row>
    <row r="1906" spans="1:4" ht="15" customHeight="1" x14ac:dyDescent="0.25">
      <c r="A1906" s="2" t="str">
        <f>"01003000510"</f>
        <v>01003000510</v>
      </c>
      <c r="B1906" s="2" t="s">
        <v>1909</v>
      </c>
      <c r="C1906" s="2">
        <v>21.63</v>
      </c>
      <c r="D1906" s="2" t="s">
        <v>107</v>
      </c>
    </row>
    <row r="1907" spans="1:4" ht="15" customHeight="1" x14ac:dyDescent="0.25">
      <c r="A1907" s="2" t="str">
        <f>"01003000110"</f>
        <v>01003000110</v>
      </c>
      <c r="B1907" s="2" t="s">
        <v>1910</v>
      </c>
      <c r="C1907" s="2">
        <v>13.55</v>
      </c>
      <c r="D1907" s="2" t="s">
        <v>107</v>
      </c>
    </row>
    <row r="1908" spans="1:4" ht="15" customHeight="1" x14ac:dyDescent="0.25">
      <c r="A1908" s="2" t="str">
        <f>"01003000120"</f>
        <v>01003000120</v>
      </c>
      <c r="B1908" s="2" t="s">
        <v>1911</v>
      </c>
      <c r="C1908" s="2">
        <v>15.09</v>
      </c>
      <c r="D1908" s="2" t="s">
        <v>107</v>
      </c>
    </row>
    <row r="1909" spans="1:4" ht="15" customHeight="1" x14ac:dyDescent="0.25">
      <c r="A1909" s="2" t="str">
        <f>"01003000130"</f>
        <v>01003000130</v>
      </c>
      <c r="B1909" s="2" t="s">
        <v>1912</v>
      </c>
      <c r="C1909" s="2">
        <v>18</v>
      </c>
      <c r="D1909" s="2" t="s">
        <v>107</v>
      </c>
    </row>
    <row r="1910" spans="1:4" ht="15" customHeight="1" x14ac:dyDescent="0.25">
      <c r="A1910" s="2" t="str">
        <f>"01003000520"</f>
        <v>01003000520</v>
      </c>
      <c r="B1910" s="2" t="s">
        <v>1913</v>
      </c>
      <c r="C1910" s="2">
        <v>39.24</v>
      </c>
      <c r="D1910" s="2" t="s">
        <v>107</v>
      </c>
    </row>
    <row r="1911" spans="1:4" ht="15" customHeight="1" x14ac:dyDescent="0.25">
      <c r="A1911" s="2" t="str">
        <f>"01003000140"</f>
        <v>01003000140</v>
      </c>
      <c r="B1911" s="2" t="s">
        <v>1914</v>
      </c>
      <c r="C1911" s="2">
        <v>20.63</v>
      </c>
      <c r="D1911" s="2" t="s">
        <v>107</v>
      </c>
    </row>
    <row r="1912" spans="1:4" ht="15" customHeight="1" x14ac:dyDescent="0.25">
      <c r="A1912" s="2" t="str">
        <f>"01003000700"</f>
        <v>01003000700</v>
      </c>
      <c r="B1912" s="2" t="s">
        <v>1915</v>
      </c>
      <c r="C1912" s="2">
        <v>19.399999999999999</v>
      </c>
      <c r="D1912" s="2" t="s">
        <v>107</v>
      </c>
    </row>
    <row r="1913" spans="1:4" ht="15" customHeight="1" x14ac:dyDescent="0.25">
      <c r="A1913" s="2" t="str">
        <f>"01003000200"</f>
        <v>01003000200</v>
      </c>
      <c r="B1913" s="2" t="s">
        <v>1916</v>
      </c>
      <c r="C1913" s="2">
        <v>20.399999999999999</v>
      </c>
      <c r="D1913" s="2" t="s">
        <v>107</v>
      </c>
    </row>
    <row r="1914" spans="1:4" ht="15" customHeight="1" x14ac:dyDescent="0.25">
      <c r="A1914" s="2" t="str">
        <f>"01003000710"</f>
        <v>01003000710</v>
      </c>
      <c r="B1914" s="2" t="s">
        <v>1917</v>
      </c>
      <c r="C1914" s="2">
        <v>29.87</v>
      </c>
      <c r="D1914" s="2" t="s">
        <v>107</v>
      </c>
    </row>
    <row r="1915" spans="1:4" ht="15" customHeight="1" x14ac:dyDescent="0.25">
      <c r="A1915" s="2" t="str">
        <f>"01444000048"</f>
        <v>01444000048</v>
      </c>
      <c r="B1915" s="2" t="s">
        <v>1918</v>
      </c>
      <c r="C1915" s="2">
        <v>23.4</v>
      </c>
      <c r="D1915" s="2" t="s">
        <v>107</v>
      </c>
    </row>
    <row r="1916" spans="1:4" ht="15" customHeight="1" x14ac:dyDescent="0.25">
      <c r="A1916" s="2" t="str">
        <f>"01003000210"</f>
        <v>01003000210</v>
      </c>
      <c r="B1916" s="2" t="s">
        <v>1919</v>
      </c>
      <c r="C1916" s="2">
        <v>21.78</v>
      </c>
      <c r="D1916" s="2" t="s">
        <v>107</v>
      </c>
    </row>
    <row r="1917" spans="1:4" ht="15" customHeight="1" x14ac:dyDescent="0.25">
      <c r="A1917" s="2" t="str">
        <f>"01003000220"</f>
        <v>01003000220</v>
      </c>
      <c r="B1917" s="2" t="s">
        <v>1920</v>
      </c>
      <c r="C1917" s="2">
        <v>22.41</v>
      </c>
      <c r="D1917" s="2" t="s">
        <v>107</v>
      </c>
    </row>
    <row r="1918" spans="1:4" ht="15" customHeight="1" x14ac:dyDescent="0.25">
      <c r="A1918" s="2" t="str">
        <f>"01003000230"</f>
        <v>01003000230</v>
      </c>
      <c r="B1918" s="2" t="s">
        <v>1921</v>
      </c>
      <c r="C1918" s="2">
        <v>26.4</v>
      </c>
      <c r="D1918" s="2" t="s">
        <v>107</v>
      </c>
    </row>
    <row r="1919" spans="1:4" ht="15" customHeight="1" x14ac:dyDescent="0.25">
      <c r="A1919" s="2" t="str">
        <f>"01003000720"</f>
        <v>01003000720</v>
      </c>
      <c r="B1919" s="2" t="s">
        <v>1922</v>
      </c>
      <c r="C1919" s="2">
        <v>42.63</v>
      </c>
      <c r="D1919" s="2" t="s">
        <v>107</v>
      </c>
    </row>
    <row r="1920" spans="1:4" ht="15" customHeight="1" x14ac:dyDescent="0.25">
      <c r="A1920" s="2" t="str">
        <f>"01003000240"</f>
        <v>01003000240</v>
      </c>
      <c r="B1920" s="2" t="s">
        <v>1923</v>
      </c>
      <c r="C1920" s="2">
        <v>27.8</v>
      </c>
      <c r="D1920" s="2" t="s">
        <v>107</v>
      </c>
    </row>
    <row r="1921" spans="1:4" ht="15" customHeight="1" x14ac:dyDescent="0.25">
      <c r="A1921" s="2" t="str">
        <f>"01003000005"</f>
        <v>01003000005</v>
      </c>
      <c r="B1921" s="2" t="s">
        <v>1924</v>
      </c>
      <c r="C1921" s="2">
        <v>2710.4</v>
      </c>
      <c r="D1921" s="2" t="s">
        <v>5</v>
      </c>
    </row>
    <row r="1922" spans="1:4" ht="15" customHeight="1" x14ac:dyDescent="0.25">
      <c r="A1922" s="2" t="str">
        <f>"01003000010"</f>
        <v>01003000010</v>
      </c>
      <c r="B1922" s="2" t="s">
        <v>1925</v>
      </c>
      <c r="C1922" s="2">
        <v>2891.33</v>
      </c>
      <c r="D1922" s="2" t="s">
        <v>5</v>
      </c>
    </row>
    <row r="1923" spans="1:4" ht="15" customHeight="1" x14ac:dyDescent="0.25">
      <c r="A1923" s="2" t="str">
        <f>"01003000015"</f>
        <v>01003000015</v>
      </c>
      <c r="B1923" s="2" t="s">
        <v>1926</v>
      </c>
      <c r="C1923" s="2">
        <v>3044.12</v>
      </c>
      <c r="D1923" s="2" t="s">
        <v>5</v>
      </c>
    </row>
    <row r="1924" spans="1:4" ht="15" customHeight="1" x14ac:dyDescent="0.25">
      <c r="A1924" s="2" t="str">
        <f>"01003000020"</f>
        <v>01003000020</v>
      </c>
      <c r="B1924" s="2" t="s">
        <v>1927</v>
      </c>
      <c r="C1924" s="2">
        <v>3230.34</v>
      </c>
      <c r="D1924" s="2" t="s">
        <v>5</v>
      </c>
    </row>
    <row r="1925" spans="1:4" ht="15" customHeight="1" x14ac:dyDescent="0.25">
      <c r="A1925" s="2" t="str">
        <f>"01003000025"</f>
        <v>01003000025</v>
      </c>
      <c r="B1925" s="2" t="s">
        <v>1928</v>
      </c>
      <c r="C1925" s="2">
        <v>3854.85</v>
      </c>
      <c r="D1925" s="2" t="s">
        <v>5</v>
      </c>
    </row>
    <row r="1926" spans="1:4" ht="15" customHeight="1" x14ac:dyDescent="0.25">
      <c r="A1926" s="2" t="str">
        <f>"01003000030"</f>
        <v>01003000030</v>
      </c>
      <c r="B1926" s="2" t="s">
        <v>1929</v>
      </c>
      <c r="C1926" s="2">
        <v>4110.71</v>
      </c>
      <c r="D1926" s="2" t="s">
        <v>5</v>
      </c>
    </row>
    <row r="1927" spans="1:4" ht="15" customHeight="1" x14ac:dyDescent="0.25">
      <c r="A1927" s="2" t="str">
        <f>"01003000035"</f>
        <v>01003000035</v>
      </c>
      <c r="B1927" s="2" t="s">
        <v>1930</v>
      </c>
      <c r="C1927" s="2">
        <v>4439.25</v>
      </c>
      <c r="D1927" s="2" t="s">
        <v>5</v>
      </c>
    </row>
    <row r="1928" spans="1:4" ht="15" customHeight="1" x14ac:dyDescent="0.25">
      <c r="A1928" s="2" t="str">
        <f>"01003000040"</f>
        <v>01003000040</v>
      </c>
      <c r="B1928" s="2" t="s">
        <v>1931</v>
      </c>
      <c r="C1928" s="2">
        <v>5165.34</v>
      </c>
      <c r="D1928" s="2" t="s">
        <v>5</v>
      </c>
    </row>
    <row r="1929" spans="1:4" ht="15" customHeight="1" x14ac:dyDescent="0.25">
      <c r="A1929" s="2" t="str">
        <f>"01003000045"</f>
        <v>01003000045</v>
      </c>
      <c r="B1929" s="2" t="s">
        <v>1932</v>
      </c>
      <c r="C1929" s="2">
        <v>4013.49</v>
      </c>
      <c r="D1929" s="2" t="s">
        <v>5</v>
      </c>
    </row>
    <row r="1930" spans="1:4" ht="15" customHeight="1" x14ac:dyDescent="0.25">
      <c r="A1930" s="2" t="str">
        <f>"01003000050"</f>
        <v>01003000050</v>
      </c>
      <c r="B1930" s="2" t="s">
        <v>1933</v>
      </c>
      <c r="C1930" s="2">
        <v>4013.49</v>
      </c>
      <c r="D1930" s="2" t="s">
        <v>5</v>
      </c>
    </row>
    <row r="1931" spans="1:4" ht="15" customHeight="1" x14ac:dyDescent="0.25">
      <c r="A1931" s="2" t="str">
        <f>"01444000109"</f>
        <v>01444000109</v>
      </c>
      <c r="B1931" s="2" t="s">
        <v>1934</v>
      </c>
      <c r="C1931" s="2">
        <v>11278.5</v>
      </c>
      <c r="D1931" s="2" t="s">
        <v>5</v>
      </c>
    </row>
    <row r="1932" spans="1:4" ht="15" customHeight="1" x14ac:dyDescent="0.25">
      <c r="A1932" s="2" t="str">
        <f>"01444000110"</f>
        <v>01444000110</v>
      </c>
      <c r="B1932" s="2" t="s">
        <v>1935</v>
      </c>
      <c r="C1932" s="2">
        <v>12931.65</v>
      </c>
      <c r="D1932" s="2" t="s">
        <v>5</v>
      </c>
    </row>
    <row r="1933" spans="1:4" ht="15" customHeight="1" x14ac:dyDescent="0.25">
      <c r="A1933" s="2" t="str">
        <f>"01003000900"</f>
        <v>01003000900</v>
      </c>
      <c r="B1933" s="2" t="s">
        <v>1936</v>
      </c>
      <c r="C1933" s="2">
        <v>14.42</v>
      </c>
      <c r="D1933" s="2" t="s">
        <v>107</v>
      </c>
    </row>
    <row r="1934" spans="1:4" ht="15" customHeight="1" x14ac:dyDescent="0.25">
      <c r="A1934" s="2" t="str">
        <f>"01003000910"</f>
        <v>01003000910</v>
      </c>
      <c r="B1934" s="2" t="s">
        <v>1937</v>
      </c>
      <c r="C1934" s="2">
        <v>16.14</v>
      </c>
      <c r="D1934" s="2" t="s">
        <v>107</v>
      </c>
    </row>
    <row r="1935" spans="1:4" ht="15" customHeight="1" x14ac:dyDescent="0.25">
      <c r="A1935" s="2" t="str">
        <f>"01003000750"</f>
        <v>01003000750</v>
      </c>
      <c r="B1935" s="2" t="s">
        <v>1938</v>
      </c>
      <c r="C1935" s="2">
        <v>30.23</v>
      </c>
      <c r="D1935" s="2" t="s">
        <v>107</v>
      </c>
    </row>
    <row r="1936" spans="1:4" ht="15" customHeight="1" x14ac:dyDescent="0.25">
      <c r="A1936" s="2" t="str">
        <f>"01444000045"</f>
        <v>01444000045</v>
      </c>
      <c r="B1936" s="2" t="s">
        <v>1939</v>
      </c>
      <c r="C1936" s="2">
        <v>21.6</v>
      </c>
      <c r="D1936" s="2" t="s">
        <v>107</v>
      </c>
    </row>
    <row r="1937" spans="1:4" ht="15" customHeight="1" x14ac:dyDescent="0.25">
      <c r="A1937" s="2" t="str">
        <f>"01040000080"</f>
        <v>01040000080</v>
      </c>
      <c r="B1937" s="2" t="s">
        <v>1940</v>
      </c>
      <c r="C1937" s="2">
        <v>10111.23</v>
      </c>
      <c r="D1937" s="2" t="s">
        <v>5</v>
      </c>
    </row>
    <row r="1938" spans="1:4" ht="15" customHeight="1" x14ac:dyDescent="0.25">
      <c r="A1938" s="2" t="str">
        <f>"01444000047"</f>
        <v>01444000047</v>
      </c>
      <c r="B1938" s="2" t="s">
        <v>1941</v>
      </c>
      <c r="C1938" s="2">
        <v>20.88</v>
      </c>
      <c r="D1938" s="2" t="s">
        <v>107</v>
      </c>
    </row>
    <row r="1939" spans="1:4" ht="15" customHeight="1" x14ac:dyDescent="0.25">
      <c r="A1939" s="2" t="str">
        <f>"01003000930"</f>
        <v>01003000930</v>
      </c>
      <c r="B1939" s="2" t="s">
        <v>1942</v>
      </c>
      <c r="C1939" s="2">
        <v>24.32</v>
      </c>
      <c r="D1939" s="2" t="s">
        <v>107</v>
      </c>
    </row>
    <row r="1940" spans="1:4" ht="15" customHeight="1" x14ac:dyDescent="0.25">
      <c r="A1940" s="2" t="str">
        <f>"01003000952"</f>
        <v>01003000952</v>
      </c>
      <c r="B1940" s="2" t="s">
        <v>1943</v>
      </c>
      <c r="C1940" s="2">
        <v>84.24</v>
      </c>
      <c r="D1940" s="2" t="s">
        <v>107</v>
      </c>
    </row>
    <row r="1941" spans="1:4" ht="15" customHeight="1" x14ac:dyDescent="0.25">
      <c r="A1941" s="2" t="str">
        <f>"01003000950"</f>
        <v>01003000950</v>
      </c>
      <c r="B1941" s="2" t="s">
        <v>1944</v>
      </c>
      <c r="C1941" s="2">
        <v>94.73</v>
      </c>
      <c r="D1941" s="2" t="s">
        <v>107</v>
      </c>
    </row>
    <row r="1942" spans="1:4" ht="15" customHeight="1" x14ac:dyDescent="0.25">
      <c r="A1942" s="2" t="str">
        <f>"01003000970"</f>
        <v>01003000970</v>
      </c>
      <c r="B1942" s="2" t="s">
        <v>1945</v>
      </c>
      <c r="C1942" s="2">
        <v>41.33</v>
      </c>
      <c r="D1942" s="2" t="s">
        <v>107</v>
      </c>
    </row>
    <row r="1943" spans="1:4" ht="15" customHeight="1" x14ac:dyDescent="0.25">
      <c r="A1943" s="2" t="str">
        <f>"01003000990"</f>
        <v>01003000990</v>
      </c>
      <c r="B1943" s="2" t="s">
        <v>1946</v>
      </c>
      <c r="C1943" s="2">
        <v>70.790000000000006</v>
      </c>
      <c r="D1943" s="2" t="s">
        <v>107</v>
      </c>
    </row>
    <row r="1944" spans="1:4" ht="15" customHeight="1" x14ac:dyDescent="0.25">
      <c r="A1944" s="2" t="str">
        <f>"01003000960"</f>
        <v>01003000960</v>
      </c>
      <c r="B1944" s="2" t="s">
        <v>1947</v>
      </c>
      <c r="C1944" s="2">
        <v>91.08</v>
      </c>
      <c r="D1944" s="2" t="s">
        <v>107</v>
      </c>
    </row>
    <row r="1945" spans="1:4" ht="15" customHeight="1" x14ac:dyDescent="0.25">
      <c r="A1945" s="2" t="str">
        <f>"01025000090"</f>
        <v>01025000090</v>
      </c>
      <c r="B1945" s="2" t="s">
        <v>1948</v>
      </c>
      <c r="C1945" s="2">
        <v>23480.66</v>
      </c>
      <c r="D1945" s="2" t="s">
        <v>5</v>
      </c>
    </row>
    <row r="1946" spans="1:4" ht="15" customHeight="1" x14ac:dyDescent="0.25">
      <c r="A1946" s="2" t="str">
        <f>"01025000100"</f>
        <v>01025000100</v>
      </c>
      <c r="B1946" s="2" t="s">
        <v>1949</v>
      </c>
      <c r="C1946" s="2">
        <v>23480.66</v>
      </c>
      <c r="D1946" s="2" t="s">
        <v>5</v>
      </c>
    </row>
    <row r="1947" spans="1:4" ht="15" customHeight="1" x14ac:dyDescent="0.25">
      <c r="A1947" s="2" t="str">
        <f>"01025000070"</f>
        <v>01025000070</v>
      </c>
      <c r="B1947" s="2" t="s">
        <v>1950</v>
      </c>
      <c r="C1947" s="2">
        <v>13547.48</v>
      </c>
      <c r="D1947" s="2" t="s">
        <v>5</v>
      </c>
    </row>
    <row r="1948" spans="1:4" ht="15" customHeight="1" x14ac:dyDescent="0.25">
      <c r="A1948" s="2" t="str">
        <f>"01025000080"</f>
        <v>01025000080</v>
      </c>
      <c r="B1948" s="2" t="s">
        <v>1951</v>
      </c>
      <c r="C1948" s="2">
        <v>13547.48</v>
      </c>
      <c r="D1948" s="2" t="s">
        <v>5</v>
      </c>
    </row>
    <row r="1949" spans="1:4" ht="15" customHeight="1" x14ac:dyDescent="0.25">
      <c r="A1949" s="2" t="str">
        <f>"01025000130"</f>
        <v>01025000130</v>
      </c>
      <c r="B1949" s="2" t="s">
        <v>1952</v>
      </c>
      <c r="C1949" s="2">
        <v>28502.43</v>
      </c>
      <c r="D1949" s="2" t="s">
        <v>5</v>
      </c>
    </row>
    <row r="1950" spans="1:4" ht="15" customHeight="1" x14ac:dyDescent="0.25">
      <c r="A1950" s="2" t="str">
        <f>"01025000133"</f>
        <v>01025000133</v>
      </c>
      <c r="B1950" s="2" t="s">
        <v>1953</v>
      </c>
      <c r="C1950" s="2">
        <v>80722.740000000005</v>
      </c>
      <c r="D1950" s="2" t="s">
        <v>5</v>
      </c>
    </row>
    <row r="1951" spans="1:4" ht="15" customHeight="1" x14ac:dyDescent="0.25">
      <c r="A1951" s="2" t="str">
        <f>"01025000132"</f>
        <v>01025000132</v>
      </c>
      <c r="B1951" s="2" t="s">
        <v>1954</v>
      </c>
      <c r="C1951" s="2">
        <v>47298.48</v>
      </c>
      <c r="D1951" s="2" t="s">
        <v>5</v>
      </c>
    </row>
    <row r="1952" spans="1:4" ht="15" customHeight="1" x14ac:dyDescent="0.25">
      <c r="A1952" s="2" t="str">
        <f>"01025000110"</f>
        <v>01025000110</v>
      </c>
      <c r="B1952" s="2" t="s">
        <v>1955</v>
      </c>
      <c r="C1952" s="2">
        <v>9550.67</v>
      </c>
      <c r="D1952" s="2" t="s">
        <v>5</v>
      </c>
    </row>
    <row r="1953" spans="1:4" ht="15" customHeight="1" x14ac:dyDescent="0.25">
      <c r="A1953" s="2" t="str">
        <f>"01025000134"</f>
        <v>01025000134</v>
      </c>
      <c r="B1953" s="2" t="s">
        <v>1956</v>
      </c>
      <c r="C1953" s="2">
        <v>134991.10999999999</v>
      </c>
      <c r="D1953" s="2" t="s">
        <v>5</v>
      </c>
    </row>
    <row r="1954" spans="1:4" ht="15" customHeight="1" x14ac:dyDescent="0.25">
      <c r="A1954" s="2" t="str">
        <f>"01025000120"</f>
        <v>01025000120</v>
      </c>
      <c r="B1954" s="2" t="s">
        <v>1957</v>
      </c>
      <c r="C1954" s="2">
        <v>12198.86</v>
      </c>
      <c r="D1954" s="2" t="s">
        <v>5</v>
      </c>
    </row>
    <row r="1955" spans="1:4" ht="15" customHeight="1" x14ac:dyDescent="0.25">
      <c r="A1955" s="2" t="str">
        <f>"01025000190"</f>
        <v>01025000190</v>
      </c>
      <c r="B1955" s="2" t="s">
        <v>1958</v>
      </c>
      <c r="C1955" s="2">
        <v>31896.03</v>
      </c>
      <c r="D1955" s="2" t="s">
        <v>5</v>
      </c>
    </row>
    <row r="1956" spans="1:4" ht="15" customHeight="1" x14ac:dyDescent="0.25">
      <c r="A1956" s="2" t="str">
        <f>"01025000170"</f>
        <v>01025000170</v>
      </c>
      <c r="B1956" s="2" t="s">
        <v>1959</v>
      </c>
      <c r="C1956" s="2">
        <v>11298.96</v>
      </c>
      <c r="D1956" s="2" t="s">
        <v>5</v>
      </c>
    </row>
    <row r="1957" spans="1:4" ht="15" customHeight="1" x14ac:dyDescent="0.25">
      <c r="A1957" s="2" t="str">
        <f>"01025000180"</f>
        <v>01025000180</v>
      </c>
      <c r="B1957" s="2" t="s">
        <v>1960</v>
      </c>
      <c r="C1957" s="2">
        <v>13486.17</v>
      </c>
      <c r="D1957" s="2" t="s">
        <v>5</v>
      </c>
    </row>
    <row r="1958" spans="1:4" ht="15" customHeight="1" x14ac:dyDescent="0.25">
      <c r="A1958" s="2" t="str">
        <f>"01025000160"</f>
        <v>01025000160</v>
      </c>
      <c r="B1958" s="2" t="s">
        <v>1961</v>
      </c>
      <c r="C1958" s="2">
        <v>31896.03</v>
      </c>
      <c r="D1958" s="2" t="s">
        <v>5</v>
      </c>
    </row>
    <row r="1959" spans="1:4" ht="15" customHeight="1" x14ac:dyDescent="0.25">
      <c r="A1959" s="2" t="str">
        <f>"01025000140"</f>
        <v>01025000140</v>
      </c>
      <c r="B1959" s="2" t="s">
        <v>1962</v>
      </c>
      <c r="C1959" s="2">
        <v>10390.49</v>
      </c>
      <c r="D1959" s="2" t="s">
        <v>5</v>
      </c>
    </row>
    <row r="1960" spans="1:4" ht="15" customHeight="1" x14ac:dyDescent="0.25">
      <c r="A1960" s="2" t="str">
        <f>"01025000150"</f>
        <v>01025000150</v>
      </c>
      <c r="B1960" s="2" t="s">
        <v>1963</v>
      </c>
      <c r="C1960" s="2">
        <v>12995.78</v>
      </c>
      <c r="D1960" s="2" t="s">
        <v>5</v>
      </c>
    </row>
    <row r="1961" spans="1:4" ht="15" customHeight="1" x14ac:dyDescent="0.25">
      <c r="A1961" s="2" t="str">
        <f>"01025000030"</f>
        <v>01025000030</v>
      </c>
      <c r="B1961" s="2" t="s">
        <v>1964</v>
      </c>
      <c r="C1961" s="2">
        <v>26423.09</v>
      </c>
      <c r="D1961" s="2" t="s">
        <v>5</v>
      </c>
    </row>
    <row r="1962" spans="1:4" ht="15" customHeight="1" x14ac:dyDescent="0.25">
      <c r="A1962" s="2" t="str">
        <f>"01025000050"</f>
        <v>01025000050</v>
      </c>
      <c r="B1962" s="2" t="s">
        <v>1965</v>
      </c>
      <c r="C1962" s="2">
        <v>82297.56</v>
      </c>
      <c r="D1962" s="2" t="s">
        <v>5</v>
      </c>
    </row>
    <row r="1963" spans="1:4" ht="15" customHeight="1" x14ac:dyDescent="0.25">
      <c r="A1963" s="2" t="str">
        <f>"01025000063"</f>
        <v>01025000063</v>
      </c>
      <c r="B1963" s="2" t="s">
        <v>1966</v>
      </c>
      <c r="C1963" s="2">
        <v>97109.759999999995</v>
      </c>
      <c r="D1963" s="2" t="s">
        <v>5</v>
      </c>
    </row>
    <row r="1964" spans="1:4" ht="15" customHeight="1" x14ac:dyDescent="0.25">
      <c r="A1964" s="2" t="str">
        <f>"01025000040"</f>
        <v>01025000040</v>
      </c>
      <c r="B1964" s="2" t="s">
        <v>1967</v>
      </c>
      <c r="C1964" s="2">
        <v>51571.14</v>
      </c>
      <c r="D1964" s="2" t="s">
        <v>5</v>
      </c>
    </row>
    <row r="1965" spans="1:4" ht="15" customHeight="1" x14ac:dyDescent="0.25">
      <c r="A1965" s="2" t="str">
        <f>"01025000062"</f>
        <v>01025000062</v>
      </c>
      <c r="B1965" s="2" t="s">
        <v>1968</v>
      </c>
      <c r="C1965" s="2">
        <v>80134.350000000006</v>
      </c>
      <c r="D1965" s="2" t="s">
        <v>5</v>
      </c>
    </row>
    <row r="1966" spans="1:4" ht="15" customHeight="1" x14ac:dyDescent="0.25">
      <c r="A1966" s="2" t="str">
        <f>"01025000022"</f>
        <v>01025000022</v>
      </c>
      <c r="B1966" s="2" t="s">
        <v>1969</v>
      </c>
      <c r="C1966" s="2">
        <v>11142.03</v>
      </c>
      <c r="D1966" s="2" t="s">
        <v>5</v>
      </c>
    </row>
    <row r="1967" spans="1:4" ht="15" customHeight="1" x14ac:dyDescent="0.25">
      <c r="A1967" s="2" t="str">
        <f>"01025000060"</f>
        <v>01025000060</v>
      </c>
      <c r="B1967" s="2" t="s">
        <v>1970</v>
      </c>
      <c r="C1967" s="2">
        <v>106464.78</v>
      </c>
      <c r="D1967" s="2" t="s">
        <v>5</v>
      </c>
    </row>
    <row r="1968" spans="1:4" ht="15" customHeight="1" x14ac:dyDescent="0.25">
      <c r="A1968" s="2" t="str">
        <f>"01025000065"</f>
        <v>01025000065</v>
      </c>
      <c r="B1968" s="2" t="s">
        <v>1971</v>
      </c>
      <c r="C1968" s="2">
        <v>117215.75</v>
      </c>
      <c r="D1968" s="2" t="s">
        <v>5</v>
      </c>
    </row>
    <row r="1969" spans="1:4" ht="15" customHeight="1" x14ac:dyDescent="0.25">
      <c r="A1969" s="2" t="str">
        <f>"01025000066"</f>
        <v>01025000066</v>
      </c>
      <c r="B1969" s="2" t="s">
        <v>1972</v>
      </c>
      <c r="C1969" s="2">
        <v>226696.16</v>
      </c>
      <c r="D1969" s="2" t="s">
        <v>5</v>
      </c>
    </row>
    <row r="1970" spans="1:4" ht="15" customHeight="1" x14ac:dyDescent="0.25">
      <c r="A1970" s="2" t="str">
        <f>"01025000067"</f>
        <v>01025000067</v>
      </c>
      <c r="B1970" s="2" t="s">
        <v>1973</v>
      </c>
      <c r="C1970" s="2">
        <v>354665.15</v>
      </c>
      <c r="D1970" s="2" t="s">
        <v>5</v>
      </c>
    </row>
    <row r="1971" spans="1:4" ht="15" customHeight="1" x14ac:dyDescent="0.25">
      <c r="A1971" s="2" t="str">
        <f>"01025000020"</f>
        <v>01025000020</v>
      </c>
      <c r="B1971" s="2" t="s">
        <v>1974</v>
      </c>
      <c r="C1971" s="2">
        <v>11671.68</v>
      </c>
      <c r="D1971" s="2" t="s">
        <v>5</v>
      </c>
    </row>
    <row r="1972" spans="1:4" ht="15" customHeight="1" x14ac:dyDescent="0.25">
      <c r="A1972" s="2" t="str">
        <f>"01025000068"</f>
        <v>01025000068</v>
      </c>
      <c r="B1972" s="2" t="s">
        <v>1975</v>
      </c>
      <c r="C1972" s="2">
        <v>630630.12</v>
      </c>
      <c r="D1972" s="2" t="s">
        <v>5</v>
      </c>
    </row>
    <row r="1973" spans="1:4" ht="15" customHeight="1" x14ac:dyDescent="0.25">
      <c r="A1973" s="2" t="str">
        <f>"01025000203"</f>
        <v>01025000203</v>
      </c>
      <c r="B1973" s="2" t="s">
        <v>1976</v>
      </c>
      <c r="C1973" s="2">
        <v>140150.09</v>
      </c>
      <c r="D1973" s="2" t="s">
        <v>5</v>
      </c>
    </row>
    <row r="1974" spans="1:4" ht="15" customHeight="1" x14ac:dyDescent="0.25">
      <c r="A1974" s="2" t="str">
        <f>"01025000202"</f>
        <v>01025000202</v>
      </c>
      <c r="B1974" s="2" t="s">
        <v>1977</v>
      </c>
      <c r="C1974" s="2">
        <v>97340.37</v>
      </c>
      <c r="D1974" s="2" t="s">
        <v>5</v>
      </c>
    </row>
    <row r="1975" spans="1:4" ht="15" customHeight="1" x14ac:dyDescent="0.25">
      <c r="A1975" s="2" t="str">
        <f>"01025000201"</f>
        <v>01025000201</v>
      </c>
      <c r="B1975" s="2" t="s">
        <v>1978</v>
      </c>
      <c r="C1975" s="2">
        <v>57665.45</v>
      </c>
      <c r="D1975" s="2" t="s">
        <v>5</v>
      </c>
    </row>
    <row r="1976" spans="1:4" ht="15" customHeight="1" x14ac:dyDescent="0.25">
      <c r="A1976" s="2" t="str">
        <f>"01025000204"</f>
        <v>01025000204</v>
      </c>
      <c r="B1976" s="2" t="s">
        <v>1979</v>
      </c>
      <c r="C1976" s="2">
        <v>216354.65</v>
      </c>
      <c r="D1976" s="2" t="s">
        <v>5</v>
      </c>
    </row>
    <row r="1977" spans="1:4" ht="15" customHeight="1" x14ac:dyDescent="0.25">
      <c r="A1977" s="2" t="str">
        <f>"01025000205"</f>
        <v>01025000205</v>
      </c>
      <c r="B1977" s="2" t="s">
        <v>1980</v>
      </c>
      <c r="C1977" s="2">
        <v>396810.42</v>
      </c>
      <c r="D1977" s="2" t="s">
        <v>5</v>
      </c>
    </row>
    <row r="1978" spans="1:4" ht="15" customHeight="1" x14ac:dyDescent="0.25">
      <c r="A1978" s="2" t="str">
        <f>"01025000206"</f>
        <v>01025000206</v>
      </c>
      <c r="B1978" s="2" t="s">
        <v>1981</v>
      </c>
      <c r="C1978" s="2">
        <v>562575.78</v>
      </c>
      <c r="D1978" s="2" t="s">
        <v>5</v>
      </c>
    </row>
    <row r="1979" spans="1:4" ht="15" customHeight="1" x14ac:dyDescent="0.25">
      <c r="A1979" s="2" t="str">
        <f>"01025000200"</f>
        <v>01025000200</v>
      </c>
      <c r="B1979" s="2" t="s">
        <v>1982</v>
      </c>
      <c r="C1979" s="2">
        <v>32179.68</v>
      </c>
      <c r="D1979" s="2" t="s">
        <v>5</v>
      </c>
    </row>
    <row r="1980" spans="1:4" ht="15" customHeight="1" x14ac:dyDescent="0.25">
      <c r="A1980" s="2" t="str">
        <f>"01025000207"</f>
        <v>01025000207</v>
      </c>
      <c r="B1980" s="2" t="s">
        <v>1983</v>
      </c>
      <c r="C1980" s="2">
        <v>1141145.58</v>
      </c>
      <c r="D1980" s="2" t="s">
        <v>5</v>
      </c>
    </row>
    <row r="1981" spans="1:4" ht="15" customHeight="1" x14ac:dyDescent="0.25">
      <c r="A1981" s="2" t="str">
        <f>"01025000019"</f>
        <v>01025000019</v>
      </c>
      <c r="B1981" s="2" t="s">
        <v>1984</v>
      </c>
      <c r="C1981" s="2">
        <v>46723.47</v>
      </c>
      <c r="D1981" s="2" t="s">
        <v>5</v>
      </c>
    </row>
    <row r="1982" spans="1:4" ht="15" customHeight="1" x14ac:dyDescent="0.25">
      <c r="A1982" s="2" t="str">
        <f>"01025000017"</f>
        <v>01025000017</v>
      </c>
      <c r="B1982" s="2" t="s">
        <v>1985</v>
      </c>
      <c r="C1982" s="2">
        <v>118718.81</v>
      </c>
      <c r="D1982" s="2" t="s">
        <v>5</v>
      </c>
    </row>
    <row r="1983" spans="1:4" ht="15" customHeight="1" x14ac:dyDescent="0.25">
      <c r="A1983" s="2" t="str">
        <f>"01025000016"</f>
        <v>01025000016</v>
      </c>
      <c r="B1983" s="2" t="s">
        <v>1986</v>
      </c>
      <c r="C1983" s="2">
        <v>86362.41</v>
      </c>
      <c r="D1983" s="2" t="s">
        <v>5</v>
      </c>
    </row>
    <row r="1984" spans="1:4" ht="15" customHeight="1" x14ac:dyDescent="0.25">
      <c r="A1984" s="2" t="str">
        <f>"01025000012"</f>
        <v>01025000012</v>
      </c>
      <c r="B1984" s="2" t="s">
        <v>1987</v>
      </c>
      <c r="C1984" s="2">
        <v>180633.84</v>
      </c>
      <c r="D1984" s="2" t="s">
        <v>5</v>
      </c>
    </row>
    <row r="1985" spans="1:4" ht="15" customHeight="1" x14ac:dyDescent="0.25">
      <c r="A1985" s="2" t="str">
        <f>"01025000013"</f>
        <v>01025000013</v>
      </c>
      <c r="B1985" s="2" t="s">
        <v>1988</v>
      </c>
      <c r="C1985" s="2">
        <v>431561.31</v>
      </c>
      <c r="D1985" s="2" t="s">
        <v>5</v>
      </c>
    </row>
    <row r="1986" spans="1:4" ht="15" customHeight="1" x14ac:dyDescent="0.25">
      <c r="A1986" s="2" t="str">
        <f>"01025000014"</f>
        <v>01025000014</v>
      </c>
      <c r="B1986" s="2" t="s">
        <v>1989</v>
      </c>
      <c r="C1986" s="2">
        <v>627905.36</v>
      </c>
      <c r="D1986" s="2" t="s">
        <v>5</v>
      </c>
    </row>
    <row r="1987" spans="1:4" ht="15" customHeight="1" x14ac:dyDescent="0.25">
      <c r="A1987" s="2" t="str">
        <f>"01025000018"</f>
        <v>01025000018</v>
      </c>
      <c r="B1987" s="2" t="s">
        <v>1990</v>
      </c>
      <c r="C1987" s="2">
        <v>23029.68</v>
      </c>
      <c r="D1987" s="2" t="s">
        <v>5</v>
      </c>
    </row>
    <row r="1988" spans="1:4" ht="15" customHeight="1" x14ac:dyDescent="0.25">
      <c r="A1988" s="2" t="str">
        <f>"01025000015"</f>
        <v>01025000015</v>
      </c>
      <c r="B1988" s="2" t="s">
        <v>1991</v>
      </c>
      <c r="C1988" s="2">
        <v>1282433.1299999999</v>
      </c>
      <c r="D1988" s="2" t="s">
        <v>5</v>
      </c>
    </row>
    <row r="1989" spans="1:4" ht="15" customHeight="1" x14ac:dyDescent="0.25">
      <c r="A1989" s="2" t="str">
        <f>"01444000030"</f>
        <v>01444000030</v>
      </c>
      <c r="B1989" s="2" t="s">
        <v>1992</v>
      </c>
      <c r="C1989" s="2">
        <v>5.76</v>
      </c>
      <c r="D1989" s="2" t="s">
        <v>107</v>
      </c>
    </row>
    <row r="1990" spans="1:4" ht="15" customHeight="1" x14ac:dyDescent="0.25">
      <c r="A1990" s="2" t="str">
        <f>"01015000035"</f>
        <v>01015000035</v>
      </c>
      <c r="B1990" s="2" t="s">
        <v>1993</v>
      </c>
      <c r="C1990" s="2">
        <v>2145.5300000000002</v>
      </c>
      <c r="D1990" s="2" t="s">
        <v>5</v>
      </c>
    </row>
    <row r="1991" spans="1:4" ht="15" customHeight="1" x14ac:dyDescent="0.25">
      <c r="A1991" s="2" t="str">
        <f>"01025000083"</f>
        <v>01025000083</v>
      </c>
      <c r="B1991" s="2" t="s">
        <v>1994</v>
      </c>
      <c r="C1991" s="2">
        <v>1433.04</v>
      </c>
      <c r="D1991" s="2" t="s">
        <v>5</v>
      </c>
    </row>
    <row r="1992" spans="1:4" ht="15" customHeight="1" x14ac:dyDescent="0.25">
      <c r="A1992" s="2" t="str">
        <f>"01025000082"</f>
        <v>01025000082</v>
      </c>
      <c r="B1992" s="2" t="s">
        <v>1995</v>
      </c>
      <c r="C1992" s="2">
        <v>1433.04</v>
      </c>
      <c r="D1992" s="2" t="s">
        <v>5</v>
      </c>
    </row>
    <row r="1993" spans="1:4" ht="15" customHeight="1" x14ac:dyDescent="0.25">
      <c r="A1993" s="2" t="str">
        <f>"01003000995"</f>
        <v>01003000995</v>
      </c>
      <c r="B1993" s="2" t="s">
        <v>1996</v>
      </c>
      <c r="C1993" s="2">
        <v>15.03</v>
      </c>
      <c r="D1993" s="2" t="s">
        <v>107</v>
      </c>
    </row>
    <row r="1994" spans="1:4" ht="15" customHeight="1" x14ac:dyDescent="0.25">
      <c r="A1994" s="2" t="str">
        <f>"01011001010"</f>
        <v>01011001010</v>
      </c>
      <c r="B1994" s="2" t="s">
        <v>1997</v>
      </c>
      <c r="C1994" s="2">
        <v>635.39</v>
      </c>
      <c r="D1994" s="2" t="s">
        <v>5</v>
      </c>
    </row>
    <row r="1995" spans="1:4" ht="15" customHeight="1" x14ac:dyDescent="0.25">
      <c r="A1995" s="2" t="str">
        <f>"01011001015"</f>
        <v>01011001015</v>
      </c>
      <c r="B1995" s="2" t="s">
        <v>1998</v>
      </c>
      <c r="C1995" s="2">
        <v>499.02</v>
      </c>
      <c r="D1995" s="2" t="s">
        <v>5</v>
      </c>
    </row>
    <row r="1996" spans="1:4" ht="15" customHeight="1" x14ac:dyDescent="0.25">
      <c r="A1996" s="2" t="str">
        <f>"01011001005"</f>
        <v>01011001005</v>
      </c>
      <c r="B1996" s="2" t="s">
        <v>1999</v>
      </c>
      <c r="C1996" s="2">
        <v>411.56</v>
      </c>
      <c r="D1996" s="2" t="s">
        <v>5</v>
      </c>
    </row>
    <row r="1997" spans="1:4" ht="15" customHeight="1" x14ac:dyDescent="0.25">
      <c r="A1997" s="2" t="str">
        <f>"01011001020"</f>
        <v>01011001020</v>
      </c>
      <c r="B1997" s="2" t="s">
        <v>2000</v>
      </c>
      <c r="C1997" s="2">
        <v>430.56</v>
      </c>
      <c r="D1997" s="2" t="s">
        <v>5</v>
      </c>
    </row>
    <row r="1998" spans="1:4" ht="15" customHeight="1" x14ac:dyDescent="0.25">
      <c r="A1998" s="2" t="str">
        <f>"01040000502"</f>
        <v>01040000502</v>
      </c>
      <c r="B1998" s="2" t="s">
        <v>2001</v>
      </c>
      <c r="C1998" s="2">
        <v>2071.35</v>
      </c>
      <c r="D1998" s="2" t="s">
        <v>5</v>
      </c>
    </row>
    <row r="1999" spans="1:4" ht="15" customHeight="1" x14ac:dyDescent="0.25">
      <c r="A1999" s="2" t="str">
        <f>"01444000054"</f>
        <v>01444000054</v>
      </c>
      <c r="B1999" s="2" t="s">
        <v>2002</v>
      </c>
      <c r="C1999" s="2">
        <v>6.48</v>
      </c>
      <c r="D1999" s="2" t="s">
        <v>107</v>
      </c>
    </row>
    <row r="2000" spans="1:4" ht="15" customHeight="1" x14ac:dyDescent="0.25">
      <c r="A2000" s="2" t="str">
        <f>"01444000058"</f>
        <v>01444000058</v>
      </c>
      <c r="B2000" s="2" t="s">
        <v>2003</v>
      </c>
      <c r="C2000" s="2">
        <v>2.67</v>
      </c>
      <c r="D2000" s="2" t="s">
        <v>107</v>
      </c>
    </row>
    <row r="2001" spans="1:4" ht="15" customHeight="1" x14ac:dyDescent="0.25">
      <c r="A2001" s="2" t="str">
        <f>"01444000056"</f>
        <v>01444000056</v>
      </c>
      <c r="B2001" s="2" t="s">
        <v>2004</v>
      </c>
      <c r="C2001" s="2">
        <v>38.119999999999997</v>
      </c>
      <c r="D2001" s="2" t="s">
        <v>107</v>
      </c>
    </row>
    <row r="2002" spans="1:4" ht="15" customHeight="1" x14ac:dyDescent="0.25">
      <c r="A2002" s="2" t="str">
        <f>"01444000052"</f>
        <v>01444000052</v>
      </c>
      <c r="B2002" s="2" t="s">
        <v>2005</v>
      </c>
      <c r="C2002" s="2">
        <v>35.25</v>
      </c>
      <c r="D2002" s="2" t="s">
        <v>107</v>
      </c>
    </row>
    <row r="2003" spans="1:4" ht="15" customHeight="1" x14ac:dyDescent="0.25">
      <c r="A2003" s="2" t="str">
        <f>"01003000756"</f>
        <v>01003000756</v>
      </c>
      <c r="B2003" s="2" t="s">
        <v>2006</v>
      </c>
      <c r="C2003" s="2">
        <v>4.55</v>
      </c>
      <c r="D2003" s="2" t="s">
        <v>107</v>
      </c>
    </row>
    <row r="2004" spans="1:4" ht="15" customHeight="1" x14ac:dyDescent="0.25">
      <c r="A2004" s="2" t="str">
        <f>"01040000503"</f>
        <v>01040000503</v>
      </c>
      <c r="B2004" s="2" t="s">
        <v>2007</v>
      </c>
      <c r="C2004" s="2">
        <v>2071.4899999999998</v>
      </c>
      <c r="D2004" s="2" t="s">
        <v>5</v>
      </c>
    </row>
    <row r="2005" spans="1:4" ht="15" customHeight="1" x14ac:dyDescent="0.25">
      <c r="A2005" s="2" t="str">
        <f>"01003000755"</f>
        <v>01003000755</v>
      </c>
      <c r="B2005" s="2" t="s">
        <v>2008</v>
      </c>
      <c r="C2005" s="2">
        <v>4.55</v>
      </c>
      <c r="D2005" s="2" t="s">
        <v>107</v>
      </c>
    </row>
    <row r="2006" spans="1:4" ht="15" customHeight="1" x14ac:dyDescent="0.25">
      <c r="A2006" s="2" t="str">
        <f>"01444000100"</f>
        <v>01444000100</v>
      </c>
      <c r="B2006" s="2" t="s">
        <v>2009</v>
      </c>
      <c r="C2006" s="2">
        <v>93704.25</v>
      </c>
      <c r="D2006" s="2" t="s">
        <v>5</v>
      </c>
    </row>
    <row r="2007" spans="1:4" ht="15" customHeight="1" x14ac:dyDescent="0.25">
      <c r="A2007" s="2" t="str">
        <f>"01444000101"</f>
        <v>01444000101</v>
      </c>
      <c r="B2007" s="2" t="s">
        <v>2010</v>
      </c>
      <c r="C2007" s="2">
        <v>50598.75</v>
      </c>
      <c r="D2007" s="2" t="s">
        <v>5</v>
      </c>
    </row>
    <row r="2008" spans="1:4" ht="15" customHeight="1" x14ac:dyDescent="0.25">
      <c r="A2008" s="2" t="str">
        <f>"01444000005"</f>
        <v>01444000005</v>
      </c>
      <c r="B2008" s="2" t="s">
        <v>2011</v>
      </c>
      <c r="C2008" s="2">
        <v>51.45</v>
      </c>
      <c r="D2008" s="2" t="s">
        <v>107</v>
      </c>
    </row>
    <row r="2009" spans="1:4" ht="15" customHeight="1" x14ac:dyDescent="0.25">
      <c r="A2009" s="2" t="str">
        <f>"01444000071"</f>
        <v>01444000071</v>
      </c>
      <c r="B2009" s="2" t="s">
        <v>2012</v>
      </c>
      <c r="C2009" s="2">
        <v>34.31</v>
      </c>
      <c r="D2009" s="2" t="s">
        <v>107</v>
      </c>
    </row>
    <row r="2010" spans="1:4" ht="15" customHeight="1" x14ac:dyDescent="0.25">
      <c r="A2010" s="2" t="str">
        <f>"01444000102"</f>
        <v>01444000102</v>
      </c>
      <c r="B2010" s="2" t="s">
        <v>2013</v>
      </c>
      <c r="C2010" s="2">
        <v>47277</v>
      </c>
      <c r="D2010" s="2" t="s">
        <v>5</v>
      </c>
    </row>
    <row r="2011" spans="1:4" ht="15" customHeight="1" x14ac:dyDescent="0.25">
      <c r="A2011" s="2" t="str">
        <f>"01444000010"</f>
        <v>01444000010</v>
      </c>
      <c r="B2011" s="2" t="s">
        <v>2014</v>
      </c>
      <c r="C2011" s="2">
        <v>57.65</v>
      </c>
      <c r="D2011" s="2" t="s">
        <v>107</v>
      </c>
    </row>
    <row r="2012" spans="1:4" ht="15" customHeight="1" x14ac:dyDescent="0.25">
      <c r="A2012" s="2" t="str">
        <f>"01444000011"</f>
        <v>01444000011</v>
      </c>
      <c r="B2012" s="2" t="s">
        <v>2015</v>
      </c>
      <c r="C2012" s="2">
        <v>40.04</v>
      </c>
      <c r="D2012" s="2" t="s">
        <v>107</v>
      </c>
    </row>
    <row r="2013" spans="1:4" ht="15" customHeight="1" x14ac:dyDescent="0.25">
      <c r="A2013" s="2" t="str">
        <f>"01444000008"</f>
        <v>01444000008</v>
      </c>
      <c r="B2013" s="2" t="s">
        <v>2016</v>
      </c>
      <c r="C2013" s="2">
        <v>36</v>
      </c>
      <c r="D2013" s="2" t="s">
        <v>107</v>
      </c>
    </row>
    <row r="2014" spans="1:4" ht="15" customHeight="1" x14ac:dyDescent="0.25">
      <c r="A2014" s="2" t="str">
        <f>"01444000103"</f>
        <v>01444000103</v>
      </c>
      <c r="B2014" s="2" t="s">
        <v>2017</v>
      </c>
      <c r="C2014" s="2">
        <v>102588</v>
      </c>
      <c r="D2014" s="2" t="s">
        <v>5</v>
      </c>
    </row>
    <row r="2015" spans="1:4" ht="15" customHeight="1" x14ac:dyDescent="0.25">
      <c r="A2015" s="2" t="str">
        <f>"01444000104"</f>
        <v>01444000104</v>
      </c>
      <c r="B2015" s="2" t="s">
        <v>2018</v>
      </c>
      <c r="C2015" s="2">
        <v>126458.25</v>
      </c>
      <c r="D2015" s="2" t="s">
        <v>5</v>
      </c>
    </row>
    <row r="2016" spans="1:4" ht="15" customHeight="1" x14ac:dyDescent="0.25">
      <c r="A2016" s="2" t="str">
        <f>"01444000105"</f>
        <v>01444000105</v>
      </c>
      <c r="B2016" s="2" t="s">
        <v>2019</v>
      </c>
      <c r="C2016" s="2">
        <v>149057.01</v>
      </c>
      <c r="D2016" s="2" t="s">
        <v>5</v>
      </c>
    </row>
    <row r="2017" spans="1:4" ht="15" customHeight="1" x14ac:dyDescent="0.25">
      <c r="A2017" s="2" t="str">
        <f>"01444000106"</f>
        <v>01444000106</v>
      </c>
      <c r="B2017" s="2" t="s">
        <v>2020</v>
      </c>
      <c r="C2017" s="2">
        <v>247122.75</v>
      </c>
      <c r="D2017" s="2" t="s">
        <v>5</v>
      </c>
    </row>
    <row r="2018" spans="1:4" ht="15" customHeight="1" x14ac:dyDescent="0.25">
      <c r="A2018" s="2" t="str">
        <f>"01444000107"</f>
        <v>01444000107</v>
      </c>
      <c r="B2018" s="2" t="s">
        <v>2021</v>
      </c>
      <c r="C2018" s="2">
        <v>250676.25</v>
      </c>
      <c r="D2018" s="2" t="s">
        <v>5</v>
      </c>
    </row>
    <row r="2019" spans="1:4" ht="15" customHeight="1" x14ac:dyDescent="0.25">
      <c r="A2019" s="2" t="str">
        <f>"01444000108"</f>
        <v>01444000108</v>
      </c>
      <c r="B2019" s="2" t="s">
        <v>2022</v>
      </c>
      <c r="C2019" s="2">
        <v>279336</v>
      </c>
      <c r="D2019" s="2" t="s">
        <v>5</v>
      </c>
    </row>
    <row r="2020" spans="1:4" ht="15" customHeight="1" x14ac:dyDescent="0.25">
      <c r="A2020" s="2" t="str">
        <f>"01444000200"</f>
        <v>01444000200</v>
      </c>
      <c r="B2020" s="2" t="s">
        <v>2023</v>
      </c>
      <c r="C2020" s="2">
        <v>6745.44</v>
      </c>
      <c r="D2020" s="2" t="s">
        <v>5</v>
      </c>
    </row>
    <row r="2021" spans="1:4" ht="15" customHeight="1" x14ac:dyDescent="0.25">
      <c r="A2021" s="2" t="str">
        <f>"01444000201"</f>
        <v>01444000201</v>
      </c>
      <c r="B2021" s="2" t="s">
        <v>2024</v>
      </c>
      <c r="C2021" s="2">
        <v>8185.94</v>
      </c>
      <c r="D2021" s="2" t="s">
        <v>5</v>
      </c>
    </row>
    <row r="2022" spans="1:4" ht="15" customHeight="1" x14ac:dyDescent="0.25">
      <c r="A2022" s="2" t="str">
        <f>"01444000202"</f>
        <v>01444000202</v>
      </c>
      <c r="B2022" s="2" t="s">
        <v>2025</v>
      </c>
      <c r="C2022" s="2">
        <v>8961.6</v>
      </c>
      <c r="D2022" s="2" t="s">
        <v>5</v>
      </c>
    </row>
    <row r="2023" spans="1:4" ht="15" customHeight="1" x14ac:dyDescent="0.25">
      <c r="A2023" s="2" t="str">
        <f>"01444000203"</f>
        <v>01444000203</v>
      </c>
      <c r="B2023" s="2" t="s">
        <v>2026</v>
      </c>
      <c r="C2023" s="2">
        <v>9460.23</v>
      </c>
      <c r="D2023" s="2" t="s">
        <v>5</v>
      </c>
    </row>
    <row r="2024" spans="1:4" ht="15" customHeight="1" x14ac:dyDescent="0.25">
      <c r="A2024" s="2" t="str">
        <f>"01444000040"</f>
        <v>01444000040</v>
      </c>
      <c r="B2024" s="2" t="s">
        <v>2027</v>
      </c>
      <c r="C2024" s="2">
        <v>42.3</v>
      </c>
      <c r="D2024" s="2" t="s">
        <v>107</v>
      </c>
    </row>
    <row r="2025" spans="1:4" ht="15" customHeight="1" x14ac:dyDescent="0.25">
      <c r="A2025" s="2" t="str">
        <f>"01444000035"</f>
        <v>01444000035</v>
      </c>
      <c r="B2025" s="2" t="s">
        <v>2028</v>
      </c>
      <c r="C2025" s="2">
        <v>66.599999999999994</v>
      </c>
      <c r="D2025" s="2" t="s">
        <v>107</v>
      </c>
    </row>
    <row r="2026" spans="1:4" ht="15" customHeight="1" x14ac:dyDescent="0.25">
      <c r="A2026" s="2" t="str">
        <f>"01444000050"</f>
        <v>01444000050</v>
      </c>
      <c r="B2026" s="2" t="s">
        <v>2029</v>
      </c>
      <c r="C2026" s="2">
        <v>32.4</v>
      </c>
      <c r="D2026" s="2" t="s">
        <v>107</v>
      </c>
    </row>
    <row r="2027" spans="1:4" ht="15" customHeight="1" x14ac:dyDescent="0.25">
      <c r="A2027" s="2" t="str">
        <f>"01025100105"</f>
        <v>01025100105</v>
      </c>
      <c r="B2027" s="2" t="s">
        <v>2030</v>
      </c>
      <c r="C2027" s="2">
        <v>1593.83</v>
      </c>
      <c r="D2027" s="2" t="s">
        <v>5</v>
      </c>
    </row>
    <row r="2028" spans="1:4" ht="15" customHeight="1" x14ac:dyDescent="0.25">
      <c r="A2028" s="2" t="str">
        <f>"05015000001"</f>
        <v>05015000001</v>
      </c>
      <c r="B2028" s="2" t="s">
        <v>2031</v>
      </c>
      <c r="C2028" s="2">
        <v>76.98</v>
      </c>
      <c r="D2028" s="2" t="s">
        <v>5</v>
      </c>
    </row>
    <row r="2029" spans="1:4" ht="15" customHeight="1" x14ac:dyDescent="0.25">
      <c r="A2029" s="2" t="str">
        <f>"05015000002"</f>
        <v>05015000002</v>
      </c>
      <c r="B2029" s="2" t="s">
        <v>2032</v>
      </c>
      <c r="C2029" s="2">
        <v>78.150000000000006</v>
      </c>
      <c r="D2029" s="2" t="s">
        <v>5</v>
      </c>
    </row>
    <row r="2030" spans="1:4" ht="15" customHeight="1" x14ac:dyDescent="0.25">
      <c r="A2030" s="2" t="str">
        <f>"05015000003"</f>
        <v>05015000003</v>
      </c>
      <c r="B2030" s="2" t="s">
        <v>2033</v>
      </c>
      <c r="C2030" s="2">
        <v>125.39</v>
      </c>
      <c r="D2030" s="2" t="s">
        <v>5</v>
      </c>
    </row>
    <row r="2031" spans="1:4" ht="15" customHeight="1" x14ac:dyDescent="0.25">
      <c r="A2031" s="2" t="str">
        <f>"05015000004"</f>
        <v>05015000004</v>
      </c>
      <c r="B2031" s="2" t="s">
        <v>2034</v>
      </c>
      <c r="C2031" s="2">
        <v>94.49</v>
      </c>
      <c r="D2031" s="2" t="s">
        <v>5</v>
      </c>
    </row>
    <row r="2032" spans="1:4" ht="15" customHeight="1" x14ac:dyDescent="0.25">
      <c r="A2032" s="2" t="str">
        <f>"05015000179"</f>
        <v>05015000179</v>
      </c>
      <c r="B2032" s="2" t="s">
        <v>2035</v>
      </c>
      <c r="C2032" s="2">
        <v>85.22</v>
      </c>
      <c r="D2032" s="2" t="s">
        <v>5</v>
      </c>
    </row>
    <row r="2033" spans="1:4" ht="15" customHeight="1" x14ac:dyDescent="0.25">
      <c r="A2033" s="2" t="str">
        <f>"05015000071"</f>
        <v>05015000071</v>
      </c>
      <c r="B2033" s="2" t="s">
        <v>2036</v>
      </c>
      <c r="C2033" s="2">
        <v>23.91</v>
      </c>
      <c r="D2033" s="2" t="s">
        <v>5</v>
      </c>
    </row>
    <row r="2034" spans="1:4" ht="15" customHeight="1" x14ac:dyDescent="0.25">
      <c r="A2034" s="2" t="str">
        <f>"05015000525"</f>
        <v>05015000525</v>
      </c>
      <c r="B2034" s="2" t="s">
        <v>2037</v>
      </c>
      <c r="C2034" s="2">
        <v>50.75</v>
      </c>
      <c r="D2034" s="2" t="s">
        <v>5</v>
      </c>
    </row>
    <row r="2035" spans="1:4" ht="15" customHeight="1" x14ac:dyDescent="0.25">
      <c r="A2035" s="2" t="str">
        <f>"05015000196"</f>
        <v>05015000196</v>
      </c>
      <c r="B2035" s="2" t="s">
        <v>2038</v>
      </c>
      <c r="C2035" s="2">
        <v>32.659999999999997</v>
      </c>
      <c r="D2035" s="2" t="s">
        <v>5</v>
      </c>
    </row>
    <row r="2036" spans="1:4" ht="15" customHeight="1" x14ac:dyDescent="0.25">
      <c r="A2036" s="2" t="str">
        <f>"05015000197"</f>
        <v>05015000197</v>
      </c>
      <c r="B2036" s="2" t="s">
        <v>2039</v>
      </c>
      <c r="C2036" s="2">
        <v>51.32</v>
      </c>
      <c r="D2036" s="2" t="s">
        <v>5</v>
      </c>
    </row>
    <row r="2037" spans="1:4" ht="15" customHeight="1" x14ac:dyDescent="0.25">
      <c r="A2037" s="2" t="str">
        <f>"03038000501"</f>
        <v>03038000501</v>
      </c>
      <c r="B2037" s="2" t="s">
        <v>2040</v>
      </c>
      <c r="C2037" s="2">
        <v>326.31</v>
      </c>
      <c r="D2037" s="2" t="s">
        <v>5</v>
      </c>
    </row>
    <row r="2038" spans="1:4" ht="15" customHeight="1" x14ac:dyDescent="0.25">
      <c r="A2038" s="2" t="str">
        <f>"03059000452"</f>
        <v>03059000452</v>
      </c>
      <c r="B2038" s="2" t="s">
        <v>2041</v>
      </c>
      <c r="C2038" s="2">
        <v>437</v>
      </c>
      <c r="D2038" s="2" t="s">
        <v>5</v>
      </c>
    </row>
    <row r="2039" spans="1:4" ht="15" customHeight="1" x14ac:dyDescent="0.25">
      <c r="A2039" s="2" t="str">
        <f>"05022000992"</f>
        <v>05022000992</v>
      </c>
      <c r="B2039" s="2" t="s">
        <v>2042</v>
      </c>
      <c r="C2039" s="2">
        <v>1053.03</v>
      </c>
      <c r="D2039" s="2" t="s">
        <v>5</v>
      </c>
    </row>
    <row r="2040" spans="1:4" ht="15" customHeight="1" x14ac:dyDescent="0.25">
      <c r="A2040" s="2" t="str">
        <f>"05022000991"</f>
        <v>05022000991</v>
      </c>
      <c r="B2040" s="2" t="s">
        <v>2043</v>
      </c>
      <c r="C2040" s="2">
        <v>1053.03</v>
      </c>
      <c r="D2040" s="2" t="s">
        <v>5</v>
      </c>
    </row>
    <row r="2041" spans="1:4" ht="15" customHeight="1" x14ac:dyDescent="0.25">
      <c r="A2041" s="2" t="str">
        <f>"08400003545"</f>
        <v>08400003545</v>
      </c>
      <c r="B2041" s="2" t="s">
        <v>2044</v>
      </c>
      <c r="C2041" s="2">
        <v>421.08</v>
      </c>
      <c r="D2041" s="2" t="s">
        <v>5</v>
      </c>
    </row>
    <row r="2042" spans="1:4" ht="15" customHeight="1" x14ac:dyDescent="0.25">
      <c r="A2042" s="2" t="str">
        <f>"03011600115"</f>
        <v>03011600115</v>
      </c>
      <c r="B2042" s="2" t="s">
        <v>2045</v>
      </c>
      <c r="C2042" s="2">
        <v>499.49</v>
      </c>
      <c r="D2042" s="2" t="s">
        <v>5</v>
      </c>
    </row>
    <row r="2043" spans="1:4" ht="15" customHeight="1" x14ac:dyDescent="0.25">
      <c r="A2043" s="2" t="str">
        <f>"03011600105"</f>
        <v>03011600105</v>
      </c>
      <c r="B2043" s="2" t="s">
        <v>2046</v>
      </c>
      <c r="C2043" s="2">
        <v>457.22</v>
      </c>
      <c r="D2043" s="2" t="s">
        <v>5</v>
      </c>
    </row>
    <row r="2044" spans="1:4" ht="15" customHeight="1" x14ac:dyDescent="0.25">
      <c r="A2044" s="2" t="str">
        <f>"03011600110"</f>
        <v>03011600110</v>
      </c>
      <c r="B2044" s="2" t="s">
        <v>2047</v>
      </c>
      <c r="C2044" s="2">
        <v>486.47</v>
      </c>
      <c r="D2044" s="2" t="s">
        <v>5</v>
      </c>
    </row>
    <row r="2045" spans="1:4" ht="15" customHeight="1" x14ac:dyDescent="0.25">
      <c r="A2045" s="2" t="str">
        <f>"03047600090"</f>
        <v>03047600090</v>
      </c>
      <c r="B2045" s="2" t="s">
        <v>2048</v>
      </c>
      <c r="C2045" s="2">
        <v>28.97</v>
      </c>
      <c r="D2045" s="2" t="s">
        <v>5</v>
      </c>
    </row>
    <row r="2046" spans="1:4" ht="15" customHeight="1" x14ac:dyDescent="0.25">
      <c r="A2046" s="2" t="str">
        <f>"03047600075"</f>
        <v>03047600075</v>
      </c>
      <c r="B2046" s="2" t="s">
        <v>2049</v>
      </c>
      <c r="C2046" s="2">
        <v>84.44</v>
      </c>
      <c r="D2046" s="2" t="s">
        <v>5</v>
      </c>
    </row>
    <row r="2047" spans="1:4" ht="15" customHeight="1" x14ac:dyDescent="0.25">
      <c r="A2047" s="2" t="str">
        <f>"03047600070"</f>
        <v>03047600070</v>
      </c>
      <c r="B2047" s="2" t="s">
        <v>2050</v>
      </c>
      <c r="C2047" s="2">
        <v>46.67</v>
      </c>
      <c r="D2047" s="2" t="s">
        <v>5</v>
      </c>
    </row>
    <row r="2048" spans="1:4" ht="15" customHeight="1" x14ac:dyDescent="0.25">
      <c r="A2048" s="2" t="str">
        <f>"02007000016"</f>
        <v>02007000016</v>
      </c>
      <c r="B2048" s="2" t="s">
        <v>2051</v>
      </c>
      <c r="C2048" s="2">
        <v>1515.66</v>
      </c>
      <c r="D2048" s="2" t="s">
        <v>5</v>
      </c>
    </row>
    <row r="2049" spans="1:4" ht="15" customHeight="1" x14ac:dyDescent="0.25">
      <c r="A2049" s="2" t="str">
        <f>"02007000025"</f>
        <v>02007000025</v>
      </c>
      <c r="B2049" s="2" t="s">
        <v>2052</v>
      </c>
      <c r="C2049" s="2">
        <v>1597.26</v>
      </c>
      <c r="D2049" s="2" t="s">
        <v>5</v>
      </c>
    </row>
    <row r="2050" spans="1:4" ht="15" customHeight="1" x14ac:dyDescent="0.25">
      <c r="A2050" s="2" t="str">
        <f>"02007000027"</f>
        <v>02007000027</v>
      </c>
      <c r="B2050" s="2" t="s">
        <v>2053</v>
      </c>
      <c r="C2050" s="2">
        <v>1749.38</v>
      </c>
      <c r="D2050" s="2" t="s">
        <v>5</v>
      </c>
    </row>
    <row r="2051" spans="1:4" ht="15" customHeight="1" x14ac:dyDescent="0.25">
      <c r="A2051" s="2" t="str">
        <f>"02007000030"</f>
        <v>02007000030</v>
      </c>
      <c r="B2051" s="2" t="s">
        <v>2054</v>
      </c>
      <c r="C2051" s="2">
        <v>2028.62</v>
      </c>
      <c r="D2051" s="2" t="s">
        <v>5</v>
      </c>
    </row>
    <row r="2052" spans="1:4" ht="15" customHeight="1" x14ac:dyDescent="0.25">
      <c r="A2052" s="2" t="str">
        <f>"02007000035"</f>
        <v>02007000035</v>
      </c>
      <c r="B2052" s="2" t="s">
        <v>2055</v>
      </c>
      <c r="C2052" s="2">
        <v>1976.97</v>
      </c>
      <c r="D2052" s="2" t="s">
        <v>5</v>
      </c>
    </row>
    <row r="2053" spans="1:4" ht="15" customHeight="1" x14ac:dyDescent="0.25">
      <c r="A2053" s="2" t="str">
        <f>"02007000050"</f>
        <v>02007000050</v>
      </c>
      <c r="B2053" s="2" t="s">
        <v>2056</v>
      </c>
      <c r="C2053" s="2">
        <v>2176.34</v>
      </c>
      <c r="D2053" s="2" t="s">
        <v>5</v>
      </c>
    </row>
    <row r="2054" spans="1:4" ht="15" customHeight="1" x14ac:dyDescent="0.25">
      <c r="A2054" s="2" t="str">
        <f>"02007000055"</f>
        <v>02007000055</v>
      </c>
      <c r="B2054" s="2" t="s">
        <v>2057</v>
      </c>
      <c r="C2054" s="2">
        <v>2821.59</v>
      </c>
      <c r="D2054" s="2" t="s">
        <v>5</v>
      </c>
    </row>
    <row r="2055" spans="1:4" ht="15" customHeight="1" x14ac:dyDescent="0.25">
      <c r="A2055" s="2" t="str">
        <f>"02007000060"</f>
        <v>02007000060</v>
      </c>
      <c r="B2055" s="2" t="s">
        <v>2058</v>
      </c>
      <c r="C2055" s="2">
        <v>2257.0100000000002</v>
      </c>
      <c r="D2055" s="2" t="s">
        <v>5</v>
      </c>
    </row>
    <row r="2056" spans="1:4" ht="15" customHeight="1" x14ac:dyDescent="0.25">
      <c r="A2056" s="2" t="str">
        <f>"02007000065"</f>
        <v>02007000065</v>
      </c>
      <c r="B2056" s="2" t="s">
        <v>2059</v>
      </c>
      <c r="C2056" s="2">
        <v>3007.53</v>
      </c>
      <c r="D2056" s="2" t="s">
        <v>5</v>
      </c>
    </row>
    <row r="2057" spans="1:4" ht="15" customHeight="1" x14ac:dyDescent="0.25">
      <c r="A2057" s="2" t="str">
        <f>"02007000068"</f>
        <v>02007000068</v>
      </c>
      <c r="B2057" s="2" t="s">
        <v>2060</v>
      </c>
      <c r="C2057" s="2">
        <v>5048.54</v>
      </c>
      <c r="D2057" s="2" t="s">
        <v>5</v>
      </c>
    </row>
    <row r="2058" spans="1:4" ht="15" customHeight="1" x14ac:dyDescent="0.25">
      <c r="A2058" s="2" t="str">
        <f>"02007000075"</f>
        <v>02007000075</v>
      </c>
      <c r="B2058" s="2" t="s">
        <v>2061</v>
      </c>
      <c r="C2058" s="2">
        <v>2594.46</v>
      </c>
      <c r="D2058" s="2" t="s">
        <v>5</v>
      </c>
    </row>
    <row r="2059" spans="1:4" ht="15" customHeight="1" x14ac:dyDescent="0.25">
      <c r="A2059" s="2" t="str">
        <f>"02007000080"</f>
        <v>02007000080</v>
      </c>
      <c r="B2059" s="2" t="s">
        <v>2062</v>
      </c>
      <c r="C2059" s="2">
        <v>3047.18</v>
      </c>
      <c r="D2059" s="2" t="s">
        <v>5</v>
      </c>
    </row>
    <row r="2060" spans="1:4" ht="15" customHeight="1" x14ac:dyDescent="0.25">
      <c r="A2060" s="2" t="str">
        <f>"02007000090"</f>
        <v>02007000090</v>
      </c>
      <c r="B2060" s="2" t="s">
        <v>2063</v>
      </c>
      <c r="C2060" s="2">
        <v>5565.29</v>
      </c>
      <c r="D2060" s="2" t="s">
        <v>5</v>
      </c>
    </row>
    <row r="2061" spans="1:4" ht="15" customHeight="1" x14ac:dyDescent="0.25">
      <c r="A2061" s="2" t="str">
        <f>"02007000100"</f>
        <v>02007000100</v>
      </c>
      <c r="B2061" s="2" t="s">
        <v>2064</v>
      </c>
      <c r="C2061" s="2">
        <v>3047.18</v>
      </c>
      <c r="D2061" s="2" t="s">
        <v>5</v>
      </c>
    </row>
    <row r="2062" spans="1:4" ht="15" customHeight="1" x14ac:dyDescent="0.25">
      <c r="A2062" s="2" t="str">
        <f>"02007000105"</f>
        <v>02007000105</v>
      </c>
      <c r="B2062" s="2" t="s">
        <v>2065</v>
      </c>
      <c r="C2062" s="2">
        <v>3856.46</v>
      </c>
      <c r="D2062" s="2" t="s">
        <v>5</v>
      </c>
    </row>
    <row r="2063" spans="1:4" ht="15" customHeight="1" x14ac:dyDescent="0.25">
      <c r="A2063" s="2" t="str">
        <f>"02007000115"</f>
        <v>02007000115</v>
      </c>
      <c r="B2063" s="2" t="s">
        <v>2066</v>
      </c>
      <c r="C2063" s="2">
        <v>7055.37</v>
      </c>
      <c r="D2063" s="2" t="s">
        <v>5</v>
      </c>
    </row>
    <row r="2064" spans="1:4" ht="15" customHeight="1" x14ac:dyDescent="0.25">
      <c r="A2064" s="2" t="str">
        <f>"02007000125"</f>
        <v>02007000125</v>
      </c>
      <c r="B2064" s="2" t="s">
        <v>2067</v>
      </c>
      <c r="C2064" s="2">
        <v>3349.29</v>
      </c>
      <c r="D2064" s="2" t="s">
        <v>5</v>
      </c>
    </row>
    <row r="2065" spans="1:4" ht="15" customHeight="1" x14ac:dyDescent="0.25">
      <c r="A2065" s="2" t="str">
        <f>"02007000130"</f>
        <v>02007000130</v>
      </c>
      <c r="B2065" s="2" t="s">
        <v>2068</v>
      </c>
      <c r="C2065" s="2">
        <v>4237.88</v>
      </c>
      <c r="D2065" s="2" t="s">
        <v>5</v>
      </c>
    </row>
    <row r="2066" spans="1:4" ht="15" customHeight="1" x14ac:dyDescent="0.25">
      <c r="A2066" s="2" t="str">
        <f>"02007000140"</f>
        <v>02007000140</v>
      </c>
      <c r="B2066" s="2" t="s">
        <v>2069</v>
      </c>
      <c r="C2066" s="2">
        <v>7595.37</v>
      </c>
      <c r="D2066" s="2" t="s">
        <v>5</v>
      </c>
    </row>
    <row r="2067" spans="1:4" ht="15" customHeight="1" x14ac:dyDescent="0.25">
      <c r="A2067" s="2" t="str">
        <f>"02007000141"</f>
        <v>02007000141</v>
      </c>
      <c r="B2067" s="2" t="s">
        <v>2070</v>
      </c>
      <c r="C2067" s="2">
        <v>5435.42</v>
      </c>
      <c r="D2067" s="2" t="s">
        <v>5</v>
      </c>
    </row>
    <row r="2068" spans="1:4" ht="15" customHeight="1" x14ac:dyDescent="0.25">
      <c r="A2068" s="2" t="str">
        <f>"02007000142"</f>
        <v>02007000142</v>
      </c>
      <c r="B2068" s="2" t="s">
        <v>2071</v>
      </c>
      <c r="C2068" s="2">
        <v>6721.82</v>
      </c>
      <c r="D2068" s="2" t="s">
        <v>5</v>
      </c>
    </row>
    <row r="2069" spans="1:4" ht="15" customHeight="1" x14ac:dyDescent="0.25">
      <c r="A2069" s="2" t="str">
        <f>"02007000150"</f>
        <v>02007000150</v>
      </c>
      <c r="B2069" s="2" t="s">
        <v>2072</v>
      </c>
      <c r="C2069" s="2">
        <v>5706.09</v>
      </c>
      <c r="D2069" s="2" t="s">
        <v>5</v>
      </c>
    </row>
    <row r="2070" spans="1:4" ht="15" customHeight="1" x14ac:dyDescent="0.25">
      <c r="A2070" s="2" t="str">
        <f>"02007000155"</f>
        <v>02007000155</v>
      </c>
      <c r="B2070" s="2" t="s">
        <v>2073</v>
      </c>
      <c r="C2070" s="2">
        <v>6483.96</v>
      </c>
      <c r="D2070" s="2" t="s">
        <v>5</v>
      </c>
    </row>
    <row r="2071" spans="1:4" ht="15" customHeight="1" x14ac:dyDescent="0.25">
      <c r="A2071" s="2" t="str">
        <f>"02007000165"</f>
        <v>02007000165</v>
      </c>
      <c r="B2071" s="2" t="s">
        <v>2074</v>
      </c>
      <c r="C2071" s="2">
        <v>11010.27</v>
      </c>
      <c r="D2071" s="2" t="s">
        <v>5</v>
      </c>
    </row>
    <row r="2072" spans="1:4" ht="15" customHeight="1" x14ac:dyDescent="0.25">
      <c r="A2072" s="2" t="str">
        <f>"02007000175"</f>
        <v>02007000175</v>
      </c>
      <c r="B2072" s="2" t="s">
        <v>2075</v>
      </c>
      <c r="C2072" s="2">
        <v>7054.02</v>
      </c>
      <c r="D2072" s="2" t="s">
        <v>5</v>
      </c>
    </row>
    <row r="2073" spans="1:4" ht="15" customHeight="1" x14ac:dyDescent="0.25">
      <c r="A2073" s="2" t="str">
        <f>"02007000180"</f>
        <v>02007000180</v>
      </c>
      <c r="B2073" s="2" t="s">
        <v>2076</v>
      </c>
      <c r="C2073" s="2">
        <v>3852.27</v>
      </c>
      <c r="D2073" s="2" t="s">
        <v>5</v>
      </c>
    </row>
    <row r="2074" spans="1:4" ht="15" customHeight="1" x14ac:dyDescent="0.25">
      <c r="A2074" s="2" t="str">
        <f>"02007000190"</f>
        <v>02007000190</v>
      </c>
      <c r="B2074" s="2" t="s">
        <v>2077</v>
      </c>
      <c r="C2074" s="2">
        <v>11961.74</v>
      </c>
      <c r="D2074" s="2" t="s">
        <v>5</v>
      </c>
    </row>
    <row r="2075" spans="1:4" ht="15" customHeight="1" x14ac:dyDescent="0.25">
      <c r="A2075" s="2" t="str">
        <f>"02007000535"</f>
        <v>02007000535</v>
      </c>
      <c r="B2075" s="2" t="s">
        <v>2078</v>
      </c>
      <c r="C2075" s="2">
        <v>405.53</v>
      </c>
      <c r="D2075" s="2" t="s">
        <v>5</v>
      </c>
    </row>
    <row r="2076" spans="1:4" ht="15" customHeight="1" x14ac:dyDescent="0.25">
      <c r="A2076" s="2" t="str">
        <f>"02007000540"</f>
        <v>02007000540</v>
      </c>
      <c r="B2076" s="2" t="s">
        <v>2079</v>
      </c>
      <c r="C2076" s="2">
        <v>528.55999999999995</v>
      </c>
      <c r="D2076" s="2" t="s">
        <v>5</v>
      </c>
    </row>
    <row r="2077" spans="1:4" ht="15" customHeight="1" x14ac:dyDescent="0.25">
      <c r="A2077" s="2" t="str">
        <f>"02007000545"</f>
        <v>02007000545</v>
      </c>
      <c r="B2077" s="2" t="s">
        <v>2080</v>
      </c>
      <c r="C2077" s="2">
        <v>701.04</v>
      </c>
      <c r="D2077" s="2" t="s">
        <v>5</v>
      </c>
    </row>
    <row r="2078" spans="1:4" ht="15" customHeight="1" x14ac:dyDescent="0.25">
      <c r="A2078" s="2" t="str">
        <f>"02007000550"</f>
        <v>02007000550</v>
      </c>
      <c r="B2078" s="2" t="s">
        <v>2081</v>
      </c>
      <c r="C2078" s="2">
        <v>1764.06</v>
      </c>
      <c r="D2078" s="2" t="s">
        <v>5</v>
      </c>
    </row>
    <row r="2079" spans="1:4" ht="15" customHeight="1" x14ac:dyDescent="0.25">
      <c r="A2079" s="2" t="str">
        <f>"02007000555"</f>
        <v>02007000555</v>
      </c>
      <c r="B2079" s="2" t="s">
        <v>2082</v>
      </c>
      <c r="C2079" s="2">
        <v>1354.4</v>
      </c>
      <c r="D2079" s="2" t="s">
        <v>5</v>
      </c>
    </row>
    <row r="2080" spans="1:4" ht="15" customHeight="1" x14ac:dyDescent="0.25">
      <c r="A2080" s="2" t="str">
        <f>"02007000595"</f>
        <v>02007000595</v>
      </c>
      <c r="B2080" s="2" t="s">
        <v>2083</v>
      </c>
      <c r="C2080" s="2">
        <v>2300.96</v>
      </c>
      <c r="D2080" s="2" t="s">
        <v>5</v>
      </c>
    </row>
    <row r="2081" spans="1:4" ht="15" customHeight="1" x14ac:dyDescent="0.25">
      <c r="A2081" s="2" t="str">
        <f>"02007000605"</f>
        <v>02007000605</v>
      </c>
      <c r="B2081" s="2" t="s">
        <v>2084</v>
      </c>
      <c r="C2081" s="2">
        <v>2435.33</v>
      </c>
      <c r="D2081" s="2" t="s">
        <v>5</v>
      </c>
    </row>
    <row r="2082" spans="1:4" ht="15" customHeight="1" x14ac:dyDescent="0.25">
      <c r="A2082" s="2" t="str">
        <f>"02007000608"</f>
        <v>02007000608</v>
      </c>
      <c r="B2082" s="2" t="s">
        <v>2085</v>
      </c>
      <c r="C2082" s="2">
        <v>1925.51</v>
      </c>
      <c r="D2082" s="2" t="s">
        <v>5</v>
      </c>
    </row>
    <row r="2083" spans="1:4" ht="15" customHeight="1" x14ac:dyDescent="0.25">
      <c r="A2083" s="2" t="str">
        <f>"02007000615"</f>
        <v>02007000615</v>
      </c>
      <c r="B2083" s="2" t="s">
        <v>2086</v>
      </c>
      <c r="C2083" s="2">
        <v>2523.9</v>
      </c>
      <c r="D2083" s="2" t="s">
        <v>5</v>
      </c>
    </row>
    <row r="2084" spans="1:4" ht="15" customHeight="1" x14ac:dyDescent="0.25">
      <c r="A2084" s="2" t="str">
        <f>"02007000618"</f>
        <v>02007000618</v>
      </c>
      <c r="B2084" s="2" t="s">
        <v>2087</v>
      </c>
      <c r="C2084" s="2">
        <v>2176.34</v>
      </c>
      <c r="D2084" s="2" t="s">
        <v>5</v>
      </c>
    </row>
    <row r="2085" spans="1:4" ht="15" customHeight="1" x14ac:dyDescent="0.25">
      <c r="A2085" s="2" t="str">
        <f>"02007000625"</f>
        <v>02007000625</v>
      </c>
      <c r="B2085" s="2" t="s">
        <v>2088</v>
      </c>
      <c r="C2085" s="2">
        <v>2821.61</v>
      </c>
      <c r="D2085" s="2" t="s">
        <v>5</v>
      </c>
    </row>
    <row r="2086" spans="1:4" ht="15" customHeight="1" x14ac:dyDescent="0.25">
      <c r="A2086" s="2" t="str">
        <f>"02007000635"</f>
        <v>02007000635</v>
      </c>
      <c r="B2086" s="2" t="s">
        <v>2089</v>
      </c>
      <c r="C2086" s="2">
        <v>5171.58</v>
      </c>
      <c r="D2086" s="2" t="s">
        <v>5</v>
      </c>
    </row>
    <row r="2087" spans="1:4" ht="15" customHeight="1" x14ac:dyDescent="0.25">
      <c r="A2087" s="2" t="str">
        <f>"02007000655"</f>
        <v>02007000655</v>
      </c>
      <c r="B2087" s="2" t="s">
        <v>2090</v>
      </c>
      <c r="C2087" s="2">
        <v>2885.85</v>
      </c>
      <c r="D2087" s="2" t="s">
        <v>5</v>
      </c>
    </row>
    <row r="2088" spans="1:4" ht="15" customHeight="1" x14ac:dyDescent="0.25">
      <c r="A2088" s="2" t="str">
        <f>"02007000665"</f>
        <v>02007000665</v>
      </c>
      <c r="B2088" s="2" t="s">
        <v>2091</v>
      </c>
      <c r="C2088" s="2">
        <v>5172.93</v>
      </c>
      <c r="D2088" s="2" t="s">
        <v>5</v>
      </c>
    </row>
    <row r="2089" spans="1:4" ht="15" customHeight="1" x14ac:dyDescent="0.25">
      <c r="A2089" s="2" t="str">
        <f>"02007000680"</f>
        <v>02007000680</v>
      </c>
      <c r="B2089" s="2" t="s">
        <v>2092</v>
      </c>
      <c r="C2089" s="2">
        <v>2354.0700000000002</v>
      </c>
      <c r="D2089" s="2" t="s">
        <v>5</v>
      </c>
    </row>
    <row r="2090" spans="1:4" ht="15" customHeight="1" x14ac:dyDescent="0.25">
      <c r="A2090" s="2" t="str">
        <f>"02007000685"</f>
        <v>02007000685</v>
      </c>
      <c r="B2090" s="2" t="s">
        <v>2093</v>
      </c>
      <c r="C2090" s="2">
        <v>3047.16</v>
      </c>
      <c r="D2090" s="2" t="s">
        <v>5</v>
      </c>
    </row>
    <row r="2091" spans="1:4" ht="15" customHeight="1" x14ac:dyDescent="0.25">
      <c r="A2091" s="2" t="str">
        <f>"02007000695"</f>
        <v>02007000695</v>
      </c>
      <c r="B2091" s="2" t="s">
        <v>2094</v>
      </c>
      <c r="C2091" s="2">
        <v>6183.2</v>
      </c>
      <c r="D2091" s="2" t="s">
        <v>5</v>
      </c>
    </row>
    <row r="2092" spans="1:4" ht="15" customHeight="1" x14ac:dyDescent="0.25">
      <c r="A2092" s="2" t="str">
        <f>"02007000698"</f>
        <v>02007000698</v>
      </c>
      <c r="B2092" s="2" t="s">
        <v>2095</v>
      </c>
      <c r="C2092" s="2">
        <v>2529.11</v>
      </c>
      <c r="D2092" s="2" t="s">
        <v>5</v>
      </c>
    </row>
    <row r="2093" spans="1:4" ht="15" customHeight="1" x14ac:dyDescent="0.25">
      <c r="A2093" s="2" t="str">
        <f>"02007000699"</f>
        <v>02007000699</v>
      </c>
      <c r="B2093" s="2" t="s">
        <v>2096</v>
      </c>
      <c r="C2093" s="2">
        <v>3199.47</v>
      </c>
      <c r="D2093" s="2" t="s">
        <v>5</v>
      </c>
    </row>
    <row r="2094" spans="1:4" ht="15" customHeight="1" x14ac:dyDescent="0.25">
      <c r="A2094" s="2" t="str">
        <f>"02007000005"</f>
        <v>02007000005</v>
      </c>
      <c r="B2094" s="2" t="s">
        <v>2097</v>
      </c>
      <c r="C2094" s="2">
        <v>640.71</v>
      </c>
      <c r="D2094" s="2" t="s">
        <v>5</v>
      </c>
    </row>
    <row r="2095" spans="1:4" ht="15" customHeight="1" x14ac:dyDescent="0.25">
      <c r="A2095" s="2" t="str">
        <f>"02007000010"</f>
        <v>02007000010</v>
      </c>
      <c r="B2095" s="2" t="s">
        <v>2098</v>
      </c>
      <c r="C2095" s="2">
        <v>684.3</v>
      </c>
      <c r="D2095" s="2" t="s">
        <v>5</v>
      </c>
    </row>
    <row r="2096" spans="1:4" ht="15" customHeight="1" x14ac:dyDescent="0.25">
      <c r="A2096" s="2" t="str">
        <f>"02007000570"</f>
        <v>02007000570</v>
      </c>
      <c r="B2096" s="2" t="s">
        <v>2099</v>
      </c>
      <c r="C2096" s="2">
        <v>6564.87</v>
      </c>
      <c r="D2096" s="2" t="s">
        <v>5</v>
      </c>
    </row>
    <row r="2097" spans="1:4" ht="15" customHeight="1" x14ac:dyDescent="0.25">
      <c r="A2097" s="2" t="str">
        <f>"02007000560"</f>
        <v>02007000560</v>
      </c>
      <c r="B2097" s="2" t="s">
        <v>2100</v>
      </c>
      <c r="C2097" s="2">
        <v>7288.44</v>
      </c>
      <c r="D2097" s="2" t="s">
        <v>5</v>
      </c>
    </row>
    <row r="2098" spans="1:4" ht="15" customHeight="1" x14ac:dyDescent="0.25">
      <c r="A2098" s="2" t="str">
        <f>"02007000015"</f>
        <v>02007000015</v>
      </c>
      <c r="B2098" s="2" t="s">
        <v>2101</v>
      </c>
      <c r="C2098" s="2">
        <v>768.21</v>
      </c>
      <c r="D2098" s="2" t="s">
        <v>5</v>
      </c>
    </row>
    <row r="2099" spans="1:4" ht="15" customHeight="1" x14ac:dyDescent="0.25">
      <c r="A2099" s="2" t="str">
        <f>"02007000040"</f>
        <v>02007000040</v>
      </c>
      <c r="B2099" s="2" t="s">
        <v>2102</v>
      </c>
      <c r="C2099" s="2">
        <v>2101.0500000000002</v>
      </c>
      <c r="D2099" s="2" t="s">
        <v>5</v>
      </c>
    </row>
    <row r="2100" spans="1:4" ht="15" customHeight="1" x14ac:dyDescent="0.25">
      <c r="A2100" s="2" t="str">
        <f>"02007000042"</f>
        <v>02007000042</v>
      </c>
      <c r="B2100" s="2" t="s">
        <v>2103</v>
      </c>
      <c r="C2100" s="2">
        <v>2775.24</v>
      </c>
      <c r="D2100" s="2" t="s">
        <v>5</v>
      </c>
    </row>
    <row r="2101" spans="1:4" ht="15" customHeight="1" x14ac:dyDescent="0.25">
      <c r="A2101" s="2" t="str">
        <f>"02007000820"</f>
        <v>02007000820</v>
      </c>
      <c r="B2101" s="2" t="s">
        <v>2104</v>
      </c>
      <c r="C2101" s="2">
        <v>136.86000000000001</v>
      </c>
      <c r="D2101" s="2" t="s">
        <v>5</v>
      </c>
    </row>
    <row r="2102" spans="1:4" ht="15" customHeight="1" x14ac:dyDescent="0.25">
      <c r="A2102" s="2" t="str">
        <f>"02007001033"</f>
        <v>02007001033</v>
      </c>
      <c r="B2102" s="2" t="s">
        <v>2105</v>
      </c>
      <c r="C2102" s="2">
        <v>102.75</v>
      </c>
      <c r="D2102" s="2" t="s">
        <v>5</v>
      </c>
    </row>
    <row r="2103" spans="1:4" ht="15" customHeight="1" x14ac:dyDescent="0.25">
      <c r="A2103" s="2" t="str">
        <f>"02007000825"</f>
        <v>02007000825</v>
      </c>
      <c r="B2103" s="2" t="s">
        <v>2106</v>
      </c>
      <c r="C2103" s="2">
        <v>160.58000000000001</v>
      </c>
      <c r="D2103" s="2" t="s">
        <v>5</v>
      </c>
    </row>
    <row r="2104" spans="1:4" ht="15" customHeight="1" x14ac:dyDescent="0.25">
      <c r="A2104" s="2" t="str">
        <f>"02007001034"</f>
        <v>02007001034</v>
      </c>
      <c r="B2104" s="2" t="s">
        <v>2107</v>
      </c>
      <c r="C2104" s="2">
        <v>121.31</v>
      </c>
      <c r="D2104" s="2" t="s">
        <v>5</v>
      </c>
    </row>
    <row r="2105" spans="1:4" ht="15" customHeight="1" x14ac:dyDescent="0.25">
      <c r="A2105" s="2" t="str">
        <f>"02007000830"</f>
        <v>02007000830</v>
      </c>
      <c r="B2105" s="2" t="s">
        <v>2108</v>
      </c>
      <c r="C2105" s="2">
        <v>189.77</v>
      </c>
      <c r="D2105" s="2" t="s">
        <v>5</v>
      </c>
    </row>
    <row r="2106" spans="1:4" ht="15" customHeight="1" x14ac:dyDescent="0.25">
      <c r="A2106" s="2" t="str">
        <f>"02007001035"</f>
        <v>02007001035</v>
      </c>
      <c r="B2106" s="2" t="s">
        <v>2109</v>
      </c>
      <c r="C2106" s="2">
        <v>151.34</v>
      </c>
      <c r="D2106" s="2" t="s">
        <v>5</v>
      </c>
    </row>
    <row r="2107" spans="1:4" ht="15" customHeight="1" x14ac:dyDescent="0.25">
      <c r="A2107" s="2" t="str">
        <f>"02007000835"</f>
        <v>02007000835</v>
      </c>
      <c r="B2107" s="2" t="s">
        <v>2110</v>
      </c>
      <c r="C2107" s="2">
        <v>297.95</v>
      </c>
      <c r="D2107" s="2" t="s">
        <v>5</v>
      </c>
    </row>
    <row r="2108" spans="1:4" ht="15" customHeight="1" x14ac:dyDescent="0.25">
      <c r="A2108" s="2" t="str">
        <f>"02007000840"</f>
        <v>02007000840</v>
      </c>
      <c r="B2108" s="2" t="s">
        <v>2111</v>
      </c>
      <c r="C2108" s="2">
        <v>330.8</v>
      </c>
      <c r="D2108" s="2" t="s">
        <v>5</v>
      </c>
    </row>
    <row r="2109" spans="1:4" ht="15" customHeight="1" x14ac:dyDescent="0.25">
      <c r="A2109" s="2" t="str">
        <f>"02007000845"</f>
        <v>02007000845</v>
      </c>
      <c r="B2109" s="2" t="s">
        <v>2112</v>
      </c>
      <c r="C2109" s="2">
        <v>383.31</v>
      </c>
      <c r="D2109" s="2" t="s">
        <v>5</v>
      </c>
    </row>
    <row r="2110" spans="1:4" ht="15" customHeight="1" x14ac:dyDescent="0.25">
      <c r="A2110" s="2" t="str">
        <f>"02007000850"</f>
        <v>02007000850</v>
      </c>
      <c r="B2110" s="2" t="s">
        <v>2113</v>
      </c>
      <c r="C2110" s="2">
        <v>467.85</v>
      </c>
      <c r="D2110" s="2" t="s">
        <v>5</v>
      </c>
    </row>
    <row r="2111" spans="1:4" ht="15" customHeight="1" x14ac:dyDescent="0.25">
      <c r="A2111" s="2" t="str">
        <f>"02007000855"</f>
        <v>02007000855</v>
      </c>
      <c r="B2111" s="2" t="s">
        <v>2114</v>
      </c>
      <c r="C2111" s="2">
        <v>288.08</v>
      </c>
      <c r="D2111" s="2" t="s">
        <v>5</v>
      </c>
    </row>
    <row r="2112" spans="1:4" ht="15" customHeight="1" x14ac:dyDescent="0.25">
      <c r="A2112" s="2" t="str">
        <f>"02007000860"</f>
        <v>02007000860</v>
      </c>
      <c r="B2112" s="2" t="s">
        <v>2115</v>
      </c>
      <c r="C2112" s="2">
        <v>779</v>
      </c>
      <c r="D2112" s="2" t="s">
        <v>5</v>
      </c>
    </row>
    <row r="2113" spans="1:4" ht="15" customHeight="1" x14ac:dyDescent="0.25">
      <c r="A2113" s="2" t="str">
        <f>"02007000865"</f>
        <v>02007000865</v>
      </c>
      <c r="B2113" s="2" t="s">
        <v>2116</v>
      </c>
      <c r="C2113" s="2">
        <v>1452.36</v>
      </c>
      <c r="D2113" s="2" t="s">
        <v>5</v>
      </c>
    </row>
    <row r="2114" spans="1:4" ht="15" customHeight="1" x14ac:dyDescent="0.25">
      <c r="A2114" s="2" t="str">
        <f>"02007000870"</f>
        <v>02007000870</v>
      </c>
      <c r="B2114" s="2" t="s">
        <v>2117</v>
      </c>
      <c r="C2114" s="2">
        <v>1848.47</v>
      </c>
      <c r="D2114" s="2" t="s">
        <v>5</v>
      </c>
    </row>
    <row r="2115" spans="1:4" ht="15" customHeight="1" x14ac:dyDescent="0.25">
      <c r="A2115" s="2" t="str">
        <f>"02007000875"</f>
        <v>02007000875</v>
      </c>
      <c r="B2115" s="2" t="s">
        <v>2118</v>
      </c>
      <c r="C2115" s="2">
        <v>81.17</v>
      </c>
      <c r="D2115" s="2" t="s">
        <v>5</v>
      </c>
    </row>
    <row r="2116" spans="1:4" ht="15" customHeight="1" x14ac:dyDescent="0.25">
      <c r="A2116" s="2" t="str">
        <f>"02007000880"</f>
        <v>02007000880</v>
      </c>
      <c r="B2116" s="2" t="s">
        <v>2119</v>
      </c>
      <c r="C2116" s="2">
        <v>81.17</v>
      </c>
      <c r="D2116" s="2" t="s">
        <v>5</v>
      </c>
    </row>
    <row r="2117" spans="1:4" ht="15" customHeight="1" x14ac:dyDescent="0.25">
      <c r="A2117" s="2" t="str">
        <f>"02007000885"</f>
        <v>02007000885</v>
      </c>
      <c r="B2117" s="2" t="s">
        <v>2120</v>
      </c>
      <c r="C2117" s="2">
        <v>86.72</v>
      </c>
      <c r="D2117" s="2" t="s">
        <v>5</v>
      </c>
    </row>
    <row r="2118" spans="1:4" ht="15" customHeight="1" x14ac:dyDescent="0.25">
      <c r="A2118" s="2" t="str">
        <f>"02007000890"</f>
        <v>02007000890</v>
      </c>
      <c r="B2118" s="2" t="s">
        <v>2121</v>
      </c>
      <c r="C2118" s="2">
        <v>94.98</v>
      </c>
      <c r="D2118" s="2" t="s">
        <v>5</v>
      </c>
    </row>
    <row r="2119" spans="1:4" ht="15" customHeight="1" x14ac:dyDescent="0.25">
      <c r="A2119" s="2" t="str">
        <f>"02007000765"</f>
        <v>02007000765</v>
      </c>
      <c r="B2119" s="2" t="s">
        <v>2122</v>
      </c>
      <c r="C2119" s="2">
        <v>140.96</v>
      </c>
      <c r="D2119" s="2" t="s">
        <v>5</v>
      </c>
    </row>
    <row r="2120" spans="1:4" ht="15" customHeight="1" x14ac:dyDescent="0.25">
      <c r="A2120" s="2" t="str">
        <f>"02007001036"</f>
        <v>02007001036</v>
      </c>
      <c r="B2120" s="2" t="s">
        <v>2123</v>
      </c>
      <c r="C2120" s="2">
        <v>112.59</v>
      </c>
      <c r="D2120" s="2" t="s">
        <v>5</v>
      </c>
    </row>
    <row r="2121" spans="1:4" ht="15" customHeight="1" x14ac:dyDescent="0.25">
      <c r="A2121" s="2" t="str">
        <f>"02007000770"</f>
        <v>02007000770</v>
      </c>
      <c r="B2121" s="2" t="s">
        <v>2124</v>
      </c>
      <c r="C2121" s="2">
        <v>174.95</v>
      </c>
      <c r="D2121" s="2" t="s">
        <v>5</v>
      </c>
    </row>
    <row r="2122" spans="1:4" ht="15" customHeight="1" x14ac:dyDescent="0.25">
      <c r="A2122" s="2" t="str">
        <f>"02007001037"</f>
        <v>02007001037</v>
      </c>
      <c r="B2122" s="2" t="s">
        <v>2125</v>
      </c>
      <c r="C2122" s="2">
        <v>137.49</v>
      </c>
      <c r="D2122" s="2" t="s">
        <v>5</v>
      </c>
    </row>
    <row r="2123" spans="1:4" ht="15" customHeight="1" x14ac:dyDescent="0.25">
      <c r="A2123" s="2" t="str">
        <f>"02007000775"</f>
        <v>02007000775</v>
      </c>
      <c r="B2123" s="2" t="s">
        <v>2126</v>
      </c>
      <c r="C2123" s="2">
        <v>224.73</v>
      </c>
      <c r="D2123" s="2" t="s">
        <v>5</v>
      </c>
    </row>
    <row r="2124" spans="1:4" ht="15" customHeight="1" x14ac:dyDescent="0.25">
      <c r="A2124" s="2" t="str">
        <f>"02007001038"</f>
        <v>02007001038</v>
      </c>
      <c r="B2124" s="2" t="s">
        <v>2127</v>
      </c>
      <c r="C2124" s="2">
        <v>180.32</v>
      </c>
      <c r="D2124" s="2" t="s">
        <v>5</v>
      </c>
    </row>
    <row r="2125" spans="1:4" ht="15" customHeight="1" x14ac:dyDescent="0.25">
      <c r="A2125" s="2" t="str">
        <f>"02007000780"</f>
        <v>02007000780</v>
      </c>
      <c r="B2125" s="2" t="s">
        <v>2128</v>
      </c>
      <c r="C2125" s="2">
        <v>300.86</v>
      </c>
      <c r="D2125" s="2" t="s">
        <v>5</v>
      </c>
    </row>
    <row r="2126" spans="1:4" ht="15" customHeight="1" x14ac:dyDescent="0.25">
      <c r="A2126" s="2" t="str">
        <f>"02007000785"</f>
        <v>02007000785</v>
      </c>
      <c r="B2126" s="2" t="s">
        <v>2129</v>
      </c>
      <c r="C2126" s="2">
        <v>347.84</v>
      </c>
      <c r="D2126" s="2" t="s">
        <v>5</v>
      </c>
    </row>
    <row r="2127" spans="1:4" ht="15" customHeight="1" x14ac:dyDescent="0.25">
      <c r="A2127" s="2" t="str">
        <f>"02007000790"</f>
        <v>02007000790</v>
      </c>
      <c r="B2127" s="2" t="s">
        <v>2130</v>
      </c>
      <c r="C2127" s="2">
        <v>415.62</v>
      </c>
      <c r="D2127" s="2" t="s">
        <v>5</v>
      </c>
    </row>
    <row r="2128" spans="1:4" ht="15" customHeight="1" x14ac:dyDescent="0.25">
      <c r="A2128" s="2" t="str">
        <f>"02007000795"</f>
        <v>02007000795</v>
      </c>
      <c r="B2128" s="2" t="s">
        <v>2131</v>
      </c>
      <c r="C2128" s="2">
        <v>490.01</v>
      </c>
      <c r="D2128" s="2" t="s">
        <v>5</v>
      </c>
    </row>
    <row r="2129" spans="1:4" ht="15" customHeight="1" x14ac:dyDescent="0.25">
      <c r="A2129" s="2" t="str">
        <f>"02007000800"</f>
        <v>02007000800</v>
      </c>
      <c r="B2129" s="2" t="s">
        <v>2132</v>
      </c>
      <c r="C2129" s="2">
        <v>525.08000000000004</v>
      </c>
      <c r="D2129" s="2" t="s">
        <v>5</v>
      </c>
    </row>
    <row r="2130" spans="1:4" ht="15" customHeight="1" x14ac:dyDescent="0.25">
      <c r="A2130" s="2" t="str">
        <f>"02007000805"</f>
        <v>02007000805</v>
      </c>
      <c r="B2130" s="2" t="s">
        <v>2133</v>
      </c>
      <c r="C2130" s="2">
        <v>950.25</v>
      </c>
      <c r="D2130" s="2" t="s">
        <v>5</v>
      </c>
    </row>
    <row r="2131" spans="1:4" ht="15" customHeight="1" x14ac:dyDescent="0.25">
      <c r="A2131" s="2" t="str">
        <f>"02007000810"</f>
        <v>02007000810</v>
      </c>
      <c r="B2131" s="2" t="s">
        <v>2134</v>
      </c>
      <c r="C2131" s="2">
        <v>1555.85</v>
      </c>
      <c r="D2131" s="2" t="s">
        <v>5</v>
      </c>
    </row>
    <row r="2132" spans="1:4" ht="15" customHeight="1" x14ac:dyDescent="0.25">
      <c r="A2132" s="2" t="str">
        <f>"02007000815"</f>
        <v>02007000815</v>
      </c>
      <c r="B2132" s="2" t="s">
        <v>2135</v>
      </c>
      <c r="C2132" s="2">
        <v>2062.29</v>
      </c>
      <c r="D2132" s="2" t="s">
        <v>5</v>
      </c>
    </row>
    <row r="2133" spans="1:4" ht="15" customHeight="1" x14ac:dyDescent="0.25">
      <c r="A2133" s="2" t="str">
        <f>"02007000725"</f>
        <v>02007000725</v>
      </c>
      <c r="B2133" s="2" t="s">
        <v>2136</v>
      </c>
      <c r="C2133" s="2">
        <v>282.06</v>
      </c>
      <c r="D2133" s="2" t="s">
        <v>5</v>
      </c>
    </row>
    <row r="2134" spans="1:4" ht="15" customHeight="1" x14ac:dyDescent="0.25">
      <c r="A2134" s="2" t="str">
        <f>"02007000730"</f>
        <v>02007000730</v>
      </c>
      <c r="B2134" s="2" t="s">
        <v>2137</v>
      </c>
      <c r="C2134" s="2">
        <v>325.52999999999997</v>
      </c>
      <c r="D2134" s="2" t="s">
        <v>5</v>
      </c>
    </row>
    <row r="2135" spans="1:4" ht="15" customHeight="1" x14ac:dyDescent="0.25">
      <c r="A2135" s="2" t="str">
        <f>"02007000735"</f>
        <v>02007000735</v>
      </c>
      <c r="B2135" s="2" t="s">
        <v>2138</v>
      </c>
      <c r="C2135" s="2">
        <v>386.51</v>
      </c>
      <c r="D2135" s="2" t="s">
        <v>5</v>
      </c>
    </row>
    <row r="2136" spans="1:4" ht="15" customHeight="1" x14ac:dyDescent="0.25">
      <c r="A2136" s="2" t="str">
        <f>"02007000740"</f>
        <v>02007000740</v>
      </c>
      <c r="B2136" s="2" t="s">
        <v>2139</v>
      </c>
      <c r="C2136" s="2">
        <v>464.1</v>
      </c>
      <c r="D2136" s="2" t="s">
        <v>5</v>
      </c>
    </row>
    <row r="2137" spans="1:4" ht="15" customHeight="1" x14ac:dyDescent="0.25">
      <c r="A2137" s="2" t="str">
        <f>"02007000745"</f>
        <v>02007000745</v>
      </c>
      <c r="B2137" s="2" t="s">
        <v>2140</v>
      </c>
      <c r="C2137" s="2">
        <v>525.08000000000004</v>
      </c>
      <c r="D2137" s="2" t="s">
        <v>5</v>
      </c>
    </row>
    <row r="2138" spans="1:4" ht="15" customHeight="1" x14ac:dyDescent="0.25">
      <c r="A2138" s="2" t="str">
        <f>"02007000750"</f>
        <v>02007000750</v>
      </c>
      <c r="B2138" s="2" t="s">
        <v>2141</v>
      </c>
      <c r="C2138" s="2">
        <v>649.86</v>
      </c>
      <c r="D2138" s="2" t="s">
        <v>5</v>
      </c>
    </row>
    <row r="2139" spans="1:4" ht="15" customHeight="1" x14ac:dyDescent="0.25">
      <c r="A2139" s="2" t="str">
        <f>"02007000755"</f>
        <v>02007000755</v>
      </c>
      <c r="B2139" s="2" t="s">
        <v>2142</v>
      </c>
      <c r="C2139" s="2">
        <v>1293.6199999999999</v>
      </c>
      <c r="D2139" s="2" t="s">
        <v>5</v>
      </c>
    </row>
    <row r="2140" spans="1:4" ht="15" customHeight="1" x14ac:dyDescent="0.25">
      <c r="A2140" s="2" t="str">
        <f>"02007000760"</f>
        <v>02007000760</v>
      </c>
      <c r="B2140" s="2" t="s">
        <v>2143</v>
      </c>
      <c r="C2140" s="2">
        <v>2040.53</v>
      </c>
      <c r="D2140" s="2" t="s">
        <v>5</v>
      </c>
    </row>
    <row r="2141" spans="1:4" ht="15" customHeight="1" x14ac:dyDescent="0.25">
      <c r="A2141" s="2" t="str">
        <f>"02015000620"</f>
        <v>02015000620</v>
      </c>
      <c r="B2141" s="2" t="s">
        <v>2144</v>
      </c>
      <c r="C2141" s="2">
        <v>658.47</v>
      </c>
      <c r="D2141" s="2" t="s">
        <v>5</v>
      </c>
    </row>
    <row r="2142" spans="1:4" ht="15" customHeight="1" x14ac:dyDescent="0.25">
      <c r="A2142" s="2" t="str">
        <f>"02015000630"</f>
        <v>02015000630</v>
      </c>
      <c r="B2142" s="2" t="s">
        <v>2145</v>
      </c>
      <c r="C2142" s="2">
        <v>788.33</v>
      </c>
      <c r="D2142" s="2" t="s">
        <v>5</v>
      </c>
    </row>
    <row r="2143" spans="1:4" ht="15" customHeight="1" x14ac:dyDescent="0.25">
      <c r="A2143" s="2" t="str">
        <f>"02015000625"</f>
        <v>02015000625</v>
      </c>
      <c r="B2143" s="2" t="s">
        <v>2146</v>
      </c>
      <c r="C2143" s="2">
        <v>2179.94</v>
      </c>
      <c r="D2143" s="2" t="s">
        <v>5</v>
      </c>
    </row>
    <row r="2144" spans="1:4" ht="15" customHeight="1" x14ac:dyDescent="0.25">
      <c r="A2144" s="2" t="str">
        <f>"02015000650"</f>
        <v>02015000650</v>
      </c>
      <c r="B2144" s="2" t="s">
        <v>2147</v>
      </c>
      <c r="C2144" s="2">
        <v>1026.74</v>
      </c>
      <c r="D2144" s="2" t="s">
        <v>5</v>
      </c>
    </row>
    <row r="2145" spans="1:4" ht="15" customHeight="1" x14ac:dyDescent="0.25">
      <c r="A2145" s="2" t="str">
        <f>"02015000635"</f>
        <v>02015000635</v>
      </c>
      <c r="B2145" s="2" t="s">
        <v>2148</v>
      </c>
      <c r="C2145" s="2">
        <v>834.24</v>
      </c>
      <c r="D2145" s="2" t="s">
        <v>5</v>
      </c>
    </row>
    <row r="2146" spans="1:4" ht="15" customHeight="1" x14ac:dyDescent="0.25">
      <c r="A2146" s="2" t="str">
        <f>"02015000660"</f>
        <v>02015000660</v>
      </c>
      <c r="B2146" s="2" t="s">
        <v>2149</v>
      </c>
      <c r="C2146" s="2">
        <v>1602.92</v>
      </c>
      <c r="D2146" s="2" t="s">
        <v>5</v>
      </c>
    </row>
    <row r="2147" spans="1:4" ht="15" customHeight="1" x14ac:dyDescent="0.25">
      <c r="A2147" s="2" t="str">
        <f>"02015000670"</f>
        <v>02015000670</v>
      </c>
      <c r="B2147" s="2" t="s">
        <v>2150</v>
      </c>
      <c r="C2147" s="2">
        <v>1802.3</v>
      </c>
      <c r="D2147" s="2" t="s">
        <v>5</v>
      </c>
    </row>
    <row r="2148" spans="1:4" ht="15" customHeight="1" x14ac:dyDescent="0.25">
      <c r="A2148" s="2" t="str">
        <f>"02015000680"</f>
        <v>02015000680</v>
      </c>
      <c r="B2148" s="2" t="s">
        <v>2151</v>
      </c>
      <c r="C2148" s="2">
        <v>2939.75</v>
      </c>
      <c r="D2148" s="2" t="s">
        <v>5</v>
      </c>
    </row>
    <row r="2149" spans="1:4" ht="15" customHeight="1" x14ac:dyDescent="0.25">
      <c r="A2149" s="2" t="str">
        <f>"02010000180"</f>
        <v>02010000180</v>
      </c>
      <c r="B2149" s="2" t="s">
        <v>2152</v>
      </c>
      <c r="C2149" s="2">
        <v>1753.85</v>
      </c>
      <c r="D2149" s="2" t="s">
        <v>5</v>
      </c>
    </row>
    <row r="2150" spans="1:4" ht="15" customHeight="1" x14ac:dyDescent="0.25">
      <c r="A2150" s="2" t="str">
        <f>"02010000185"</f>
        <v>02010000185</v>
      </c>
      <c r="B2150" s="2" t="s">
        <v>2153</v>
      </c>
      <c r="C2150" s="2">
        <v>2057.2399999999998</v>
      </c>
      <c r="D2150" s="2" t="s">
        <v>5</v>
      </c>
    </row>
    <row r="2151" spans="1:4" ht="15" customHeight="1" x14ac:dyDescent="0.25">
      <c r="A2151" s="2" t="str">
        <f>"02010000190"</f>
        <v>02010000190</v>
      </c>
      <c r="B2151" s="2" t="s">
        <v>2154</v>
      </c>
      <c r="C2151" s="2">
        <v>2207.0700000000002</v>
      </c>
      <c r="D2151" s="2" t="s">
        <v>5</v>
      </c>
    </row>
    <row r="2152" spans="1:4" ht="15" customHeight="1" x14ac:dyDescent="0.25">
      <c r="A2152" s="2" t="str">
        <f>"02010000195"</f>
        <v>02010000195</v>
      </c>
      <c r="B2152" s="2" t="s">
        <v>2155</v>
      </c>
      <c r="C2152" s="2">
        <v>2301.69</v>
      </c>
      <c r="D2152" s="2" t="s">
        <v>5</v>
      </c>
    </row>
    <row r="2153" spans="1:4" ht="15" customHeight="1" x14ac:dyDescent="0.25">
      <c r="A2153" s="2" t="str">
        <f>"02010000160"</f>
        <v>02010000160</v>
      </c>
      <c r="B2153" s="2" t="s">
        <v>2156</v>
      </c>
      <c r="C2153" s="2">
        <v>1396.73</v>
      </c>
      <c r="D2153" s="2" t="s">
        <v>5</v>
      </c>
    </row>
    <row r="2154" spans="1:4" ht="15" customHeight="1" x14ac:dyDescent="0.25">
      <c r="A2154" s="2" t="str">
        <f>"02010000170"</f>
        <v>02010000170</v>
      </c>
      <c r="B2154" s="2" t="s">
        <v>2157</v>
      </c>
      <c r="C2154" s="2">
        <v>1637.04</v>
      </c>
      <c r="D2154" s="2" t="s">
        <v>5</v>
      </c>
    </row>
    <row r="2155" spans="1:4" ht="15" customHeight="1" x14ac:dyDescent="0.25">
      <c r="A2155" s="2" t="str">
        <f>"02010000165"</f>
        <v>02010000165</v>
      </c>
      <c r="B2155" s="2" t="s">
        <v>2158</v>
      </c>
      <c r="C2155" s="2">
        <v>1488.92</v>
      </c>
      <c r="D2155" s="2" t="s">
        <v>5</v>
      </c>
    </row>
    <row r="2156" spans="1:4" ht="15" customHeight="1" x14ac:dyDescent="0.25">
      <c r="A2156" s="2" t="str">
        <f>"02010000150"</f>
        <v>02010000150</v>
      </c>
      <c r="B2156" s="2" t="s">
        <v>2159</v>
      </c>
      <c r="C2156" s="2">
        <v>1187.06</v>
      </c>
      <c r="D2156" s="2" t="s">
        <v>5</v>
      </c>
    </row>
    <row r="2157" spans="1:4" ht="15" customHeight="1" x14ac:dyDescent="0.25">
      <c r="A2157" s="2" t="str">
        <f>"02010000210"</f>
        <v>02010000210</v>
      </c>
      <c r="B2157" s="2" t="s">
        <v>2160</v>
      </c>
      <c r="C2157" s="2">
        <v>2524.1999999999998</v>
      </c>
      <c r="D2157" s="2" t="s">
        <v>5</v>
      </c>
    </row>
    <row r="2158" spans="1:4" ht="15" customHeight="1" x14ac:dyDescent="0.25">
      <c r="A2158" s="2" t="str">
        <f>"02010000175"</f>
        <v>02010000175</v>
      </c>
      <c r="B2158" s="2" t="s">
        <v>2161</v>
      </c>
      <c r="C2158" s="2">
        <v>1843.67</v>
      </c>
      <c r="D2158" s="2" t="s">
        <v>5</v>
      </c>
    </row>
    <row r="2159" spans="1:4" ht="15" customHeight="1" x14ac:dyDescent="0.25">
      <c r="A2159" s="2" t="str">
        <f>"02010000155"</f>
        <v>02010000155</v>
      </c>
      <c r="B2159" s="2" t="s">
        <v>2162</v>
      </c>
      <c r="C2159" s="2">
        <v>1305.48</v>
      </c>
      <c r="D2159" s="2" t="s">
        <v>5</v>
      </c>
    </row>
    <row r="2160" spans="1:4" ht="15" customHeight="1" x14ac:dyDescent="0.25">
      <c r="A2160" s="2" t="str">
        <f>"02010000145"</f>
        <v>02010000145</v>
      </c>
      <c r="B2160" s="2" t="s">
        <v>2163</v>
      </c>
      <c r="C2160" s="2">
        <v>1123.28</v>
      </c>
      <c r="D2160" s="2" t="s">
        <v>5</v>
      </c>
    </row>
    <row r="2161" spans="1:4" ht="15" customHeight="1" x14ac:dyDescent="0.25">
      <c r="A2161" s="2" t="str">
        <f>"02010000510"</f>
        <v>02010000510</v>
      </c>
      <c r="B2161" s="2" t="s">
        <v>2164</v>
      </c>
      <c r="C2161" s="2">
        <v>1466.57</v>
      </c>
      <c r="D2161" s="2" t="s">
        <v>5</v>
      </c>
    </row>
    <row r="2162" spans="1:4" ht="15" customHeight="1" x14ac:dyDescent="0.25">
      <c r="A2162" s="2" t="str">
        <f>"02010000520"</f>
        <v>02010000520</v>
      </c>
      <c r="B2162" s="2" t="s">
        <v>2165</v>
      </c>
      <c r="C2162" s="2">
        <v>1718.88</v>
      </c>
      <c r="D2162" s="2" t="s">
        <v>5</v>
      </c>
    </row>
    <row r="2163" spans="1:4" ht="15" customHeight="1" x14ac:dyDescent="0.25">
      <c r="A2163" s="2" t="str">
        <f>"02010000515"</f>
        <v>02010000515</v>
      </c>
      <c r="B2163" s="2" t="s">
        <v>2166</v>
      </c>
      <c r="C2163" s="2">
        <v>1563.35</v>
      </c>
      <c r="D2163" s="2" t="s">
        <v>5</v>
      </c>
    </row>
    <row r="2164" spans="1:4" ht="15" customHeight="1" x14ac:dyDescent="0.25">
      <c r="A2164" s="2" t="str">
        <f>"02010000500"</f>
        <v>02010000500</v>
      </c>
      <c r="B2164" s="2" t="s">
        <v>2167</v>
      </c>
      <c r="C2164" s="2">
        <v>1246.43</v>
      </c>
      <c r="D2164" s="2" t="s">
        <v>5</v>
      </c>
    </row>
    <row r="2165" spans="1:4" ht="15" customHeight="1" x14ac:dyDescent="0.25">
      <c r="A2165" s="2" t="str">
        <f>"02010000530"</f>
        <v>02010000530</v>
      </c>
      <c r="B2165" s="2" t="s">
        <v>2168</v>
      </c>
      <c r="C2165" s="2">
        <v>2650.43</v>
      </c>
      <c r="D2165" s="2" t="s">
        <v>5</v>
      </c>
    </row>
    <row r="2166" spans="1:4" ht="15" customHeight="1" x14ac:dyDescent="0.25">
      <c r="A2166" s="2" t="str">
        <f>"02010000525"</f>
        <v>02010000525</v>
      </c>
      <c r="B2166" s="2" t="s">
        <v>2169</v>
      </c>
      <c r="C2166" s="2">
        <v>1935.86</v>
      </c>
      <c r="D2166" s="2" t="s">
        <v>5</v>
      </c>
    </row>
    <row r="2167" spans="1:4" ht="15" customHeight="1" x14ac:dyDescent="0.25">
      <c r="A2167" s="2" t="str">
        <f>"02010000505"</f>
        <v>02010000505</v>
      </c>
      <c r="B2167" s="2" t="s">
        <v>2170</v>
      </c>
      <c r="C2167" s="2">
        <v>1370.76</v>
      </c>
      <c r="D2167" s="2" t="s">
        <v>5</v>
      </c>
    </row>
    <row r="2168" spans="1:4" ht="15" customHeight="1" x14ac:dyDescent="0.25">
      <c r="A2168" s="2" t="str">
        <f>"02010000310"</f>
        <v>02010000310</v>
      </c>
      <c r="B2168" s="2" t="s">
        <v>2171</v>
      </c>
      <c r="C2168" s="2">
        <v>1690.91</v>
      </c>
      <c r="D2168" s="2" t="s">
        <v>5</v>
      </c>
    </row>
    <row r="2169" spans="1:4" ht="15" customHeight="1" x14ac:dyDescent="0.25">
      <c r="A2169" s="2" t="str">
        <f>"02010000300"</f>
        <v>02010000300</v>
      </c>
      <c r="B2169" s="2" t="s">
        <v>2172</v>
      </c>
      <c r="C2169" s="2">
        <v>1336.23</v>
      </c>
      <c r="D2169" s="2" t="s">
        <v>5</v>
      </c>
    </row>
    <row r="2170" spans="1:4" ht="15" customHeight="1" x14ac:dyDescent="0.25">
      <c r="A2170" s="2" t="str">
        <f>"02010000305"</f>
        <v>02010000305</v>
      </c>
      <c r="B2170" s="2" t="s">
        <v>2173</v>
      </c>
      <c r="C2170" s="2">
        <v>1441.23</v>
      </c>
      <c r="D2170" s="2" t="s">
        <v>5</v>
      </c>
    </row>
    <row r="2171" spans="1:4" ht="15" customHeight="1" x14ac:dyDescent="0.25">
      <c r="A2171" s="2" t="str">
        <f>"08400002450"</f>
        <v>08400002450</v>
      </c>
      <c r="B2171" s="2" t="s">
        <v>2174</v>
      </c>
      <c r="C2171" s="2">
        <v>2.87</v>
      </c>
      <c r="D2171" s="2" t="s">
        <v>5</v>
      </c>
    </row>
    <row r="2172" spans="1:4" ht="15" customHeight="1" x14ac:dyDescent="0.25">
      <c r="A2172" s="2" t="str">
        <f>"08400002455"</f>
        <v>08400002455</v>
      </c>
      <c r="B2172" s="2" t="s">
        <v>2175</v>
      </c>
      <c r="C2172" s="2">
        <v>3.27</v>
      </c>
      <c r="D2172" s="2" t="s">
        <v>5</v>
      </c>
    </row>
    <row r="2173" spans="1:4" ht="15" customHeight="1" x14ac:dyDescent="0.25">
      <c r="A2173" s="2" t="str">
        <f>"03042000113"</f>
        <v>03042000113</v>
      </c>
      <c r="B2173" s="2" t="s">
        <v>2176</v>
      </c>
      <c r="C2173" s="2">
        <v>99367.19</v>
      </c>
      <c r="D2173" s="2" t="s">
        <v>5</v>
      </c>
    </row>
    <row r="2174" spans="1:4" ht="15" customHeight="1" x14ac:dyDescent="0.25">
      <c r="A2174" s="2" t="str">
        <f>"03050000141"</f>
        <v>03050000141</v>
      </c>
      <c r="B2174" s="2" t="s">
        <v>2177</v>
      </c>
      <c r="C2174" s="2">
        <v>736.43</v>
      </c>
      <c r="D2174" s="2" t="s">
        <v>5</v>
      </c>
    </row>
    <row r="2175" spans="1:4" ht="15" customHeight="1" x14ac:dyDescent="0.25">
      <c r="A2175" s="2" t="str">
        <f>"03050000142"</f>
        <v>03050000142</v>
      </c>
      <c r="B2175" s="2" t="s">
        <v>2178</v>
      </c>
      <c r="C2175" s="2">
        <v>640.37</v>
      </c>
      <c r="D2175" s="2" t="s">
        <v>5</v>
      </c>
    </row>
    <row r="2176" spans="1:4" ht="15" customHeight="1" x14ac:dyDescent="0.25">
      <c r="A2176" s="2" t="str">
        <f>"03050000181"</f>
        <v>03050000181</v>
      </c>
      <c r="B2176" s="2" t="s">
        <v>2179</v>
      </c>
      <c r="C2176" s="2">
        <v>640.37</v>
      </c>
      <c r="D2176" s="2" t="s">
        <v>5</v>
      </c>
    </row>
    <row r="2177" spans="1:4" ht="15" customHeight="1" x14ac:dyDescent="0.25">
      <c r="A2177" s="2" t="str">
        <f>"03050000191"</f>
        <v>03050000191</v>
      </c>
      <c r="B2177" s="2" t="s">
        <v>2180</v>
      </c>
      <c r="C2177" s="2">
        <v>640.37</v>
      </c>
      <c r="D2177" s="2" t="s">
        <v>5</v>
      </c>
    </row>
    <row r="2178" spans="1:4" ht="15" customHeight="1" x14ac:dyDescent="0.25">
      <c r="A2178" s="2" t="str">
        <f>"03050000121"</f>
        <v>03050000121</v>
      </c>
      <c r="B2178" s="2" t="s">
        <v>2181</v>
      </c>
      <c r="C2178" s="2">
        <v>816.68</v>
      </c>
      <c r="D2178" s="2" t="s">
        <v>5</v>
      </c>
    </row>
    <row r="2179" spans="1:4" ht="15" customHeight="1" x14ac:dyDescent="0.25">
      <c r="A2179" s="2" t="str">
        <f>"03050000150"</f>
        <v>03050000150</v>
      </c>
      <c r="B2179" s="2" t="s">
        <v>2182</v>
      </c>
      <c r="C2179" s="2">
        <v>643.34</v>
      </c>
      <c r="D2179" s="2" t="s">
        <v>5</v>
      </c>
    </row>
    <row r="2180" spans="1:4" ht="15" customHeight="1" x14ac:dyDescent="0.25">
      <c r="A2180" s="2" t="str">
        <f>"03042000117"</f>
        <v>03042000117</v>
      </c>
      <c r="B2180" s="2" t="s">
        <v>2183</v>
      </c>
      <c r="C2180" s="2">
        <v>99900.06</v>
      </c>
      <c r="D2180" s="2" t="s">
        <v>5</v>
      </c>
    </row>
    <row r="2181" spans="1:4" ht="15" customHeight="1" x14ac:dyDescent="0.25">
      <c r="A2181" s="2" t="str">
        <f>"03042000115"</f>
        <v>03042000115</v>
      </c>
      <c r="B2181" s="2" t="s">
        <v>2184</v>
      </c>
      <c r="C2181" s="2">
        <v>111102.99</v>
      </c>
      <c r="D2181" s="2" t="s">
        <v>5</v>
      </c>
    </row>
    <row r="2182" spans="1:4" ht="15" customHeight="1" x14ac:dyDescent="0.25">
      <c r="A2182" s="2" t="str">
        <f>"03042000112"</f>
        <v>03042000112</v>
      </c>
      <c r="B2182" s="2" t="s">
        <v>2185</v>
      </c>
      <c r="C2182" s="2">
        <v>95840.12</v>
      </c>
      <c r="D2182" s="2" t="s">
        <v>5</v>
      </c>
    </row>
    <row r="2183" spans="1:4" ht="15" customHeight="1" x14ac:dyDescent="0.25">
      <c r="A2183" s="2" t="str">
        <f>"03042000111"</f>
        <v>03042000111</v>
      </c>
      <c r="B2183" s="2" t="s">
        <v>2186</v>
      </c>
      <c r="C2183" s="2">
        <v>83711.03</v>
      </c>
      <c r="D2183" s="2" t="s">
        <v>5</v>
      </c>
    </row>
    <row r="2184" spans="1:4" ht="15" customHeight="1" x14ac:dyDescent="0.25">
      <c r="A2184" s="2" t="str">
        <f>"03042000122"</f>
        <v>03042000122</v>
      </c>
      <c r="B2184" s="2" t="s">
        <v>2187</v>
      </c>
      <c r="C2184" s="2">
        <v>90600.26</v>
      </c>
      <c r="D2184" s="2" t="s">
        <v>5</v>
      </c>
    </row>
    <row r="2185" spans="1:4" ht="15" customHeight="1" x14ac:dyDescent="0.25">
      <c r="A2185" s="2" t="str">
        <f>"06010000050"</f>
        <v>06010000050</v>
      </c>
      <c r="B2185" s="2" t="s">
        <v>2188</v>
      </c>
      <c r="C2185" s="2">
        <v>1378.65</v>
      </c>
      <c r="D2185" s="2" t="s">
        <v>5</v>
      </c>
    </row>
    <row r="2186" spans="1:4" ht="15" customHeight="1" x14ac:dyDescent="0.25">
      <c r="A2186" s="2" t="str">
        <f>"06010000860"</f>
        <v>06010000860</v>
      </c>
      <c r="B2186" s="2" t="s">
        <v>2189</v>
      </c>
      <c r="C2186" s="2">
        <v>3530.6</v>
      </c>
      <c r="D2186" s="2" t="s">
        <v>5</v>
      </c>
    </row>
    <row r="2187" spans="1:4" ht="15" customHeight="1" x14ac:dyDescent="0.25">
      <c r="A2187" s="2" t="str">
        <f>"06010000855"</f>
        <v>06010000855</v>
      </c>
      <c r="B2187" s="2" t="s">
        <v>2190</v>
      </c>
      <c r="C2187" s="2">
        <v>5360.6</v>
      </c>
      <c r="D2187" s="2" t="s">
        <v>5</v>
      </c>
    </row>
    <row r="2188" spans="1:4" ht="15" customHeight="1" x14ac:dyDescent="0.25">
      <c r="A2188" s="2" t="str">
        <f>"03010000165"</f>
        <v>03010000165</v>
      </c>
      <c r="B2188" s="2" t="s">
        <v>2191</v>
      </c>
      <c r="C2188" s="2">
        <v>1171.68</v>
      </c>
      <c r="D2188" s="2" t="s">
        <v>5</v>
      </c>
    </row>
    <row r="2189" spans="1:4" ht="15" customHeight="1" x14ac:dyDescent="0.25">
      <c r="A2189" s="2" t="str">
        <f>"03010000185"</f>
        <v>03010000185</v>
      </c>
      <c r="B2189" s="2" t="s">
        <v>2192</v>
      </c>
      <c r="C2189" s="2">
        <v>1296.18</v>
      </c>
      <c r="D2189" s="2" t="s">
        <v>5</v>
      </c>
    </row>
    <row r="2190" spans="1:4" ht="15" customHeight="1" x14ac:dyDescent="0.25">
      <c r="A2190" s="2" t="str">
        <f>"03010000175"</f>
        <v>03010000175</v>
      </c>
      <c r="B2190" s="2" t="s">
        <v>2193</v>
      </c>
      <c r="C2190" s="2">
        <v>1607.66</v>
      </c>
      <c r="D2190" s="2" t="s">
        <v>5</v>
      </c>
    </row>
    <row r="2191" spans="1:4" ht="15" customHeight="1" x14ac:dyDescent="0.25">
      <c r="A2191" s="2" t="str">
        <f>"03018607200"</f>
        <v>03018607200</v>
      </c>
      <c r="B2191" s="2" t="s">
        <v>2194</v>
      </c>
      <c r="C2191" s="2">
        <v>86.33</v>
      </c>
      <c r="D2191" s="2" t="s">
        <v>5</v>
      </c>
    </row>
    <row r="2192" spans="1:4" ht="15" customHeight="1" x14ac:dyDescent="0.25">
      <c r="A2192" s="2" t="str">
        <f>"03018607205"</f>
        <v>03018607205</v>
      </c>
      <c r="B2192" s="2" t="s">
        <v>2195</v>
      </c>
      <c r="C2192" s="2">
        <v>134.82</v>
      </c>
      <c r="D2192" s="2" t="s">
        <v>5</v>
      </c>
    </row>
    <row r="2193" spans="1:4" ht="15" customHeight="1" x14ac:dyDescent="0.25">
      <c r="A2193" s="2" t="str">
        <f>"05015000260"</f>
        <v>05015000260</v>
      </c>
      <c r="B2193" s="2" t="s">
        <v>2196</v>
      </c>
      <c r="C2193" s="2">
        <v>30.33</v>
      </c>
      <c r="D2193" s="2" t="s">
        <v>5</v>
      </c>
    </row>
    <row r="2194" spans="1:4" ht="15" customHeight="1" x14ac:dyDescent="0.25">
      <c r="A2194" s="2" t="str">
        <f>"05015000087"</f>
        <v>05015000087</v>
      </c>
      <c r="B2194" s="2" t="s">
        <v>2197</v>
      </c>
      <c r="C2194" s="2">
        <v>38.49</v>
      </c>
      <c r="D2194" s="2" t="s">
        <v>5</v>
      </c>
    </row>
    <row r="2195" spans="1:4" ht="15" customHeight="1" x14ac:dyDescent="0.25">
      <c r="A2195" s="2" t="str">
        <f>"05015000091"</f>
        <v>05015000091</v>
      </c>
      <c r="B2195" s="2" t="s">
        <v>2198</v>
      </c>
      <c r="C2195" s="2">
        <v>51.32</v>
      </c>
      <c r="D2195" s="2" t="s">
        <v>5</v>
      </c>
    </row>
    <row r="2196" spans="1:4" ht="15" customHeight="1" x14ac:dyDescent="0.25">
      <c r="A2196" s="2" t="str">
        <f>"05015000089"</f>
        <v>05015000089</v>
      </c>
      <c r="B2196" s="2" t="s">
        <v>2199</v>
      </c>
      <c r="C2196" s="2">
        <v>56.57</v>
      </c>
      <c r="D2196" s="2" t="s">
        <v>5</v>
      </c>
    </row>
    <row r="2197" spans="1:4" ht="15" customHeight="1" x14ac:dyDescent="0.25">
      <c r="A2197" s="2" t="str">
        <f>"05015000149"</f>
        <v>05015000149</v>
      </c>
      <c r="B2197" s="2" t="s">
        <v>2200</v>
      </c>
      <c r="C2197" s="2">
        <v>51.32</v>
      </c>
      <c r="D2197" s="2" t="s">
        <v>5</v>
      </c>
    </row>
    <row r="2198" spans="1:4" ht="15" customHeight="1" x14ac:dyDescent="0.25">
      <c r="A2198" s="2" t="str">
        <f>"05015000122"</f>
        <v>05015000122</v>
      </c>
      <c r="B2198" s="2" t="s">
        <v>2201</v>
      </c>
      <c r="C2198" s="2">
        <v>67.650000000000006</v>
      </c>
      <c r="D2198" s="2" t="s">
        <v>5</v>
      </c>
    </row>
    <row r="2199" spans="1:4" ht="15" customHeight="1" x14ac:dyDescent="0.25">
      <c r="A2199" s="2" t="str">
        <f>"05015000109"</f>
        <v>05015000109</v>
      </c>
      <c r="B2199" s="2" t="s">
        <v>2202</v>
      </c>
      <c r="C2199" s="2">
        <v>83.4</v>
      </c>
      <c r="D2199" s="2" t="s">
        <v>5</v>
      </c>
    </row>
    <row r="2200" spans="1:4" ht="15" customHeight="1" x14ac:dyDescent="0.25">
      <c r="A2200" s="2" t="str">
        <f>"05015000110"</f>
        <v>05015000110</v>
      </c>
      <c r="B2200" s="2" t="s">
        <v>2203</v>
      </c>
      <c r="C2200" s="2">
        <v>113.15</v>
      </c>
      <c r="D2200" s="2" t="s">
        <v>5</v>
      </c>
    </row>
    <row r="2201" spans="1:4" ht="15" customHeight="1" x14ac:dyDescent="0.25">
      <c r="A2201" s="2" t="str">
        <f>"05015000019"</f>
        <v>05015000019</v>
      </c>
      <c r="B2201" s="2" t="s">
        <v>2204</v>
      </c>
      <c r="C2201" s="2">
        <v>48.99</v>
      </c>
      <c r="D2201" s="2" t="s">
        <v>5</v>
      </c>
    </row>
    <row r="2202" spans="1:4" ht="15" customHeight="1" x14ac:dyDescent="0.25">
      <c r="A2202" s="2" t="str">
        <f>"05015000043"</f>
        <v>05015000043</v>
      </c>
      <c r="B2202" s="2" t="s">
        <v>2205</v>
      </c>
      <c r="C2202" s="2">
        <v>30.92</v>
      </c>
      <c r="D2202" s="2" t="s">
        <v>5</v>
      </c>
    </row>
    <row r="2203" spans="1:4" ht="15" customHeight="1" x14ac:dyDescent="0.25">
      <c r="A2203" s="2" t="str">
        <f>"05015000018"</f>
        <v>05015000018</v>
      </c>
      <c r="B2203" s="2" t="s">
        <v>2206</v>
      </c>
      <c r="C2203" s="2">
        <v>37.32</v>
      </c>
      <c r="D2203" s="2" t="s">
        <v>5</v>
      </c>
    </row>
    <row r="2204" spans="1:4" ht="15" customHeight="1" x14ac:dyDescent="0.25">
      <c r="A2204" s="2" t="str">
        <f>"05015000015"</f>
        <v>05015000015</v>
      </c>
      <c r="B2204" s="2" t="s">
        <v>2207</v>
      </c>
      <c r="C2204" s="2">
        <v>30.33</v>
      </c>
      <c r="D2204" s="2" t="s">
        <v>5</v>
      </c>
    </row>
    <row r="2205" spans="1:4" ht="15" customHeight="1" x14ac:dyDescent="0.25">
      <c r="A2205" s="2" t="str">
        <f>"05015000016"</f>
        <v>05015000016</v>
      </c>
      <c r="B2205" s="2" t="s">
        <v>2208</v>
      </c>
      <c r="C2205" s="2">
        <v>23.33</v>
      </c>
      <c r="D2205" s="2" t="s">
        <v>5</v>
      </c>
    </row>
    <row r="2206" spans="1:4" ht="15" customHeight="1" x14ac:dyDescent="0.25">
      <c r="A2206" s="2" t="str">
        <f>"05015000020"</f>
        <v>05015000020</v>
      </c>
      <c r="B2206" s="2" t="s">
        <v>2209</v>
      </c>
      <c r="C2206" s="2">
        <v>96.23</v>
      </c>
      <c r="D2206" s="2" t="s">
        <v>5</v>
      </c>
    </row>
    <row r="2207" spans="1:4" ht="15" customHeight="1" x14ac:dyDescent="0.25">
      <c r="A2207" s="2" t="str">
        <f>"05015000021"</f>
        <v>05015000021</v>
      </c>
      <c r="B2207" s="2" t="s">
        <v>2210</v>
      </c>
      <c r="C2207" s="2">
        <v>124.22</v>
      </c>
      <c r="D2207" s="2" t="s">
        <v>5</v>
      </c>
    </row>
    <row r="2208" spans="1:4" ht="15" customHeight="1" x14ac:dyDescent="0.25">
      <c r="A2208" s="2" t="str">
        <f>"05015000022"</f>
        <v>05015000022</v>
      </c>
      <c r="B2208" s="2" t="s">
        <v>2211</v>
      </c>
      <c r="C2208" s="2">
        <v>184.88</v>
      </c>
      <c r="D2208" s="2" t="s">
        <v>5</v>
      </c>
    </row>
    <row r="2209" spans="1:4" ht="15" customHeight="1" x14ac:dyDescent="0.25">
      <c r="A2209" s="2" t="str">
        <f>"03047600080"</f>
        <v>03047600080</v>
      </c>
      <c r="B2209" s="2" t="s">
        <v>2212</v>
      </c>
      <c r="C2209" s="2">
        <v>34.01</v>
      </c>
      <c r="D2209" s="2" t="s">
        <v>5</v>
      </c>
    </row>
    <row r="2210" spans="1:4" ht="15" customHeight="1" x14ac:dyDescent="0.25">
      <c r="A2210" s="2" t="str">
        <f>"03047600060"</f>
        <v>03047600060</v>
      </c>
      <c r="B2210" s="2" t="s">
        <v>2213</v>
      </c>
      <c r="C2210" s="2">
        <v>25.2</v>
      </c>
      <c r="D2210" s="2" t="s">
        <v>5</v>
      </c>
    </row>
    <row r="2211" spans="1:4" ht="15" customHeight="1" x14ac:dyDescent="0.25">
      <c r="A2211" s="2" t="str">
        <f>"03047600055"</f>
        <v>03047600055</v>
      </c>
      <c r="B2211" s="2" t="s">
        <v>2214</v>
      </c>
      <c r="C2211" s="2">
        <v>21.51</v>
      </c>
      <c r="D2211" s="2" t="s">
        <v>5</v>
      </c>
    </row>
    <row r="2212" spans="1:4" ht="15" customHeight="1" x14ac:dyDescent="0.25">
      <c r="A2212" s="2" t="str">
        <f>"05015000006"</f>
        <v>05015000006</v>
      </c>
      <c r="B2212" s="2" t="s">
        <v>2215</v>
      </c>
      <c r="C2212" s="2">
        <v>82.82</v>
      </c>
      <c r="D2212" s="2" t="s">
        <v>5</v>
      </c>
    </row>
    <row r="2213" spans="1:4" ht="15" customHeight="1" x14ac:dyDescent="0.25">
      <c r="A2213" s="2" t="str">
        <f>"05015000008"</f>
        <v>05015000008</v>
      </c>
      <c r="B2213" s="2" t="s">
        <v>2216</v>
      </c>
      <c r="C2213" s="2">
        <v>170.88</v>
      </c>
      <c r="D2213" s="2" t="s">
        <v>5</v>
      </c>
    </row>
    <row r="2214" spans="1:4" ht="15" customHeight="1" x14ac:dyDescent="0.25">
      <c r="A2214" s="2" t="str">
        <f>"05015000005"</f>
        <v>05015000005</v>
      </c>
      <c r="B2214" s="2" t="s">
        <v>2217</v>
      </c>
      <c r="C2214" s="2">
        <v>54.24</v>
      </c>
      <c r="D2214" s="2" t="s">
        <v>5</v>
      </c>
    </row>
    <row r="2215" spans="1:4" ht="15" customHeight="1" x14ac:dyDescent="0.25">
      <c r="A2215" s="2" t="str">
        <f>"03047600095"</f>
        <v>03047600095</v>
      </c>
      <c r="B2215" s="2" t="s">
        <v>2218</v>
      </c>
      <c r="C2215" s="2">
        <v>57.29</v>
      </c>
      <c r="D2215" s="2" t="s">
        <v>5</v>
      </c>
    </row>
    <row r="2216" spans="1:4" ht="15" customHeight="1" x14ac:dyDescent="0.25">
      <c r="A2216" s="2" t="str">
        <f>"05015000148"</f>
        <v>05015000148</v>
      </c>
      <c r="B2216" s="2" t="s">
        <v>2219</v>
      </c>
      <c r="C2216" s="2">
        <v>56.57</v>
      </c>
      <c r="D2216" s="2" t="s">
        <v>5</v>
      </c>
    </row>
    <row r="2217" spans="1:4" ht="15" customHeight="1" x14ac:dyDescent="0.25">
      <c r="A2217" s="2" t="str">
        <f>"05015000040"</f>
        <v>05015000040</v>
      </c>
      <c r="B2217" s="2" t="s">
        <v>2220</v>
      </c>
      <c r="C2217" s="2">
        <v>27.99</v>
      </c>
      <c r="D2217" s="2" t="s">
        <v>5</v>
      </c>
    </row>
    <row r="2218" spans="1:4" ht="15" customHeight="1" x14ac:dyDescent="0.25">
      <c r="A2218" s="2" t="str">
        <f>"05015000041"</f>
        <v>05015000041</v>
      </c>
      <c r="B2218" s="2" t="s">
        <v>2221</v>
      </c>
      <c r="C2218" s="2">
        <v>39.08</v>
      </c>
      <c r="D2218" s="2" t="s">
        <v>5</v>
      </c>
    </row>
    <row r="2219" spans="1:4" ht="15" customHeight="1" x14ac:dyDescent="0.25">
      <c r="A2219" s="2" t="str">
        <f>"05015000527"</f>
        <v>05015000527</v>
      </c>
      <c r="B2219" s="2" t="s">
        <v>2222</v>
      </c>
      <c r="C2219" s="2">
        <v>43.16</v>
      </c>
      <c r="D2219" s="2" t="s">
        <v>5</v>
      </c>
    </row>
    <row r="2220" spans="1:4" ht="15" customHeight="1" x14ac:dyDescent="0.25">
      <c r="A2220" s="2" t="str">
        <f>"05015000526"</f>
        <v>05015000526</v>
      </c>
      <c r="B2220" s="2" t="s">
        <v>2223</v>
      </c>
      <c r="C2220" s="2">
        <v>37.909999999999997</v>
      </c>
      <c r="D2220" s="2" t="s">
        <v>5</v>
      </c>
    </row>
    <row r="2221" spans="1:4" ht="15" customHeight="1" x14ac:dyDescent="0.25">
      <c r="A2221" s="2" t="str">
        <f>"05015000186"</f>
        <v>05015000186</v>
      </c>
      <c r="B2221" s="2" t="s">
        <v>2224</v>
      </c>
      <c r="C2221" s="2">
        <v>44.91</v>
      </c>
      <c r="D2221" s="2" t="s">
        <v>5</v>
      </c>
    </row>
    <row r="2222" spans="1:4" ht="15" customHeight="1" x14ac:dyDescent="0.25">
      <c r="A2222" s="2" t="str">
        <f>"05015000144"</f>
        <v>05015000144</v>
      </c>
      <c r="B2222" s="2" t="s">
        <v>2225</v>
      </c>
      <c r="C2222" s="2">
        <v>50.75</v>
      </c>
      <c r="D2222" s="2" t="s">
        <v>5</v>
      </c>
    </row>
    <row r="2223" spans="1:4" ht="15" customHeight="1" x14ac:dyDescent="0.25">
      <c r="A2223" s="2" t="str">
        <f>"05015000185"</f>
        <v>05015000185</v>
      </c>
      <c r="B2223" s="2" t="s">
        <v>2226</v>
      </c>
      <c r="C2223" s="2">
        <v>39.08</v>
      </c>
      <c r="D2223" s="2" t="s">
        <v>5</v>
      </c>
    </row>
    <row r="2224" spans="1:4" ht="15" customHeight="1" x14ac:dyDescent="0.25">
      <c r="A2224" s="2" t="str">
        <f>"03005000024"</f>
        <v>03005000024</v>
      </c>
      <c r="B2224" s="2" t="s">
        <v>2227</v>
      </c>
      <c r="C2224" s="2">
        <v>14227.2</v>
      </c>
      <c r="D2224" s="2" t="s">
        <v>5</v>
      </c>
    </row>
    <row r="2225" spans="1:4" ht="15" customHeight="1" x14ac:dyDescent="0.25">
      <c r="A2225" s="2" t="str">
        <f>"03005000030"</f>
        <v>03005000030</v>
      </c>
      <c r="B2225" s="2" t="s">
        <v>2228</v>
      </c>
      <c r="C2225" s="2">
        <v>11439.36</v>
      </c>
      <c r="D2225" s="2" t="s">
        <v>5</v>
      </c>
    </row>
    <row r="2226" spans="1:4" ht="15" customHeight="1" x14ac:dyDescent="0.25">
      <c r="A2226" s="2" t="str">
        <f>"03005000023"</f>
        <v>03005000023</v>
      </c>
      <c r="B2226" s="2" t="s">
        <v>2229</v>
      </c>
      <c r="C2226" s="2">
        <v>3619.2</v>
      </c>
      <c r="D2226" s="2" t="s">
        <v>5</v>
      </c>
    </row>
    <row r="2227" spans="1:4" ht="15" customHeight="1" x14ac:dyDescent="0.25">
      <c r="A2227" s="2" t="str">
        <f>"03005000022"</f>
        <v>03005000022</v>
      </c>
      <c r="B2227" s="2" t="s">
        <v>2230</v>
      </c>
      <c r="C2227" s="2">
        <v>1485</v>
      </c>
      <c r="D2227" s="2" t="s">
        <v>5</v>
      </c>
    </row>
    <row r="2228" spans="1:4" ht="15" customHeight="1" x14ac:dyDescent="0.25">
      <c r="A2228" s="2" t="str">
        <f>"09910000025"</f>
        <v>09910000025</v>
      </c>
      <c r="B2228" s="2" t="s">
        <v>2231</v>
      </c>
      <c r="C2228" s="2">
        <v>4783.1400000000003</v>
      </c>
      <c r="D2228" s="2" t="s">
        <v>5</v>
      </c>
    </row>
    <row r="2229" spans="1:4" ht="15" customHeight="1" x14ac:dyDescent="0.25">
      <c r="A2229" s="2" t="str">
        <f>"09910000030"</f>
        <v>09910000030</v>
      </c>
      <c r="B2229" s="2" t="s">
        <v>2232</v>
      </c>
      <c r="C2229" s="2">
        <v>4783.1400000000003</v>
      </c>
      <c r="D2229" s="2" t="s">
        <v>5</v>
      </c>
    </row>
    <row r="2230" spans="1:4" ht="15" customHeight="1" x14ac:dyDescent="0.25">
      <c r="A2230" s="2" t="str">
        <f>"03011600141"</f>
        <v>03011600141</v>
      </c>
      <c r="B2230" s="2" t="s">
        <v>2233</v>
      </c>
      <c r="C2230" s="2">
        <v>3338.13</v>
      </c>
      <c r="D2230" s="2" t="s">
        <v>5</v>
      </c>
    </row>
    <row r="2231" spans="1:4" ht="15" customHeight="1" x14ac:dyDescent="0.25">
      <c r="A2231" s="2" t="str">
        <f>"03011600132"</f>
        <v>03011600132</v>
      </c>
      <c r="B2231" s="2" t="s">
        <v>2234</v>
      </c>
      <c r="C2231" s="2">
        <v>1464.84</v>
      </c>
      <c r="D2231" s="2" t="s">
        <v>5</v>
      </c>
    </row>
    <row r="2232" spans="1:4" ht="15" customHeight="1" x14ac:dyDescent="0.25">
      <c r="A2232" s="2" t="str">
        <f>"03011600137"</f>
        <v>03011600137</v>
      </c>
      <c r="B2232" s="2" t="s">
        <v>2235</v>
      </c>
      <c r="C2232" s="2">
        <v>1681.53</v>
      </c>
      <c r="D2232" s="2" t="s">
        <v>5</v>
      </c>
    </row>
    <row r="2233" spans="1:4" ht="15" customHeight="1" x14ac:dyDescent="0.25">
      <c r="A2233" s="2" t="str">
        <f>"06050000500"</f>
        <v>06050000500</v>
      </c>
      <c r="B2233" s="2" t="s">
        <v>2236</v>
      </c>
      <c r="C2233" s="2">
        <v>37258.47</v>
      </c>
      <c r="D2233" s="2" t="s">
        <v>5</v>
      </c>
    </row>
    <row r="2234" spans="1:4" ht="15" customHeight="1" x14ac:dyDescent="0.25">
      <c r="A2234" s="2" t="str">
        <f>"03062000071"</f>
        <v>03062000071</v>
      </c>
      <c r="B2234" s="2" t="s">
        <v>2237</v>
      </c>
      <c r="C2234" s="2">
        <v>274.70999999999998</v>
      </c>
      <c r="D2234" s="2" t="s">
        <v>5</v>
      </c>
    </row>
    <row r="2235" spans="1:4" ht="15" customHeight="1" x14ac:dyDescent="0.25">
      <c r="A2235" s="2" t="str">
        <f>"03010000225"</f>
        <v>03010000225</v>
      </c>
      <c r="B2235" s="2" t="s">
        <v>2238</v>
      </c>
      <c r="C2235" s="2">
        <v>214.22</v>
      </c>
      <c r="D2235" s="2" t="s">
        <v>5</v>
      </c>
    </row>
    <row r="2236" spans="1:4" ht="15" customHeight="1" x14ac:dyDescent="0.25">
      <c r="A2236" s="2" t="str">
        <f>"03062000081"</f>
        <v>03062000081</v>
      </c>
      <c r="B2236" s="2" t="s">
        <v>2239</v>
      </c>
      <c r="C2236" s="2">
        <v>274.70999999999998</v>
      </c>
      <c r="D2236" s="2" t="s">
        <v>5</v>
      </c>
    </row>
    <row r="2237" spans="1:4" ht="15" customHeight="1" x14ac:dyDescent="0.25">
      <c r="A2237" s="2" t="str">
        <f>"03010000205"</f>
        <v>03010000205</v>
      </c>
      <c r="B2237" s="2" t="s">
        <v>2240</v>
      </c>
      <c r="C2237" s="2">
        <v>214.22</v>
      </c>
      <c r="D2237" s="2" t="s">
        <v>5</v>
      </c>
    </row>
    <row r="2238" spans="1:4" ht="15" customHeight="1" x14ac:dyDescent="0.25">
      <c r="A2238" s="2" t="str">
        <f>"03062000091"</f>
        <v>03062000091</v>
      </c>
      <c r="B2238" s="2" t="s">
        <v>2241</v>
      </c>
      <c r="C2238" s="2">
        <v>274.70999999999998</v>
      </c>
      <c r="D2238" s="2" t="s">
        <v>5</v>
      </c>
    </row>
    <row r="2239" spans="1:4" ht="15" customHeight="1" x14ac:dyDescent="0.25">
      <c r="A2239" s="2" t="str">
        <f>"03010000215"</f>
        <v>03010000215</v>
      </c>
      <c r="B2239" s="2" t="s">
        <v>2242</v>
      </c>
      <c r="C2239" s="2">
        <v>214.22</v>
      </c>
      <c r="D2239" s="2" t="s">
        <v>5</v>
      </c>
    </row>
    <row r="2240" spans="1:4" ht="15" customHeight="1" x14ac:dyDescent="0.25">
      <c r="A2240" s="2" t="str">
        <f>"03062000110"</f>
        <v>03062000110</v>
      </c>
      <c r="B2240" s="2" t="s">
        <v>2243</v>
      </c>
      <c r="C2240" s="2">
        <v>33.69</v>
      </c>
      <c r="D2240" s="2" t="s">
        <v>5</v>
      </c>
    </row>
    <row r="2241" spans="1:4" ht="15" customHeight="1" x14ac:dyDescent="0.25">
      <c r="A2241" s="2" t="str">
        <f>"03062000100"</f>
        <v>03062000100</v>
      </c>
      <c r="B2241" s="2" t="s">
        <v>2244</v>
      </c>
      <c r="C2241" s="2">
        <v>33.69</v>
      </c>
      <c r="D2241" s="2" t="s">
        <v>5</v>
      </c>
    </row>
    <row r="2242" spans="1:4" ht="15" customHeight="1" x14ac:dyDescent="0.25">
      <c r="A2242" s="2" t="str">
        <f>"03062000105"</f>
        <v>03062000105</v>
      </c>
      <c r="B2242" s="2" t="s">
        <v>2245</v>
      </c>
      <c r="C2242" s="2">
        <v>33.69</v>
      </c>
      <c r="D2242" s="2" t="s">
        <v>5</v>
      </c>
    </row>
    <row r="2243" spans="1:4" ht="15" customHeight="1" x14ac:dyDescent="0.25">
      <c r="A2243" s="2" t="str">
        <f>"09910000080"</f>
        <v>09910000080</v>
      </c>
      <c r="B2243" s="2" t="s">
        <v>2246</v>
      </c>
      <c r="C2243" s="2">
        <v>1053.05</v>
      </c>
      <c r="D2243" s="2" t="s">
        <v>5</v>
      </c>
    </row>
    <row r="2244" spans="1:4" ht="15" customHeight="1" x14ac:dyDescent="0.25">
      <c r="A2244" s="2" t="str">
        <f>"05010000404"</f>
        <v>05010000404</v>
      </c>
      <c r="B2244" s="2" t="s">
        <v>2247</v>
      </c>
      <c r="C2244" s="2">
        <v>922.16</v>
      </c>
      <c r="D2244" s="2" t="s">
        <v>5</v>
      </c>
    </row>
    <row r="2245" spans="1:4" ht="15" customHeight="1" x14ac:dyDescent="0.25">
      <c r="A2245" s="2" t="str">
        <f>"05010000402"</f>
        <v>05010000402</v>
      </c>
      <c r="B2245" s="2" t="s">
        <v>2248</v>
      </c>
      <c r="C2245" s="2">
        <v>2194.7600000000002</v>
      </c>
      <c r="D2245" s="2" t="s">
        <v>5</v>
      </c>
    </row>
    <row r="2246" spans="1:4" ht="15" customHeight="1" x14ac:dyDescent="0.25">
      <c r="A2246" s="2" t="str">
        <f>"09910000065"</f>
        <v>09910000065</v>
      </c>
      <c r="B2246" s="2" t="s">
        <v>2249</v>
      </c>
      <c r="C2246" s="2">
        <v>4153.5600000000004</v>
      </c>
      <c r="D2246" s="2" t="s">
        <v>5</v>
      </c>
    </row>
    <row r="2247" spans="1:4" ht="15" customHeight="1" x14ac:dyDescent="0.25">
      <c r="A2247" s="2" t="str">
        <f>"09910000060"</f>
        <v>09910000060</v>
      </c>
      <c r="B2247" s="2" t="s">
        <v>2250</v>
      </c>
      <c r="C2247" s="2">
        <v>11958.6</v>
      </c>
      <c r="D2247" s="2" t="s">
        <v>5</v>
      </c>
    </row>
    <row r="2248" spans="1:4" ht="15" customHeight="1" x14ac:dyDescent="0.25">
      <c r="A2248" s="2" t="str">
        <f>"09910000075"</f>
        <v>09910000075</v>
      </c>
      <c r="B2248" s="2" t="s">
        <v>2251</v>
      </c>
      <c r="C2248" s="2">
        <v>938.87</v>
      </c>
      <c r="D2248" s="2" t="s">
        <v>5</v>
      </c>
    </row>
    <row r="2249" spans="1:4" ht="15" customHeight="1" x14ac:dyDescent="0.25">
      <c r="A2249" s="2" t="str">
        <f>"09910000070"</f>
        <v>09910000070</v>
      </c>
      <c r="B2249" s="2" t="s">
        <v>2252</v>
      </c>
      <c r="C2249" s="2">
        <v>1053.05</v>
      </c>
      <c r="D2249" s="2" t="s">
        <v>5</v>
      </c>
    </row>
    <row r="2250" spans="1:4" ht="15" customHeight="1" x14ac:dyDescent="0.25">
      <c r="A2250" s="2" t="str">
        <f>"03018100090"</f>
        <v>03018100090</v>
      </c>
      <c r="B2250" s="2" t="s">
        <v>2253</v>
      </c>
      <c r="C2250" s="2">
        <v>1497.12</v>
      </c>
      <c r="D2250" s="2" t="s">
        <v>5</v>
      </c>
    </row>
    <row r="2251" spans="1:4" ht="15" customHeight="1" x14ac:dyDescent="0.25">
      <c r="A2251" s="2" t="str">
        <f>"03018100102"</f>
        <v>03018100102</v>
      </c>
      <c r="B2251" s="2" t="s">
        <v>2254</v>
      </c>
      <c r="C2251" s="2">
        <v>3856.95</v>
      </c>
      <c r="D2251" s="2" t="s">
        <v>5</v>
      </c>
    </row>
    <row r="2252" spans="1:4" ht="15" customHeight="1" x14ac:dyDescent="0.25">
      <c r="A2252" s="2" t="str">
        <f>"03018100100"</f>
        <v>03018100100</v>
      </c>
      <c r="B2252" s="2" t="s">
        <v>2255</v>
      </c>
      <c r="C2252" s="2">
        <v>1966.53</v>
      </c>
      <c r="D2252" s="2" t="s">
        <v>5</v>
      </c>
    </row>
    <row r="2253" spans="1:4" ht="15" customHeight="1" x14ac:dyDescent="0.25">
      <c r="A2253" s="2" t="str">
        <f>"03018100103"</f>
        <v>03018100103</v>
      </c>
      <c r="B2253" s="2" t="s">
        <v>2256</v>
      </c>
      <c r="C2253" s="2">
        <v>4136.0600000000004</v>
      </c>
      <c r="D2253" s="2" t="s">
        <v>5</v>
      </c>
    </row>
    <row r="2254" spans="1:4" ht="15" customHeight="1" x14ac:dyDescent="0.25">
      <c r="A2254" s="2" t="str">
        <f>"03018100101"</f>
        <v>03018100101</v>
      </c>
      <c r="B2254" s="2" t="s">
        <v>2257</v>
      </c>
      <c r="C2254" s="2">
        <v>1776.23</v>
      </c>
      <c r="D2254" s="2" t="s">
        <v>5</v>
      </c>
    </row>
    <row r="2255" spans="1:4" ht="15" customHeight="1" x14ac:dyDescent="0.25">
      <c r="A2255" s="2" t="str">
        <f>"03015000061"</f>
        <v>03015000061</v>
      </c>
      <c r="B2255" s="2" t="s">
        <v>2258</v>
      </c>
      <c r="C2255" s="2">
        <v>921.6</v>
      </c>
      <c r="D2255" s="2" t="s">
        <v>5</v>
      </c>
    </row>
    <row r="2256" spans="1:4" ht="15" customHeight="1" x14ac:dyDescent="0.25">
      <c r="A2256" s="2" t="str">
        <f>"03057000010"</f>
        <v>03057000010</v>
      </c>
      <c r="B2256" s="2" t="s">
        <v>2259</v>
      </c>
      <c r="C2256" s="2">
        <v>38414.51</v>
      </c>
      <c r="D2256" s="2" t="s">
        <v>5</v>
      </c>
    </row>
    <row r="2257" spans="1:4" ht="15" customHeight="1" x14ac:dyDescent="0.25">
      <c r="A2257" s="2" t="str">
        <f>"03057000020"</f>
        <v>03057000020</v>
      </c>
      <c r="B2257" s="2" t="s">
        <v>2260</v>
      </c>
      <c r="C2257" s="2">
        <v>45193.55</v>
      </c>
      <c r="D2257" s="2" t="s">
        <v>5</v>
      </c>
    </row>
    <row r="2258" spans="1:4" ht="15" customHeight="1" x14ac:dyDescent="0.25">
      <c r="A2258" s="2" t="str">
        <f>"02010000400"</f>
        <v>02010000400</v>
      </c>
      <c r="B2258" s="2" t="s">
        <v>2261</v>
      </c>
      <c r="C2258" s="2">
        <v>3.11</v>
      </c>
      <c r="D2258" s="2" t="s">
        <v>5</v>
      </c>
    </row>
    <row r="2259" spans="1:4" ht="15" customHeight="1" x14ac:dyDescent="0.25">
      <c r="A2259" s="2" t="str">
        <f>"05022000731"</f>
        <v>05022000731</v>
      </c>
      <c r="B2259" s="2" t="s">
        <v>2262</v>
      </c>
      <c r="C2259" s="2">
        <v>406.44</v>
      </c>
      <c r="D2259" s="2" t="s">
        <v>5</v>
      </c>
    </row>
    <row r="2260" spans="1:4" ht="15" customHeight="1" x14ac:dyDescent="0.25">
      <c r="A2260" s="2" t="str">
        <f>"05015000528"</f>
        <v>05015000528</v>
      </c>
      <c r="B2260" s="2" t="s">
        <v>2263</v>
      </c>
      <c r="C2260" s="2">
        <v>42.57</v>
      </c>
      <c r="D2260" s="2" t="s">
        <v>5</v>
      </c>
    </row>
    <row r="2261" spans="1:4" ht="15" customHeight="1" x14ac:dyDescent="0.25">
      <c r="A2261" s="2" t="str">
        <f>"05015000529"</f>
        <v>05015000529</v>
      </c>
      <c r="B2261" s="2" t="s">
        <v>2264</v>
      </c>
      <c r="C2261" s="2">
        <v>57.15</v>
      </c>
      <c r="D2261" s="2" t="s">
        <v>5</v>
      </c>
    </row>
    <row r="2262" spans="1:4" ht="15" customHeight="1" x14ac:dyDescent="0.25">
      <c r="A2262" s="2" t="str">
        <f>"05015000213"</f>
        <v>05015000213</v>
      </c>
      <c r="B2262" s="2" t="s">
        <v>2265</v>
      </c>
      <c r="C2262" s="2">
        <v>31.5</v>
      </c>
      <c r="D2262" s="2" t="s">
        <v>5</v>
      </c>
    </row>
    <row r="2263" spans="1:4" ht="15" customHeight="1" x14ac:dyDescent="0.25">
      <c r="A2263" s="2" t="str">
        <f>"05022000735"</f>
        <v>05022000735</v>
      </c>
      <c r="B2263" s="2" t="s">
        <v>2266</v>
      </c>
      <c r="C2263" s="2">
        <v>690.66</v>
      </c>
      <c r="D2263" s="2" t="s">
        <v>5</v>
      </c>
    </row>
    <row r="2264" spans="1:4" ht="15" customHeight="1" x14ac:dyDescent="0.25">
      <c r="A2264" s="2" t="str">
        <f>"05015000132"</f>
        <v>05015000132</v>
      </c>
      <c r="B2264" s="2" t="s">
        <v>2267</v>
      </c>
      <c r="C2264" s="2">
        <v>35.58</v>
      </c>
      <c r="D2264" s="2" t="s">
        <v>5</v>
      </c>
    </row>
    <row r="2265" spans="1:4" ht="15" customHeight="1" x14ac:dyDescent="0.25">
      <c r="A2265" s="2" t="str">
        <f>"05015000164"</f>
        <v>05015000164</v>
      </c>
      <c r="B2265" s="2" t="s">
        <v>2268</v>
      </c>
      <c r="C2265" s="2">
        <v>32.659999999999997</v>
      </c>
      <c r="D2265" s="2" t="s">
        <v>5</v>
      </c>
    </row>
    <row r="2266" spans="1:4" ht="15" customHeight="1" x14ac:dyDescent="0.25">
      <c r="A2266" s="2" t="str">
        <f>"05015000065"</f>
        <v>05015000065</v>
      </c>
      <c r="B2266" s="2" t="s">
        <v>2269</v>
      </c>
      <c r="C2266" s="2">
        <v>23.34</v>
      </c>
      <c r="D2266" s="2" t="s">
        <v>5</v>
      </c>
    </row>
    <row r="2267" spans="1:4" ht="15" customHeight="1" x14ac:dyDescent="0.25">
      <c r="A2267" s="2" t="str">
        <f>"05015000066"</f>
        <v>05015000066</v>
      </c>
      <c r="B2267" s="2" t="s">
        <v>2270</v>
      </c>
      <c r="C2267" s="2">
        <v>27.27</v>
      </c>
      <c r="D2267" s="2" t="s">
        <v>5</v>
      </c>
    </row>
    <row r="2268" spans="1:4" ht="15" customHeight="1" x14ac:dyDescent="0.25">
      <c r="A2268" s="2" t="str">
        <f>"05022000985"</f>
        <v>05022000985</v>
      </c>
      <c r="B2268" s="2" t="s">
        <v>2271</v>
      </c>
      <c r="C2268" s="2">
        <v>280.25</v>
      </c>
      <c r="D2268" s="2" t="s">
        <v>5</v>
      </c>
    </row>
    <row r="2269" spans="1:4" ht="15" customHeight="1" x14ac:dyDescent="0.25">
      <c r="A2269" s="2" t="str">
        <f>"05015000227"</f>
        <v>05015000227</v>
      </c>
      <c r="B2269" s="2" t="s">
        <v>2272</v>
      </c>
      <c r="C2269" s="2">
        <v>81.650000000000006</v>
      </c>
      <c r="D2269" s="2" t="s">
        <v>5</v>
      </c>
    </row>
    <row r="2270" spans="1:4" ht="15" customHeight="1" x14ac:dyDescent="0.25">
      <c r="A2270" s="2" t="str">
        <f>"03017700121"</f>
        <v>03017700121</v>
      </c>
      <c r="B2270" s="2" t="s">
        <v>2273</v>
      </c>
      <c r="C2270" s="2">
        <v>539.01</v>
      </c>
      <c r="D2270" s="2" t="s">
        <v>5</v>
      </c>
    </row>
    <row r="2271" spans="1:4" ht="15" customHeight="1" x14ac:dyDescent="0.25">
      <c r="A2271" s="2" t="str">
        <f>"03017700122"</f>
        <v>03017700122</v>
      </c>
      <c r="B2271" s="2" t="s">
        <v>2274</v>
      </c>
      <c r="C2271" s="2">
        <v>539.01</v>
      </c>
      <c r="D2271" s="2" t="s">
        <v>5</v>
      </c>
    </row>
    <row r="2272" spans="1:4" ht="15" customHeight="1" x14ac:dyDescent="0.25">
      <c r="A2272" s="2" t="str">
        <f>"05022000730"</f>
        <v>05022000730</v>
      </c>
      <c r="B2272" s="2" t="s">
        <v>2275</v>
      </c>
      <c r="C2272" s="2">
        <v>1359.03</v>
      </c>
      <c r="D2272" s="2" t="s">
        <v>5</v>
      </c>
    </row>
    <row r="2273" spans="1:4" ht="15" customHeight="1" x14ac:dyDescent="0.25">
      <c r="A2273" s="2" t="str">
        <f>"05021000105"</f>
        <v>05021000105</v>
      </c>
      <c r="B2273" s="2" t="s">
        <v>2276</v>
      </c>
      <c r="C2273" s="2">
        <v>804.48</v>
      </c>
      <c r="D2273" s="2" t="s">
        <v>5</v>
      </c>
    </row>
    <row r="2274" spans="1:4" ht="15" customHeight="1" x14ac:dyDescent="0.25">
      <c r="A2274" s="2" t="str">
        <f>"05015000205"</f>
        <v>05015000205</v>
      </c>
      <c r="B2274" s="2" t="s">
        <v>2277</v>
      </c>
      <c r="C2274" s="2">
        <v>93.9</v>
      </c>
      <c r="D2274" s="2" t="s">
        <v>5</v>
      </c>
    </row>
    <row r="2275" spans="1:4" ht="15" customHeight="1" x14ac:dyDescent="0.25">
      <c r="A2275" s="2" t="str">
        <f>"05015000107"</f>
        <v>05015000107</v>
      </c>
      <c r="B2275" s="2" t="s">
        <v>2278</v>
      </c>
      <c r="C2275" s="2">
        <v>51.9</v>
      </c>
      <c r="D2275" s="2" t="s">
        <v>5</v>
      </c>
    </row>
    <row r="2276" spans="1:4" ht="15" customHeight="1" x14ac:dyDescent="0.25">
      <c r="A2276" s="2" t="str">
        <f>"05015000108"</f>
        <v>05015000108</v>
      </c>
      <c r="B2276" s="2" t="s">
        <v>2279</v>
      </c>
      <c r="C2276" s="2">
        <v>68.819999999999993</v>
      </c>
      <c r="D2276" s="2" t="s">
        <v>5</v>
      </c>
    </row>
    <row r="2277" spans="1:4" ht="15" customHeight="1" x14ac:dyDescent="0.25">
      <c r="A2277" s="2" t="str">
        <f>"05015000118"</f>
        <v>05015000118</v>
      </c>
      <c r="B2277" s="2" t="s">
        <v>2280</v>
      </c>
      <c r="C2277" s="2">
        <v>62.99</v>
      </c>
      <c r="D2277" s="2" t="s">
        <v>5</v>
      </c>
    </row>
    <row r="2278" spans="1:4" ht="15" customHeight="1" x14ac:dyDescent="0.25">
      <c r="A2278" s="2" t="str">
        <f>"05015000202"</f>
        <v>05015000202</v>
      </c>
      <c r="B2278" s="2" t="s">
        <v>2281</v>
      </c>
      <c r="C2278" s="2">
        <v>93.9</v>
      </c>
      <c r="D2278" s="2" t="s">
        <v>5</v>
      </c>
    </row>
    <row r="2279" spans="1:4" ht="15" customHeight="1" x14ac:dyDescent="0.25">
      <c r="A2279" s="2" t="str">
        <f>"05015000203"</f>
        <v>05015000203</v>
      </c>
      <c r="B2279" s="2" t="s">
        <v>2282</v>
      </c>
      <c r="C2279" s="2">
        <v>93.9</v>
      </c>
      <c r="D2279" s="2" t="s">
        <v>5</v>
      </c>
    </row>
    <row r="2280" spans="1:4" ht="15" customHeight="1" x14ac:dyDescent="0.25">
      <c r="A2280" s="2" t="str">
        <f>"05015000192"</f>
        <v>05015000192</v>
      </c>
      <c r="B2280" s="2" t="s">
        <v>2283</v>
      </c>
      <c r="C2280" s="2">
        <v>51.9</v>
      </c>
      <c r="D2280" s="2" t="s">
        <v>5</v>
      </c>
    </row>
    <row r="2281" spans="1:4" ht="15" customHeight="1" x14ac:dyDescent="0.25">
      <c r="A2281" s="2" t="str">
        <f>"05015000200"</f>
        <v>05015000200</v>
      </c>
      <c r="B2281" s="2" t="s">
        <v>2284</v>
      </c>
      <c r="C2281" s="2">
        <v>68.819999999999993</v>
      </c>
      <c r="D2281" s="2" t="s">
        <v>5</v>
      </c>
    </row>
    <row r="2282" spans="1:4" ht="15" customHeight="1" x14ac:dyDescent="0.25">
      <c r="A2282" s="2" t="str">
        <f>"05015000201"</f>
        <v>05015000201</v>
      </c>
      <c r="B2282" s="2" t="s">
        <v>2285</v>
      </c>
      <c r="C2282" s="2">
        <v>68.819999999999993</v>
      </c>
      <c r="D2282" s="2" t="s">
        <v>5</v>
      </c>
    </row>
    <row r="2283" spans="1:4" ht="15" customHeight="1" x14ac:dyDescent="0.25">
      <c r="A2283" s="2" t="str">
        <f>"05015000195"</f>
        <v>05015000195</v>
      </c>
      <c r="B2283" s="2" t="s">
        <v>2286</v>
      </c>
      <c r="C2283" s="2">
        <v>68.819999999999993</v>
      </c>
      <c r="D2283" s="2" t="s">
        <v>5</v>
      </c>
    </row>
    <row r="2284" spans="1:4" ht="15" customHeight="1" x14ac:dyDescent="0.25">
      <c r="A2284" s="2" t="str">
        <f>"05015000190"</f>
        <v>05015000190</v>
      </c>
      <c r="B2284" s="2" t="s">
        <v>2287</v>
      </c>
      <c r="C2284" s="2">
        <v>38.49</v>
      </c>
      <c r="D2284" s="2" t="s">
        <v>5</v>
      </c>
    </row>
    <row r="2285" spans="1:4" ht="15" customHeight="1" x14ac:dyDescent="0.25">
      <c r="A2285" s="2" t="str">
        <f>"05015000191"</f>
        <v>05015000191</v>
      </c>
      <c r="B2285" s="2" t="s">
        <v>2288</v>
      </c>
      <c r="C2285" s="2">
        <v>38.49</v>
      </c>
      <c r="D2285" s="2" t="s">
        <v>5</v>
      </c>
    </row>
    <row r="2286" spans="1:4" ht="15" customHeight="1" x14ac:dyDescent="0.25">
      <c r="A2286" s="2" t="str">
        <f>"05015000194"</f>
        <v>05015000194</v>
      </c>
      <c r="B2286" s="2" t="s">
        <v>2289</v>
      </c>
      <c r="C2286" s="2">
        <v>52.49</v>
      </c>
      <c r="D2286" s="2" t="s">
        <v>5</v>
      </c>
    </row>
    <row r="2287" spans="1:4" ht="15" customHeight="1" x14ac:dyDescent="0.25">
      <c r="A2287" s="2" t="str">
        <f>"05015000193"</f>
        <v>05015000193</v>
      </c>
      <c r="B2287" s="2" t="s">
        <v>2290</v>
      </c>
      <c r="C2287" s="2">
        <v>52.49</v>
      </c>
      <c r="D2287" s="2" t="s">
        <v>5</v>
      </c>
    </row>
    <row r="2288" spans="1:4" ht="15" customHeight="1" x14ac:dyDescent="0.25">
      <c r="A2288" s="2" t="str">
        <f>"05015000204"</f>
        <v>05015000204</v>
      </c>
      <c r="B2288" s="2" t="s">
        <v>2291</v>
      </c>
      <c r="C2288" s="2">
        <v>93.9</v>
      </c>
      <c r="D2288" s="2" t="s">
        <v>5</v>
      </c>
    </row>
    <row r="2289" spans="1:4" ht="15" customHeight="1" x14ac:dyDescent="0.25">
      <c r="A2289" s="2" t="str">
        <f>"05015000105"</f>
        <v>05015000105</v>
      </c>
      <c r="B2289" s="2" t="s">
        <v>2292</v>
      </c>
      <c r="C2289" s="2">
        <v>51.9</v>
      </c>
      <c r="D2289" s="2" t="s">
        <v>5</v>
      </c>
    </row>
    <row r="2290" spans="1:4" ht="15" customHeight="1" x14ac:dyDescent="0.25">
      <c r="A2290" s="2" t="str">
        <f>"05015000106"</f>
        <v>05015000106</v>
      </c>
      <c r="B2290" s="2" t="s">
        <v>2293</v>
      </c>
      <c r="C2290" s="2">
        <v>68.819999999999993</v>
      </c>
      <c r="D2290" s="2" t="s">
        <v>5</v>
      </c>
    </row>
    <row r="2291" spans="1:4" ht="15" customHeight="1" x14ac:dyDescent="0.25">
      <c r="A2291" s="2" t="str">
        <f>"05015000075"</f>
        <v>05015000075</v>
      </c>
      <c r="B2291" s="2" t="s">
        <v>2294</v>
      </c>
      <c r="C2291" s="2">
        <v>22.74</v>
      </c>
      <c r="D2291" s="2" t="s">
        <v>5</v>
      </c>
    </row>
    <row r="2292" spans="1:4" ht="15" customHeight="1" x14ac:dyDescent="0.25">
      <c r="A2292" s="2" t="str">
        <f>"05015000076"</f>
        <v>05015000076</v>
      </c>
      <c r="B2292" s="2" t="s">
        <v>2295</v>
      </c>
      <c r="C2292" s="2">
        <v>47.82</v>
      </c>
      <c r="D2292" s="2" t="s">
        <v>5</v>
      </c>
    </row>
    <row r="2293" spans="1:4" ht="15" customHeight="1" x14ac:dyDescent="0.25">
      <c r="A2293" s="2" t="str">
        <f>"05015000506"</f>
        <v>05015000506</v>
      </c>
      <c r="B2293" s="2" t="s">
        <v>2296</v>
      </c>
      <c r="C2293" s="2">
        <v>23.33</v>
      </c>
      <c r="D2293" s="2" t="s">
        <v>5</v>
      </c>
    </row>
    <row r="2294" spans="1:4" ht="15" customHeight="1" x14ac:dyDescent="0.25">
      <c r="A2294" s="2" t="str">
        <f>"05021000053"</f>
        <v>05021000053</v>
      </c>
      <c r="B2294" s="2" t="s">
        <v>2297</v>
      </c>
      <c r="C2294" s="2">
        <v>493.31</v>
      </c>
      <c r="D2294" s="2" t="s">
        <v>5</v>
      </c>
    </row>
    <row r="2295" spans="1:4" ht="15" customHeight="1" x14ac:dyDescent="0.25">
      <c r="A2295" s="2" t="str">
        <f>"05015000212"</f>
        <v>05015000212</v>
      </c>
      <c r="B2295" s="2" t="s">
        <v>2298</v>
      </c>
      <c r="C2295" s="2">
        <v>39.659999999999997</v>
      </c>
      <c r="D2295" s="2" t="s">
        <v>5</v>
      </c>
    </row>
    <row r="2296" spans="1:4" ht="15" customHeight="1" x14ac:dyDescent="0.25">
      <c r="A2296" s="2" t="str">
        <f>"05015000211"</f>
        <v>05015000211</v>
      </c>
      <c r="B2296" s="2" t="s">
        <v>2299</v>
      </c>
      <c r="C2296" s="2">
        <v>31.5</v>
      </c>
      <c r="D2296" s="2" t="s">
        <v>5</v>
      </c>
    </row>
    <row r="2297" spans="1:4" ht="15" customHeight="1" x14ac:dyDescent="0.25">
      <c r="A2297" s="2" t="str">
        <f>"05015000079"</f>
        <v>05015000079</v>
      </c>
      <c r="B2297" s="2" t="s">
        <v>2300</v>
      </c>
      <c r="C2297" s="2">
        <v>29.16</v>
      </c>
      <c r="D2297" s="2" t="s">
        <v>5</v>
      </c>
    </row>
    <row r="2298" spans="1:4" ht="15" customHeight="1" x14ac:dyDescent="0.25">
      <c r="A2298" s="2" t="str">
        <f>"05015000080"</f>
        <v>05015000080</v>
      </c>
      <c r="B2298" s="2" t="s">
        <v>2301</v>
      </c>
      <c r="C2298" s="2">
        <v>36.17</v>
      </c>
      <c r="D2298" s="2" t="s">
        <v>5</v>
      </c>
    </row>
    <row r="2299" spans="1:4" ht="15" customHeight="1" x14ac:dyDescent="0.25">
      <c r="A2299" s="2" t="str">
        <f>"05015000174"</f>
        <v>05015000174</v>
      </c>
      <c r="B2299" s="2" t="s">
        <v>2302</v>
      </c>
      <c r="C2299" s="2">
        <v>36.17</v>
      </c>
      <c r="D2299" s="2" t="s">
        <v>5</v>
      </c>
    </row>
    <row r="2300" spans="1:4" ht="15" customHeight="1" x14ac:dyDescent="0.25">
      <c r="A2300" s="2" t="str">
        <f>"05015000173"</f>
        <v>05015000173</v>
      </c>
      <c r="B2300" s="2" t="s">
        <v>2303</v>
      </c>
      <c r="C2300" s="2">
        <v>50.16</v>
      </c>
      <c r="D2300" s="2" t="s">
        <v>5</v>
      </c>
    </row>
    <row r="2301" spans="1:4" ht="15" customHeight="1" x14ac:dyDescent="0.25">
      <c r="A2301" s="2" t="str">
        <f>"05015000508"</f>
        <v>05015000508</v>
      </c>
      <c r="B2301" s="2" t="s">
        <v>2304</v>
      </c>
      <c r="C2301" s="2">
        <v>60.66</v>
      </c>
      <c r="D2301" s="2" t="s">
        <v>5</v>
      </c>
    </row>
    <row r="2302" spans="1:4" ht="15" customHeight="1" x14ac:dyDescent="0.25">
      <c r="A2302" s="2" t="str">
        <f>"05015000510"</f>
        <v>05015000510</v>
      </c>
      <c r="B2302" s="2" t="s">
        <v>2305</v>
      </c>
      <c r="C2302" s="2">
        <v>60.66</v>
      </c>
      <c r="D2302" s="2" t="s">
        <v>5</v>
      </c>
    </row>
    <row r="2303" spans="1:4" ht="15" customHeight="1" x14ac:dyDescent="0.25">
      <c r="A2303" s="2" t="str">
        <f>"05015000029"</f>
        <v>05015000029</v>
      </c>
      <c r="B2303" s="2" t="s">
        <v>2306</v>
      </c>
      <c r="C2303" s="2">
        <v>153.38</v>
      </c>
      <c r="D2303" s="2" t="s">
        <v>5</v>
      </c>
    </row>
    <row r="2304" spans="1:4" ht="15" customHeight="1" x14ac:dyDescent="0.25">
      <c r="A2304" s="2" t="str">
        <f>"05015000030"</f>
        <v>05015000030</v>
      </c>
      <c r="B2304" s="2" t="s">
        <v>2307</v>
      </c>
      <c r="C2304" s="2">
        <v>153.38</v>
      </c>
      <c r="D2304" s="2" t="s">
        <v>5</v>
      </c>
    </row>
    <row r="2305" spans="1:4" ht="15" customHeight="1" x14ac:dyDescent="0.25">
      <c r="A2305" s="2" t="str">
        <f>"05015000031"</f>
        <v>05015000031</v>
      </c>
      <c r="B2305" s="2" t="s">
        <v>2308</v>
      </c>
      <c r="C2305" s="2">
        <v>153.38</v>
      </c>
      <c r="D2305" s="2" t="s">
        <v>5</v>
      </c>
    </row>
    <row r="2306" spans="1:4" ht="15" customHeight="1" x14ac:dyDescent="0.25">
      <c r="A2306" s="2" t="str">
        <f>"05015000032"</f>
        <v>05015000032</v>
      </c>
      <c r="B2306" s="2" t="s">
        <v>2309</v>
      </c>
      <c r="C2306" s="2">
        <v>153.38</v>
      </c>
      <c r="D2306" s="2" t="s">
        <v>5</v>
      </c>
    </row>
    <row r="2307" spans="1:4" ht="15" customHeight="1" x14ac:dyDescent="0.25">
      <c r="A2307" s="2" t="str">
        <f>"05015000226"</f>
        <v>05015000226</v>
      </c>
      <c r="B2307" s="2" t="s">
        <v>2310</v>
      </c>
      <c r="C2307" s="2">
        <v>528.96</v>
      </c>
      <c r="D2307" s="2" t="s">
        <v>5</v>
      </c>
    </row>
    <row r="2308" spans="1:4" ht="15" customHeight="1" x14ac:dyDescent="0.25">
      <c r="A2308" s="2" t="str">
        <f>"05015000229"</f>
        <v>05015000229</v>
      </c>
      <c r="B2308" s="2" t="s">
        <v>2311</v>
      </c>
      <c r="C2308" s="2">
        <v>37.32</v>
      </c>
      <c r="D2308" s="2" t="s">
        <v>5</v>
      </c>
    </row>
    <row r="2309" spans="1:4" ht="15" customHeight="1" x14ac:dyDescent="0.25">
      <c r="A2309" s="2" t="str">
        <f>"05015000086"</f>
        <v>05015000086</v>
      </c>
      <c r="B2309" s="2" t="s">
        <v>2312</v>
      </c>
      <c r="C2309" s="2">
        <v>41.99</v>
      </c>
      <c r="D2309" s="2" t="s">
        <v>5</v>
      </c>
    </row>
    <row r="2310" spans="1:4" ht="15" customHeight="1" x14ac:dyDescent="0.25">
      <c r="A2310" s="2" t="str">
        <f>"05015000084"</f>
        <v>05015000084</v>
      </c>
      <c r="B2310" s="2" t="s">
        <v>2313</v>
      </c>
      <c r="C2310" s="2">
        <v>30.33</v>
      </c>
      <c r="D2310" s="2" t="s">
        <v>5</v>
      </c>
    </row>
    <row r="2311" spans="1:4" ht="15" customHeight="1" x14ac:dyDescent="0.25">
      <c r="A2311" s="2" t="str">
        <f>"05015000085"</f>
        <v>05015000085</v>
      </c>
      <c r="B2311" s="2" t="s">
        <v>2314</v>
      </c>
      <c r="C2311" s="2">
        <v>35.58</v>
      </c>
      <c r="D2311" s="2" t="s">
        <v>5</v>
      </c>
    </row>
    <row r="2312" spans="1:4" ht="15" customHeight="1" x14ac:dyDescent="0.25">
      <c r="A2312" s="2" t="str">
        <f>"05015000145"</f>
        <v>05015000145</v>
      </c>
      <c r="B2312" s="2" t="s">
        <v>2315</v>
      </c>
      <c r="C2312" s="2">
        <v>42.57</v>
      </c>
      <c r="D2312" s="2" t="s">
        <v>5</v>
      </c>
    </row>
    <row r="2313" spans="1:4" ht="15" customHeight="1" x14ac:dyDescent="0.25">
      <c r="A2313" s="2" t="str">
        <f>"05015000133"</f>
        <v>05015000133</v>
      </c>
      <c r="B2313" s="2" t="s">
        <v>2316</v>
      </c>
      <c r="C2313" s="2">
        <v>44.91</v>
      </c>
      <c r="D2313" s="2" t="s">
        <v>5</v>
      </c>
    </row>
    <row r="2314" spans="1:4" ht="15" customHeight="1" x14ac:dyDescent="0.25">
      <c r="A2314" s="2" t="str">
        <f>"05015000119"</f>
        <v>05015000119</v>
      </c>
      <c r="B2314" s="2" t="s">
        <v>2317</v>
      </c>
      <c r="C2314" s="2">
        <v>35</v>
      </c>
      <c r="D2314" s="2" t="s">
        <v>5</v>
      </c>
    </row>
    <row r="2315" spans="1:4" ht="15" customHeight="1" x14ac:dyDescent="0.25">
      <c r="A2315" s="2" t="str">
        <f>"05015000134"</f>
        <v>05015000134</v>
      </c>
      <c r="B2315" s="2" t="s">
        <v>2318</v>
      </c>
      <c r="C2315" s="2">
        <v>41.4</v>
      </c>
      <c r="D2315" s="2" t="s">
        <v>5</v>
      </c>
    </row>
    <row r="2316" spans="1:4" ht="15" customHeight="1" x14ac:dyDescent="0.25">
      <c r="A2316" s="2" t="str">
        <f>"05015000136"</f>
        <v>05015000136</v>
      </c>
      <c r="B2316" s="2" t="s">
        <v>2319</v>
      </c>
      <c r="C2316" s="2">
        <v>40.25</v>
      </c>
      <c r="D2316" s="2" t="s">
        <v>5</v>
      </c>
    </row>
    <row r="2317" spans="1:4" ht="15" customHeight="1" x14ac:dyDescent="0.25">
      <c r="A2317" s="2" t="str">
        <f>"05015000137"</f>
        <v>05015000137</v>
      </c>
      <c r="B2317" s="2" t="s">
        <v>2320</v>
      </c>
      <c r="C2317" s="2">
        <v>40.25</v>
      </c>
      <c r="D2317" s="2" t="s">
        <v>5</v>
      </c>
    </row>
    <row r="2318" spans="1:4" ht="15" customHeight="1" x14ac:dyDescent="0.25">
      <c r="A2318" s="2" t="str">
        <f>"05015000138"</f>
        <v>05015000138</v>
      </c>
      <c r="B2318" s="2" t="s">
        <v>2321</v>
      </c>
      <c r="C2318" s="2">
        <v>32.729999999999997</v>
      </c>
      <c r="D2318" s="2" t="s">
        <v>5</v>
      </c>
    </row>
    <row r="2319" spans="1:4" ht="15" customHeight="1" x14ac:dyDescent="0.25">
      <c r="A2319" s="2" t="str">
        <f>"05015000245"</f>
        <v>05015000245</v>
      </c>
      <c r="B2319" s="2" t="s">
        <v>2322</v>
      </c>
      <c r="C2319" s="2">
        <v>354</v>
      </c>
      <c r="D2319" s="2" t="s">
        <v>5</v>
      </c>
    </row>
    <row r="2320" spans="1:4" ht="15" customHeight="1" x14ac:dyDescent="0.25">
      <c r="A2320" s="2" t="str">
        <f>"05015000243"</f>
        <v>05015000243</v>
      </c>
      <c r="B2320" s="2" t="s">
        <v>2323</v>
      </c>
      <c r="C2320" s="2">
        <v>160.97</v>
      </c>
      <c r="D2320" s="2" t="s">
        <v>5</v>
      </c>
    </row>
    <row r="2321" spans="1:4" ht="15" customHeight="1" x14ac:dyDescent="0.25">
      <c r="A2321" s="2" t="str">
        <f>"05015000244"</f>
        <v>05015000244</v>
      </c>
      <c r="B2321" s="2" t="s">
        <v>2324</v>
      </c>
      <c r="C2321" s="2">
        <v>192.45</v>
      </c>
      <c r="D2321" s="2" t="s">
        <v>5</v>
      </c>
    </row>
    <row r="2322" spans="1:4" ht="15" customHeight="1" x14ac:dyDescent="0.25">
      <c r="A2322" s="2" t="str">
        <f>"05015000153"</f>
        <v>05015000153</v>
      </c>
      <c r="B2322" s="2" t="s">
        <v>2325</v>
      </c>
      <c r="C2322" s="2">
        <v>20.420000000000002</v>
      </c>
      <c r="D2322" s="2" t="s">
        <v>5</v>
      </c>
    </row>
    <row r="2323" spans="1:4" ht="15" customHeight="1" x14ac:dyDescent="0.25">
      <c r="A2323" s="2" t="str">
        <f>"05015000152"</f>
        <v>05015000152</v>
      </c>
      <c r="B2323" s="2" t="s">
        <v>2326</v>
      </c>
      <c r="C2323" s="2">
        <v>26.82</v>
      </c>
      <c r="D2323" s="2" t="s">
        <v>5</v>
      </c>
    </row>
    <row r="2324" spans="1:4" ht="15" customHeight="1" x14ac:dyDescent="0.25">
      <c r="A2324" s="2" t="str">
        <f>"05015000531"</f>
        <v>05015000531</v>
      </c>
      <c r="B2324" s="2" t="s">
        <v>2327</v>
      </c>
      <c r="C2324" s="2">
        <v>27.41</v>
      </c>
      <c r="D2324" s="2" t="s">
        <v>5</v>
      </c>
    </row>
    <row r="2325" spans="1:4" ht="15" customHeight="1" x14ac:dyDescent="0.25">
      <c r="A2325" s="2" t="str">
        <f>"05021000117"</f>
        <v>05021000117</v>
      </c>
      <c r="B2325" s="2" t="s">
        <v>2328</v>
      </c>
      <c r="C2325" s="2">
        <v>953.99</v>
      </c>
      <c r="D2325" s="2" t="s">
        <v>5</v>
      </c>
    </row>
    <row r="2326" spans="1:4" ht="15" customHeight="1" x14ac:dyDescent="0.25">
      <c r="A2326" s="2" t="str">
        <f>"05021000115"</f>
        <v>05021000115</v>
      </c>
      <c r="B2326" s="2" t="s">
        <v>2329</v>
      </c>
      <c r="C2326" s="2">
        <v>953.99</v>
      </c>
      <c r="D2326" s="2" t="s">
        <v>5</v>
      </c>
    </row>
    <row r="2327" spans="1:4" ht="15" customHeight="1" x14ac:dyDescent="0.25">
      <c r="A2327" s="2" t="str">
        <f>"05015000198"</f>
        <v>05015000198</v>
      </c>
      <c r="B2327" s="2" t="s">
        <v>2330</v>
      </c>
      <c r="C2327" s="2">
        <v>33.24</v>
      </c>
      <c r="D2327" s="2" t="s">
        <v>5</v>
      </c>
    </row>
    <row r="2328" spans="1:4" ht="15" customHeight="1" x14ac:dyDescent="0.25">
      <c r="A2328" s="2" t="str">
        <f>"03033000110"</f>
        <v>03033000110</v>
      </c>
      <c r="B2328" s="2" t="s">
        <v>2331</v>
      </c>
      <c r="C2328" s="2">
        <v>20882.96</v>
      </c>
      <c r="D2328" s="2" t="s">
        <v>5</v>
      </c>
    </row>
    <row r="2329" spans="1:4" ht="15" customHeight="1" x14ac:dyDescent="0.25">
      <c r="A2329" s="2" t="str">
        <f>"05021000133"</f>
        <v>05021000133</v>
      </c>
      <c r="B2329" s="2" t="s">
        <v>2332</v>
      </c>
      <c r="C2329" s="2">
        <v>11550.83</v>
      </c>
      <c r="D2329" s="2" t="s">
        <v>5</v>
      </c>
    </row>
    <row r="2330" spans="1:4" ht="15" customHeight="1" x14ac:dyDescent="0.25">
      <c r="A2330" s="2" t="str">
        <f>"05021000135"</f>
        <v>05021000135</v>
      </c>
      <c r="B2330" s="2" t="s">
        <v>2333</v>
      </c>
      <c r="C2330" s="2">
        <v>11550.83</v>
      </c>
      <c r="D2330" s="2" t="s">
        <v>5</v>
      </c>
    </row>
    <row r="2331" spans="1:4" ht="15" customHeight="1" x14ac:dyDescent="0.25">
      <c r="A2331" s="2" t="str">
        <f>"05021000575"</f>
        <v>05021000575</v>
      </c>
      <c r="B2331" s="2" t="s">
        <v>2334</v>
      </c>
      <c r="C2331" s="2">
        <v>4396.2</v>
      </c>
      <c r="D2331" s="2" t="s">
        <v>5</v>
      </c>
    </row>
    <row r="2332" spans="1:4" ht="15" customHeight="1" x14ac:dyDescent="0.25">
      <c r="A2332" s="2" t="str">
        <f>"09500000110"</f>
        <v>09500000110</v>
      </c>
      <c r="B2332" s="2" t="s">
        <v>2335</v>
      </c>
      <c r="C2332" s="2">
        <v>6190.52</v>
      </c>
      <c r="D2332" s="2" t="s">
        <v>5</v>
      </c>
    </row>
    <row r="2333" spans="1:4" ht="15" customHeight="1" x14ac:dyDescent="0.25">
      <c r="A2333" s="2" t="str">
        <f>"03038000805"</f>
        <v>03038000805</v>
      </c>
      <c r="B2333" s="2" t="s">
        <v>2336</v>
      </c>
      <c r="C2333" s="2">
        <v>17464.34</v>
      </c>
      <c r="D2333" s="2" t="s">
        <v>5</v>
      </c>
    </row>
    <row r="2334" spans="1:4" ht="15" customHeight="1" x14ac:dyDescent="0.25">
      <c r="A2334" s="2" t="str">
        <f>"05021000136"</f>
        <v>05021000136</v>
      </c>
      <c r="B2334" s="2" t="s">
        <v>2337</v>
      </c>
      <c r="C2334" s="2">
        <v>8645.7199999999993</v>
      </c>
      <c r="D2334" s="2" t="s">
        <v>5</v>
      </c>
    </row>
    <row r="2335" spans="1:4" ht="15" customHeight="1" x14ac:dyDescent="0.25">
      <c r="A2335" s="2" t="str">
        <f>"06010000800"</f>
        <v>06010000800</v>
      </c>
      <c r="B2335" s="2" t="s">
        <v>2338</v>
      </c>
      <c r="C2335" s="2">
        <v>13901.79</v>
      </c>
      <c r="D2335" s="2" t="s">
        <v>5</v>
      </c>
    </row>
    <row r="2336" spans="1:4" ht="15" customHeight="1" x14ac:dyDescent="0.25">
      <c r="A2336" s="2" t="str">
        <f>"03026000200"</f>
        <v>03026000200</v>
      </c>
      <c r="B2336" s="2" t="s">
        <v>2339</v>
      </c>
      <c r="C2336" s="2">
        <v>3.69</v>
      </c>
      <c r="D2336" s="2" t="s">
        <v>107</v>
      </c>
    </row>
    <row r="2337" spans="1:4" ht="15" customHeight="1" x14ac:dyDescent="0.25">
      <c r="A2337" s="2" t="str">
        <f>"03005300005"</f>
        <v>03005300005</v>
      </c>
      <c r="B2337" s="2" t="s">
        <v>2340</v>
      </c>
      <c r="C2337" s="2">
        <v>22744.23</v>
      </c>
      <c r="D2337" s="2" t="s">
        <v>5</v>
      </c>
    </row>
    <row r="2338" spans="1:4" ht="15" customHeight="1" x14ac:dyDescent="0.25">
      <c r="A2338" s="2" t="str">
        <f>"03019500023"</f>
        <v>03019500023</v>
      </c>
      <c r="B2338" s="2" t="s">
        <v>2341</v>
      </c>
      <c r="C2338" s="2">
        <v>87940.4</v>
      </c>
      <c r="D2338" s="2" t="s">
        <v>5</v>
      </c>
    </row>
    <row r="2339" spans="1:4" ht="15" customHeight="1" x14ac:dyDescent="0.25">
      <c r="A2339" s="2" t="str">
        <f>"03019500021"</f>
        <v>03019500021</v>
      </c>
      <c r="B2339" s="2" t="s">
        <v>2342</v>
      </c>
      <c r="C2339" s="2">
        <v>144266.81</v>
      </c>
      <c r="D2339" s="2" t="s">
        <v>5</v>
      </c>
    </row>
    <row r="2340" spans="1:4" ht="15" customHeight="1" x14ac:dyDescent="0.25">
      <c r="A2340" s="2" t="str">
        <f>"03019500022"</f>
        <v>03019500022</v>
      </c>
      <c r="B2340" s="2" t="s">
        <v>2343</v>
      </c>
      <c r="C2340" s="2">
        <v>97422.75</v>
      </c>
      <c r="D2340" s="2" t="s">
        <v>5</v>
      </c>
    </row>
    <row r="2341" spans="1:4" ht="15" customHeight="1" x14ac:dyDescent="0.25">
      <c r="A2341" s="2" t="str">
        <f>"05021000705"</f>
        <v>05021000705</v>
      </c>
      <c r="B2341" s="2" t="s">
        <v>2344</v>
      </c>
      <c r="C2341" s="2">
        <v>4195.22</v>
      </c>
      <c r="D2341" s="2" t="s">
        <v>5</v>
      </c>
    </row>
    <row r="2342" spans="1:4" ht="15" customHeight="1" x14ac:dyDescent="0.25">
      <c r="A2342" s="2" t="str">
        <f>"09500000360"</f>
        <v>09500000360</v>
      </c>
      <c r="B2342" s="2" t="s">
        <v>2345</v>
      </c>
      <c r="C2342" s="2">
        <v>29417.42</v>
      </c>
      <c r="D2342" s="2" t="s">
        <v>5</v>
      </c>
    </row>
    <row r="2343" spans="1:4" ht="15" customHeight="1" x14ac:dyDescent="0.25">
      <c r="A2343" s="2" t="str">
        <f>"09500000105"</f>
        <v>09500000105</v>
      </c>
      <c r="B2343" s="2" t="s">
        <v>2346</v>
      </c>
      <c r="C2343" s="2">
        <v>27309.86</v>
      </c>
      <c r="D2343" s="2" t="s">
        <v>5</v>
      </c>
    </row>
    <row r="2344" spans="1:4" ht="15" customHeight="1" x14ac:dyDescent="0.25">
      <c r="A2344" s="2" t="str">
        <f>"09500000350"</f>
        <v>09500000350</v>
      </c>
      <c r="B2344" s="2" t="s">
        <v>2347</v>
      </c>
      <c r="C2344" s="2">
        <v>1370.18</v>
      </c>
      <c r="D2344" s="2" t="s">
        <v>5</v>
      </c>
    </row>
    <row r="2345" spans="1:4" ht="15" customHeight="1" x14ac:dyDescent="0.25">
      <c r="A2345" s="2" t="str">
        <f>"03027000150"</f>
        <v>03027000150</v>
      </c>
      <c r="B2345" s="2" t="s">
        <v>2348</v>
      </c>
      <c r="C2345" s="2">
        <v>11493.87</v>
      </c>
      <c r="D2345" s="2" t="s">
        <v>5</v>
      </c>
    </row>
    <row r="2346" spans="1:4" ht="15" customHeight="1" x14ac:dyDescent="0.25">
      <c r="A2346" s="2" t="str">
        <f>"03027000020"</f>
        <v>03027000020</v>
      </c>
      <c r="B2346" s="2" t="s">
        <v>2349</v>
      </c>
      <c r="C2346" s="2">
        <v>12516.81</v>
      </c>
      <c r="D2346" s="2" t="s">
        <v>5</v>
      </c>
    </row>
    <row r="2347" spans="1:4" ht="15" customHeight="1" x14ac:dyDescent="0.25">
      <c r="A2347" s="2" t="str">
        <f>"03027000130"</f>
        <v>03027000130</v>
      </c>
      <c r="B2347" s="2" t="s">
        <v>2350</v>
      </c>
      <c r="C2347" s="2">
        <v>14813.72</v>
      </c>
      <c r="D2347" s="2" t="s">
        <v>5</v>
      </c>
    </row>
    <row r="2348" spans="1:4" ht="15" customHeight="1" x14ac:dyDescent="0.25">
      <c r="A2348" s="2" t="str">
        <f>"03027000140"</f>
        <v>03027000140</v>
      </c>
      <c r="B2348" s="2" t="s">
        <v>2351</v>
      </c>
      <c r="C2348" s="2">
        <v>19284.439999999999</v>
      </c>
      <c r="D2348" s="2" t="s">
        <v>5</v>
      </c>
    </row>
    <row r="2349" spans="1:4" ht="15" customHeight="1" x14ac:dyDescent="0.25">
      <c r="A2349" s="2" t="str">
        <f>"03027000010"</f>
        <v>03027000010</v>
      </c>
      <c r="B2349" s="2" t="s">
        <v>2352</v>
      </c>
      <c r="C2349" s="2">
        <v>9024.17</v>
      </c>
      <c r="D2349" s="2" t="s">
        <v>5</v>
      </c>
    </row>
    <row r="2350" spans="1:4" ht="15" customHeight="1" x14ac:dyDescent="0.25">
      <c r="A2350" s="2" t="str">
        <f>"03038000795"</f>
        <v>03038000795</v>
      </c>
      <c r="B2350" s="2" t="s">
        <v>2353</v>
      </c>
      <c r="C2350" s="2">
        <v>4850.8500000000004</v>
      </c>
      <c r="D2350" s="2" t="s">
        <v>5</v>
      </c>
    </row>
    <row r="2351" spans="1:4" ht="15" customHeight="1" x14ac:dyDescent="0.25">
      <c r="A2351" s="2" t="str">
        <f>"01016000230"</f>
        <v>01016000230</v>
      </c>
      <c r="B2351" s="2" t="s">
        <v>2354</v>
      </c>
      <c r="C2351" s="2">
        <v>5290.62</v>
      </c>
      <c r="D2351" s="2" t="s">
        <v>5</v>
      </c>
    </row>
    <row r="2352" spans="1:4" ht="15" customHeight="1" x14ac:dyDescent="0.25">
      <c r="A2352" s="2" t="str">
        <f>"01016000241"</f>
        <v>01016000241</v>
      </c>
      <c r="B2352" s="2" t="s">
        <v>2355</v>
      </c>
      <c r="C2352" s="2">
        <v>5120.46</v>
      </c>
      <c r="D2352" s="2" t="s">
        <v>5</v>
      </c>
    </row>
    <row r="2353" spans="1:4" ht="15" customHeight="1" x14ac:dyDescent="0.25">
      <c r="A2353" s="2" t="str">
        <f>"01016000235"</f>
        <v>01016000235</v>
      </c>
      <c r="B2353" s="2" t="s">
        <v>2356</v>
      </c>
      <c r="C2353" s="2">
        <v>4897.3100000000004</v>
      </c>
      <c r="D2353" s="2" t="s">
        <v>5</v>
      </c>
    </row>
    <row r="2354" spans="1:4" ht="15" customHeight="1" x14ac:dyDescent="0.25">
      <c r="A2354" s="2" t="str">
        <f>"01016000240"</f>
        <v>01016000240</v>
      </c>
      <c r="B2354" s="2" t="s">
        <v>2357</v>
      </c>
      <c r="C2354" s="2">
        <v>5328.68</v>
      </c>
      <c r="D2354" s="2" t="s">
        <v>5</v>
      </c>
    </row>
    <row r="2355" spans="1:4" ht="15" customHeight="1" x14ac:dyDescent="0.25">
      <c r="A2355" s="2" t="str">
        <f>"01016000200"</f>
        <v>01016000200</v>
      </c>
      <c r="B2355" s="2" t="s">
        <v>2358</v>
      </c>
      <c r="C2355" s="2">
        <v>4059.95</v>
      </c>
      <c r="D2355" s="2" t="s">
        <v>5</v>
      </c>
    </row>
    <row r="2356" spans="1:4" ht="15" customHeight="1" x14ac:dyDescent="0.25">
      <c r="A2356" s="2" t="str">
        <f>"01016000205"</f>
        <v>01016000205</v>
      </c>
      <c r="B2356" s="2" t="s">
        <v>2359</v>
      </c>
      <c r="C2356" s="2">
        <v>4059.95</v>
      </c>
      <c r="D2356" s="2" t="s">
        <v>5</v>
      </c>
    </row>
    <row r="2357" spans="1:4" ht="15" customHeight="1" x14ac:dyDescent="0.25">
      <c r="A2357" s="2" t="str">
        <f>"01016000210"</f>
        <v>01016000210</v>
      </c>
      <c r="B2357" s="2" t="s">
        <v>2360</v>
      </c>
      <c r="C2357" s="2">
        <v>4059.95</v>
      </c>
      <c r="D2357" s="2" t="s">
        <v>5</v>
      </c>
    </row>
    <row r="2358" spans="1:4" ht="15" customHeight="1" x14ac:dyDescent="0.25">
      <c r="A2358" s="2" t="str">
        <f>"01016000215"</f>
        <v>01016000215</v>
      </c>
      <c r="B2358" s="2" t="s">
        <v>2361</v>
      </c>
      <c r="C2358" s="2">
        <v>4009.2</v>
      </c>
      <c r="D2358" s="2" t="s">
        <v>5</v>
      </c>
    </row>
    <row r="2359" spans="1:4" ht="15" customHeight="1" x14ac:dyDescent="0.25">
      <c r="A2359" s="2" t="str">
        <f>"01016000220"</f>
        <v>01016000220</v>
      </c>
      <c r="B2359" s="2" t="s">
        <v>2362</v>
      </c>
      <c r="C2359" s="2">
        <v>4009.2</v>
      </c>
      <c r="D2359" s="2" t="s">
        <v>5</v>
      </c>
    </row>
    <row r="2360" spans="1:4" ht="15" customHeight="1" x14ac:dyDescent="0.25">
      <c r="A2360" s="2" t="str">
        <f>"01016000225"</f>
        <v>01016000225</v>
      </c>
      <c r="B2360" s="2" t="s">
        <v>2363</v>
      </c>
      <c r="C2360" s="2">
        <v>4783.1400000000003</v>
      </c>
      <c r="D2360" s="2" t="s">
        <v>5</v>
      </c>
    </row>
    <row r="2361" spans="1:4" ht="15" customHeight="1" x14ac:dyDescent="0.25">
      <c r="A2361" s="2" t="str">
        <f>"03058000131"</f>
        <v>03058000131</v>
      </c>
      <c r="B2361" s="2" t="s">
        <v>2364</v>
      </c>
      <c r="C2361" s="2">
        <v>637.04999999999995</v>
      </c>
      <c r="D2361" s="2" t="s">
        <v>5</v>
      </c>
    </row>
    <row r="2362" spans="1:4" ht="15" customHeight="1" x14ac:dyDescent="0.25">
      <c r="A2362" s="2" t="str">
        <f>"03019300040"</f>
        <v>03019300040</v>
      </c>
      <c r="B2362" s="2" t="s">
        <v>2365</v>
      </c>
      <c r="C2362" s="2">
        <v>4838.3999999999996</v>
      </c>
      <c r="D2362" s="2" t="s">
        <v>5</v>
      </c>
    </row>
    <row r="2363" spans="1:4" ht="15" customHeight="1" x14ac:dyDescent="0.25">
      <c r="A2363" s="2" t="str">
        <f>"03019300045"</f>
        <v>03019300045</v>
      </c>
      <c r="B2363" s="2" t="s">
        <v>2366</v>
      </c>
      <c r="C2363" s="2">
        <v>5882.76</v>
      </c>
      <c r="D2363" s="2" t="s">
        <v>5</v>
      </c>
    </row>
    <row r="2364" spans="1:4" ht="15" customHeight="1" x14ac:dyDescent="0.25">
      <c r="A2364" s="2" t="str">
        <f>"06010000518"</f>
        <v>06010000518</v>
      </c>
      <c r="B2364" s="2" t="s">
        <v>2367</v>
      </c>
      <c r="C2364" s="2">
        <v>6559.35</v>
      </c>
      <c r="D2364" s="2" t="s">
        <v>5</v>
      </c>
    </row>
    <row r="2365" spans="1:4" ht="15" customHeight="1" x14ac:dyDescent="0.25">
      <c r="A2365" s="2" t="str">
        <f>"03047300065"</f>
        <v>03047300065</v>
      </c>
      <c r="B2365" s="2" t="s">
        <v>2368</v>
      </c>
      <c r="C2365" s="2">
        <v>2464.34</v>
      </c>
      <c r="D2365" s="2" t="s">
        <v>5</v>
      </c>
    </row>
    <row r="2366" spans="1:4" ht="15" customHeight="1" x14ac:dyDescent="0.25">
      <c r="A2366" s="2" t="str">
        <f>"03047300067"</f>
        <v>03047300067</v>
      </c>
      <c r="B2366" s="2" t="s">
        <v>2369</v>
      </c>
      <c r="C2366" s="2">
        <v>3960.81</v>
      </c>
      <c r="D2366" s="2" t="s">
        <v>5</v>
      </c>
    </row>
    <row r="2367" spans="1:4" ht="15" customHeight="1" x14ac:dyDescent="0.25">
      <c r="A2367" s="2" t="str">
        <f>"06010000400"</f>
        <v>06010000400</v>
      </c>
      <c r="B2367" s="2" t="s">
        <v>2370</v>
      </c>
      <c r="C2367" s="2">
        <v>2946.74</v>
      </c>
      <c r="D2367" s="2" t="s">
        <v>5</v>
      </c>
    </row>
    <row r="2368" spans="1:4" ht="15" customHeight="1" x14ac:dyDescent="0.25">
      <c r="A2368" s="2" t="str">
        <f>"06010000405"</f>
        <v>06010000405</v>
      </c>
      <c r="B2368" s="2" t="s">
        <v>2371</v>
      </c>
      <c r="C2368" s="2">
        <v>3374.46</v>
      </c>
      <c r="D2368" s="2" t="s">
        <v>5</v>
      </c>
    </row>
    <row r="2369" spans="1:4" ht="15" customHeight="1" x14ac:dyDescent="0.25">
      <c r="A2369" s="2" t="str">
        <f>"06010000410"</f>
        <v>06010000410</v>
      </c>
      <c r="B2369" s="2" t="s">
        <v>2372</v>
      </c>
      <c r="C2369" s="2">
        <v>3911.76</v>
      </c>
      <c r="D2369" s="2" t="s">
        <v>5</v>
      </c>
    </row>
    <row r="2370" spans="1:4" ht="15" customHeight="1" x14ac:dyDescent="0.25">
      <c r="A2370" s="2" t="str">
        <f>"06010000419"</f>
        <v>06010000419</v>
      </c>
      <c r="B2370" s="2" t="s">
        <v>2373</v>
      </c>
      <c r="C2370" s="2">
        <v>5557.05</v>
      </c>
      <c r="D2370" s="2" t="s">
        <v>5</v>
      </c>
    </row>
    <row r="2371" spans="1:4" ht="15" customHeight="1" x14ac:dyDescent="0.25">
      <c r="A2371" s="2" t="str">
        <f>"06010000415"</f>
        <v>06010000415</v>
      </c>
      <c r="B2371" s="2" t="s">
        <v>2374</v>
      </c>
      <c r="C2371" s="2">
        <v>4129.1899999999996</v>
      </c>
      <c r="D2371" s="2" t="s">
        <v>5</v>
      </c>
    </row>
    <row r="2372" spans="1:4" ht="15" customHeight="1" x14ac:dyDescent="0.25">
      <c r="A2372" s="2" t="str">
        <f>"06010000420"</f>
        <v>06010000420</v>
      </c>
      <c r="B2372" s="2" t="s">
        <v>2375</v>
      </c>
      <c r="C2372" s="2">
        <v>4940.42</v>
      </c>
      <c r="D2372" s="2" t="s">
        <v>5</v>
      </c>
    </row>
    <row r="2373" spans="1:4" ht="15" customHeight="1" x14ac:dyDescent="0.25">
      <c r="A2373" s="2" t="str">
        <f>"06010000425"</f>
        <v>06010000425</v>
      </c>
      <c r="B2373" s="2" t="s">
        <v>2376</v>
      </c>
      <c r="C2373" s="2">
        <v>5728.07</v>
      </c>
      <c r="D2373" s="2" t="s">
        <v>5</v>
      </c>
    </row>
    <row r="2374" spans="1:4" ht="15" customHeight="1" x14ac:dyDescent="0.25">
      <c r="A2374" s="2" t="str">
        <f>"06010000418"</f>
        <v>06010000418</v>
      </c>
      <c r="B2374" s="2" t="s">
        <v>2377</v>
      </c>
      <c r="C2374" s="2">
        <v>9743.8799999999992</v>
      </c>
      <c r="D2374" s="2" t="s">
        <v>5</v>
      </c>
    </row>
    <row r="2375" spans="1:4" ht="15" customHeight="1" x14ac:dyDescent="0.25">
      <c r="A2375" s="2" t="str">
        <f>"06010000520"</f>
        <v>06010000520</v>
      </c>
      <c r="B2375" s="2" t="s">
        <v>2378</v>
      </c>
      <c r="C2375" s="2">
        <v>4812.12</v>
      </c>
      <c r="D2375" s="2" t="s">
        <v>5</v>
      </c>
    </row>
    <row r="2376" spans="1:4" ht="15" customHeight="1" x14ac:dyDescent="0.25">
      <c r="A2376" s="2" t="str">
        <f>"06010000500"</f>
        <v>06010000500</v>
      </c>
      <c r="B2376" s="2" t="s">
        <v>2379</v>
      </c>
      <c r="C2376" s="2">
        <v>3299.66</v>
      </c>
      <c r="D2376" s="2" t="s">
        <v>5</v>
      </c>
    </row>
    <row r="2377" spans="1:4" ht="15" customHeight="1" x14ac:dyDescent="0.25">
      <c r="A2377" s="2" t="str">
        <f>"06010000510"</f>
        <v>06010000510</v>
      </c>
      <c r="B2377" s="2" t="s">
        <v>2380</v>
      </c>
      <c r="C2377" s="2">
        <v>3850.37</v>
      </c>
      <c r="D2377" s="2" t="s">
        <v>5</v>
      </c>
    </row>
    <row r="2378" spans="1:4" ht="15" customHeight="1" x14ac:dyDescent="0.25">
      <c r="A2378" s="2" t="str">
        <f>"06010000517"</f>
        <v>06010000517</v>
      </c>
      <c r="B2378" s="2" t="s">
        <v>2381</v>
      </c>
      <c r="C2378" s="2">
        <v>4592.8100000000004</v>
      </c>
      <c r="D2378" s="2" t="s">
        <v>5</v>
      </c>
    </row>
    <row r="2379" spans="1:4" ht="15" customHeight="1" x14ac:dyDescent="0.25">
      <c r="A2379" s="2" t="str">
        <f>"06010000516"</f>
        <v>06010000516</v>
      </c>
      <c r="B2379" s="2" t="s">
        <v>2382</v>
      </c>
      <c r="C2379" s="2">
        <v>6559.35</v>
      </c>
      <c r="D2379" s="2" t="s">
        <v>5</v>
      </c>
    </row>
    <row r="2380" spans="1:4" ht="15" customHeight="1" x14ac:dyDescent="0.25">
      <c r="A2380" s="2" t="str">
        <f>"01031100045"</f>
        <v>01031100045</v>
      </c>
      <c r="B2380" s="2" t="s">
        <v>2383</v>
      </c>
      <c r="C2380" s="2">
        <v>19451.13</v>
      </c>
      <c r="D2380" s="2" t="s">
        <v>5</v>
      </c>
    </row>
    <row r="2381" spans="1:4" ht="15" customHeight="1" x14ac:dyDescent="0.25">
      <c r="A2381" s="2" t="str">
        <f>"02020000005"</f>
        <v>02020000005</v>
      </c>
      <c r="B2381" s="2" t="s">
        <v>2384</v>
      </c>
      <c r="C2381" s="2">
        <v>62617.17</v>
      </c>
      <c r="D2381" s="2" t="s">
        <v>5</v>
      </c>
    </row>
    <row r="2382" spans="1:4" ht="15" customHeight="1" x14ac:dyDescent="0.25">
      <c r="A2382" s="2" t="str">
        <f>"02020000010"</f>
        <v>02020000010</v>
      </c>
      <c r="B2382" s="2" t="s">
        <v>2385</v>
      </c>
      <c r="C2382" s="2">
        <v>66905.36</v>
      </c>
      <c r="D2382" s="2" t="s">
        <v>5</v>
      </c>
    </row>
    <row r="2383" spans="1:4" ht="15" customHeight="1" x14ac:dyDescent="0.25">
      <c r="A2383" s="2" t="str">
        <f>"02020000015"</f>
        <v>02020000015</v>
      </c>
      <c r="B2383" s="2" t="s">
        <v>2386</v>
      </c>
      <c r="C2383" s="2">
        <v>36046.519999999997</v>
      </c>
      <c r="D2383" s="2" t="s">
        <v>5</v>
      </c>
    </row>
    <row r="2384" spans="1:4" ht="15" customHeight="1" x14ac:dyDescent="0.25">
      <c r="A2384" s="2" t="str">
        <f>"01031100050"</f>
        <v>01031100050</v>
      </c>
      <c r="B2384" s="2" t="s">
        <v>2387</v>
      </c>
      <c r="C2384" s="2">
        <v>13791.72</v>
      </c>
      <c r="D2384" s="2" t="s">
        <v>5</v>
      </c>
    </row>
    <row r="2385" spans="1:4" ht="15" customHeight="1" x14ac:dyDescent="0.25">
      <c r="A2385" s="2" t="str">
        <f>"01031100055"</f>
        <v>01031100055</v>
      </c>
      <c r="B2385" s="2" t="s">
        <v>2388</v>
      </c>
      <c r="C2385" s="2">
        <v>22986.27</v>
      </c>
      <c r="D2385" s="2" t="s">
        <v>5</v>
      </c>
    </row>
    <row r="2386" spans="1:4" ht="15" customHeight="1" x14ac:dyDescent="0.25">
      <c r="A2386" s="2" t="str">
        <f>"01031100060"</f>
        <v>01031100060</v>
      </c>
      <c r="B2386" s="2" t="s">
        <v>2389</v>
      </c>
      <c r="C2386" s="2">
        <v>27583.49</v>
      </c>
      <c r="D2386" s="2" t="s">
        <v>5</v>
      </c>
    </row>
    <row r="2387" spans="1:4" ht="15" customHeight="1" x14ac:dyDescent="0.25">
      <c r="A2387" s="2" t="str">
        <f>"01031100065"</f>
        <v>01031100065</v>
      </c>
      <c r="B2387" s="2" t="s">
        <v>2390</v>
      </c>
      <c r="C2387" s="2">
        <v>45972.480000000003</v>
      </c>
      <c r="D2387" s="2" t="s">
        <v>5</v>
      </c>
    </row>
    <row r="2388" spans="1:4" ht="15" customHeight="1" x14ac:dyDescent="0.25">
      <c r="A2388" s="2" t="str">
        <f>"01031100110"</f>
        <v>01031100110</v>
      </c>
      <c r="B2388" s="2" t="s">
        <v>2391</v>
      </c>
      <c r="C2388" s="2">
        <v>6326.52</v>
      </c>
      <c r="D2388" s="2" t="s">
        <v>5</v>
      </c>
    </row>
    <row r="2389" spans="1:4" ht="15" customHeight="1" x14ac:dyDescent="0.25">
      <c r="A2389" s="2" t="str">
        <f>"01031100115"</f>
        <v>01031100115</v>
      </c>
      <c r="B2389" s="2" t="s">
        <v>2392</v>
      </c>
      <c r="C2389" s="2">
        <v>10544.24</v>
      </c>
      <c r="D2389" s="2" t="s">
        <v>5</v>
      </c>
    </row>
    <row r="2390" spans="1:4" ht="15" customHeight="1" x14ac:dyDescent="0.25">
      <c r="A2390" s="2" t="str">
        <f>"01031100120"</f>
        <v>01031100120</v>
      </c>
      <c r="B2390" s="2" t="s">
        <v>2393</v>
      </c>
      <c r="C2390" s="2">
        <v>12653.1</v>
      </c>
      <c r="D2390" s="2" t="s">
        <v>5</v>
      </c>
    </row>
    <row r="2391" spans="1:4" ht="15" customHeight="1" x14ac:dyDescent="0.25">
      <c r="A2391" s="2" t="str">
        <f>"01031100125"</f>
        <v>01031100125</v>
      </c>
      <c r="B2391" s="2" t="s">
        <v>2394</v>
      </c>
      <c r="C2391" s="2">
        <v>21088.5</v>
      </c>
      <c r="D2391" s="2" t="s">
        <v>5</v>
      </c>
    </row>
    <row r="2392" spans="1:4" ht="15" customHeight="1" x14ac:dyDescent="0.25">
      <c r="A2392" s="2" t="str">
        <f>"01031100102"</f>
        <v>01031100102</v>
      </c>
      <c r="B2392" s="2" t="s">
        <v>2395</v>
      </c>
      <c r="C2392" s="2">
        <v>22775.58</v>
      </c>
      <c r="D2392" s="2" t="s">
        <v>5</v>
      </c>
    </row>
    <row r="2393" spans="1:4" ht="15" customHeight="1" x14ac:dyDescent="0.25">
      <c r="A2393" s="2" t="str">
        <f>"01031100105"</f>
        <v>01031100105</v>
      </c>
      <c r="B2393" s="2" t="s">
        <v>2396</v>
      </c>
      <c r="C2393" s="2">
        <v>37959.300000000003</v>
      </c>
      <c r="D2393" s="2" t="s">
        <v>5</v>
      </c>
    </row>
    <row r="2394" spans="1:4" ht="15" customHeight="1" x14ac:dyDescent="0.25">
      <c r="A2394" s="2" t="str">
        <f>"01031100080"</f>
        <v>01031100080</v>
      </c>
      <c r="B2394" s="2" t="s">
        <v>2397</v>
      </c>
      <c r="C2394" s="2">
        <v>7591.88</v>
      </c>
      <c r="D2394" s="2" t="s">
        <v>5</v>
      </c>
    </row>
    <row r="2395" spans="1:4" ht="15" customHeight="1" x14ac:dyDescent="0.25">
      <c r="A2395" s="2" t="str">
        <f>"01031100085"</f>
        <v>01031100085</v>
      </c>
      <c r="B2395" s="2" t="s">
        <v>2398</v>
      </c>
      <c r="C2395" s="2">
        <v>12653.1</v>
      </c>
      <c r="D2395" s="2" t="s">
        <v>5</v>
      </c>
    </row>
    <row r="2396" spans="1:4" ht="15" customHeight="1" x14ac:dyDescent="0.25">
      <c r="A2396" s="2" t="str">
        <f>"01031100090"</f>
        <v>01031100090</v>
      </c>
      <c r="B2396" s="2" t="s">
        <v>2399</v>
      </c>
      <c r="C2396" s="2">
        <v>15183.71</v>
      </c>
      <c r="D2396" s="2" t="s">
        <v>5</v>
      </c>
    </row>
    <row r="2397" spans="1:4" ht="15" customHeight="1" x14ac:dyDescent="0.25">
      <c r="A2397" s="2" t="str">
        <f>"01031100095"</f>
        <v>01031100095</v>
      </c>
      <c r="B2397" s="2" t="s">
        <v>2400</v>
      </c>
      <c r="C2397" s="2">
        <v>25306.19</v>
      </c>
      <c r="D2397" s="2" t="s">
        <v>5</v>
      </c>
    </row>
    <row r="2398" spans="1:4" ht="15" customHeight="1" x14ac:dyDescent="0.25">
      <c r="A2398" s="2" t="str">
        <f>"01040000301"</f>
        <v>01040000301</v>
      </c>
      <c r="B2398" s="2" t="s">
        <v>2401</v>
      </c>
      <c r="C2398" s="2">
        <v>1825.2</v>
      </c>
      <c r="D2398" s="2" t="s">
        <v>5</v>
      </c>
    </row>
    <row r="2399" spans="1:4" ht="15" customHeight="1" x14ac:dyDescent="0.25">
      <c r="A2399" s="2" t="str">
        <f>"01040000302"</f>
        <v>01040000302</v>
      </c>
      <c r="B2399" s="2" t="s">
        <v>2402</v>
      </c>
      <c r="C2399" s="2">
        <v>1825.2</v>
      </c>
      <c r="D2399" s="2" t="s">
        <v>5</v>
      </c>
    </row>
    <row r="2400" spans="1:4" ht="15" customHeight="1" x14ac:dyDescent="0.25">
      <c r="A2400" s="2" t="str">
        <f>"01040000300"</f>
        <v>01040000300</v>
      </c>
      <c r="B2400" s="2" t="s">
        <v>2403</v>
      </c>
      <c r="C2400" s="2">
        <v>1825.2</v>
      </c>
      <c r="D2400" s="2" t="s">
        <v>5</v>
      </c>
    </row>
    <row r="2401" spans="1:4" ht="15" customHeight="1" x14ac:dyDescent="0.25">
      <c r="A2401" s="2" t="str">
        <f>"08400003010"</f>
        <v>08400003010</v>
      </c>
      <c r="B2401" s="2" t="s">
        <v>2404</v>
      </c>
      <c r="C2401" s="2">
        <v>32.57</v>
      </c>
      <c r="D2401" s="2" t="s">
        <v>5</v>
      </c>
    </row>
    <row r="2402" spans="1:4" ht="15" customHeight="1" x14ac:dyDescent="0.25">
      <c r="A2402" s="2" t="str">
        <f>"01015000015"</f>
        <v>01015000015</v>
      </c>
      <c r="B2402" s="2" t="s">
        <v>2405</v>
      </c>
      <c r="C2402" s="2">
        <v>1056.93</v>
      </c>
      <c r="D2402" s="2" t="s">
        <v>5</v>
      </c>
    </row>
    <row r="2403" spans="1:4" ht="15" customHeight="1" x14ac:dyDescent="0.25">
      <c r="A2403" s="2" t="str">
        <f>"01015000005"</f>
        <v>01015000005</v>
      </c>
      <c r="B2403" s="2" t="s">
        <v>2406</v>
      </c>
      <c r="C2403" s="2">
        <v>1056.93</v>
      </c>
      <c r="D2403" s="2" t="s">
        <v>5</v>
      </c>
    </row>
    <row r="2404" spans="1:4" ht="15" customHeight="1" x14ac:dyDescent="0.25">
      <c r="A2404" s="2" t="str">
        <f>"01015000010"</f>
        <v>01015000010</v>
      </c>
      <c r="B2404" s="2" t="s">
        <v>2407</v>
      </c>
      <c r="C2404" s="2">
        <v>1056.93</v>
      </c>
      <c r="D2404" s="2" t="s">
        <v>5</v>
      </c>
    </row>
    <row r="2405" spans="1:4" ht="15" customHeight="1" x14ac:dyDescent="0.25">
      <c r="A2405" s="2" t="str">
        <f>"01015000020"</f>
        <v>01015000020</v>
      </c>
      <c r="B2405" s="2" t="s">
        <v>2408</v>
      </c>
      <c r="C2405" s="2">
        <v>1056.93</v>
      </c>
      <c r="D2405" s="2" t="s">
        <v>5</v>
      </c>
    </row>
    <row r="2406" spans="1:4" ht="15" customHeight="1" x14ac:dyDescent="0.25">
      <c r="A2406" s="2" t="str">
        <f>"01015000025"</f>
        <v>01015000025</v>
      </c>
      <c r="B2406" s="2" t="s">
        <v>2409</v>
      </c>
      <c r="C2406" s="2">
        <v>1056.93</v>
      </c>
      <c r="D2406" s="2" t="s">
        <v>5</v>
      </c>
    </row>
    <row r="2407" spans="1:4" ht="15" customHeight="1" x14ac:dyDescent="0.25">
      <c r="A2407" s="2" t="str">
        <f>"01015000030"</f>
        <v>01015000030</v>
      </c>
      <c r="B2407" s="2" t="s">
        <v>2410</v>
      </c>
      <c r="C2407" s="2">
        <v>1056.93</v>
      </c>
      <c r="D2407" s="2" t="s">
        <v>5</v>
      </c>
    </row>
    <row r="2408" spans="1:4" ht="15" customHeight="1" x14ac:dyDescent="0.25">
      <c r="A2408" s="2" t="str">
        <f>"01004000080"</f>
        <v>01004000080</v>
      </c>
      <c r="B2408" s="2" t="s">
        <v>2411</v>
      </c>
      <c r="C2408" s="2">
        <v>1252.8599999999999</v>
      </c>
      <c r="D2408" s="2" t="s">
        <v>5</v>
      </c>
    </row>
    <row r="2409" spans="1:4" ht="15" customHeight="1" x14ac:dyDescent="0.25">
      <c r="A2409" s="2" t="str">
        <f>"01004000075"</f>
        <v>01004000075</v>
      </c>
      <c r="B2409" s="2" t="s">
        <v>2412</v>
      </c>
      <c r="C2409" s="2">
        <v>1021.1</v>
      </c>
      <c r="D2409" s="2" t="s">
        <v>5</v>
      </c>
    </row>
    <row r="2410" spans="1:4" ht="15" customHeight="1" x14ac:dyDescent="0.25">
      <c r="A2410" s="2" t="str">
        <f>"03033000103"</f>
        <v>03033000103</v>
      </c>
      <c r="B2410" s="2" t="s">
        <v>2413</v>
      </c>
      <c r="C2410" s="2">
        <v>2724.8</v>
      </c>
      <c r="D2410" s="2" t="s">
        <v>5</v>
      </c>
    </row>
    <row r="2411" spans="1:4" ht="15" customHeight="1" x14ac:dyDescent="0.25">
      <c r="A2411" s="2" t="str">
        <f>"03032000120"</f>
        <v>03032000120</v>
      </c>
      <c r="B2411" s="2" t="s">
        <v>2414</v>
      </c>
      <c r="C2411" s="2">
        <v>652.85</v>
      </c>
      <c r="D2411" s="2" t="s">
        <v>5</v>
      </c>
    </row>
    <row r="2412" spans="1:4" ht="15" customHeight="1" x14ac:dyDescent="0.25">
      <c r="A2412" s="2" t="str">
        <f>"03032000140"</f>
        <v>03032000140</v>
      </c>
      <c r="B2412" s="2" t="s">
        <v>2415</v>
      </c>
      <c r="C2412" s="2">
        <v>614.33000000000004</v>
      </c>
      <c r="D2412" s="2" t="s">
        <v>5</v>
      </c>
    </row>
    <row r="2413" spans="1:4" ht="15" customHeight="1" x14ac:dyDescent="0.25">
      <c r="A2413" s="2" t="str">
        <f>"01041000025"</f>
        <v>01041000025</v>
      </c>
      <c r="B2413" s="2" t="s">
        <v>2416</v>
      </c>
      <c r="C2413" s="2">
        <v>400.14</v>
      </c>
      <c r="D2413" s="2" t="s">
        <v>107</v>
      </c>
    </row>
    <row r="2414" spans="1:4" ht="15" customHeight="1" x14ac:dyDescent="0.25">
      <c r="A2414" s="2" t="str">
        <f>"01041000015"</f>
        <v>01041000015</v>
      </c>
      <c r="B2414" s="2" t="s">
        <v>2417</v>
      </c>
      <c r="C2414" s="2">
        <v>252.72</v>
      </c>
      <c r="D2414" s="2" t="s">
        <v>107</v>
      </c>
    </row>
    <row r="2415" spans="1:4" ht="15" customHeight="1" x14ac:dyDescent="0.25">
      <c r="A2415" s="2" t="str">
        <f>"01041000020"</f>
        <v>01041000020</v>
      </c>
      <c r="B2415" s="2" t="s">
        <v>2418</v>
      </c>
      <c r="C2415" s="2">
        <v>176.91</v>
      </c>
      <c r="D2415" s="2" t="s">
        <v>107</v>
      </c>
    </row>
    <row r="2416" spans="1:4" ht="15" customHeight="1" x14ac:dyDescent="0.25">
      <c r="A2416" s="2" t="str">
        <f>"03019500040"</f>
        <v>03019500040</v>
      </c>
      <c r="B2416" s="2" t="s">
        <v>2419</v>
      </c>
      <c r="C2416" s="2">
        <v>8926.41</v>
      </c>
      <c r="D2416" s="2" t="s">
        <v>5</v>
      </c>
    </row>
    <row r="2417" spans="1:4" ht="15" customHeight="1" x14ac:dyDescent="0.25">
      <c r="A2417" s="2" t="str">
        <f>"03019500050"</f>
        <v>03019500050</v>
      </c>
      <c r="B2417" s="2" t="s">
        <v>2420</v>
      </c>
      <c r="C2417" s="2">
        <v>13389.59</v>
      </c>
      <c r="D2417" s="2" t="s">
        <v>5</v>
      </c>
    </row>
    <row r="2418" spans="1:4" ht="15" customHeight="1" x14ac:dyDescent="0.25">
      <c r="A2418" s="2" t="str">
        <f>"03019500060"</f>
        <v>03019500060</v>
      </c>
      <c r="B2418" s="2" t="s">
        <v>2421</v>
      </c>
      <c r="C2418" s="2">
        <v>22316.27</v>
      </c>
      <c r="D2418" s="2" t="s">
        <v>5</v>
      </c>
    </row>
    <row r="2419" spans="1:4" ht="15" customHeight="1" x14ac:dyDescent="0.25">
      <c r="A2419" s="2" t="str">
        <f>"03019500039"</f>
        <v>03019500039</v>
      </c>
      <c r="B2419" s="2" t="s">
        <v>2422</v>
      </c>
      <c r="C2419" s="2">
        <v>44631.93</v>
      </c>
      <c r="D2419" s="2" t="s">
        <v>5</v>
      </c>
    </row>
    <row r="2420" spans="1:4" ht="15" customHeight="1" x14ac:dyDescent="0.25">
      <c r="A2420" s="2" t="str">
        <f>"03019500032"</f>
        <v>03019500032</v>
      </c>
      <c r="B2420" s="2" t="s">
        <v>2423</v>
      </c>
      <c r="C2420" s="2">
        <v>7588.35</v>
      </c>
      <c r="D2420" s="2" t="s">
        <v>5</v>
      </c>
    </row>
    <row r="2421" spans="1:4" ht="15" customHeight="1" x14ac:dyDescent="0.25">
      <c r="A2421" s="2" t="str">
        <f>"03019500034"</f>
        <v>03019500034</v>
      </c>
      <c r="B2421" s="2" t="s">
        <v>2424</v>
      </c>
      <c r="C2421" s="2">
        <v>11381.46</v>
      </c>
      <c r="D2421" s="2" t="s">
        <v>5</v>
      </c>
    </row>
    <row r="2422" spans="1:4" ht="15" customHeight="1" x14ac:dyDescent="0.25">
      <c r="A2422" s="2" t="str">
        <f>"03019500036"</f>
        <v>03019500036</v>
      </c>
      <c r="B2422" s="2" t="s">
        <v>2425</v>
      </c>
      <c r="C2422" s="2">
        <v>18969.349999999999</v>
      </c>
      <c r="D2422" s="2" t="s">
        <v>5</v>
      </c>
    </row>
    <row r="2423" spans="1:4" ht="15" customHeight="1" x14ac:dyDescent="0.25">
      <c r="A2423" s="2" t="str">
        <f>"03019502080"</f>
        <v>03019502080</v>
      </c>
      <c r="B2423" s="2" t="s">
        <v>2426</v>
      </c>
      <c r="C2423" s="2">
        <v>107461.14</v>
      </c>
      <c r="D2423" s="2" t="s">
        <v>5</v>
      </c>
    </row>
    <row r="2424" spans="1:4" ht="15" customHeight="1" x14ac:dyDescent="0.25">
      <c r="A2424" s="2" t="str">
        <f>"03019502075"</f>
        <v>03019502075</v>
      </c>
      <c r="B2424" s="2" t="s">
        <v>2427</v>
      </c>
      <c r="C2424" s="2">
        <v>107461.14</v>
      </c>
      <c r="D2424" s="2" t="s">
        <v>5</v>
      </c>
    </row>
    <row r="2425" spans="1:4" ht="15" customHeight="1" x14ac:dyDescent="0.25">
      <c r="A2425" s="2" t="str">
        <f>"03019502085"</f>
        <v>03019502085</v>
      </c>
      <c r="B2425" s="2" t="s">
        <v>2428</v>
      </c>
      <c r="C2425" s="2">
        <v>107461.14</v>
      </c>
      <c r="D2425" s="2" t="s">
        <v>5</v>
      </c>
    </row>
    <row r="2426" spans="1:4" ht="15" customHeight="1" x14ac:dyDescent="0.25">
      <c r="A2426" s="2" t="str">
        <f>"03019502095"</f>
        <v>03019502095</v>
      </c>
      <c r="B2426" s="2" t="s">
        <v>2429</v>
      </c>
      <c r="C2426" s="2">
        <v>26110.04</v>
      </c>
      <c r="D2426" s="2" t="s">
        <v>5</v>
      </c>
    </row>
    <row r="2427" spans="1:4" ht="15" customHeight="1" x14ac:dyDescent="0.25">
      <c r="A2427" s="2" t="str">
        <f>"03019502090"</f>
        <v>03019502090</v>
      </c>
      <c r="B2427" s="2" t="s">
        <v>2430</v>
      </c>
      <c r="C2427" s="2">
        <v>26110.04</v>
      </c>
      <c r="D2427" s="2" t="s">
        <v>5</v>
      </c>
    </row>
    <row r="2428" spans="1:4" ht="15" customHeight="1" x14ac:dyDescent="0.25">
      <c r="A2428" s="2" t="str">
        <f>"03019503000"</f>
        <v>03019503000</v>
      </c>
      <c r="B2428" s="2" t="s">
        <v>2431</v>
      </c>
      <c r="C2428" s="2">
        <v>26110.04</v>
      </c>
      <c r="D2428" s="2" t="s">
        <v>5</v>
      </c>
    </row>
    <row r="2429" spans="1:4" ht="15" customHeight="1" x14ac:dyDescent="0.25">
      <c r="A2429" s="2" t="str">
        <f>"06050000129"</f>
        <v>06050000129</v>
      </c>
      <c r="B2429" s="2" t="s">
        <v>2432</v>
      </c>
      <c r="C2429" s="2">
        <v>67999.5</v>
      </c>
      <c r="D2429" s="2" t="s">
        <v>5</v>
      </c>
    </row>
    <row r="2430" spans="1:4" ht="15" customHeight="1" x14ac:dyDescent="0.25">
      <c r="A2430" s="2" t="str">
        <f>"06050000130"</f>
        <v>06050000130</v>
      </c>
      <c r="B2430" s="2" t="s">
        <v>2433</v>
      </c>
      <c r="C2430" s="2">
        <v>67999.5</v>
      </c>
      <c r="D2430" s="2" t="s">
        <v>5</v>
      </c>
    </row>
    <row r="2431" spans="1:4" ht="15" customHeight="1" x14ac:dyDescent="0.25">
      <c r="A2431" s="2" t="str">
        <f>"06050000131"</f>
        <v>06050000131</v>
      </c>
      <c r="B2431" s="2" t="s">
        <v>2434</v>
      </c>
      <c r="C2431" s="2">
        <v>72930.78</v>
      </c>
      <c r="D2431" s="2" t="s">
        <v>5</v>
      </c>
    </row>
    <row r="2432" spans="1:4" ht="15" customHeight="1" x14ac:dyDescent="0.25">
      <c r="A2432" s="2" t="str">
        <f>"06050000132"</f>
        <v>06050000132</v>
      </c>
      <c r="B2432" s="2" t="s">
        <v>2435</v>
      </c>
      <c r="C2432" s="2">
        <v>72930.78</v>
      </c>
      <c r="D2432" s="2" t="s">
        <v>5</v>
      </c>
    </row>
    <row r="2433" spans="1:4" ht="15" customHeight="1" x14ac:dyDescent="0.25">
      <c r="A2433" s="2" t="str">
        <f>"06050000045"</f>
        <v>06050000045</v>
      </c>
      <c r="B2433" s="2" t="s">
        <v>2436</v>
      </c>
      <c r="C2433" s="2">
        <v>38880</v>
      </c>
      <c r="D2433" s="2" t="s">
        <v>5</v>
      </c>
    </row>
    <row r="2434" spans="1:4" ht="15" customHeight="1" x14ac:dyDescent="0.25">
      <c r="A2434" s="2" t="str">
        <f>"06050000047"</f>
        <v>06050000047</v>
      </c>
      <c r="B2434" s="2" t="s">
        <v>2437</v>
      </c>
      <c r="C2434" s="2">
        <v>38880</v>
      </c>
      <c r="D2434" s="2" t="s">
        <v>5</v>
      </c>
    </row>
    <row r="2435" spans="1:4" ht="15" customHeight="1" x14ac:dyDescent="0.25">
      <c r="A2435" s="2" t="str">
        <f>"06050000050"</f>
        <v>06050000050</v>
      </c>
      <c r="B2435" s="2" t="s">
        <v>2438</v>
      </c>
      <c r="C2435" s="2">
        <v>43092</v>
      </c>
      <c r="D2435" s="2" t="s">
        <v>5</v>
      </c>
    </row>
    <row r="2436" spans="1:4" ht="15" customHeight="1" x14ac:dyDescent="0.25">
      <c r="A2436" s="2" t="str">
        <f>"06050000052"</f>
        <v>06050000052</v>
      </c>
      <c r="B2436" s="2" t="s">
        <v>2439</v>
      </c>
      <c r="C2436" s="2">
        <v>43092</v>
      </c>
      <c r="D2436" s="2" t="s">
        <v>5</v>
      </c>
    </row>
    <row r="2437" spans="1:4" ht="15" customHeight="1" x14ac:dyDescent="0.25">
      <c r="A2437" s="2" t="str">
        <f>"06050000053"</f>
        <v>06050000053</v>
      </c>
      <c r="B2437" s="2" t="s">
        <v>2440</v>
      </c>
      <c r="C2437" s="2">
        <v>55890</v>
      </c>
      <c r="D2437" s="2" t="s">
        <v>5</v>
      </c>
    </row>
    <row r="2438" spans="1:4" ht="15" customHeight="1" x14ac:dyDescent="0.25">
      <c r="A2438" s="2" t="str">
        <f>"06050000054"</f>
        <v>06050000054</v>
      </c>
      <c r="B2438" s="2" t="s">
        <v>2441</v>
      </c>
      <c r="C2438" s="2">
        <v>55890</v>
      </c>
      <c r="D2438" s="2" t="s">
        <v>5</v>
      </c>
    </row>
    <row r="2439" spans="1:4" ht="15" customHeight="1" x14ac:dyDescent="0.25">
      <c r="A2439" s="2" t="str">
        <f>"06050000502"</f>
        <v>06050000502</v>
      </c>
      <c r="B2439" s="2" t="s">
        <v>2442</v>
      </c>
      <c r="C2439" s="2">
        <v>81810</v>
      </c>
      <c r="D2439" s="2" t="s">
        <v>5</v>
      </c>
    </row>
    <row r="2440" spans="1:4" ht="15" customHeight="1" x14ac:dyDescent="0.25">
      <c r="A2440" s="2" t="str">
        <f>"06050000097"</f>
        <v>06050000097</v>
      </c>
      <c r="B2440" s="2" t="s">
        <v>2443</v>
      </c>
      <c r="C2440" s="2">
        <v>81810</v>
      </c>
      <c r="D2440" s="2" t="s">
        <v>5</v>
      </c>
    </row>
    <row r="2441" spans="1:4" ht="15" customHeight="1" x14ac:dyDescent="0.25">
      <c r="A2441" s="2" t="str">
        <f>"06050000501"</f>
        <v>06050000501</v>
      </c>
      <c r="B2441" s="2" t="s">
        <v>2444</v>
      </c>
      <c r="C2441" s="2">
        <v>43812.9</v>
      </c>
      <c r="D2441" s="2" t="s">
        <v>5</v>
      </c>
    </row>
    <row r="2442" spans="1:4" ht="15" customHeight="1" x14ac:dyDescent="0.25">
      <c r="A2442" s="2" t="str">
        <f>"06050000087"</f>
        <v>06050000087</v>
      </c>
      <c r="B2442" s="2" t="s">
        <v>2445</v>
      </c>
      <c r="C2442" s="2">
        <v>43812.9</v>
      </c>
      <c r="D2442" s="2" t="s">
        <v>5</v>
      </c>
    </row>
    <row r="2443" spans="1:4" ht="15" customHeight="1" x14ac:dyDescent="0.25">
      <c r="A2443" s="2" t="str">
        <f>"06050000088"</f>
        <v>06050000088</v>
      </c>
      <c r="B2443" s="2" t="s">
        <v>2446</v>
      </c>
      <c r="C2443" s="2">
        <v>48681</v>
      </c>
      <c r="D2443" s="2" t="s">
        <v>5</v>
      </c>
    </row>
    <row r="2444" spans="1:4" ht="15" customHeight="1" x14ac:dyDescent="0.25">
      <c r="A2444" s="2" t="str">
        <f>"06050000090"</f>
        <v>06050000090</v>
      </c>
      <c r="B2444" s="2" t="s">
        <v>2447</v>
      </c>
      <c r="C2444" s="2">
        <v>48681</v>
      </c>
      <c r="D2444" s="2" t="s">
        <v>5</v>
      </c>
    </row>
    <row r="2445" spans="1:4" ht="15" customHeight="1" x14ac:dyDescent="0.25">
      <c r="A2445" s="2" t="str">
        <f>"06050000092"</f>
        <v>06050000092</v>
      </c>
      <c r="B2445" s="2" t="s">
        <v>2448</v>
      </c>
      <c r="C2445" s="2">
        <v>52180.2</v>
      </c>
      <c r="D2445" s="2" t="s">
        <v>5</v>
      </c>
    </row>
    <row r="2446" spans="1:4" ht="15" customHeight="1" x14ac:dyDescent="0.25">
      <c r="A2446" s="2" t="str">
        <f>"06050000094"</f>
        <v>06050000094</v>
      </c>
      <c r="B2446" s="2" t="s">
        <v>2449</v>
      </c>
      <c r="C2446" s="2">
        <v>52180.2</v>
      </c>
      <c r="D2446" s="2" t="s">
        <v>5</v>
      </c>
    </row>
    <row r="2447" spans="1:4" ht="15" customHeight="1" x14ac:dyDescent="0.25">
      <c r="A2447" s="2" t="str">
        <f>"06050000095"</f>
        <v>06050000095</v>
      </c>
      <c r="B2447" s="2" t="s">
        <v>2450</v>
      </c>
      <c r="C2447" s="2">
        <v>69741</v>
      </c>
      <c r="D2447" s="2" t="s">
        <v>5</v>
      </c>
    </row>
    <row r="2448" spans="1:4" ht="15" customHeight="1" x14ac:dyDescent="0.25">
      <c r="A2448" s="2" t="str">
        <f>"06050000096"</f>
        <v>06050000096</v>
      </c>
      <c r="B2448" s="2" t="s">
        <v>2451</v>
      </c>
      <c r="C2448" s="2">
        <v>69741</v>
      </c>
      <c r="D2448" s="2" t="s">
        <v>5</v>
      </c>
    </row>
    <row r="2449" spans="1:4" ht="15" customHeight="1" x14ac:dyDescent="0.25">
      <c r="A2449" s="2" t="str">
        <f>"06070000085"</f>
        <v>06070000085</v>
      </c>
      <c r="B2449" s="2" t="s">
        <v>2452</v>
      </c>
      <c r="C2449" s="2">
        <v>786.62</v>
      </c>
      <c r="D2449" s="2" t="s">
        <v>5</v>
      </c>
    </row>
    <row r="2450" spans="1:4" ht="15" customHeight="1" x14ac:dyDescent="0.25">
      <c r="A2450" s="2" t="str">
        <f>"03040000020"</f>
        <v>03040000020</v>
      </c>
      <c r="B2450" s="2" t="s">
        <v>2453</v>
      </c>
      <c r="C2450" s="2">
        <v>11117.66</v>
      </c>
      <c r="D2450" s="2" t="s">
        <v>5</v>
      </c>
    </row>
    <row r="2451" spans="1:4" ht="15" customHeight="1" x14ac:dyDescent="0.25">
      <c r="A2451" s="2" t="str">
        <f>"03040000018"</f>
        <v>03040000018</v>
      </c>
      <c r="B2451" s="2" t="s">
        <v>2454</v>
      </c>
      <c r="C2451" s="2">
        <v>13658.45</v>
      </c>
      <c r="D2451" s="2" t="s">
        <v>5</v>
      </c>
    </row>
    <row r="2452" spans="1:4" ht="15" customHeight="1" x14ac:dyDescent="0.25">
      <c r="A2452" s="2" t="str">
        <f>"03040000016"</f>
        <v>03040000016</v>
      </c>
      <c r="B2452" s="2" t="s">
        <v>2455</v>
      </c>
      <c r="C2452" s="2">
        <v>48276.9</v>
      </c>
      <c r="D2452" s="2" t="s">
        <v>5</v>
      </c>
    </row>
    <row r="2453" spans="1:4" ht="15" customHeight="1" x14ac:dyDescent="0.25">
      <c r="A2453" s="2" t="str">
        <f>"09500000068"</f>
        <v>09500000068</v>
      </c>
      <c r="B2453" s="2" t="s">
        <v>2456</v>
      </c>
      <c r="C2453" s="2">
        <v>43156.32</v>
      </c>
      <c r="D2453" s="2" t="s">
        <v>5</v>
      </c>
    </row>
    <row r="2454" spans="1:4" ht="15" customHeight="1" x14ac:dyDescent="0.25">
      <c r="A2454" s="2" t="str">
        <f>"06010000850"</f>
        <v>06010000850</v>
      </c>
      <c r="B2454" s="2" t="s">
        <v>2457</v>
      </c>
      <c r="C2454" s="2">
        <v>8826.32</v>
      </c>
      <c r="D2454" s="2" t="s">
        <v>5</v>
      </c>
    </row>
    <row r="2455" spans="1:4" ht="15" customHeight="1" x14ac:dyDescent="0.25">
      <c r="A2455" s="2" t="str">
        <f>"03063000095"</f>
        <v>03063000095</v>
      </c>
      <c r="B2455" s="2" t="s">
        <v>2458</v>
      </c>
      <c r="C2455" s="2">
        <v>65.790000000000006</v>
      </c>
      <c r="D2455" s="2" t="s">
        <v>107</v>
      </c>
    </row>
    <row r="2456" spans="1:4" ht="15" customHeight="1" x14ac:dyDescent="0.25">
      <c r="A2456" s="2" t="str">
        <f>"06010000853"</f>
        <v>06010000853</v>
      </c>
      <c r="B2456" s="2" t="s">
        <v>2459</v>
      </c>
      <c r="C2456" s="2">
        <v>8936.07</v>
      </c>
      <c r="D2456" s="2" t="s">
        <v>5</v>
      </c>
    </row>
    <row r="2457" spans="1:4" ht="15" customHeight="1" x14ac:dyDescent="0.25">
      <c r="A2457" s="2" t="str">
        <f>"03033000105"</f>
        <v>03033000105</v>
      </c>
      <c r="B2457" s="2" t="s">
        <v>2460</v>
      </c>
      <c r="C2457" s="2">
        <v>45540</v>
      </c>
      <c r="D2457" s="2" t="s">
        <v>5</v>
      </c>
    </row>
    <row r="2458" spans="1:4" ht="15" customHeight="1" x14ac:dyDescent="0.25">
      <c r="A2458" s="2" t="str">
        <f>"03033000040"</f>
        <v>03033000040</v>
      </c>
      <c r="B2458" s="2" t="s">
        <v>2461</v>
      </c>
      <c r="C2458" s="2">
        <v>22964.6</v>
      </c>
      <c r="D2458" s="2" t="s">
        <v>5</v>
      </c>
    </row>
    <row r="2459" spans="1:4" ht="15" customHeight="1" x14ac:dyDescent="0.25">
      <c r="A2459" s="2" t="str">
        <f>"03015000040"</f>
        <v>03015000040</v>
      </c>
      <c r="B2459" s="2" t="s">
        <v>2462</v>
      </c>
      <c r="C2459" s="2">
        <v>28840.25</v>
      </c>
      <c r="D2459" s="2" t="s">
        <v>5</v>
      </c>
    </row>
    <row r="2460" spans="1:4" ht="15" customHeight="1" x14ac:dyDescent="0.25">
      <c r="A2460" s="2" t="str">
        <f>"03033000060"</f>
        <v>03033000060</v>
      </c>
      <c r="B2460" s="2" t="s">
        <v>2463</v>
      </c>
      <c r="C2460" s="2">
        <v>15372.72</v>
      </c>
      <c r="D2460" s="2" t="s">
        <v>5</v>
      </c>
    </row>
    <row r="2461" spans="1:4" ht="15" customHeight="1" x14ac:dyDescent="0.25">
      <c r="A2461" s="2" t="str">
        <f>"03033000050"</f>
        <v>03033000050</v>
      </c>
      <c r="B2461" s="2" t="s">
        <v>2464</v>
      </c>
      <c r="C2461" s="2">
        <v>30360.42</v>
      </c>
      <c r="D2461" s="2" t="s">
        <v>5</v>
      </c>
    </row>
    <row r="2462" spans="1:4" ht="15" customHeight="1" x14ac:dyDescent="0.25">
      <c r="A2462" s="2" t="str">
        <f>"03033000111"</f>
        <v>03033000111</v>
      </c>
      <c r="B2462" s="2" t="s">
        <v>2465</v>
      </c>
      <c r="C2462" s="2">
        <v>62730.81</v>
      </c>
      <c r="D2462" s="2" t="s">
        <v>5</v>
      </c>
    </row>
    <row r="2463" spans="1:4" ht="15" customHeight="1" x14ac:dyDescent="0.25">
      <c r="A2463" s="2" t="str">
        <f>"03033000055"</f>
        <v>03033000055</v>
      </c>
      <c r="B2463" s="2" t="s">
        <v>2466</v>
      </c>
      <c r="C2463" s="2">
        <v>69700.88</v>
      </c>
      <c r="D2463" s="2" t="s">
        <v>5</v>
      </c>
    </row>
    <row r="2464" spans="1:4" ht="15" customHeight="1" x14ac:dyDescent="0.25">
      <c r="A2464" s="2" t="str">
        <f>"03033000056"</f>
        <v>03033000056</v>
      </c>
      <c r="B2464" s="2" t="s">
        <v>2467</v>
      </c>
      <c r="C2464" s="2">
        <v>71997.63</v>
      </c>
      <c r="D2464" s="2" t="s">
        <v>5</v>
      </c>
    </row>
    <row r="2465" spans="1:4" ht="15" customHeight="1" x14ac:dyDescent="0.25">
      <c r="A2465" s="2" t="str">
        <f>"03033000030"</f>
        <v>03033000030</v>
      </c>
      <c r="B2465" s="2" t="s">
        <v>2468</v>
      </c>
      <c r="C2465" s="2">
        <v>23756.43</v>
      </c>
      <c r="D2465" s="2" t="s">
        <v>5</v>
      </c>
    </row>
    <row r="2466" spans="1:4" ht="15" customHeight="1" x14ac:dyDescent="0.25">
      <c r="A2466" s="2" t="str">
        <f>"03042000255"</f>
        <v>03042000255</v>
      </c>
      <c r="B2466" s="2" t="s">
        <v>2469</v>
      </c>
      <c r="C2466" s="2">
        <v>59947.65</v>
      </c>
      <c r="D2466" s="2" t="s">
        <v>5</v>
      </c>
    </row>
    <row r="2467" spans="1:4" ht="15" customHeight="1" x14ac:dyDescent="0.25">
      <c r="A2467" s="2" t="str">
        <f>"03042000098"</f>
        <v>03042000098</v>
      </c>
      <c r="B2467" s="2" t="s">
        <v>2470</v>
      </c>
      <c r="C2467" s="2">
        <v>72368.55</v>
      </c>
      <c r="D2467" s="2" t="s">
        <v>5</v>
      </c>
    </row>
    <row r="2468" spans="1:4" ht="15" customHeight="1" x14ac:dyDescent="0.25">
      <c r="A2468" s="2" t="str">
        <f>"03042000120"</f>
        <v>03042000120</v>
      </c>
      <c r="B2468" s="2" t="s">
        <v>2471</v>
      </c>
      <c r="C2468" s="2">
        <v>79029.41</v>
      </c>
      <c r="D2468" s="2" t="s">
        <v>5</v>
      </c>
    </row>
    <row r="2469" spans="1:4" ht="15" customHeight="1" x14ac:dyDescent="0.25">
      <c r="A2469" s="2" t="str">
        <f>"03042000106"</f>
        <v>03042000106</v>
      </c>
      <c r="B2469" s="2" t="s">
        <v>2472</v>
      </c>
      <c r="C2469" s="2">
        <v>66697.320000000007</v>
      </c>
      <c r="D2469" s="2" t="s">
        <v>5</v>
      </c>
    </row>
    <row r="2470" spans="1:4" ht="15" customHeight="1" x14ac:dyDescent="0.25">
      <c r="A2470" s="2" t="str">
        <f>"03042000121"</f>
        <v>03042000121</v>
      </c>
      <c r="B2470" s="2" t="s">
        <v>2473</v>
      </c>
      <c r="C2470" s="2">
        <v>40688.28</v>
      </c>
      <c r="D2470" s="2" t="s">
        <v>5</v>
      </c>
    </row>
    <row r="2471" spans="1:4" ht="15" customHeight="1" x14ac:dyDescent="0.25">
      <c r="A2471" s="2" t="str">
        <f>"03042000104"</f>
        <v>03042000104</v>
      </c>
      <c r="B2471" s="2" t="s">
        <v>2474</v>
      </c>
      <c r="C2471" s="2">
        <v>48846.23</v>
      </c>
      <c r="D2471" s="2" t="s">
        <v>5</v>
      </c>
    </row>
    <row r="2472" spans="1:4" ht="15" customHeight="1" x14ac:dyDescent="0.25">
      <c r="A2472" s="2" t="str">
        <f>"03042000102"</f>
        <v>03042000102</v>
      </c>
      <c r="B2472" s="2" t="s">
        <v>2475</v>
      </c>
      <c r="C2472" s="2">
        <v>35968.589999999997</v>
      </c>
      <c r="D2472" s="2" t="s">
        <v>5</v>
      </c>
    </row>
    <row r="2473" spans="1:4" ht="15" customHeight="1" x14ac:dyDescent="0.25">
      <c r="A2473" s="2" t="str">
        <f>"03042000108"</f>
        <v>03042000108</v>
      </c>
      <c r="B2473" s="2" t="s">
        <v>2476</v>
      </c>
      <c r="C2473" s="2">
        <v>58361.73</v>
      </c>
      <c r="D2473" s="2" t="s">
        <v>5</v>
      </c>
    </row>
    <row r="2474" spans="1:4" ht="15" customHeight="1" x14ac:dyDescent="0.25">
      <c r="A2474" s="2" t="str">
        <f>"03042000251"</f>
        <v>03042000251</v>
      </c>
      <c r="B2474" s="2" t="s">
        <v>2477</v>
      </c>
      <c r="C2474" s="2">
        <v>125858.34</v>
      </c>
      <c r="D2474" s="2" t="s">
        <v>5</v>
      </c>
    </row>
    <row r="2475" spans="1:4" ht="15" customHeight="1" x14ac:dyDescent="0.25">
      <c r="A2475" s="2" t="str">
        <f>"03042000250"</f>
        <v>03042000250</v>
      </c>
      <c r="B2475" s="2" t="s">
        <v>2478</v>
      </c>
      <c r="C2475" s="2">
        <v>89179.28</v>
      </c>
      <c r="D2475" s="2" t="s">
        <v>5</v>
      </c>
    </row>
    <row r="2476" spans="1:4" ht="15" customHeight="1" x14ac:dyDescent="0.25">
      <c r="A2476" s="2" t="str">
        <f>"03042000107"</f>
        <v>03042000107</v>
      </c>
      <c r="B2476" s="2" t="s">
        <v>2479</v>
      </c>
      <c r="C2476" s="2">
        <v>69628.100000000006</v>
      </c>
      <c r="D2476" s="2" t="s">
        <v>5</v>
      </c>
    </row>
    <row r="2477" spans="1:4" ht="15" customHeight="1" x14ac:dyDescent="0.25">
      <c r="A2477" s="2" t="str">
        <f>"03042000032"</f>
        <v>03042000032</v>
      </c>
      <c r="B2477" s="2" t="s">
        <v>2480</v>
      </c>
      <c r="C2477" s="2">
        <v>118931.07</v>
      </c>
      <c r="D2477" s="2" t="s">
        <v>5</v>
      </c>
    </row>
    <row r="2478" spans="1:4" ht="15" customHeight="1" x14ac:dyDescent="0.25">
      <c r="A2478" s="2" t="str">
        <f>"03042000253"</f>
        <v>03042000253</v>
      </c>
      <c r="B2478" s="2" t="s">
        <v>2481</v>
      </c>
      <c r="C2478" s="2">
        <v>53134.559999999998</v>
      </c>
      <c r="D2478" s="2" t="s">
        <v>5</v>
      </c>
    </row>
    <row r="2479" spans="1:4" ht="15" customHeight="1" x14ac:dyDescent="0.25">
      <c r="A2479" s="2" t="str">
        <f>"03042000254"</f>
        <v>03042000254</v>
      </c>
      <c r="B2479" s="2" t="s">
        <v>2482</v>
      </c>
      <c r="C2479" s="2">
        <v>62434.37</v>
      </c>
      <c r="D2479" s="2" t="s">
        <v>5</v>
      </c>
    </row>
    <row r="2480" spans="1:4" ht="15" customHeight="1" x14ac:dyDescent="0.25">
      <c r="A2480" s="2" t="str">
        <f>"03042000105"</f>
        <v>03042000105</v>
      </c>
      <c r="B2480" s="2" t="s">
        <v>2483</v>
      </c>
      <c r="C2480" s="2">
        <v>99798.57</v>
      </c>
      <c r="D2480" s="2" t="s">
        <v>5</v>
      </c>
    </row>
    <row r="2481" spans="1:4" ht="15" customHeight="1" x14ac:dyDescent="0.25">
      <c r="A2481" s="2" t="str">
        <f>"03042000103"</f>
        <v>03042000103</v>
      </c>
      <c r="B2481" s="2" t="s">
        <v>2484</v>
      </c>
      <c r="C2481" s="2">
        <v>43035.42</v>
      </c>
      <c r="D2481" s="2" t="s">
        <v>5</v>
      </c>
    </row>
    <row r="2482" spans="1:4" ht="15" customHeight="1" x14ac:dyDescent="0.25">
      <c r="A2482" s="2" t="str">
        <f>"03042000118"</f>
        <v>03042000118</v>
      </c>
      <c r="B2482" s="2" t="s">
        <v>2485</v>
      </c>
      <c r="C2482" s="2">
        <v>71150.58</v>
      </c>
      <c r="D2482" s="2" t="s">
        <v>5</v>
      </c>
    </row>
    <row r="2483" spans="1:4" ht="15" customHeight="1" x14ac:dyDescent="0.25">
      <c r="A2483" s="2" t="str">
        <f>"06070000082"</f>
        <v>06070000082</v>
      </c>
      <c r="B2483" s="2" t="s">
        <v>2486</v>
      </c>
      <c r="C2483" s="2">
        <v>13127.33</v>
      </c>
      <c r="D2483" s="2" t="s">
        <v>5</v>
      </c>
    </row>
    <row r="2484" spans="1:4" ht="15" customHeight="1" x14ac:dyDescent="0.25">
      <c r="A2484" s="2" t="str">
        <f>"06070000075"</f>
        <v>06070000075</v>
      </c>
      <c r="B2484" s="2" t="s">
        <v>2487</v>
      </c>
      <c r="C2484" s="2">
        <v>8741.31</v>
      </c>
      <c r="D2484" s="2" t="s">
        <v>5</v>
      </c>
    </row>
    <row r="2485" spans="1:4" ht="15" customHeight="1" x14ac:dyDescent="0.25">
      <c r="A2485" s="2" t="str">
        <f>"06070000080"</f>
        <v>06070000080</v>
      </c>
      <c r="B2485" s="2" t="s">
        <v>2488</v>
      </c>
      <c r="C2485" s="2">
        <v>9354.9500000000007</v>
      </c>
      <c r="D2485" s="2" t="s">
        <v>5</v>
      </c>
    </row>
    <row r="2486" spans="1:4" ht="15" customHeight="1" x14ac:dyDescent="0.25">
      <c r="A2486" s="2" t="str">
        <f>"06070000065"</f>
        <v>06070000065</v>
      </c>
      <c r="B2486" s="2" t="s">
        <v>2489</v>
      </c>
      <c r="C2486" s="2">
        <v>5236.55</v>
      </c>
      <c r="D2486" s="2" t="s">
        <v>5</v>
      </c>
    </row>
    <row r="2487" spans="1:4" ht="15" customHeight="1" x14ac:dyDescent="0.25">
      <c r="A2487" s="2" t="str">
        <f>"06070000070"</f>
        <v>06070000070</v>
      </c>
      <c r="B2487" s="2" t="s">
        <v>2490</v>
      </c>
      <c r="C2487" s="2">
        <v>5666.93</v>
      </c>
      <c r="D2487" s="2" t="s">
        <v>5</v>
      </c>
    </row>
    <row r="2488" spans="1:4" ht="15" customHeight="1" x14ac:dyDescent="0.25">
      <c r="A2488" s="2" t="str">
        <f>"06050000030"</f>
        <v>06050000030</v>
      </c>
      <c r="B2488" s="2" t="s">
        <v>2491</v>
      </c>
      <c r="C2488" s="2">
        <v>48287.34</v>
      </c>
      <c r="D2488" s="2" t="s">
        <v>5</v>
      </c>
    </row>
    <row r="2489" spans="1:4" ht="15" customHeight="1" x14ac:dyDescent="0.25">
      <c r="A2489" s="2" t="str">
        <f>"06050000035"</f>
        <v>06050000035</v>
      </c>
      <c r="B2489" s="2" t="s">
        <v>2492</v>
      </c>
      <c r="C2489" s="2">
        <v>53681.94</v>
      </c>
      <c r="D2489" s="2" t="s">
        <v>5</v>
      </c>
    </row>
    <row r="2490" spans="1:4" ht="15" customHeight="1" x14ac:dyDescent="0.25">
      <c r="A2490" s="2" t="str">
        <f>"06050000034"</f>
        <v>06050000034</v>
      </c>
      <c r="B2490" s="2" t="s">
        <v>2493</v>
      </c>
      <c r="C2490" s="2">
        <v>61734.23</v>
      </c>
      <c r="D2490" s="2" t="s">
        <v>5</v>
      </c>
    </row>
    <row r="2491" spans="1:4" ht="15" customHeight="1" x14ac:dyDescent="0.25">
      <c r="A2491" s="2" t="str">
        <f>"06050000036"</f>
        <v>06050000036</v>
      </c>
      <c r="B2491" s="2" t="s">
        <v>2494</v>
      </c>
      <c r="C2491" s="2">
        <v>66264.479999999996</v>
      </c>
      <c r="D2491" s="2" t="s">
        <v>5</v>
      </c>
    </row>
    <row r="2492" spans="1:4" ht="15" customHeight="1" x14ac:dyDescent="0.25">
      <c r="A2492" s="2" t="str">
        <f>"06050000098"</f>
        <v>06050000098</v>
      </c>
      <c r="B2492" s="2" t="s">
        <v>2495</v>
      </c>
      <c r="C2492" s="2">
        <v>40540.5</v>
      </c>
      <c r="D2492" s="2" t="s">
        <v>5</v>
      </c>
    </row>
    <row r="2493" spans="1:4" ht="15" customHeight="1" x14ac:dyDescent="0.25">
      <c r="A2493" s="2" t="str">
        <f>"06050000105"</f>
        <v>06050000105</v>
      </c>
      <c r="B2493" s="2" t="s">
        <v>2496</v>
      </c>
      <c r="C2493" s="2">
        <v>46621.58</v>
      </c>
      <c r="D2493" s="2" t="s">
        <v>5</v>
      </c>
    </row>
    <row r="2494" spans="1:4" ht="15" customHeight="1" x14ac:dyDescent="0.25">
      <c r="A2494" s="2" t="str">
        <f>"06050000099"</f>
        <v>06050000099</v>
      </c>
      <c r="B2494" s="2" t="s">
        <v>2497</v>
      </c>
      <c r="C2494" s="2">
        <v>45505.8</v>
      </c>
      <c r="D2494" s="2" t="s">
        <v>5</v>
      </c>
    </row>
    <row r="2495" spans="1:4" ht="15" customHeight="1" x14ac:dyDescent="0.25">
      <c r="A2495" s="2" t="str">
        <f>"06050000110"</f>
        <v>06050000110</v>
      </c>
      <c r="B2495" s="2" t="s">
        <v>2498</v>
      </c>
      <c r="C2495" s="2">
        <v>52331.67</v>
      </c>
      <c r="D2495" s="2" t="s">
        <v>5</v>
      </c>
    </row>
    <row r="2496" spans="1:4" ht="15" customHeight="1" x14ac:dyDescent="0.25">
      <c r="A2496" s="2" t="str">
        <f>"06050000100"</f>
        <v>06050000100</v>
      </c>
      <c r="B2496" s="2" t="s">
        <v>2499</v>
      </c>
      <c r="C2496" s="2">
        <v>52978.86</v>
      </c>
      <c r="D2496" s="2" t="s">
        <v>5</v>
      </c>
    </row>
    <row r="2497" spans="1:4" ht="15" customHeight="1" x14ac:dyDescent="0.25">
      <c r="A2497" s="2" t="str">
        <f>"06050000118"</f>
        <v>06050000118</v>
      </c>
      <c r="B2497" s="2" t="s">
        <v>2500</v>
      </c>
      <c r="C2497" s="2">
        <v>71591.039999999994</v>
      </c>
      <c r="D2497" s="2" t="s">
        <v>5</v>
      </c>
    </row>
    <row r="2498" spans="1:4" ht="15" customHeight="1" x14ac:dyDescent="0.25">
      <c r="A2498" s="2" t="str">
        <f>"06050000116"</f>
        <v>06050000116</v>
      </c>
      <c r="B2498" s="2" t="s">
        <v>2501</v>
      </c>
      <c r="C2498" s="2">
        <v>84551.039999999994</v>
      </c>
      <c r="D2498" s="2" t="s">
        <v>5</v>
      </c>
    </row>
    <row r="2499" spans="1:4" ht="15" customHeight="1" x14ac:dyDescent="0.25">
      <c r="A2499" s="2" t="str">
        <f>"06050000121"</f>
        <v>06050000121</v>
      </c>
      <c r="B2499" s="2" t="s">
        <v>2502</v>
      </c>
      <c r="C2499" s="2">
        <v>75530.880000000005</v>
      </c>
      <c r="D2499" s="2" t="s">
        <v>5</v>
      </c>
    </row>
    <row r="2500" spans="1:4" ht="15" customHeight="1" x14ac:dyDescent="0.25">
      <c r="A2500" s="2" t="str">
        <f>"06050000119"</f>
        <v>06050000119</v>
      </c>
      <c r="B2500" s="2" t="s">
        <v>2503</v>
      </c>
      <c r="C2500" s="2">
        <v>88490.880000000005</v>
      </c>
      <c r="D2500" s="2" t="s">
        <v>5</v>
      </c>
    </row>
    <row r="2501" spans="1:4" ht="15" customHeight="1" x14ac:dyDescent="0.25">
      <c r="A2501" s="2" t="str">
        <f>"06050000117"</f>
        <v>06050000117</v>
      </c>
      <c r="B2501" s="2" t="s">
        <v>2504</v>
      </c>
      <c r="C2501" s="2">
        <v>97233.69</v>
      </c>
      <c r="D2501" s="2" t="s">
        <v>5</v>
      </c>
    </row>
    <row r="2502" spans="1:4" ht="15" customHeight="1" x14ac:dyDescent="0.25">
      <c r="A2502" s="2" t="str">
        <f>"06050000120"</f>
        <v>06050000120</v>
      </c>
      <c r="B2502" s="2" t="s">
        <v>2505</v>
      </c>
      <c r="C2502" s="2">
        <v>101764.52</v>
      </c>
      <c r="D2502" s="2" t="s">
        <v>5</v>
      </c>
    </row>
    <row r="2503" spans="1:4" ht="15" customHeight="1" x14ac:dyDescent="0.25">
      <c r="A2503" s="2" t="str">
        <f>"06050000020"</f>
        <v>06050000020</v>
      </c>
      <c r="B2503" s="2" t="s">
        <v>2506</v>
      </c>
      <c r="C2503" s="2">
        <v>60850.44</v>
      </c>
      <c r="D2503" s="2" t="s">
        <v>5</v>
      </c>
    </row>
    <row r="2504" spans="1:4" ht="15" customHeight="1" x14ac:dyDescent="0.25">
      <c r="A2504" s="2" t="str">
        <f>"06050000134"</f>
        <v>06050000134</v>
      </c>
      <c r="B2504" s="2" t="s">
        <v>2507</v>
      </c>
      <c r="C2504" s="2">
        <v>69978</v>
      </c>
      <c r="D2504" s="2" t="s">
        <v>5</v>
      </c>
    </row>
    <row r="2505" spans="1:4" ht="15" customHeight="1" x14ac:dyDescent="0.25">
      <c r="A2505" s="2" t="str">
        <f>"06050000025"</f>
        <v>06050000025</v>
      </c>
      <c r="B2505" s="2" t="s">
        <v>2508</v>
      </c>
      <c r="C2505" s="2">
        <v>66402.179999999993</v>
      </c>
      <c r="D2505" s="2" t="s">
        <v>5</v>
      </c>
    </row>
    <row r="2506" spans="1:4" ht="15" customHeight="1" x14ac:dyDescent="0.25">
      <c r="A2506" s="2" t="str">
        <f>"06050000136"</f>
        <v>06050000136</v>
      </c>
      <c r="B2506" s="2" t="s">
        <v>2509</v>
      </c>
      <c r="C2506" s="2">
        <v>76362.509999999995</v>
      </c>
      <c r="D2506" s="2" t="s">
        <v>5</v>
      </c>
    </row>
    <row r="2507" spans="1:4" ht="15" customHeight="1" x14ac:dyDescent="0.25">
      <c r="A2507" s="2" t="str">
        <f>"06050000026"</f>
        <v>06050000026</v>
      </c>
      <c r="B2507" s="2" t="s">
        <v>2510</v>
      </c>
      <c r="C2507" s="2">
        <v>77502.42</v>
      </c>
      <c r="D2507" s="2" t="s">
        <v>5</v>
      </c>
    </row>
    <row r="2508" spans="1:4" ht="15" customHeight="1" x14ac:dyDescent="0.25">
      <c r="A2508" s="2" t="str">
        <f>"06050000138"</f>
        <v>06050000138</v>
      </c>
      <c r="B2508" s="2" t="s">
        <v>2511</v>
      </c>
      <c r="C2508" s="2">
        <v>89127.78</v>
      </c>
      <c r="D2508" s="2" t="s">
        <v>5</v>
      </c>
    </row>
    <row r="2509" spans="1:4" ht="15" customHeight="1" x14ac:dyDescent="0.25">
      <c r="A2509" s="2" t="str">
        <f>"06050000027"</f>
        <v>06050000027</v>
      </c>
      <c r="B2509" s="2" t="s">
        <v>2512</v>
      </c>
      <c r="C2509" s="2">
        <v>90462.42</v>
      </c>
      <c r="D2509" s="2" t="s">
        <v>5</v>
      </c>
    </row>
    <row r="2510" spans="1:4" ht="15" customHeight="1" x14ac:dyDescent="0.25">
      <c r="A2510" s="2" t="str">
        <f>"06050000123"</f>
        <v>06050000123</v>
      </c>
      <c r="B2510" s="2" t="s">
        <v>2513</v>
      </c>
      <c r="C2510" s="2">
        <v>194519.88</v>
      </c>
      <c r="D2510" s="2" t="s">
        <v>5</v>
      </c>
    </row>
    <row r="2511" spans="1:4" ht="15" customHeight="1" x14ac:dyDescent="0.25">
      <c r="A2511" s="2" t="str">
        <f>"06050000125"</f>
        <v>06050000125</v>
      </c>
      <c r="B2511" s="2" t="s">
        <v>2514</v>
      </c>
      <c r="C2511" s="2">
        <v>223697.87</v>
      </c>
      <c r="D2511" s="2" t="s">
        <v>5</v>
      </c>
    </row>
    <row r="2512" spans="1:4" ht="15" customHeight="1" x14ac:dyDescent="0.25">
      <c r="A2512" s="2" t="str">
        <f>"06050000122"</f>
        <v>06050000122</v>
      </c>
      <c r="B2512" s="2" t="s">
        <v>2515</v>
      </c>
      <c r="C2512" s="2">
        <v>204259.32</v>
      </c>
      <c r="D2512" s="2" t="s">
        <v>5</v>
      </c>
    </row>
    <row r="2513" spans="1:4" ht="15" customHeight="1" x14ac:dyDescent="0.25">
      <c r="A2513" s="2" t="str">
        <f>"06050000124"</f>
        <v>06050000124</v>
      </c>
      <c r="B2513" s="2" t="s">
        <v>2516</v>
      </c>
      <c r="C2513" s="2">
        <v>249802.22</v>
      </c>
      <c r="D2513" s="2" t="s">
        <v>5</v>
      </c>
    </row>
    <row r="2514" spans="1:4" ht="15" customHeight="1" x14ac:dyDescent="0.25">
      <c r="A2514" s="2" t="str">
        <f>"06050000079"</f>
        <v>06050000079</v>
      </c>
      <c r="B2514" s="2" t="s">
        <v>2517</v>
      </c>
      <c r="C2514" s="2">
        <v>167529.06</v>
      </c>
      <c r="D2514" s="2" t="s">
        <v>5</v>
      </c>
    </row>
    <row r="2515" spans="1:4" ht="15" customHeight="1" x14ac:dyDescent="0.25">
      <c r="A2515" s="2" t="str">
        <f>"06050000081"</f>
        <v>06050000081</v>
      </c>
      <c r="B2515" s="2" t="s">
        <v>2518</v>
      </c>
      <c r="C2515" s="2">
        <v>192658.43</v>
      </c>
      <c r="D2515" s="2" t="s">
        <v>5</v>
      </c>
    </row>
    <row r="2516" spans="1:4" ht="15" customHeight="1" x14ac:dyDescent="0.25">
      <c r="A2516" s="2" t="str">
        <f>"06050000005"</f>
        <v>06050000005</v>
      </c>
      <c r="B2516" s="2" t="s">
        <v>2519</v>
      </c>
      <c r="C2516" s="2">
        <v>65477.16</v>
      </c>
      <c r="D2516" s="2" t="s">
        <v>5</v>
      </c>
    </row>
    <row r="2517" spans="1:4" ht="15" customHeight="1" x14ac:dyDescent="0.25">
      <c r="A2517" s="2" t="str">
        <f>"06050000019"</f>
        <v>06050000019</v>
      </c>
      <c r="B2517" s="2" t="s">
        <v>2520</v>
      </c>
      <c r="C2517" s="2">
        <v>59525.279999999999</v>
      </c>
      <c r="D2517" s="2" t="s">
        <v>5</v>
      </c>
    </row>
    <row r="2518" spans="1:4" ht="15" customHeight="1" x14ac:dyDescent="0.25">
      <c r="A2518" s="2" t="str">
        <f>"06050000011"</f>
        <v>06050000011</v>
      </c>
      <c r="B2518" s="2" t="s">
        <v>2521</v>
      </c>
      <c r="C2518" s="2">
        <v>71213.58</v>
      </c>
      <c r="D2518" s="2" t="s">
        <v>5</v>
      </c>
    </row>
    <row r="2519" spans="1:4" ht="15" customHeight="1" x14ac:dyDescent="0.25">
      <c r="A2519" s="2" t="str">
        <f>"06050000065"</f>
        <v>06050000065</v>
      </c>
      <c r="B2519" s="2" t="s">
        <v>2522</v>
      </c>
      <c r="C2519" s="2">
        <v>103667.04</v>
      </c>
      <c r="D2519" s="2" t="s">
        <v>5</v>
      </c>
    </row>
    <row r="2520" spans="1:4" ht="15" customHeight="1" x14ac:dyDescent="0.25">
      <c r="A2520" s="2" t="str">
        <f>"06050000072"</f>
        <v>06050000072</v>
      </c>
      <c r="B2520" s="2" t="s">
        <v>2523</v>
      </c>
      <c r="C2520" s="2">
        <v>119217.09</v>
      </c>
      <c r="D2520" s="2" t="s">
        <v>5</v>
      </c>
    </row>
    <row r="2521" spans="1:4" ht="15" customHeight="1" x14ac:dyDescent="0.25">
      <c r="A2521" s="2" t="str">
        <f>"06050000067"</f>
        <v>06050000067</v>
      </c>
      <c r="B2521" s="2" t="s">
        <v>2524</v>
      </c>
      <c r="C2521" s="2">
        <v>102981.78</v>
      </c>
      <c r="D2521" s="2" t="s">
        <v>5</v>
      </c>
    </row>
    <row r="2522" spans="1:4" ht="15" customHeight="1" x14ac:dyDescent="0.25">
      <c r="A2522" s="2" t="str">
        <f>"06050000068"</f>
        <v>06050000068</v>
      </c>
      <c r="B2522" s="2" t="s">
        <v>2525</v>
      </c>
      <c r="C2522" s="2">
        <v>118429.05</v>
      </c>
      <c r="D2522" s="2" t="s">
        <v>5</v>
      </c>
    </row>
    <row r="2523" spans="1:4" ht="15" customHeight="1" x14ac:dyDescent="0.25">
      <c r="A2523" s="2" t="str">
        <f>"06050000112"</f>
        <v>06050000112</v>
      </c>
      <c r="B2523" s="2" t="s">
        <v>2526</v>
      </c>
      <c r="C2523" s="2">
        <v>95390.46</v>
      </c>
      <c r="D2523" s="2" t="s">
        <v>5</v>
      </c>
    </row>
    <row r="2524" spans="1:4" ht="15" customHeight="1" x14ac:dyDescent="0.25">
      <c r="A2524" s="2" t="str">
        <f>"06050000111"</f>
        <v>06050000111</v>
      </c>
      <c r="B2524" s="2" t="s">
        <v>2527</v>
      </c>
      <c r="C2524" s="2">
        <v>109699.04</v>
      </c>
      <c r="D2524" s="2" t="s">
        <v>5</v>
      </c>
    </row>
    <row r="2525" spans="1:4" ht="15" customHeight="1" x14ac:dyDescent="0.25">
      <c r="A2525" s="2" t="str">
        <f>"06050000057"</f>
        <v>06050000057</v>
      </c>
      <c r="B2525" s="2" t="s">
        <v>2528</v>
      </c>
      <c r="C2525" s="2">
        <v>97815.6</v>
      </c>
      <c r="D2525" s="2" t="s">
        <v>5</v>
      </c>
    </row>
    <row r="2526" spans="1:4" ht="15" customHeight="1" x14ac:dyDescent="0.25">
      <c r="A2526" s="2" t="str">
        <f>"06050000083"</f>
        <v>06050000083</v>
      </c>
      <c r="B2526" s="2" t="s">
        <v>2529</v>
      </c>
      <c r="C2526" s="2">
        <v>112487.94</v>
      </c>
      <c r="D2526" s="2" t="s">
        <v>5</v>
      </c>
    </row>
    <row r="2527" spans="1:4" ht="15" customHeight="1" x14ac:dyDescent="0.25">
      <c r="A2527" s="2" t="str">
        <f>"06050000040"</f>
        <v>06050000040</v>
      </c>
      <c r="B2527" s="2" t="s">
        <v>2530</v>
      </c>
      <c r="C2527" s="2">
        <v>61336.44</v>
      </c>
      <c r="D2527" s="2" t="s">
        <v>5</v>
      </c>
    </row>
    <row r="2528" spans="1:4" ht="15" customHeight="1" x14ac:dyDescent="0.25">
      <c r="A2528" s="2" t="str">
        <f>"06050000017"</f>
        <v>06050000017</v>
      </c>
      <c r="B2528" s="2" t="s">
        <v>2531</v>
      </c>
      <c r="C2528" s="2">
        <v>61396.38</v>
      </c>
      <c r="D2528" s="2" t="s">
        <v>5</v>
      </c>
    </row>
    <row r="2529" spans="1:4" ht="15" customHeight="1" x14ac:dyDescent="0.25">
      <c r="A2529" s="2" t="str">
        <f>"06050000013"</f>
        <v>06050000013</v>
      </c>
      <c r="B2529" s="2" t="s">
        <v>2532</v>
      </c>
      <c r="C2529" s="2">
        <v>71950.679999999993</v>
      </c>
      <c r="D2529" s="2" t="s">
        <v>5</v>
      </c>
    </row>
    <row r="2530" spans="1:4" ht="15" customHeight="1" x14ac:dyDescent="0.25">
      <c r="A2530" s="2" t="str">
        <f>"06050000066"</f>
        <v>06050000066</v>
      </c>
      <c r="B2530" s="2" t="s">
        <v>2533</v>
      </c>
      <c r="C2530" s="2">
        <v>115855.92</v>
      </c>
      <c r="D2530" s="2" t="s">
        <v>5</v>
      </c>
    </row>
    <row r="2531" spans="1:4" ht="15" customHeight="1" x14ac:dyDescent="0.25">
      <c r="A2531" s="2" t="str">
        <f>"06050000080"</f>
        <v>06050000080</v>
      </c>
      <c r="B2531" s="2" t="s">
        <v>2534</v>
      </c>
      <c r="C2531" s="2">
        <v>133234.31</v>
      </c>
      <c r="D2531" s="2" t="s">
        <v>5</v>
      </c>
    </row>
    <row r="2532" spans="1:4" ht="15" customHeight="1" x14ac:dyDescent="0.25">
      <c r="A2532" s="2" t="str">
        <f>"06050000071"</f>
        <v>06050000071</v>
      </c>
      <c r="B2532" s="2" t="s">
        <v>2535</v>
      </c>
      <c r="C2532" s="2">
        <v>109119.96</v>
      </c>
      <c r="D2532" s="2" t="s">
        <v>5</v>
      </c>
    </row>
    <row r="2533" spans="1:4" ht="15" customHeight="1" x14ac:dyDescent="0.25">
      <c r="A2533" s="2" t="str">
        <f>"06050000073"</f>
        <v>06050000073</v>
      </c>
      <c r="B2533" s="2" t="s">
        <v>2536</v>
      </c>
      <c r="C2533" s="2">
        <v>125487.96</v>
      </c>
      <c r="D2533" s="2" t="s">
        <v>5</v>
      </c>
    </row>
    <row r="2534" spans="1:4" ht="15" customHeight="1" x14ac:dyDescent="0.25">
      <c r="A2534" s="2" t="str">
        <f>"06050000113"</f>
        <v>06050000113</v>
      </c>
      <c r="B2534" s="2" t="s">
        <v>2537</v>
      </c>
      <c r="C2534" s="2">
        <v>101530.26</v>
      </c>
      <c r="D2534" s="2" t="s">
        <v>5</v>
      </c>
    </row>
    <row r="2535" spans="1:4" ht="15" customHeight="1" x14ac:dyDescent="0.25">
      <c r="A2535" s="2" t="str">
        <f>"06050000061"</f>
        <v>06050000061</v>
      </c>
      <c r="B2535" s="2" t="s">
        <v>2538</v>
      </c>
      <c r="C2535" s="2">
        <v>105225.48</v>
      </c>
      <c r="D2535" s="2" t="s">
        <v>5</v>
      </c>
    </row>
    <row r="2536" spans="1:4" ht="15" customHeight="1" x14ac:dyDescent="0.25">
      <c r="A2536" s="2" t="str">
        <f>"06050000082"</f>
        <v>06050000082</v>
      </c>
      <c r="B2536" s="2" t="s">
        <v>2539</v>
      </c>
      <c r="C2536" s="2">
        <v>121009.31</v>
      </c>
      <c r="D2536" s="2" t="s">
        <v>5</v>
      </c>
    </row>
    <row r="2537" spans="1:4" ht="15" customHeight="1" x14ac:dyDescent="0.25">
      <c r="A2537" s="2" t="str">
        <f>"06050000016"</f>
        <v>06050000016</v>
      </c>
      <c r="B2537" s="2" t="s">
        <v>2540</v>
      </c>
      <c r="C2537" s="2">
        <v>95636.7</v>
      </c>
      <c r="D2537" s="2" t="s">
        <v>5</v>
      </c>
    </row>
    <row r="2538" spans="1:4" ht="15" customHeight="1" x14ac:dyDescent="0.25">
      <c r="A2538" s="2" t="str">
        <f>"06050000077"</f>
        <v>06050000077</v>
      </c>
      <c r="B2538" s="2" t="s">
        <v>2541</v>
      </c>
      <c r="C2538" s="2">
        <v>141508.62</v>
      </c>
      <c r="D2538" s="2" t="s">
        <v>5</v>
      </c>
    </row>
    <row r="2539" spans="1:4" ht="15" customHeight="1" x14ac:dyDescent="0.25">
      <c r="A2539" s="2" t="str">
        <f>"06050000089"</f>
        <v>06050000089</v>
      </c>
      <c r="B2539" s="2" t="s">
        <v>2542</v>
      </c>
      <c r="C2539" s="2">
        <v>149634.54</v>
      </c>
      <c r="D2539" s="2" t="s">
        <v>5</v>
      </c>
    </row>
    <row r="2540" spans="1:4" ht="15" customHeight="1" x14ac:dyDescent="0.25">
      <c r="A2540" s="2" t="str">
        <f>"06050000086"</f>
        <v>06050000086</v>
      </c>
      <c r="B2540" s="2" t="s">
        <v>2543</v>
      </c>
      <c r="C2540" s="2">
        <v>172079.72</v>
      </c>
      <c r="D2540" s="2" t="s">
        <v>5</v>
      </c>
    </row>
    <row r="2541" spans="1:4" ht="15" customHeight="1" x14ac:dyDescent="0.25">
      <c r="A2541" s="2" t="str">
        <f>"06050000062"</f>
        <v>06050000062</v>
      </c>
      <c r="B2541" s="2" t="s">
        <v>2544</v>
      </c>
      <c r="C2541" s="2">
        <v>139159.62</v>
      </c>
      <c r="D2541" s="2" t="s">
        <v>5</v>
      </c>
    </row>
    <row r="2542" spans="1:4" ht="15" customHeight="1" x14ac:dyDescent="0.25">
      <c r="A2542" s="2" t="str">
        <f>"06050000114"</f>
        <v>06050000114</v>
      </c>
      <c r="B2542" s="2" t="s">
        <v>2545</v>
      </c>
      <c r="C2542" s="2">
        <v>111608.28</v>
      </c>
      <c r="D2542" s="2" t="s">
        <v>5</v>
      </c>
    </row>
    <row r="2543" spans="1:4" ht="15" customHeight="1" x14ac:dyDescent="0.25">
      <c r="A2543" s="2" t="str">
        <f>"06050000084"</f>
        <v>06050000084</v>
      </c>
      <c r="B2543" s="2" t="s">
        <v>2546</v>
      </c>
      <c r="C2543" s="2">
        <v>116978.58</v>
      </c>
      <c r="D2543" s="2" t="s">
        <v>5</v>
      </c>
    </row>
    <row r="2544" spans="1:4" ht="15" customHeight="1" x14ac:dyDescent="0.25">
      <c r="A2544" s="2" t="str">
        <f>"01003001011"</f>
        <v>01003001011</v>
      </c>
      <c r="B2544" s="2" t="s">
        <v>2547</v>
      </c>
      <c r="C2544" s="2">
        <v>4348.74</v>
      </c>
      <c r="D2544" s="2" t="s">
        <v>5</v>
      </c>
    </row>
    <row r="2545" spans="1:4" ht="15" customHeight="1" x14ac:dyDescent="0.25">
      <c r="A2545" s="2" t="str">
        <f>"02002000820"</f>
        <v>02002000820</v>
      </c>
      <c r="B2545" s="2" t="s">
        <v>2548</v>
      </c>
      <c r="C2545" s="2">
        <v>2467.4</v>
      </c>
      <c r="D2545" s="2" t="s">
        <v>5</v>
      </c>
    </row>
    <row r="2546" spans="1:4" ht="15" customHeight="1" x14ac:dyDescent="0.25">
      <c r="A2546" s="2" t="str">
        <f>"03038000431"</f>
        <v>03038000431</v>
      </c>
      <c r="B2546" s="2" t="s">
        <v>2549</v>
      </c>
      <c r="C2546" s="2">
        <v>1498.31</v>
      </c>
      <c r="D2546" s="2" t="s">
        <v>5</v>
      </c>
    </row>
    <row r="2547" spans="1:4" ht="15" customHeight="1" x14ac:dyDescent="0.25">
      <c r="A2547" s="2" t="str">
        <f>"03032000110"</f>
        <v>03032000110</v>
      </c>
      <c r="B2547" s="2" t="s">
        <v>2550</v>
      </c>
      <c r="C2547" s="2">
        <v>1562.9</v>
      </c>
      <c r="D2547" s="2" t="s">
        <v>5</v>
      </c>
    </row>
    <row r="2548" spans="1:4" ht="15" customHeight="1" x14ac:dyDescent="0.25">
      <c r="A2548" s="2" t="str">
        <f>"03038000441"</f>
        <v>03038000441</v>
      </c>
      <c r="B2548" s="2" t="s">
        <v>2551</v>
      </c>
      <c r="C2548" s="2">
        <v>1427.1</v>
      </c>
      <c r="D2548" s="2" t="s">
        <v>5</v>
      </c>
    </row>
    <row r="2549" spans="1:4" ht="15" customHeight="1" x14ac:dyDescent="0.25">
      <c r="A2549" s="2" t="str">
        <f>"03038000401"</f>
        <v>03038000401</v>
      </c>
      <c r="B2549" s="2" t="s">
        <v>2552</v>
      </c>
      <c r="C2549" s="2">
        <v>1535.63</v>
      </c>
      <c r="D2549" s="2" t="s">
        <v>5</v>
      </c>
    </row>
    <row r="2550" spans="1:4" ht="15" customHeight="1" x14ac:dyDescent="0.25">
      <c r="A2550" s="2" t="str">
        <f>"03034000181"</f>
        <v>03034000181</v>
      </c>
      <c r="B2550" s="2" t="s">
        <v>2553</v>
      </c>
      <c r="C2550" s="2">
        <v>1780.26</v>
      </c>
      <c r="D2550" s="2" t="s">
        <v>5</v>
      </c>
    </row>
    <row r="2551" spans="1:4" ht="15" customHeight="1" x14ac:dyDescent="0.25">
      <c r="A2551" s="2" t="str">
        <f>"03034000161"</f>
        <v>03034000161</v>
      </c>
      <c r="B2551" s="2" t="s">
        <v>2554</v>
      </c>
      <c r="C2551" s="2">
        <v>1780.26</v>
      </c>
      <c r="D2551" s="2" t="s">
        <v>5</v>
      </c>
    </row>
    <row r="2552" spans="1:4" ht="15" customHeight="1" x14ac:dyDescent="0.25">
      <c r="A2552" s="2" t="str">
        <f>"03034000141"</f>
        <v>03034000141</v>
      </c>
      <c r="B2552" s="2" t="s">
        <v>2555</v>
      </c>
      <c r="C2552" s="2">
        <v>1716.68</v>
      </c>
      <c r="D2552" s="2" t="s">
        <v>5</v>
      </c>
    </row>
    <row r="2553" spans="1:4" ht="15" customHeight="1" x14ac:dyDescent="0.25">
      <c r="A2553" s="2" t="str">
        <f>"03034000121"</f>
        <v>03034000121</v>
      </c>
      <c r="B2553" s="2" t="s">
        <v>2556</v>
      </c>
      <c r="C2553" s="2">
        <v>1716.68</v>
      </c>
      <c r="D2553" s="2" t="s">
        <v>5</v>
      </c>
    </row>
    <row r="2554" spans="1:4" ht="15" customHeight="1" x14ac:dyDescent="0.25">
      <c r="A2554" s="2" t="str">
        <f>"05022000555"</f>
        <v>05022000555</v>
      </c>
      <c r="B2554" s="2" t="s">
        <v>2557</v>
      </c>
      <c r="C2554" s="2">
        <v>1101.77</v>
      </c>
      <c r="D2554" s="2" t="s">
        <v>5</v>
      </c>
    </row>
    <row r="2555" spans="1:4" ht="15" customHeight="1" x14ac:dyDescent="0.25">
      <c r="A2555" s="2" t="str">
        <f>"05022000560"</f>
        <v>05022000560</v>
      </c>
      <c r="B2555" s="2" t="s">
        <v>2558</v>
      </c>
      <c r="C2555" s="2">
        <v>1310.54</v>
      </c>
      <c r="D2555" s="2" t="s">
        <v>5</v>
      </c>
    </row>
    <row r="2556" spans="1:4" ht="15" customHeight="1" x14ac:dyDescent="0.25">
      <c r="A2556" s="2" t="str">
        <f>"03038000221"</f>
        <v>03038000221</v>
      </c>
      <c r="B2556" s="2" t="s">
        <v>2559</v>
      </c>
      <c r="C2556" s="2">
        <v>1661.64</v>
      </c>
      <c r="D2556" s="2" t="s">
        <v>5</v>
      </c>
    </row>
    <row r="2557" spans="1:4" ht="15" customHeight="1" x14ac:dyDescent="0.25">
      <c r="A2557" s="2" t="str">
        <f>"05022001002"</f>
        <v>05022001002</v>
      </c>
      <c r="B2557" s="2" t="s">
        <v>2560</v>
      </c>
      <c r="C2557" s="2">
        <v>1025.82</v>
      </c>
      <c r="D2557" s="2" t="s">
        <v>5</v>
      </c>
    </row>
    <row r="2558" spans="1:4" ht="15" customHeight="1" x14ac:dyDescent="0.25">
      <c r="A2558" s="2" t="str">
        <f>"03038000435"</f>
        <v>03038000435</v>
      </c>
      <c r="B2558" s="2" t="s">
        <v>2561</v>
      </c>
      <c r="C2558" s="2">
        <v>1800</v>
      </c>
      <c r="D2558" s="2" t="s">
        <v>5</v>
      </c>
    </row>
    <row r="2559" spans="1:4" ht="15" customHeight="1" x14ac:dyDescent="0.25">
      <c r="A2559" s="2" t="str">
        <f>"03038000855"</f>
        <v>03038000855</v>
      </c>
      <c r="B2559" s="2" t="s">
        <v>2562</v>
      </c>
      <c r="C2559" s="2">
        <v>2161.14</v>
      </c>
      <c r="D2559" s="2" t="s">
        <v>5</v>
      </c>
    </row>
    <row r="2560" spans="1:4" ht="15" customHeight="1" x14ac:dyDescent="0.25">
      <c r="A2560" s="2" t="str">
        <f>"05015000210"</f>
        <v>05015000210</v>
      </c>
      <c r="B2560" s="2" t="s">
        <v>2563</v>
      </c>
      <c r="C2560" s="2">
        <v>141.13999999999999</v>
      </c>
      <c r="D2560" s="2" t="s">
        <v>5</v>
      </c>
    </row>
    <row r="2561" spans="1:4" ht="15" customHeight="1" x14ac:dyDescent="0.25">
      <c r="A2561" s="2" t="str">
        <f>"05015000265"</f>
        <v>05015000265</v>
      </c>
      <c r="B2561" s="2" t="s">
        <v>2564</v>
      </c>
      <c r="C2561" s="2">
        <v>34.409999999999997</v>
      </c>
      <c r="D2561" s="2" t="s">
        <v>5</v>
      </c>
    </row>
    <row r="2562" spans="1:4" ht="15" customHeight="1" x14ac:dyDescent="0.25">
      <c r="A2562" s="2" t="str">
        <f>"05015000209"</f>
        <v>05015000209</v>
      </c>
      <c r="B2562" s="2" t="s">
        <v>2565</v>
      </c>
      <c r="C2562" s="2">
        <v>108.48</v>
      </c>
      <c r="D2562" s="2" t="s">
        <v>5</v>
      </c>
    </row>
    <row r="2563" spans="1:4" ht="15" customHeight="1" x14ac:dyDescent="0.25">
      <c r="A2563" s="2" t="str">
        <f>"05015000504"</f>
        <v>05015000504</v>
      </c>
      <c r="B2563" s="2" t="s">
        <v>2566</v>
      </c>
      <c r="C2563" s="2">
        <v>174.38</v>
      </c>
      <c r="D2563" s="2" t="s">
        <v>5</v>
      </c>
    </row>
    <row r="2564" spans="1:4" ht="15" customHeight="1" x14ac:dyDescent="0.25">
      <c r="A2564" s="2" t="str">
        <f>"05015000270"</f>
        <v>05015000270</v>
      </c>
      <c r="B2564" s="2" t="s">
        <v>2567</v>
      </c>
      <c r="C2564" s="2">
        <v>110.22</v>
      </c>
      <c r="D2564" s="2" t="s">
        <v>5</v>
      </c>
    </row>
    <row r="2565" spans="1:4" ht="15" customHeight="1" x14ac:dyDescent="0.25">
      <c r="A2565" s="2" t="str">
        <f>"05015000051"</f>
        <v>05015000051</v>
      </c>
      <c r="B2565" s="2" t="s">
        <v>2568</v>
      </c>
      <c r="C2565" s="2">
        <v>78.150000000000006</v>
      </c>
      <c r="D2565" s="2" t="s">
        <v>5</v>
      </c>
    </row>
    <row r="2566" spans="1:4" ht="15" customHeight="1" x14ac:dyDescent="0.25">
      <c r="A2566" s="2" t="str">
        <f>"05015000180"</f>
        <v>05015000180</v>
      </c>
      <c r="B2566" s="2" t="s">
        <v>2569</v>
      </c>
      <c r="C2566" s="2">
        <v>56.57</v>
      </c>
      <c r="D2566" s="2" t="s">
        <v>5</v>
      </c>
    </row>
    <row r="2567" spans="1:4" ht="15" customHeight="1" x14ac:dyDescent="0.25">
      <c r="A2567" s="2" t="str">
        <f>"05015000121"</f>
        <v>05015000121</v>
      </c>
      <c r="B2567" s="2" t="s">
        <v>2570</v>
      </c>
      <c r="C2567" s="2">
        <v>936.62</v>
      </c>
      <c r="D2567" s="2" t="s">
        <v>5</v>
      </c>
    </row>
    <row r="2568" spans="1:4" ht="15" customHeight="1" x14ac:dyDescent="0.25">
      <c r="A2568" s="2" t="str">
        <f>"05015000120"</f>
        <v>05015000120</v>
      </c>
      <c r="B2568" s="2" t="s">
        <v>2571</v>
      </c>
      <c r="C2568" s="2">
        <v>159.21</v>
      </c>
      <c r="D2568" s="2" t="s">
        <v>5</v>
      </c>
    </row>
    <row r="2569" spans="1:4" ht="15" customHeight="1" x14ac:dyDescent="0.25">
      <c r="A2569" s="2" t="str">
        <f>"05015000124"</f>
        <v>05015000124</v>
      </c>
      <c r="B2569" s="2" t="s">
        <v>2572</v>
      </c>
      <c r="C2569" s="2">
        <v>30.92</v>
      </c>
      <c r="D2569" s="2" t="s">
        <v>5</v>
      </c>
    </row>
    <row r="2570" spans="1:4" ht="15" customHeight="1" x14ac:dyDescent="0.25">
      <c r="A2570" s="2" t="str">
        <f>"05015000125"</f>
        <v>05015000125</v>
      </c>
      <c r="B2570" s="2" t="s">
        <v>2573</v>
      </c>
      <c r="C2570" s="2">
        <v>29.75</v>
      </c>
      <c r="D2570" s="2" t="s">
        <v>5</v>
      </c>
    </row>
    <row r="2571" spans="1:4" ht="15" customHeight="1" x14ac:dyDescent="0.25">
      <c r="A2571" s="2" t="str">
        <f>"05015000532"</f>
        <v>05015000532</v>
      </c>
      <c r="B2571" s="2" t="s">
        <v>2574</v>
      </c>
      <c r="C2571" s="2">
        <v>48.99</v>
      </c>
      <c r="D2571" s="2" t="s">
        <v>5</v>
      </c>
    </row>
    <row r="2572" spans="1:4" ht="15" customHeight="1" x14ac:dyDescent="0.25">
      <c r="A2572" s="2" t="str">
        <f>"05015000524"</f>
        <v>05015000524</v>
      </c>
      <c r="B2572" s="2" t="s">
        <v>2575</v>
      </c>
      <c r="C2572" s="2">
        <v>26.25</v>
      </c>
      <c r="D2572" s="2" t="s">
        <v>5</v>
      </c>
    </row>
    <row r="2573" spans="1:4" ht="15" customHeight="1" x14ac:dyDescent="0.25">
      <c r="A2573" s="2" t="str">
        <f>"05015000522"</f>
        <v>05015000522</v>
      </c>
      <c r="B2573" s="2" t="s">
        <v>2576</v>
      </c>
      <c r="C2573" s="2">
        <v>27.41</v>
      </c>
      <c r="D2573" s="2" t="s">
        <v>5</v>
      </c>
    </row>
    <row r="2574" spans="1:4" ht="15" customHeight="1" x14ac:dyDescent="0.25">
      <c r="A2574" s="2" t="str">
        <f>"05015000231"</f>
        <v>05015000231</v>
      </c>
      <c r="B2574" s="2" t="s">
        <v>2577</v>
      </c>
      <c r="C2574" s="2">
        <v>26.25</v>
      </c>
      <c r="D2574" s="2" t="s">
        <v>5</v>
      </c>
    </row>
    <row r="2575" spans="1:4" ht="15" customHeight="1" x14ac:dyDescent="0.25">
      <c r="A2575" s="2" t="str">
        <f>"05015000533"</f>
        <v>05015000533</v>
      </c>
      <c r="B2575" s="2" t="s">
        <v>2578</v>
      </c>
      <c r="C2575" s="2">
        <v>26.25</v>
      </c>
      <c r="D2575" s="2" t="s">
        <v>5</v>
      </c>
    </row>
    <row r="2576" spans="1:4" ht="15" customHeight="1" x14ac:dyDescent="0.25">
      <c r="A2576" s="2" t="str">
        <f>"05015000232"</f>
        <v>05015000232</v>
      </c>
      <c r="B2576" s="2" t="s">
        <v>2579</v>
      </c>
      <c r="C2576" s="2">
        <v>29.16</v>
      </c>
      <c r="D2576" s="2" t="s">
        <v>5</v>
      </c>
    </row>
    <row r="2577" spans="1:4" ht="15" customHeight="1" x14ac:dyDescent="0.25">
      <c r="A2577" s="2" t="str">
        <f>"05015000233"</f>
        <v>05015000233</v>
      </c>
      <c r="B2577" s="2" t="s">
        <v>2580</v>
      </c>
      <c r="C2577" s="2">
        <v>25.67</v>
      </c>
      <c r="D2577" s="2" t="s">
        <v>5</v>
      </c>
    </row>
    <row r="2578" spans="1:4" ht="15" customHeight="1" x14ac:dyDescent="0.25">
      <c r="A2578" s="2" t="str">
        <f>"05015000234"</f>
        <v>05015000234</v>
      </c>
      <c r="B2578" s="2" t="s">
        <v>2581</v>
      </c>
      <c r="C2578" s="2">
        <v>38.49</v>
      </c>
      <c r="D2578" s="2" t="s">
        <v>5</v>
      </c>
    </row>
    <row r="2579" spans="1:4" ht="15" customHeight="1" x14ac:dyDescent="0.25">
      <c r="A2579" s="2" t="str">
        <f>"05015000224"</f>
        <v>05015000224</v>
      </c>
      <c r="B2579" s="2" t="s">
        <v>2582</v>
      </c>
      <c r="C2579" s="2">
        <v>906.84</v>
      </c>
      <c r="D2579" s="2" t="s">
        <v>5</v>
      </c>
    </row>
    <row r="2580" spans="1:4" ht="15" customHeight="1" x14ac:dyDescent="0.25">
      <c r="A2580" s="2" t="str">
        <f>"05015000225"</f>
        <v>05015000225</v>
      </c>
      <c r="B2580" s="2" t="s">
        <v>2583</v>
      </c>
      <c r="C2580" s="2">
        <v>901.7</v>
      </c>
      <c r="D2580" s="2" t="s">
        <v>5</v>
      </c>
    </row>
    <row r="2581" spans="1:4" ht="15" customHeight="1" x14ac:dyDescent="0.25">
      <c r="A2581" s="2" t="str">
        <f>"05015000183"</f>
        <v>05015000183</v>
      </c>
      <c r="B2581" s="2" t="s">
        <v>2584</v>
      </c>
      <c r="C2581" s="2">
        <v>153.59</v>
      </c>
      <c r="D2581" s="2" t="s">
        <v>5</v>
      </c>
    </row>
    <row r="2582" spans="1:4" ht="15" customHeight="1" x14ac:dyDescent="0.25">
      <c r="A2582" s="2" t="str">
        <f>"05015000070"</f>
        <v>05015000070</v>
      </c>
      <c r="B2582" s="2" t="s">
        <v>2585</v>
      </c>
      <c r="C2582" s="2">
        <v>230.94</v>
      </c>
      <c r="D2582" s="2" t="s">
        <v>5</v>
      </c>
    </row>
    <row r="2583" spans="1:4" ht="15" customHeight="1" x14ac:dyDescent="0.25">
      <c r="A2583" s="2" t="str">
        <f>"05015000074"</f>
        <v>05015000074</v>
      </c>
      <c r="B2583" s="2" t="s">
        <v>2586</v>
      </c>
      <c r="C2583" s="2">
        <v>195.96</v>
      </c>
      <c r="D2583" s="2" t="s">
        <v>5</v>
      </c>
    </row>
    <row r="2584" spans="1:4" ht="15" customHeight="1" x14ac:dyDescent="0.25">
      <c r="A2584" s="2" t="str">
        <f>"05015000073"</f>
        <v>05015000073</v>
      </c>
      <c r="B2584" s="2" t="s">
        <v>2587</v>
      </c>
      <c r="C2584" s="2">
        <v>183.12</v>
      </c>
      <c r="D2584" s="2" t="s">
        <v>5</v>
      </c>
    </row>
    <row r="2585" spans="1:4" ht="15" customHeight="1" x14ac:dyDescent="0.25">
      <c r="A2585" s="2" t="str">
        <f>"05015000182"</f>
        <v>05015000182</v>
      </c>
      <c r="B2585" s="2" t="s">
        <v>2588</v>
      </c>
      <c r="C2585" s="2">
        <v>224.79</v>
      </c>
      <c r="D2585" s="2" t="s">
        <v>5</v>
      </c>
    </row>
    <row r="2586" spans="1:4" ht="15" customHeight="1" x14ac:dyDescent="0.25">
      <c r="A2586" s="2" t="str">
        <f>"05015000160"</f>
        <v>05015000160</v>
      </c>
      <c r="B2586" s="2" t="s">
        <v>2589</v>
      </c>
      <c r="C2586" s="2">
        <v>216.36</v>
      </c>
      <c r="D2586" s="2" t="s">
        <v>5</v>
      </c>
    </row>
    <row r="2587" spans="1:4" ht="15" customHeight="1" x14ac:dyDescent="0.25">
      <c r="A2587" s="2" t="str">
        <f>"05015000184"</f>
        <v>05015000184</v>
      </c>
      <c r="B2587" s="2" t="s">
        <v>2590</v>
      </c>
      <c r="C2587" s="2">
        <v>262.44</v>
      </c>
      <c r="D2587" s="2" t="s">
        <v>5</v>
      </c>
    </row>
    <row r="2588" spans="1:4" ht="15" customHeight="1" x14ac:dyDescent="0.25">
      <c r="A2588" s="2" t="str">
        <f>"05015000161"</f>
        <v>05015000161</v>
      </c>
      <c r="B2588" s="2" t="s">
        <v>2591</v>
      </c>
      <c r="C2588" s="2">
        <v>265.35000000000002</v>
      </c>
      <c r="D2588" s="2" t="s">
        <v>5</v>
      </c>
    </row>
    <row r="2589" spans="1:4" ht="15" customHeight="1" x14ac:dyDescent="0.25">
      <c r="A2589" s="2" t="str">
        <f>"05015000069"</f>
        <v>05015000069</v>
      </c>
      <c r="B2589" s="2" t="s">
        <v>2592</v>
      </c>
      <c r="C2589" s="2">
        <v>155.13</v>
      </c>
      <c r="D2589" s="2" t="s">
        <v>5</v>
      </c>
    </row>
    <row r="2590" spans="1:4" ht="15" customHeight="1" x14ac:dyDescent="0.25">
      <c r="A2590" s="2" t="str">
        <f>"05015000237"</f>
        <v>05015000237</v>
      </c>
      <c r="B2590" s="2" t="s">
        <v>2593</v>
      </c>
      <c r="C2590" s="2">
        <v>75.08</v>
      </c>
      <c r="D2590" s="2" t="s">
        <v>5</v>
      </c>
    </row>
    <row r="2591" spans="1:4" ht="15" customHeight="1" x14ac:dyDescent="0.25">
      <c r="A2591" s="2" t="str">
        <f>"05015000214"</f>
        <v>05015000214</v>
      </c>
      <c r="B2591" s="2" t="s">
        <v>2594</v>
      </c>
      <c r="C2591" s="2">
        <v>329.51</v>
      </c>
      <c r="D2591" s="2" t="s">
        <v>5</v>
      </c>
    </row>
    <row r="2592" spans="1:4" ht="15" customHeight="1" x14ac:dyDescent="0.25">
      <c r="A2592" s="2" t="str">
        <f>"05015000239"</f>
        <v>05015000239</v>
      </c>
      <c r="B2592" s="2" t="s">
        <v>2595</v>
      </c>
      <c r="C2592" s="2">
        <v>86.9</v>
      </c>
      <c r="D2592" s="2" t="s">
        <v>5</v>
      </c>
    </row>
    <row r="2593" spans="1:4" ht="15" customHeight="1" x14ac:dyDescent="0.25">
      <c r="A2593" s="2" t="str">
        <f>"05015000216"</f>
        <v>05015000216</v>
      </c>
      <c r="B2593" s="2" t="s">
        <v>2596</v>
      </c>
      <c r="C2593" s="2">
        <v>64.739999999999995</v>
      </c>
      <c r="D2593" s="2" t="s">
        <v>5</v>
      </c>
    </row>
    <row r="2594" spans="1:4" ht="15" customHeight="1" x14ac:dyDescent="0.25">
      <c r="A2594" s="2" t="str">
        <f>"05015000246"</f>
        <v>05015000246</v>
      </c>
      <c r="B2594" s="2" t="s">
        <v>2597</v>
      </c>
      <c r="C2594" s="2">
        <v>97.4</v>
      </c>
      <c r="D2594" s="2" t="s">
        <v>5</v>
      </c>
    </row>
    <row r="2595" spans="1:4" ht="15" customHeight="1" x14ac:dyDescent="0.25">
      <c r="A2595" s="2" t="str">
        <f>"05015000217"</f>
        <v>05015000217</v>
      </c>
      <c r="B2595" s="2" t="s">
        <v>2598</v>
      </c>
      <c r="C2595" s="2">
        <v>172.46</v>
      </c>
      <c r="D2595" s="2" t="s">
        <v>5</v>
      </c>
    </row>
    <row r="2596" spans="1:4" ht="15" customHeight="1" x14ac:dyDescent="0.25">
      <c r="A2596" s="2" t="str">
        <f>"05015000223"</f>
        <v>05015000223</v>
      </c>
      <c r="B2596" s="2" t="s">
        <v>2599</v>
      </c>
      <c r="C2596" s="2">
        <v>277.27999999999997</v>
      </c>
      <c r="D2596" s="2" t="s">
        <v>5</v>
      </c>
    </row>
    <row r="2597" spans="1:4" ht="15" customHeight="1" x14ac:dyDescent="0.25">
      <c r="A2597" s="2" t="str">
        <f>"05015000247"</f>
        <v>05015000247</v>
      </c>
      <c r="B2597" s="2" t="s">
        <v>2600</v>
      </c>
      <c r="C2597" s="2">
        <v>50.75</v>
      </c>
      <c r="D2597" s="2" t="s">
        <v>5</v>
      </c>
    </row>
    <row r="2598" spans="1:4" ht="15" customHeight="1" x14ac:dyDescent="0.25">
      <c r="A2598" s="2" t="str">
        <f>"05015000249"</f>
        <v>05015000249</v>
      </c>
      <c r="B2598" s="2" t="s">
        <v>2601</v>
      </c>
      <c r="C2598" s="2">
        <v>56.57</v>
      </c>
      <c r="D2598" s="2" t="s">
        <v>5</v>
      </c>
    </row>
    <row r="2599" spans="1:4" ht="15" customHeight="1" x14ac:dyDescent="0.25">
      <c r="A2599" s="2" t="str">
        <f>"05015000215"</f>
        <v>05015000215</v>
      </c>
      <c r="B2599" s="2" t="s">
        <v>2602</v>
      </c>
      <c r="C2599" s="2">
        <v>56.57</v>
      </c>
      <c r="D2599" s="2" t="s">
        <v>5</v>
      </c>
    </row>
    <row r="2600" spans="1:4" ht="15" customHeight="1" x14ac:dyDescent="0.25">
      <c r="A2600" s="2" t="str">
        <f>"05015000238"</f>
        <v>05015000238</v>
      </c>
      <c r="B2600" s="2" t="s">
        <v>2603</v>
      </c>
      <c r="C2600" s="2">
        <v>46.65</v>
      </c>
      <c r="D2600" s="2" t="s">
        <v>5</v>
      </c>
    </row>
    <row r="2601" spans="1:4" ht="15" customHeight="1" x14ac:dyDescent="0.25">
      <c r="A2601" s="2" t="str">
        <f>"05015000248"</f>
        <v>05015000248</v>
      </c>
      <c r="B2601" s="2" t="s">
        <v>2604</v>
      </c>
      <c r="C2601" s="2">
        <v>197.19</v>
      </c>
      <c r="D2601" s="2" t="s">
        <v>5</v>
      </c>
    </row>
    <row r="2602" spans="1:4" ht="15" customHeight="1" x14ac:dyDescent="0.25">
      <c r="A2602" s="2" t="str">
        <f>"05015000254"</f>
        <v>05015000254</v>
      </c>
      <c r="B2602" s="2" t="s">
        <v>2605</v>
      </c>
      <c r="C2602" s="2">
        <v>221.61</v>
      </c>
      <c r="D2602" s="2" t="s">
        <v>5</v>
      </c>
    </row>
    <row r="2603" spans="1:4" ht="15" customHeight="1" x14ac:dyDescent="0.25">
      <c r="A2603" s="2" t="str">
        <f>"05015000236"</f>
        <v>05015000236</v>
      </c>
      <c r="B2603" s="2" t="s">
        <v>2606</v>
      </c>
      <c r="C2603" s="2">
        <v>281.69</v>
      </c>
      <c r="D2603" s="2" t="s">
        <v>5</v>
      </c>
    </row>
    <row r="2604" spans="1:4" ht="15" customHeight="1" x14ac:dyDescent="0.25">
      <c r="A2604" s="2" t="str">
        <f>"05015000054"</f>
        <v>05015000054</v>
      </c>
      <c r="B2604" s="2" t="s">
        <v>2607</v>
      </c>
      <c r="C2604" s="2">
        <v>77.13</v>
      </c>
      <c r="D2604" s="2" t="s">
        <v>5</v>
      </c>
    </row>
    <row r="2605" spans="1:4" ht="15" customHeight="1" x14ac:dyDescent="0.25">
      <c r="A2605" s="2" t="str">
        <f>"05015000055"</f>
        <v>05015000055</v>
      </c>
      <c r="B2605" s="2" t="s">
        <v>2608</v>
      </c>
      <c r="C2605" s="2">
        <v>43.16</v>
      </c>
      <c r="D2605" s="2" t="s">
        <v>5</v>
      </c>
    </row>
    <row r="2606" spans="1:4" ht="15" customHeight="1" x14ac:dyDescent="0.25">
      <c r="A2606" s="2" t="str">
        <f>"05015000056"</f>
        <v>05015000056</v>
      </c>
      <c r="B2606" s="2" t="s">
        <v>2609</v>
      </c>
      <c r="C2606" s="2">
        <v>66.260000000000005</v>
      </c>
      <c r="D2606" s="2" t="s">
        <v>5</v>
      </c>
    </row>
    <row r="2607" spans="1:4" ht="15" customHeight="1" x14ac:dyDescent="0.25">
      <c r="A2607" s="2" t="str">
        <f>"05015000222"</f>
        <v>05015000222</v>
      </c>
      <c r="B2607" s="2" t="s">
        <v>2610</v>
      </c>
      <c r="C2607" s="2">
        <v>57.51</v>
      </c>
      <c r="D2607" s="2" t="s">
        <v>5</v>
      </c>
    </row>
    <row r="2608" spans="1:4" ht="15" customHeight="1" x14ac:dyDescent="0.25">
      <c r="A2608" s="2" t="str">
        <f>"05015000181"</f>
        <v>05015000181</v>
      </c>
      <c r="B2608" s="2" t="s">
        <v>2611</v>
      </c>
      <c r="C2608" s="2">
        <v>62.99</v>
      </c>
      <c r="D2608" s="2" t="s">
        <v>5</v>
      </c>
    </row>
    <row r="2609" spans="1:4" ht="15" customHeight="1" x14ac:dyDescent="0.25">
      <c r="A2609" s="2" t="str">
        <f>"05015000048"</f>
        <v>05015000048</v>
      </c>
      <c r="B2609" s="2" t="s">
        <v>2612</v>
      </c>
      <c r="C2609" s="2">
        <v>25.08</v>
      </c>
      <c r="D2609" s="2" t="s">
        <v>5</v>
      </c>
    </row>
    <row r="2610" spans="1:4" ht="15" customHeight="1" x14ac:dyDescent="0.25">
      <c r="A2610" s="2" t="str">
        <f>"05015000047"</f>
        <v>05015000047</v>
      </c>
      <c r="B2610" s="2" t="s">
        <v>2613</v>
      </c>
      <c r="C2610" s="2">
        <v>38.49</v>
      </c>
      <c r="D2610" s="2" t="s">
        <v>5</v>
      </c>
    </row>
    <row r="2611" spans="1:4" ht="15" customHeight="1" x14ac:dyDescent="0.25">
      <c r="A2611" s="2" t="str">
        <f>"05015000049"</f>
        <v>05015000049</v>
      </c>
      <c r="B2611" s="2" t="s">
        <v>2614</v>
      </c>
      <c r="C2611" s="2">
        <v>43.16</v>
      </c>
      <c r="D2611" s="2" t="s">
        <v>5</v>
      </c>
    </row>
    <row r="2612" spans="1:4" ht="15" customHeight="1" x14ac:dyDescent="0.25">
      <c r="A2612" s="2" t="str">
        <f>"05015000050"</f>
        <v>05015000050</v>
      </c>
      <c r="B2612" s="2" t="s">
        <v>2615</v>
      </c>
      <c r="C2612" s="2">
        <v>23.33</v>
      </c>
      <c r="D2612" s="2" t="s">
        <v>5</v>
      </c>
    </row>
    <row r="2613" spans="1:4" ht="15" customHeight="1" x14ac:dyDescent="0.25">
      <c r="A2613" s="2" t="str">
        <f>"05015000052"</f>
        <v>05015000052</v>
      </c>
      <c r="B2613" s="2" t="s">
        <v>2616</v>
      </c>
      <c r="C2613" s="2">
        <v>81.650000000000006</v>
      </c>
      <c r="D2613" s="2" t="s">
        <v>5</v>
      </c>
    </row>
    <row r="2614" spans="1:4" ht="15" customHeight="1" x14ac:dyDescent="0.25">
      <c r="A2614" s="2" t="str">
        <f>"03034000201"</f>
        <v>03034000201</v>
      </c>
      <c r="B2614" s="2" t="s">
        <v>2617</v>
      </c>
      <c r="C2614" s="2">
        <v>7595.34</v>
      </c>
      <c r="D2614" s="2" t="s">
        <v>5</v>
      </c>
    </row>
    <row r="2615" spans="1:4" ht="15" customHeight="1" x14ac:dyDescent="0.25">
      <c r="A2615" s="2" t="str">
        <f>"05022000997"</f>
        <v>05022000997</v>
      </c>
      <c r="B2615" s="2" t="s">
        <v>2618</v>
      </c>
      <c r="C2615" s="2">
        <v>649.26</v>
      </c>
      <c r="D2615" s="2" t="s">
        <v>5</v>
      </c>
    </row>
    <row r="2616" spans="1:4" ht="15" customHeight="1" x14ac:dyDescent="0.25">
      <c r="A2616" s="2" t="str">
        <f>"03010000275"</f>
        <v>03010000275</v>
      </c>
      <c r="B2616" s="2" t="s">
        <v>2619</v>
      </c>
      <c r="C2616" s="2">
        <v>684.17</v>
      </c>
      <c r="D2616" s="2" t="s">
        <v>5</v>
      </c>
    </row>
    <row r="2617" spans="1:4" ht="15" customHeight="1" x14ac:dyDescent="0.25">
      <c r="A2617" s="2" t="str">
        <f>"05022000826"</f>
        <v>05022000826</v>
      </c>
      <c r="B2617" s="2" t="s">
        <v>2620</v>
      </c>
      <c r="C2617" s="2">
        <v>700.05</v>
      </c>
      <c r="D2617" s="2" t="s">
        <v>5</v>
      </c>
    </row>
    <row r="2618" spans="1:4" ht="15" customHeight="1" x14ac:dyDescent="0.25">
      <c r="A2618" s="2" t="str">
        <f>"05022000835"</f>
        <v>05022000835</v>
      </c>
      <c r="B2618" s="2" t="s">
        <v>2621</v>
      </c>
      <c r="C2618" s="2">
        <v>1072.31</v>
      </c>
      <c r="D2618" s="2" t="s">
        <v>5</v>
      </c>
    </row>
    <row r="2619" spans="1:4" ht="15" customHeight="1" x14ac:dyDescent="0.25">
      <c r="A2619" s="2" t="str">
        <f>"05022000996"</f>
        <v>05022000996</v>
      </c>
      <c r="B2619" s="2" t="s">
        <v>2622</v>
      </c>
      <c r="C2619" s="2">
        <v>2373.06</v>
      </c>
      <c r="D2619" s="2" t="s">
        <v>5</v>
      </c>
    </row>
    <row r="2620" spans="1:4" ht="15" customHeight="1" x14ac:dyDescent="0.25">
      <c r="A2620" s="2" t="str">
        <f>"03034000205"</f>
        <v>03034000205</v>
      </c>
      <c r="B2620" s="2" t="s">
        <v>2623</v>
      </c>
      <c r="C2620" s="2">
        <v>1438.79</v>
      </c>
      <c r="D2620" s="2" t="s">
        <v>5</v>
      </c>
    </row>
    <row r="2621" spans="1:4" ht="15" customHeight="1" x14ac:dyDescent="0.25">
      <c r="A2621" s="2" t="str">
        <f>"03034000206"</f>
        <v>03034000206</v>
      </c>
      <c r="B2621" s="2" t="s">
        <v>2624</v>
      </c>
      <c r="C2621" s="2">
        <v>1438.79</v>
      </c>
      <c r="D2621" s="2" t="s">
        <v>5</v>
      </c>
    </row>
    <row r="2622" spans="1:4" ht="15" customHeight="1" x14ac:dyDescent="0.25">
      <c r="A2622" s="2" t="str">
        <f>"05023000005"</f>
        <v>05023000005</v>
      </c>
      <c r="B2622" s="2" t="s">
        <v>2625</v>
      </c>
      <c r="C2622" s="2">
        <v>279.93</v>
      </c>
      <c r="D2622" s="2" t="s">
        <v>5</v>
      </c>
    </row>
    <row r="2623" spans="1:4" ht="15" customHeight="1" x14ac:dyDescent="0.25">
      <c r="A2623" s="2" t="str">
        <f>"01004000090"</f>
        <v>01004000090</v>
      </c>
      <c r="B2623" s="2" t="s">
        <v>2626</v>
      </c>
      <c r="C2623" s="2">
        <v>1094.99</v>
      </c>
      <c r="D2623" s="2" t="s">
        <v>5</v>
      </c>
    </row>
    <row r="2624" spans="1:4" ht="15" customHeight="1" x14ac:dyDescent="0.25">
      <c r="A2624" s="2" t="str">
        <f>"01004000085"</f>
        <v>01004000085</v>
      </c>
      <c r="B2624" s="2" t="s">
        <v>2627</v>
      </c>
      <c r="C2624" s="2">
        <v>502.44</v>
      </c>
      <c r="D2624" s="2" t="s">
        <v>5</v>
      </c>
    </row>
    <row r="2625" spans="1:4" ht="15" customHeight="1" x14ac:dyDescent="0.25">
      <c r="A2625" s="2" t="str">
        <f>"03005000025"</f>
        <v>03005000025</v>
      </c>
      <c r="B2625" s="2" t="s">
        <v>2628</v>
      </c>
      <c r="C2625" s="2">
        <v>1497.6</v>
      </c>
      <c r="D2625" s="2" t="s">
        <v>5</v>
      </c>
    </row>
    <row r="2626" spans="1:4" ht="15" customHeight="1" x14ac:dyDescent="0.25">
      <c r="A2626" s="2" t="str">
        <f>"01004000110"</f>
        <v>01004000110</v>
      </c>
      <c r="B2626" s="2" t="s">
        <v>2629</v>
      </c>
      <c r="C2626" s="2">
        <v>1828.22</v>
      </c>
      <c r="D2626" s="2" t="s">
        <v>5</v>
      </c>
    </row>
    <row r="2627" spans="1:4" ht="15" customHeight="1" x14ac:dyDescent="0.25">
      <c r="A2627" s="2" t="str">
        <f>"01004000105"</f>
        <v>01004000105</v>
      </c>
      <c r="B2627" s="2" t="s">
        <v>2630</v>
      </c>
      <c r="C2627" s="2">
        <v>1193.54</v>
      </c>
      <c r="D2627" s="2" t="s">
        <v>5</v>
      </c>
    </row>
    <row r="2628" spans="1:4" ht="15" customHeight="1" x14ac:dyDescent="0.25">
      <c r="A2628" s="2" t="str">
        <f>"03050000299"</f>
        <v>03050000299</v>
      </c>
      <c r="B2628" s="2" t="s">
        <v>2631</v>
      </c>
      <c r="C2628" s="2">
        <v>10397.19</v>
      </c>
      <c r="D2628" s="2" t="s">
        <v>5</v>
      </c>
    </row>
    <row r="2629" spans="1:4" ht="15" customHeight="1" x14ac:dyDescent="0.25">
      <c r="A2629" s="2" t="str">
        <f>"03050000297"</f>
        <v>03050000297</v>
      </c>
      <c r="B2629" s="2" t="s">
        <v>2632</v>
      </c>
      <c r="C2629" s="2">
        <v>10396.5</v>
      </c>
      <c r="D2629" s="2" t="s">
        <v>5</v>
      </c>
    </row>
    <row r="2630" spans="1:4" ht="15" customHeight="1" x14ac:dyDescent="0.25">
      <c r="A2630" s="2" t="str">
        <f>"03042000096"</f>
        <v>03042000096</v>
      </c>
      <c r="B2630" s="2" t="s">
        <v>2633</v>
      </c>
      <c r="C2630" s="2">
        <v>3958.46</v>
      </c>
      <c r="D2630" s="2" t="s">
        <v>5</v>
      </c>
    </row>
    <row r="2631" spans="1:4" ht="15" customHeight="1" x14ac:dyDescent="0.25">
      <c r="A2631" s="2" t="str">
        <f>"03042000100"</f>
        <v>03042000100</v>
      </c>
      <c r="B2631" s="2" t="s">
        <v>2634</v>
      </c>
      <c r="C2631" s="2">
        <v>5125.68</v>
      </c>
      <c r="D2631" s="2" t="s">
        <v>5</v>
      </c>
    </row>
    <row r="2632" spans="1:4" ht="15" customHeight="1" x14ac:dyDescent="0.25">
      <c r="A2632" s="2" t="str">
        <f>"03042000092"</f>
        <v>03042000092</v>
      </c>
      <c r="B2632" s="2" t="s">
        <v>2635</v>
      </c>
      <c r="C2632" s="2">
        <v>3958.46</v>
      </c>
      <c r="D2632" s="2" t="s">
        <v>5</v>
      </c>
    </row>
    <row r="2633" spans="1:4" ht="15" customHeight="1" x14ac:dyDescent="0.25">
      <c r="A2633" s="2" t="str">
        <f>"03042000094"</f>
        <v>03042000094</v>
      </c>
      <c r="B2633" s="2" t="s">
        <v>2636</v>
      </c>
      <c r="C2633" s="2">
        <v>3958.46</v>
      </c>
      <c r="D2633" s="2" t="s">
        <v>5</v>
      </c>
    </row>
    <row r="2634" spans="1:4" ht="15" customHeight="1" x14ac:dyDescent="0.25">
      <c r="A2634" s="2" t="str">
        <f>"03042000110"</f>
        <v>03042000110</v>
      </c>
      <c r="B2634" s="2" t="s">
        <v>2637</v>
      </c>
      <c r="C2634" s="2">
        <v>15541.98</v>
      </c>
      <c r="D2634" s="2" t="s">
        <v>5</v>
      </c>
    </row>
    <row r="2635" spans="1:4" ht="15" customHeight="1" x14ac:dyDescent="0.25">
      <c r="A2635" s="2" t="str">
        <f>"03042000109"</f>
        <v>03042000109</v>
      </c>
      <c r="B2635" s="2" t="s">
        <v>2638</v>
      </c>
      <c r="C2635" s="2">
        <v>10631.99</v>
      </c>
      <c r="D2635" s="2" t="s">
        <v>5</v>
      </c>
    </row>
    <row r="2636" spans="1:4" ht="15" customHeight="1" x14ac:dyDescent="0.25">
      <c r="A2636" s="2" t="str">
        <f>"03050000301"</f>
        <v>03050000301</v>
      </c>
      <c r="B2636" s="2" t="s">
        <v>2639</v>
      </c>
      <c r="C2636" s="2">
        <v>23877.599999999999</v>
      </c>
      <c r="D2636" s="2" t="s">
        <v>5</v>
      </c>
    </row>
    <row r="2637" spans="1:4" ht="15" customHeight="1" x14ac:dyDescent="0.25">
      <c r="A2637" s="2" t="str">
        <f>"01011001025"</f>
        <v>01011001025</v>
      </c>
      <c r="B2637" s="2" t="s">
        <v>2640</v>
      </c>
      <c r="C2637" s="2">
        <v>1389.77</v>
      </c>
      <c r="D2637" s="2" t="s">
        <v>5</v>
      </c>
    </row>
    <row r="2638" spans="1:4" ht="15" customHeight="1" x14ac:dyDescent="0.25">
      <c r="A2638" s="2" t="str">
        <f>"03042000099"</f>
        <v>03042000099</v>
      </c>
      <c r="B2638" s="2" t="s">
        <v>2641</v>
      </c>
      <c r="C2638" s="2">
        <v>1040.3599999999999</v>
      </c>
      <c r="D2638" s="2" t="s">
        <v>5</v>
      </c>
    </row>
    <row r="2639" spans="1:4" ht="15" customHeight="1" x14ac:dyDescent="0.25">
      <c r="A2639" s="2" t="str">
        <f>"03042000097"</f>
        <v>03042000097</v>
      </c>
      <c r="B2639" s="2" t="s">
        <v>2642</v>
      </c>
      <c r="C2639" s="2">
        <v>1268.73</v>
      </c>
      <c r="D2639" s="2" t="s">
        <v>5</v>
      </c>
    </row>
    <row r="2640" spans="1:4" ht="15" customHeight="1" x14ac:dyDescent="0.25">
      <c r="A2640" s="2" t="str">
        <f>"03050000295"</f>
        <v>03050000295</v>
      </c>
      <c r="B2640" s="2" t="s">
        <v>2643</v>
      </c>
      <c r="C2640" s="2">
        <v>16208.34</v>
      </c>
      <c r="D2640" s="2" t="s">
        <v>5</v>
      </c>
    </row>
    <row r="2641" spans="1:4" ht="15" customHeight="1" x14ac:dyDescent="0.25">
      <c r="A2641" s="2" t="str">
        <f>"03050000283"</f>
        <v>03050000283</v>
      </c>
      <c r="B2641" s="2" t="s">
        <v>2644</v>
      </c>
      <c r="C2641" s="2">
        <v>16208.34</v>
      </c>
      <c r="D2641" s="2" t="s">
        <v>5</v>
      </c>
    </row>
    <row r="2642" spans="1:4" ht="15" customHeight="1" x14ac:dyDescent="0.25">
      <c r="A2642" s="2" t="str">
        <f>"03050000292"</f>
        <v>03050000292</v>
      </c>
      <c r="B2642" s="2" t="s">
        <v>2645</v>
      </c>
      <c r="C2642" s="2">
        <v>16208.34</v>
      </c>
      <c r="D2642" s="2" t="s">
        <v>5</v>
      </c>
    </row>
    <row r="2643" spans="1:4" ht="15" customHeight="1" x14ac:dyDescent="0.25">
      <c r="A2643" s="2" t="str">
        <f>"03050000300"</f>
        <v>03050000300</v>
      </c>
      <c r="B2643" s="2" t="s">
        <v>2646</v>
      </c>
      <c r="C2643" s="2">
        <v>4345.88</v>
      </c>
      <c r="D2643" s="2" t="s">
        <v>5</v>
      </c>
    </row>
    <row r="2644" spans="1:4" ht="15" customHeight="1" x14ac:dyDescent="0.25">
      <c r="A2644" s="2" t="str">
        <f>"03050000284"</f>
        <v>03050000284</v>
      </c>
      <c r="B2644" s="2" t="s">
        <v>2647</v>
      </c>
      <c r="C2644" s="2">
        <v>16208.34</v>
      </c>
      <c r="D2644" s="2" t="s">
        <v>5</v>
      </c>
    </row>
    <row r="2645" spans="1:4" ht="15" customHeight="1" x14ac:dyDescent="0.25">
      <c r="A2645" s="2" t="str">
        <f>"03050000282"</f>
        <v>03050000282</v>
      </c>
      <c r="B2645" s="2" t="s">
        <v>2648</v>
      </c>
      <c r="C2645" s="2">
        <v>16208.34</v>
      </c>
      <c r="D2645" s="2" t="s">
        <v>5</v>
      </c>
    </row>
    <row r="2646" spans="1:4" ht="15" customHeight="1" x14ac:dyDescent="0.25">
      <c r="A2646" s="2" t="str">
        <f>"03050000285"</f>
        <v>03050000285</v>
      </c>
      <c r="B2646" s="2" t="s">
        <v>2649</v>
      </c>
      <c r="C2646" s="2">
        <v>16208.34</v>
      </c>
      <c r="D2646" s="2" t="s">
        <v>5</v>
      </c>
    </row>
    <row r="2647" spans="1:4" ht="15" customHeight="1" x14ac:dyDescent="0.25">
      <c r="A2647" s="2" t="str">
        <f>"03050000311"</f>
        <v>03050000311</v>
      </c>
      <c r="B2647" s="2" t="s">
        <v>2650</v>
      </c>
      <c r="C2647" s="2">
        <v>16208.34</v>
      </c>
      <c r="D2647" s="2" t="s">
        <v>5</v>
      </c>
    </row>
    <row r="2648" spans="1:4" ht="15" customHeight="1" x14ac:dyDescent="0.25">
      <c r="A2648" s="2" t="str">
        <f>"03050000290"</f>
        <v>03050000290</v>
      </c>
      <c r="B2648" s="2" t="s">
        <v>2651</v>
      </c>
      <c r="C2648" s="2">
        <v>24357.06</v>
      </c>
      <c r="D2648" s="2" t="s">
        <v>5</v>
      </c>
    </row>
    <row r="2649" spans="1:4" ht="15" customHeight="1" x14ac:dyDescent="0.25">
      <c r="A2649" s="2" t="str">
        <f>"03050000291"</f>
        <v>03050000291</v>
      </c>
      <c r="B2649" s="2" t="s">
        <v>2652</v>
      </c>
      <c r="C2649" s="2">
        <v>24357.06</v>
      </c>
      <c r="D2649" s="2" t="s">
        <v>5</v>
      </c>
    </row>
    <row r="2650" spans="1:4" ht="15" customHeight="1" x14ac:dyDescent="0.25">
      <c r="A2650" s="2" t="str">
        <f>"03050000286"</f>
        <v>03050000286</v>
      </c>
      <c r="B2650" s="2" t="s">
        <v>2653</v>
      </c>
      <c r="C2650" s="2">
        <v>24357.06</v>
      </c>
      <c r="D2650" s="2" t="s">
        <v>5</v>
      </c>
    </row>
    <row r="2651" spans="1:4" ht="15" customHeight="1" x14ac:dyDescent="0.25">
      <c r="A2651" s="2" t="str">
        <f>"03050000287"</f>
        <v>03050000287</v>
      </c>
      <c r="B2651" s="2" t="s">
        <v>2654</v>
      </c>
      <c r="C2651" s="2">
        <v>24357.06</v>
      </c>
      <c r="D2651" s="2" t="s">
        <v>5</v>
      </c>
    </row>
    <row r="2652" spans="1:4" ht="15" customHeight="1" x14ac:dyDescent="0.25">
      <c r="A2652" s="2" t="str">
        <f>"03050000289"</f>
        <v>03050000289</v>
      </c>
      <c r="B2652" s="2" t="s">
        <v>2655</v>
      </c>
      <c r="C2652" s="2">
        <v>24357.06</v>
      </c>
      <c r="D2652" s="2" t="s">
        <v>5</v>
      </c>
    </row>
    <row r="2653" spans="1:4" ht="15" customHeight="1" x14ac:dyDescent="0.25">
      <c r="A2653" s="2" t="str">
        <f>"03050000288"</f>
        <v>03050000288</v>
      </c>
      <c r="B2653" s="2" t="s">
        <v>2656</v>
      </c>
      <c r="C2653" s="2">
        <v>24357.69</v>
      </c>
      <c r="D2653" s="2" t="s">
        <v>5</v>
      </c>
    </row>
    <row r="2654" spans="1:4" ht="15" customHeight="1" x14ac:dyDescent="0.25">
      <c r="A2654" s="2" t="str">
        <f>"03050000293"</f>
        <v>03050000293</v>
      </c>
      <c r="B2654" s="2" t="s">
        <v>2657</v>
      </c>
      <c r="C2654" s="2">
        <v>8847.92</v>
      </c>
      <c r="D2654" s="2" t="s">
        <v>5</v>
      </c>
    </row>
    <row r="2655" spans="1:4" ht="15" customHeight="1" x14ac:dyDescent="0.25">
      <c r="A2655" s="2" t="str">
        <f>"03050000294"</f>
        <v>03050000294</v>
      </c>
      <c r="B2655" s="2" t="s">
        <v>2658</v>
      </c>
      <c r="C2655" s="2">
        <v>8847.92</v>
      </c>
      <c r="D2655" s="2" t="s">
        <v>5</v>
      </c>
    </row>
    <row r="2656" spans="1:4" ht="15" customHeight="1" x14ac:dyDescent="0.25">
      <c r="A2656" s="2" t="str">
        <f>"03050000296"</f>
        <v>03050000296</v>
      </c>
      <c r="B2656" s="2" t="s">
        <v>2659</v>
      </c>
      <c r="C2656" s="2">
        <v>26792.03</v>
      </c>
      <c r="D2656" s="2" t="s">
        <v>5</v>
      </c>
    </row>
    <row r="2657" spans="1:4" ht="15" customHeight="1" x14ac:dyDescent="0.25">
      <c r="A2657" s="2" t="str">
        <f>"03050000302"</f>
        <v>03050000302</v>
      </c>
      <c r="B2657" s="2" t="s">
        <v>2660</v>
      </c>
      <c r="C2657" s="2">
        <v>3464.51</v>
      </c>
      <c r="D2657" s="2" t="s">
        <v>5</v>
      </c>
    </row>
    <row r="2658" spans="1:4" ht="15" customHeight="1" x14ac:dyDescent="0.25">
      <c r="A2658" s="2" t="str">
        <f>"03050000304"</f>
        <v>03050000304</v>
      </c>
      <c r="B2658" s="2" t="s">
        <v>2661</v>
      </c>
      <c r="C2658" s="2">
        <v>3464.51</v>
      </c>
      <c r="D2658" s="2" t="s">
        <v>5</v>
      </c>
    </row>
    <row r="2659" spans="1:4" ht="15" customHeight="1" x14ac:dyDescent="0.25">
      <c r="A2659" s="2" t="str">
        <f>"01019000035"</f>
        <v>01019000035</v>
      </c>
      <c r="B2659" s="2" t="s">
        <v>2662</v>
      </c>
      <c r="C2659" s="2">
        <v>3.81</v>
      </c>
      <c r="D2659" s="2" t="s">
        <v>107</v>
      </c>
    </row>
    <row r="2660" spans="1:4" ht="15" customHeight="1" x14ac:dyDescent="0.25">
      <c r="A2660" s="2" t="str">
        <f>"01019000040"</f>
        <v>01019000040</v>
      </c>
      <c r="B2660" s="2" t="s">
        <v>2663</v>
      </c>
      <c r="C2660" s="2">
        <v>3.65</v>
      </c>
      <c r="D2660" s="2" t="s">
        <v>107</v>
      </c>
    </row>
    <row r="2661" spans="1:4" ht="15" customHeight="1" x14ac:dyDescent="0.25">
      <c r="A2661" s="2" t="str">
        <f>"01019000030"</f>
        <v>01019000030</v>
      </c>
      <c r="B2661" s="2" t="s">
        <v>2664</v>
      </c>
      <c r="C2661" s="2">
        <v>3.02</v>
      </c>
      <c r="D2661" s="2" t="s">
        <v>107</v>
      </c>
    </row>
    <row r="2662" spans="1:4" ht="15" customHeight="1" x14ac:dyDescent="0.25">
      <c r="A2662" s="2" t="str">
        <f>"01019000020"</f>
        <v>01019000020</v>
      </c>
      <c r="B2662" s="2" t="s">
        <v>2665</v>
      </c>
      <c r="C2662" s="2">
        <v>3.65</v>
      </c>
      <c r="D2662" s="2" t="s">
        <v>107</v>
      </c>
    </row>
    <row r="2663" spans="1:4" ht="15" customHeight="1" x14ac:dyDescent="0.25">
      <c r="A2663" s="2" t="str">
        <f>"03034000260"</f>
        <v>03034000260</v>
      </c>
      <c r="B2663" s="2" t="s">
        <v>2666</v>
      </c>
      <c r="C2663" s="2">
        <v>13619.69</v>
      </c>
      <c r="D2663" s="2" t="s">
        <v>5</v>
      </c>
    </row>
    <row r="2664" spans="1:4" ht="15" customHeight="1" x14ac:dyDescent="0.25">
      <c r="A2664" s="2" t="str">
        <f>"03034000261"</f>
        <v>03034000261</v>
      </c>
      <c r="B2664" s="2" t="s">
        <v>2667</v>
      </c>
      <c r="C2664" s="2">
        <v>32503.74</v>
      </c>
      <c r="D2664" s="2" t="s">
        <v>5</v>
      </c>
    </row>
    <row r="2665" spans="1:4" ht="15" customHeight="1" x14ac:dyDescent="0.25">
      <c r="A2665" s="2" t="str">
        <f>"03034000241"</f>
        <v>03034000241</v>
      </c>
      <c r="B2665" s="2" t="s">
        <v>2668</v>
      </c>
      <c r="C2665" s="2">
        <v>21566.84</v>
      </c>
      <c r="D2665" s="2" t="s">
        <v>5</v>
      </c>
    </row>
    <row r="2666" spans="1:4" ht="15" customHeight="1" x14ac:dyDescent="0.25">
      <c r="A2666" s="2" t="str">
        <f>"06050000368"</f>
        <v>06050000368</v>
      </c>
      <c r="B2666" s="2" t="s">
        <v>2669</v>
      </c>
      <c r="C2666" s="2">
        <v>57348</v>
      </c>
      <c r="D2666" s="2" t="s">
        <v>5</v>
      </c>
    </row>
    <row r="2667" spans="1:4" ht="15" customHeight="1" x14ac:dyDescent="0.25">
      <c r="A2667" s="2" t="str">
        <f>"06050000369"</f>
        <v>06050000369</v>
      </c>
      <c r="B2667" s="2" t="s">
        <v>2670</v>
      </c>
      <c r="C2667" s="2">
        <v>64824.3</v>
      </c>
      <c r="D2667" s="2" t="s">
        <v>5</v>
      </c>
    </row>
    <row r="2668" spans="1:4" ht="15" customHeight="1" x14ac:dyDescent="0.25">
      <c r="A2668" s="2" t="str">
        <f>"06050000367"</f>
        <v>06050000367</v>
      </c>
      <c r="B2668" s="2" t="s">
        <v>2671</v>
      </c>
      <c r="C2668" s="2">
        <v>72308.7</v>
      </c>
      <c r="D2668" s="2" t="s">
        <v>5</v>
      </c>
    </row>
    <row r="2669" spans="1:4" ht="15" customHeight="1" x14ac:dyDescent="0.25">
      <c r="A2669" s="2" t="str">
        <f>"06050000366"</f>
        <v>06050000366</v>
      </c>
      <c r="B2669" s="2" t="s">
        <v>2672</v>
      </c>
      <c r="C2669" s="2">
        <v>72308.7</v>
      </c>
      <c r="D2669" s="2" t="s">
        <v>5</v>
      </c>
    </row>
    <row r="2670" spans="1:4" ht="15" customHeight="1" x14ac:dyDescent="0.25">
      <c r="A2670" s="2" t="str">
        <f>"02002000825"</f>
        <v>02002000825</v>
      </c>
      <c r="B2670" s="2" t="s">
        <v>2673</v>
      </c>
      <c r="C2670" s="2">
        <v>7603.1</v>
      </c>
      <c r="D2670" s="2" t="s">
        <v>5</v>
      </c>
    </row>
    <row r="2671" spans="1:4" ht="15" customHeight="1" x14ac:dyDescent="0.25">
      <c r="A2671" s="2" t="str">
        <f>"03070000002"</f>
        <v>03070000002</v>
      </c>
      <c r="B2671" s="2" t="s">
        <v>2674</v>
      </c>
      <c r="C2671" s="2">
        <v>3142.73</v>
      </c>
      <c r="D2671" s="2" t="s">
        <v>5</v>
      </c>
    </row>
    <row r="2672" spans="1:4" ht="15" customHeight="1" x14ac:dyDescent="0.25">
      <c r="A2672" s="2" t="str">
        <f>"03070000015"</f>
        <v>03070000015</v>
      </c>
      <c r="B2672" s="2" t="s">
        <v>2675</v>
      </c>
      <c r="C2672" s="2">
        <v>10037.6</v>
      </c>
      <c r="D2672" s="2" t="s">
        <v>5</v>
      </c>
    </row>
    <row r="2673" spans="1:4" ht="15" customHeight="1" x14ac:dyDescent="0.25">
      <c r="A2673" s="2" t="str">
        <f>"03070000010"</f>
        <v>03070000010</v>
      </c>
      <c r="B2673" s="2" t="s">
        <v>2676</v>
      </c>
      <c r="C2673" s="2">
        <v>6315.21</v>
      </c>
      <c r="D2673" s="2" t="s">
        <v>5</v>
      </c>
    </row>
    <row r="2674" spans="1:4" ht="15" customHeight="1" x14ac:dyDescent="0.25">
      <c r="A2674" s="2" t="str">
        <f>"03070000005"</f>
        <v>03070000005</v>
      </c>
      <c r="B2674" s="2" t="s">
        <v>2677</v>
      </c>
      <c r="C2674" s="2">
        <v>4545.38</v>
      </c>
      <c r="D2674" s="2" t="s">
        <v>5</v>
      </c>
    </row>
    <row r="2675" spans="1:4" ht="15" customHeight="1" x14ac:dyDescent="0.25">
      <c r="A2675" s="2" t="str">
        <f>"03038000517"</f>
        <v>03038000517</v>
      </c>
      <c r="B2675" s="2" t="s">
        <v>2678</v>
      </c>
      <c r="C2675" s="2">
        <v>486</v>
      </c>
      <c r="D2675" s="2" t="s">
        <v>5</v>
      </c>
    </row>
    <row r="2676" spans="1:4" ht="15" customHeight="1" x14ac:dyDescent="0.25">
      <c r="A2676" s="2" t="str">
        <f>"03038000521"</f>
        <v>03038000521</v>
      </c>
      <c r="B2676" s="2" t="s">
        <v>2679</v>
      </c>
      <c r="C2676" s="2">
        <v>258.69</v>
      </c>
      <c r="D2676" s="2" t="s">
        <v>5</v>
      </c>
    </row>
    <row r="2677" spans="1:4" ht="15" customHeight="1" x14ac:dyDescent="0.25">
      <c r="A2677" s="2" t="str">
        <f>"09004000005"</f>
        <v>09004000005</v>
      </c>
      <c r="B2677" s="2" t="s">
        <v>2680</v>
      </c>
      <c r="C2677" s="2">
        <v>2703</v>
      </c>
      <c r="D2677" s="2" t="s">
        <v>5</v>
      </c>
    </row>
    <row r="2678" spans="1:4" ht="15" customHeight="1" x14ac:dyDescent="0.25">
      <c r="A2678" s="2" t="str">
        <f>"09004000010"</f>
        <v>09004000010</v>
      </c>
      <c r="B2678" s="2" t="s">
        <v>2681</v>
      </c>
      <c r="C2678" s="2">
        <v>7950</v>
      </c>
      <c r="D2678" s="2" t="s">
        <v>5</v>
      </c>
    </row>
    <row r="2679" spans="1:4" ht="15" customHeight="1" x14ac:dyDescent="0.25">
      <c r="A2679" s="2" t="str">
        <f>"05012000360"</f>
        <v>05012000360</v>
      </c>
      <c r="B2679" s="2" t="s">
        <v>2682</v>
      </c>
      <c r="C2679" s="2">
        <v>6779.15</v>
      </c>
      <c r="D2679" s="2" t="s">
        <v>5</v>
      </c>
    </row>
    <row r="2680" spans="1:4" ht="15" customHeight="1" x14ac:dyDescent="0.25">
      <c r="A2680" s="2" t="str">
        <f>"05012000500"</f>
        <v>05012000500</v>
      </c>
      <c r="B2680" s="2" t="s">
        <v>2683</v>
      </c>
      <c r="C2680" s="2">
        <v>122614.2</v>
      </c>
      <c r="D2680" s="2" t="s">
        <v>5</v>
      </c>
    </row>
    <row r="2681" spans="1:4" ht="15" customHeight="1" x14ac:dyDescent="0.25">
      <c r="A2681" s="2" t="str">
        <f>"09020000330"</f>
        <v>09020000330</v>
      </c>
      <c r="B2681" s="2" t="s">
        <v>2684</v>
      </c>
      <c r="C2681" s="2">
        <v>160.4</v>
      </c>
      <c r="D2681" s="2" t="s">
        <v>5</v>
      </c>
    </row>
    <row r="2682" spans="1:4" ht="15" customHeight="1" x14ac:dyDescent="0.25">
      <c r="A2682" s="2" t="str">
        <f>"09020000335"</f>
        <v>09020000335</v>
      </c>
      <c r="B2682" s="2" t="s">
        <v>2685</v>
      </c>
      <c r="C2682" s="2">
        <v>210.6</v>
      </c>
      <c r="D2682" s="2" t="s">
        <v>5</v>
      </c>
    </row>
    <row r="2683" spans="1:4" ht="15" customHeight="1" x14ac:dyDescent="0.25">
      <c r="A2683" s="2" t="str">
        <f>"09020000340"</f>
        <v>09020000340</v>
      </c>
      <c r="B2683" s="2" t="s">
        <v>2686</v>
      </c>
      <c r="C2683" s="2">
        <v>447.12</v>
      </c>
      <c r="D2683" s="2" t="s">
        <v>5</v>
      </c>
    </row>
    <row r="2684" spans="1:4" ht="15" customHeight="1" x14ac:dyDescent="0.25">
      <c r="A2684" s="2" t="str">
        <f>"09020000345"</f>
        <v>09020000345</v>
      </c>
      <c r="B2684" s="2" t="s">
        <v>2687</v>
      </c>
      <c r="C2684" s="2">
        <v>771.15</v>
      </c>
      <c r="D2684" s="2" t="s">
        <v>5</v>
      </c>
    </row>
    <row r="2685" spans="1:4" ht="15" customHeight="1" x14ac:dyDescent="0.25">
      <c r="A2685" s="2" t="str">
        <f>"09020000350"</f>
        <v>09020000350</v>
      </c>
      <c r="B2685" s="2" t="s">
        <v>2688</v>
      </c>
      <c r="C2685" s="2">
        <v>1140.51</v>
      </c>
      <c r="D2685" s="2" t="s">
        <v>5</v>
      </c>
    </row>
    <row r="2686" spans="1:4" ht="15" customHeight="1" x14ac:dyDescent="0.25">
      <c r="A2686" s="2" t="str">
        <f>"09020000355"</f>
        <v>09020000355</v>
      </c>
      <c r="B2686" s="2" t="s">
        <v>2689</v>
      </c>
      <c r="C2686" s="2">
        <v>1676.76</v>
      </c>
      <c r="D2686" s="2" t="s">
        <v>5</v>
      </c>
    </row>
    <row r="2687" spans="1:4" ht="15" customHeight="1" x14ac:dyDescent="0.25">
      <c r="A2687" s="2" t="str">
        <f>"09020000370"</f>
        <v>09020000370</v>
      </c>
      <c r="B2687" s="2" t="s">
        <v>2690</v>
      </c>
      <c r="C2687" s="2">
        <v>826.22</v>
      </c>
      <c r="D2687" s="2" t="s">
        <v>5</v>
      </c>
    </row>
    <row r="2688" spans="1:4" ht="15" customHeight="1" x14ac:dyDescent="0.25">
      <c r="A2688" s="2" t="str">
        <f>"09020000375"</f>
        <v>09020000375</v>
      </c>
      <c r="B2688" s="2" t="s">
        <v>2691</v>
      </c>
      <c r="C2688" s="2">
        <v>826.22</v>
      </c>
      <c r="D2688" s="2" t="s">
        <v>5</v>
      </c>
    </row>
    <row r="2689" spans="1:4" ht="15" customHeight="1" x14ac:dyDescent="0.25">
      <c r="A2689" s="2" t="str">
        <f>"08050001120"</f>
        <v>08050001120</v>
      </c>
      <c r="B2689" s="2" t="s">
        <v>2692</v>
      </c>
      <c r="C2689" s="2">
        <v>470.36</v>
      </c>
      <c r="D2689" s="2" t="s">
        <v>5</v>
      </c>
    </row>
    <row r="2690" spans="1:4" ht="15" customHeight="1" x14ac:dyDescent="0.25">
      <c r="A2690" s="2" t="str">
        <f>"09020000390"</f>
        <v>09020000390</v>
      </c>
      <c r="B2690" s="2" t="s">
        <v>2693</v>
      </c>
      <c r="C2690" s="2">
        <v>439.88</v>
      </c>
      <c r="D2690" s="2" t="s">
        <v>5</v>
      </c>
    </row>
    <row r="2691" spans="1:4" ht="15" customHeight="1" x14ac:dyDescent="0.25">
      <c r="A2691" s="2" t="str">
        <f>"08050001200"</f>
        <v>08050001200</v>
      </c>
      <c r="B2691" s="2" t="s">
        <v>2694</v>
      </c>
      <c r="C2691" s="2">
        <v>470.36</v>
      </c>
      <c r="D2691" s="2" t="s">
        <v>5</v>
      </c>
    </row>
    <row r="2692" spans="1:4" ht="15" customHeight="1" x14ac:dyDescent="0.25">
      <c r="A2692" s="2" t="str">
        <f>"08050001110"</f>
        <v>08050001110</v>
      </c>
      <c r="B2692" s="2" t="s">
        <v>2695</v>
      </c>
      <c r="C2692" s="2">
        <v>224.87</v>
      </c>
      <c r="D2692" s="2" t="s">
        <v>5</v>
      </c>
    </row>
    <row r="2693" spans="1:4" ht="15" customHeight="1" x14ac:dyDescent="0.25">
      <c r="A2693" s="2" t="str">
        <f>"08050001115"</f>
        <v>08050001115</v>
      </c>
      <c r="B2693" s="2" t="s">
        <v>2696</v>
      </c>
      <c r="C2693" s="2">
        <v>415.98</v>
      </c>
      <c r="D2693" s="2" t="s">
        <v>5</v>
      </c>
    </row>
    <row r="2694" spans="1:4" ht="15" customHeight="1" x14ac:dyDescent="0.25">
      <c r="A2694" s="2" t="str">
        <f>"09020000385"</f>
        <v>09020000385</v>
      </c>
      <c r="B2694" s="2" t="s">
        <v>2697</v>
      </c>
      <c r="C2694" s="2">
        <v>336.98</v>
      </c>
      <c r="D2694" s="2" t="s">
        <v>5</v>
      </c>
    </row>
    <row r="2695" spans="1:4" ht="15" customHeight="1" x14ac:dyDescent="0.25">
      <c r="A2695" s="2" t="str">
        <f>"08050001150"</f>
        <v>08050001150</v>
      </c>
      <c r="B2695" s="2" t="s">
        <v>2698</v>
      </c>
      <c r="C2695" s="2">
        <v>415.98</v>
      </c>
      <c r="D2695" s="2" t="s">
        <v>5</v>
      </c>
    </row>
    <row r="2696" spans="1:4" ht="15" customHeight="1" x14ac:dyDescent="0.25">
      <c r="A2696" s="2" t="str">
        <f>"09020000420"</f>
        <v>09020000420</v>
      </c>
      <c r="B2696" s="2" t="s">
        <v>2699</v>
      </c>
      <c r="C2696" s="2">
        <v>79.55</v>
      </c>
      <c r="D2696" s="2" t="s">
        <v>5</v>
      </c>
    </row>
    <row r="2697" spans="1:4" ht="15" customHeight="1" x14ac:dyDescent="0.25">
      <c r="A2697" s="2" t="str">
        <f>"09020000425"</f>
        <v>09020000425</v>
      </c>
      <c r="B2697" s="2" t="s">
        <v>2700</v>
      </c>
      <c r="C2697" s="2">
        <v>131.22</v>
      </c>
      <c r="D2697" s="2" t="s">
        <v>5</v>
      </c>
    </row>
    <row r="2698" spans="1:4" ht="15" customHeight="1" x14ac:dyDescent="0.25">
      <c r="A2698" s="2" t="str">
        <f>"09020000430"</f>
        <v>09020000430</v>
      </c>
      <c r="B2698" s="2" t="s">
        <v>2701</v>
      </c>
      <c r="C2698" s="2">
        <v>168.48</v>
      </c>
      <c r="D2698" s="2" t="s">
        <v>5</v>
      </c>
    </row>
    <row r="2699" spans="1:4" ht="15" customHeight="1" x14ac:dyDescent="0.25">
      <c r="A2699" s="2" t="str">
        <f>"09020000435"</f>
        <v>09020000435</v>
      </c>
      <c r="B2699" s="2" t="s">
        <v>2702</v>
      </c>
      <c r="C2699" s="2">
        <v>291.62</v>
      </c>
      <c r="D2699" s="2" t="s">
        <v>5</v>
      </c>
    </row>
    <row r="2700" spans="1:4" ht="15" customHeight="1" x14ac:dyDescent="0.25">
      <c r="A2700" s="2" t="str">
        <f>"09020000440"</f>
        <v>09020000440</v>
      </c>
      <c r="B2700" s="2" t="s">
        <v>2703</v>
      </c>
      <c r="C2700" s="2">
        <v>362.88</v>
      </c>
      <c r="D2700" s="2" t="s">
        <v>5</v>
      </c>
    </row>
    <row r="2701" spans="1:4" ht="15" customHeight="1" x14ac:dyDescent="0.25">
      <c r="A2701" s="2" t="str">
        <f>"09020000445"</f>
        <v>09020000445</v>
      </c>
      <c r="B2701" s="2" t="s">
        <v>2704</v>
      </c>
      <c r="C2701" s="2">
        <v>599.42999999999995</v>
      </c>
      <c r="D2701" s="2" t="s">
        <v>5</v>
      </c>
    </row>
    <row r="2702" spans="1:4" ht="15" customHeight="1" x14ac:dyDescent="0.25">
      <c r="A2702" s="2" t="str">
        <f>"09020000465"</f>
        <v>09020000465</v>
      </c>
      <c r="B2702" s="2" t="s">
        <v>2705</v>
      </c>
      <c r="C2702" s="2">
        <v>129.6</v>
      </c>
      <c r="D2702" s="2" t="s">
        <v>5</v>
      </c>
    </row>
    <row r="2703" spans="1:4" ht="15" customHeight="1" x14ac:dyDescent="0.25">
      <c r="A2703" s="2" t="str">
        <f>"09020000470"</f>
        <v>09020000470</v>
      </c>
      <c r="B2703" s="2" t="s">
        <v>2706</v>
      </c>
      <c r="C2703" s="2">
        <v>160.4</v>
      </c>
      <c r="D2703" s="2" t="s">
        <v>5</v>
      </c>
    </row>
    <row r="2704" spans="1:4" ht="15" customHeight="1" x14ac:dyDescent="0.25">
      <c r="A2704" s="2" t="str">
        <f>"09020000475"</f>
        <v>09020000475</v>
      </c>
      <c r="B2704" s="2" t="s">
        <v>2707</v>
      </c>
      <c r="C2704" s="2">
        <v>162</v>
      </c>
      <c r="D2704" s="2" t="s">
        <v>5</v>
      </c>
    </row>
    <row r="2705" spans="1:4" ht="15" customHeight="1" x14ac:dyDescent="0.25">
      <c r="A2705" s="2" t="str">
        <f>"08050001000"</f>
        <v>08050001000</v>
      </c>
      <c r="B2705" s="2" t="s">
        <v>2708</v>
      </c>
      <c r="C2705" s="2">
        <v>423.47</v>
      </c>
      <c r="D2705" s="2" t="s">
        <v>5</v>
      </c>
    </row>
    <row r="2706" spans="1:4" ht="15" customHeight="1" x14ac:dyDescent="0.25">
      <c r="A2706" s="2" t="str">
        <f>"09000005117"</f>
        <v>09000005117</v>
      </c>
      <c r="B2706" s="2" t="s">
        <v>2709</v>
      </c>
      <c r="C2706" s="2">
        <v>405.27</v>
      </c>
      <c r="D2706" s="2" t="s">
        <v>5</v>
      </c>
    </row>
    <row r="2707" spans="1:4" ht="15" customHeight="1" x14ac:dyDescent="0.25">
      <c r="A2707" s="2" t="str">
        <f>"09000005122"</f>
        <v>09000005122</v>
      </c>
      <c r="B2707" s="2" t="s">
        <v>2710</v>
      </c>
      <c r="C2707" s="2">
        <v>463.11</v>
      </c>
      <c r="D2707" s="2" t="s">
        <v>5</v>
      </c>
    </row>
    <row r="2708" spans="1:4" ht="15" customHeight="1" x14ac:dyDescent="0.25">
      <c r="A2708" s="2" t="str">
        <f>"09000005123"</f>
        <v>09000005123</v>
      </c>
      <c r="B2708" s="2" t="s">
        <v>2711</v>
      </c>
      <c r="C2708" s="2">
        <v>463.11</v>
      </c>
      <c r="D2708" s="2" t="s">
        <v>5</v>
      </c>
    </row>
    <row r="2709" spans="1:4" ht="15" customHeight="1" x14ac:dyDescent="0.25">
      <c r="A2709" s="2" t="str">
        <f>"09000005125"</f>
        <v>09000005125</v>
      </c>
      <c r="B2709" s="2" t="s">
        <v>2712</v>
      </c>
      <c r="C2709" s="2">
        <v>532.82000000000005</v>
      </c>
      <c r="D2709" s="2" t="s">
        <v>5</v>
      </c>
    </row>
    <row r="2710" spans="1:4" ht="15" customHeight="1" x14ac:dyDescent="0.25">
      <c r="A2710" s="2" t="str">
        <f>"09000005130"</f>
        <v>09000005130</v>
      </c>
      <c r="B2710" s="2" t="s">
        <v>2713</v>
      </c>
      <c r="C2710" s="2">
        <v>556.20000000000005</v>
      </c>
      <c r="D2710" s="2" t="s">
        <v>5</v>
      </c>
    </row>
    <row r="2711" spans="1:4" ht="15" customHeight="1" x14ac:dyDescent="0.25">
      <c r="A2711" s="2" t="str">
        <f>"09110000005"</f>
        <v>09110000005</v>
      </c>
      <c r="B2711" s="2" t="s">
        <v>2714</v>
      </c>
      <c r="C2711" s="2">
        <v>2020.14</v>
      </c>
      <c r="D2711" s="2" t="s">
        <v>5</v>
      </c>
    </row>
    <row r="2712" spans="1:4" ht="15" customHeight="1" x14ac:dyDescent="0.25">
      <c r="A2712" s="2" t="str">
        <f>"09110000010"</f>
        <v>09110000010</v>
      </c>
      <c r="B2712" s="2" t="s">
        <v>2715</v>
      </c>
      <c r="C2712" s="2">
        <v>2517.48</v>
      </c>
      <c r="D2712" s="2" t="s">
        <v>5</v>
      </c>
    </row>
    <row r="2713" spans="1:4" ht="15" customHeight="1" x14ac:dyDescent="0.25">
      <c r="A2713" s="2" t="str">
        <f>"09110000015"</f>
        <v>09110000015</v>
      </c>
      <c r="B2713" s="2" t="s">
        <v>2716</v>
      </c>
      <c r="C2713" s="2">
        <v>5028.4799999999996</v>
      </c>
      <c r="D2713" s="2" t="s">
        <v>5</v>
      </c>
    </row>
    <row r="2714" spans="1:4" ht="15" customHeight="1" x14ac:dyDescent="0.25">
      <c r="A2714" s="2" t="str">
        <f>"09020000300"</f>
        <v>09020000300</v>
      </c>
      <c r="B2714" s="2" t="s">
        <v>2717</v>
      </c>
      <c r="C2714" s="2">
        <v>136.1</v>
      </c>
      <c r="D2714" s="2" t="s">
        <v>5</v>
      </c>
    </row>
    <row r="2715" spans="1:4" ht="15" customHeight="1" x14ac:dyDescent="0.25">
      <c r="A2715" s="2" t="str">
        <f>"09020000305"</f>
        <v>09020000305</v>
      </c>
      <c r="B2715" s="2" t="s">
        <v>2718</v>
      </c>
      <c r="C2715" s="2">
        <v>160.4</v>
      </c>
      <c r="D2715" s="2" t="s">
        <v>5</v>
      </c>
    </row>
    <row r="2716" spans="1:4" ht="15" customHeight="1" x14ac:dyDescent="0.25">
      <c r="A2716" s="2" t="str">
        <f>"09020000310"</f>
        <v>09020000310</v>
      </c>
      <c r="B2716" s="2" t="s">
        <v>2719</v>
      </c>
      <c r="C2716" s="2">
        <v>262.44</v>
      </c>
      <c r="D2716" s="2" t="s">
        <v>5</v>
      </c>
    </row>
    <row r="2717" spans="1:4" ht="15" customHeight="1" x14ac:dyDescent="0.25">
      <c r="A2717" s="2" t="str">
        <f>"09020000315"</f>
        <v>09020000315</v>
      </c>
      <c r="B2717" s="2" t="s">
        <v>2720</v>
      </c>
      <c r="C2717" s="2">
        <v>544.34</v>
      </c>
      <c r="D2717" s="2" t="s">
        <v>5</v>
      </c>
    </row>
    <row r="2718" spans="1:4" ht="15" customHeight="1" x14ac:dyDescent="0.25">
      <c r="A2718" s="2" t="str">
        <f>"09020000320"</f>
        <v>09020000320</v>
      </c>
      <c r="B2718" s="2" t="s">
        <v>2721</v>
      </c>
      <c r="C2718" s="2">
        <v>730.65</v>
      </c>
      <c r="D2718" s="2" t="s">
        <v>5</v>
      </c>
    </row>
    <row r="2719" spans="1:4" ht="15" customHeight="1" x14ac:dyDescent="0.25">
      <c r="A2719" s="2" t="str">
        <f>"09020000325"</f>
        <v>09020000325</v>
      </c>
      <c r="B2719" s="2" t="s">
        <v>2722</v>
      </c>
      <c r="C2719" s="2">
        <v>955.83</v>
      </c>
      <c r="D2719" s="2" t="s">
        <v>5</v>
      </c>
    </row>
    <row r="2720" spans="1:4" ht="15" customHeight="1" x14ac:dyDescent="0.25">
      <c r="A2720" s="2" t="str">
        <f>"08050001205"</f>
        <v>08050001205</v>
      </c>
      <c r="B2720" s="2" t="s">
        <v>2723</v>
      </c>
      <c r="C2720" s="2">
        <v>152.27000000000001</v>
      </c>
      <c r="D2720" s="2" t="s">
        <v>5</v>
      </c>
    </row>
    <row r="2721" spans="1:4" ht="15" customHeight="1" x14ac:dyDescent="0.25">
      <c r="A2721" s="2" t="str">
        <f>"09110000075"</f>
        <v>09110000075</v>
      </c>
      <c r="B2721" s="2" t="s">
        <v>2724</v>
      </c>
      <c r="C2721" s="2">
        <v>5590.85</v>
      </c>
      <c r="D2721" s="2" t="s">
        <v>5</v>
      </c>
    </row>
    <row r="2722" spans="1:4" ht="15" customHeight="1" x14ac:dyDescent="0.25">
      <c r="A2722" s="2" t="str">
        <f>"09110000020"</f>
        <v>09110000020</v>
      </c>
      <c r="B2722" s="2" t="s">
        <v>2725</v>
      </c>
      <c r="C2722" s="2">
        <v>11296.26</v>
      </c>
      <c r="D2722" s="2" t="s">
        <v>5</v>
      </c>
    </row>
    <row r="2723" spans="1:4" ht="15" customHeight="1" x14ac:dyDescent="0.25">
      <c r="A2723" s="2" t="str">
        <f>"09110000025"</f>
        <v>09110000025</v>
      </c>
      <c r="B2723" s="2" t="s">
        <v>2726</v>
      </c>
      <c r="C2723" s="2">
        <v>13332.6</v>
      </c>
      <c r="D2723" s="2" t="s">
        <v>5</v>
      </c>
    </row>
    <row r="2724" spans="1:4" ht="15" customHeight="1" x14ac:dyDescent="0.25">
      <c r="A2724" s="2" t="str">
        <f>"08050001100"</f>
        <v>08050001100</v>
      </c>
      <c r="B2724" s="2" t="s">
        <v>2727</v>
      </c>
      <c r="C2724" s="2">
        <v>622.62</v>
      </c>
      <c r="D2724" s="2" t="s">
        <v>5</v>
      </c>
    </row>
    <row r="2725" spans="1:4" ht="15" customHeight="1" x14ac:dyDescent="0.25">
      <c r="A2725" s="2" t="str">
        <f>"08050001350"</f>
        <v>08050001350</v>
      </c>
      <c r="B2725" s="2" t="s">
        <v>2728</v>
      </c>
      <c r="C2725" s="2">
        <v>500.25</v>
      </c>
      <c r="D2725" s="2" t="s">
        <v>5</v>
      </c>
    </row>
    <row r="2726" spans="1:4" ht="15" customHeight="1" x14ac:dyDescent="0.25">
      <c r="A2726" s="2" t="str">
        <f>"09020000480"</f>
        <v>09020000480</v>
      </c>
      <c r="B2726" s="2" t="s">
        <v>2729</v>
      </c>
      <c r="C2726" s="2">
        <v>320.76</v>
      </c>
      <c r="D2726" s="2" t="s">
        <v>5</v>
      </c>
    </row>
    <row r="2727" spans="1:4" ht="15" customHeight="1" x14ac:dyDescent="0.25">
      <c r="A2727" s="2" t="str">
        <f>"09020000485"</f>
        <v>09020000485</v>
      </c>
      <c r="B2727" s="2" t="s">
        <v>2730</v>
      </c>
      <c r="C2727" s="2">
        <v>408.26</v>
      </c>
      <c r="D2727" s="2" t="s">
        <v>5</v>
      </c>
    </row>
    <row r="2728" spans="1:4" ht="15" customHeight="1" x14ac:dyDescent="0.25">
      <c r="A2728" s="2" t="str">
        <f>"09020000490"</f>
        <v>09020000490</v>
      </c>
      <c r="B2728" s="2" t="s">
        <v>2731</v>
      </c>
      <c r="C2728" s="2">
        <v>583.22</v>
      </c>
      <c r="D2728" s="2" t="s">
        <v>5</v>
      </c>
    </row>
    <row r="2729" spans="1:4" ht="15" customHeight="1" x14ac:dyDescent="0.25">
      <c r="A2729" s="2" t="str">
        <f>"09020000495"</f>
        <v>09020000495</v>
      </c>
      <c r="B2729" s="2" t="s">
        <v>2732</v>
      </c>
      <c r="C2729" s="2">
        <v>855.39</v>
      </c>
      <c r="D2729" s="2" t="s">
        <v>5</v>
      </c>
    </row>
    <row r="2730" spans="1:4" ht="15" customHeight="1" x14ac:dyDescent="0.25">
      <c r="A2730" s="2" t="str">
        <f>"09020000500"</f>
        <v>09020000500</v>
      </c>
      <c r="B2730" s="2" t="s">
        <v>2733</v>
      </c>
      <c r="C2730" s="2">
        <v>988.23</v>
      </c>
      <c r="D2730" s="2" t="s">
        <v>5</v>
      </c>
    </row>
    <row r="2731" spans="1:4" ht="15" customHeight="1" x14ac:dyDescent="0.25">
      <c r="A2731" s="2" t="str">
        <f>"09020000505"</f>
        <v>09020000505</v>
      </c>
      <c r="B2731" s="2" t="s">
        <v>2734</v>
      </c>
      <c r="C2731" s="2">
        <v>1636.25</v>
      </c>
      <c r="D2731" s="2" t="s">
        <v>5</v>
      </c>
    </row>
    <row r="2732" spans="1:4" ht="15" customHeight="1" x14ac:dyDescent="0.25">
      <c r="A2732" s="2" t="str">
        <f>"09020000575"</f>
        <v>09020000575</v>
      </c>
      <c r="B2732" s="2" t="s">
        <v>2735</v>
      </c>
      <c r="C2732" s="2">
        <v>155.52000000000001</v>
      </c>
      <c r="D2732" s="2" t="s">
        <v>5</v>
      </c>
    </row>
    <row r="2733" spans="1:4" ht="15" customHeight="1" x14ac:dyDescent="0.25">
      <c r="A2733" s="2" t="str">
        <f>"09020000580"</f>
        <v>09020000580</v>
      </c>
      <c r="B2733" s="2" t="s">
        <v>2736</v>
      </c>
      <c r="C2733" s="2">
        <v>174.98</v>
      </c>
      <c r="D2733" s="2" t="s">
        <v>5</v>
      </c>
    </row>
    <row r="2734" spans="1:4" ht="15" customHeight="1" x14ac:dyDescent="0.25">
      <c r="A2734" s="2" t="str">
        <f>"09020000585"</f>
        <v>09020000585</v>
      </c>
      <c r="B2734" s="2" t="s">
        <v>2737</v>
      </c>
      <c r="C2734" s="2">
        <v>231.66</v>
      </c>
      <c r="D2734" s="2" t="s">
        <v>5</v>
      </c>
    </row>
    <row r="2735" spans="1:4" ht="15" customHeight="1" x14ac:dyDescent="0.25">
      <c r="A2735" s="2" t="str">
        <f>"09020000590"</f>
        <v>09020000590</v>
      </c>
      <c r="B2735" s="2" t="s">
        <v>2738</v>
      </c>
      <c r="C2735" s="2">
        <v>612.39</v>
      </c>
      <c r="D2735" s="2" t="s">
        <v>5</v>
      </c>
    </row>
    <row r="2736" spans="1:4" ht="15" customHeight="1" x14ac:dyDescent="0.25">
      <c r="A2736" s="2" t="str">
        <f>"09020000595"</f>
        <v>09020000595</v>
      </c>
      <c r="B2736" s="2" t="s">
        <v>2739</v>
      </c>
      <c r="C2736" s="2">
        <v>803.55</v>
      </c>
      <c r="D2736" s="2" t="s">
        <v>5</v>
      </c>
    </row>
    <row r="2737" spans="1:4" ht="15" customHeight="1" x14ac:dyDescent="0.25">
      <c r="A2737" s="2" t="str">
        <f>"09020000600"</f>
        <v>09020000600</v>
      </c>
      <c r="B2737" s="2" t="s">
        <v>2740</v>
      </c>
      <c r="C2737" s="2">
        <v>1114.5899999999999</v>
      </c>
      <c r="D2737" s="2" t="s">
        <v>5</v>
      </c>
    </row>
    <row r="2738" spans="1:4" ht="15" customHeight="1" x14ac:dyDescent="0.25">
      <c r="A2738" s="2" t="str">
        <f>"09020000615"</f>
        <v>09020000615</v>
      </c>
      <c r="B2738" s="2" t="s">
        <v>2741</v>
      </c>
      <c r="C2738" s="2">
        <v>259.22000000000003</v>
      </c>
      <c r="D2738" s="2" t="s">
        <v>5</v>
      </c>
    </row>
    <row r="2739" spans="1:4" ht="15" customHeight="1" x14ac:dyDescent="0.25">
      <c r="A2739" s="2" t="str">
        <f>"09020000620"</f>
        <v>09020000620</v>
      </c>
      <c r="B2739" s="2" t="s">
        <v>2742</v>
      </c>
      <c r="C2739" s="2">
        <v>315.89999999999998</v>
      </c>
      <c r="D2739" s="2" t="s">
        <v>5</v>
      </c>
    </row>
    <row r="2740" spans="1:4" ht="15" customHeight="1" x14ac:dyDescent="0.25">
      <c r="A2740" s="2" t="str">
        <f>"09020000625"</f>
        <v>09020000625</v>
      </c>
      <c r="B2740" s="2" t="s">
        <v>2743</v>
      </c>
      <c r="C2740" s="2">
        <v>320.76</v>
      </c>
      <c r="D2740" s="2" t="s">
        <v>5</v>
      </c>
    </row>
    <row r="2741" spans="1:4" ht="15" customHeight="1" x14ac:dyDescent="0.25">
      <c r="A2741" s="2" t="str">
        <f>"09000005170"</f>
        <v>09000005170</v>
      </c>
      <c r="B2741" s="2" t="s">
        <v>2744</v>
      </c>
      <c r="C2741" s="2">
        <v>204.92</v>
      </c>
      <c r="D2741" s="2" t="s">
        <v>5</v>
      </c>
    </row>
    <row r="2742" spans="1:4" ht="15" customHeight="1" x14ac:dyDescent="0.25">
      <c r="A2742" s="2" t="str">
        <f>"09000005174"</f>
        <v>09000005174</v>
      </c>
      <c r="B2742" s="2" t="s">
        <v>2745</v>
      </c>
      <c r="C2742" s="2">
        <v>245.34</v>
      </c>
      <c r="D2742" s="2" t="s">
        <v>5</v>
      </c>
    </row>
    <row r="2743" spans="1:4" ht="15" customHeight="1" x14ac:dyDescent="0.25">
      <c r="A2743" s="2" t="str">
        <f>"09000005180"</f>
        <v>09000005180</v>
      </c>
      <c r="B2743" s="2" t="s">
        <v>2746</v>
      </c>
      <c r="C2743" s="2">
        <v>928.19</v>
      </c>
      <c r="D2743" s="2" t="s">
        <v>5</v>
      </c>
    </row>
    <row r="2744" spans="1:4" ht="15" customHeight="1" x14ac:dyDescent="0.25">
      <c r="A2744" s="2" t="str">
        <f>"09000005183"</f>
        <v>09000005183</v>
      </c>
      <c r="B2744" s="2" t="s">
        <v>2747</v>
      </c>
      <c r="C2744" s="2">
        <v>928.19</v>
      </c>
      <c r="D2744" s="2" t="s">
        <v>5</v>
      </c>
    </row>
    <row r="2745" spans="1:4" ht="15" customHeight="1" x14ac:dyDescent="0.25">
      <c r="A2745" s="2" t="str">
        <f>"09000005187"</f>
        <v>09000005187</v>
      </c>
      <c r="B2745" s="2" t="s">
        <v>2748</v>
      </c>
      <c r="C2745" s="2">
        <v>1159.44</v>
      </c>
      <c r="D2745" s="2" t="s">
        <v>5</v>
      </c>
    </row>
    <row r="2746" spans="1:4" ht="15" customHeight="1" x14ac:dyDescent="0.25">
      <c r="A2746" s="2" t="str">
        <f>"09000005190"</f>
        <v>09000005190</v>
      </c>
      <c r="B2746" s="2" t="s">
        <v>2749</v>
      </c>
      <c r="C2746" s="2">
        <v>1159.44</v>
      </c>
      <c r="D2746" s="2" t="s">
        <v>5</v>
      </c>
    </row>
    <row r="2747" spans="1:4" ht="15" customHeight="1" x14ac:dyDescent="0.25">
      <c r="A2747" s="2" t="str">
        <f>"09110000030"</f>
        <v>09110000030</v>
      </c>
      <c r="B2747" s="2" t="s">
        <v>2750</v>
      </c>
      <c r="C2747" s="2">
        <v>3680.64</v>
      </c>
      <c r="D2747" s="2" t="s">
        <v>5</v>
      </c>
    </row>
    <row r="2748" spans="1:4" ht="15" customHeight="1" x14ac:dyDescent="0.25">
      <c r="A2748" s="2" t="str">
        <f>"09110000035"</f>
        <v>09110000035</v>
      </c>
      <c r="B2748" s="2" t="s">
        <v>2751</v>
      </c>
      <c r="C2748" s="2">
        <v>6765.12</v>
      </c>
      <c r="D2748" s="2" t="s">
        <v>5</v>
      </c>
    </row>
    <row r="2749" spans="1:4" ht="15" customHeight="1" x14ac:dyDescent="0.25">
      <c r="A2749" s="2" t="str">
        <f>"09110000040"</f>
        <v>09110000040</v>
      </c>
      <c r="B2749" s="2" t="s">
        <v>2752</v>
      </c>
      <c r="C2749" s="2">
        <v>12360.6</v>
      </c>
      <c r="D2749" s="2" t="s">
        <v>5</v>
      </c>
    </row>
    <row r="2750" spans="1:4" ht="15" customHeight="1" x14ac:dyDescent="0.25">
      <c r="A2750" s="2" t="str">
        <f>"09020000515"</f>
        <v>09020000515</v>
      </c>
      <c r="B2750" s="2" t="s">
        <v>2753</v>
      </c>
      <c r="C2750" s="2">
        <v>90.74</v>
      </c>
      <c r="D2750" s="2" t="s">
        <v>5</v>
      </c>
    </row>
    <row r="2751" spans="1:4" ht="15" customHeight="1" x14ac:dyDescent="0.25">
      <c r="A2751" s="2" t="str">
        <f>"09020000520"</f>
        <v>09020000520</v>
      </c>
      <c r="B2751" s="2" t="s">
        <v>2754</v>
      </c>
      <c r="C2751" s="2">
        <v>129.6</v>
      </c>
      <c r="D2751" s="2" t="s">
        <v>5</v>
      </c>
    </row>
    <row r="2752" spans="1:4" ht="15" customHeight="1" x14ac:dyDescent="0.25">
      <c r="A2752" s="2" t="str">
        <f>"09020000525"</f>
        <v>09020000525</v>
      </c>
      <c r="B2752" s="2" t="s">
        <v>2755</v>
      </c>
      <c r="C2752" s="2">
        <v>168.48</v>
      </c>
      <c r="D2752" s="2" t="s">
        <v>5</v>
      </c>
    </row>
    <row r="2753" spans="1:4" ht="15" customHeight="1" x14ac:dyDescent="0.25">
      <c r="A2753" s="2" t="str">
        <f>"09020000530"</f>
        <v>09020000530</v>
      </c>
      <c r="B2753" s="2" t="s">
        <v>2756</v>
      </c>
      <c r="C2753" s="2">
        <v>320.76</v>
      </c>
      <c r="D2753" s="2" t="s">
        <v>5</v>
      </c>
    </row>
    <row r="2754" spans="1:4" ht="15" customHeight="1" x14ac:dyDescent="0.25">
      <c r="A2754" s="2" t="str">
        <f>"09020000535"</f>
        <v>09020000535</v>
      </c>
      <c r="B2754" s="2" t="s">
        <v>2757</v>
      </c>
      <c r="C2754" s="2">
        <v>422.85</v>
      </c>
      <c r="D2754" s="2" t="s">
        <v>5</v>
      </c>
    </row>
    <row r="2755" spans="1:4" ht="15" customHeight="1" x14ac:dyDescent="0.25">
      <c r="A2755" s="2" t="str">
        <f>"09020000540"</f>
        <v>09020000540</v>
      </c>
      <c r="B2755" s="2" t="s">
        <v>2758</v>
      </c>
      <c r="C2755" s="2">
        <v>631.82000000000005</v>
      </c>
      <c r="D2755" s="2" t="s">
        <v>5</v>
      </c>
    </row>
    <row r="2756" spans="1:4" ht="15" customHeight="1" x14ac:dyDescent="0.25">
      <c r="A2756" s="2" t="str">
        <f>"09020000560"</f>
        <v>09020000560</v>
      </c>
      <c r="B2756" s="2" t="s">
        <v>2759</v>
      </c>
      <c r="C2756" s="2">
        <v>129.6</v>
      </c>
      <c r="D2756" s="2" t="s">
        <v>5</v>
      </c>
    </row>
    <row r="2757" spans="1:4" ht="15" customHeight="1" x14ac:dyDescent="0.25">
      <c r="A2757" s="2" t="str">
        <f>"09020000565"</f>
        <v>09020000565</v>
      </c>
      <c r="B2757" s="2" t="s">
        <v>2760</v>
      </c>
      <c r="C2757" s="2">
        <v>189.54</v>
      </c>
      <c r="D2757" s="2" t="s">
        <v>5</v>
      </c>
    </row>
    <row r="2758" spans="1:4" ht="15" customHeight="1" x14ac:dyDescent="0.25">
      <c r="A2758" s="2" t="str">
        <f>"09020000570"</f>
        <v>09020000570</v>
      </c>
      <c r="B2758" s="2" t="s">
        <v>2761</v>
      </c>
      <c r="C2758" s="2">
        <v>178.22</v>
      </c>
      <c r="D2758" s="2" t="s">
        <v>5</v>
      </c>
    </row>
    <row r="2759" spans="1:4" ht="15" customHeight="1" x14ac:dyDescent="0.25">
      <c r="A2759" s="2" t="str">
        <f>"08050001010"</f>
        <v>08050001010</v>
      </c>
      <c r="B2759" s="2" t="s">
        <v>2762</v>
      </c>
      <c r="C2759" s="2">
        <v>151.35</v>
      </c>
      <c r="D2759" s="2" t="s">
        <v>5</v>
      </c>
    </row>
    <row r="2760" spans="1:4" ht="15" customHeight="1" x14ac:dyDescent="0.25">
      <c r="A2760" s="2" t="str">
        <f>"09110000045"</f>
        <v>09110000045</v>
      </c>
      <c r="B2760" s="2" t="s">
        <v>2763</v>
      </c>
      <c r="C2760" s="2">
        <v>289.98</v>
      </c>
      <c r="D2760" s="2" t="s">
        <v>5</v>
      </c>
    </row>
    <row r="2761" spans="1:4" ht="15" customHeight="1" x14ac:dyDescent="0.25">
      <c r="A2761" s="2" t="str">
        <f>"09000005040"</f>
        <v>09000005040</v>
      </c>
      <c r="B2761" s="2" t="s">
        <v>2764</v>
      </c>
      <c r="C2761" s="2">
        <v>98.91</v>
      </c>
      <c r="D2761" s="2" t="s">
        <v>5</v>
      </c>
    </row>
    <row r="2762" spans="1:4" ht="15" customHeight="1" x14ac:dyDescent="0.25">
      <c r="A2762" s="2" t="str">
        <f>"09000005045"</f>
        <v>09000005045</v>
      </c>
      <c r="B2762" s="2" t="s">
        <v>2765</v>
      </c>
      <c r="C2762" s="2">
        <v>154.25</v>
      </c>
      <c r="D2762" s="2" t="s">
        <v>5</v>
      </c>
    </row>
    <row r="2763" spans="1:4" ht="15" customHeight="1" x14ac:dyDescent="0.25">
      <c r="A2763" s="2" t="str">
        <f>"09000005052"</f>
        <v>09000005052</v>
      </c>
      <c r="B2763" s="2" t="s">
        <v>2766</v>
      </c>
      <c r="C2763" s="2">
        <v>412.61</v>
      </c>
      <c r="D2763" s="2" t="s">
        <v>5</v>
      </c>
    </row>
    <row r="2764" spans="1:4" ht="15" customHeight="1" x14ac:dyDescent="0.25">
      <c r="A2764" s="2" t="str">
        <f>"09000005176"</f>
        <v>09000005176</v>
      </c>
      <c r="B2764" s="2" t="s">
        <v>2767</v>
      </c>
      <c r="C2764" s="2">
        <v>457.2</v>
      </c>
      <c r="D2764" s="2" t="s">
        <v>5</v>
      </c>
    </row>
    <row r="2765" spans="1:4" ht="15" customHeight="1" x14ac:dyDescent="0.25">
      <c r="A2765" s="2" t="str">
        <f>"09110000050"</f>
        <v>09110000050</v>
      </c>
      <c r="B2765" s="2" t="s">
        <v>2768</v>
      </c>
      <c r="C2765" s="2">
        <v>2285.8200000000002</v>
      </c>
      <c r="D2765" s="2" t="s">
        <v>5</v>
      </c>
    </row>
    <row r="2766" spans="1:4" ht="15" customHeight="1" x14ac:dyDescent="0.25">
      <c r="A2766" s="2" t="str">
        <f>"09110000055"</f>
        <v>09110000055</v>
      </c>
      <c r="B2766" s="2" t="s">
        <v>2769</v>
      </c>
      <c r="C2766" s="2">
        <v>2668.14</v>
      </c>
      <c r="D2766" s="2" t="s">
        <v>5</v>
      </c>
    </row>
    <row r="2767" spans="1:4" ht="15" customHeight="1" x14ac:dyDescent="0.25">
      <c r="A2767" s="2" t="str">
        <f>"09110000060"</f>
        <v>09110000060</v>
      </c>
      <c r="B2767" s="2" t="s">
        <v>2770</v>
      </c>
      <c r="C2767" s="2">
        <v>5334.66</v>
      </c>
      <c r="D2767" s="2" t="s">
        <v>5</v>
      </c>
    </row>
    <row r="2768" spans="1:4" ht="15" customHeight="1" x14ac:dyDescent="0.25">
      <c r="A2768" s="2" t="str">
        <f>"08050001353"</f>
        <v>08050001353</v>
      </c>
      <c r="B2768" s="2" t="s">
        <v>2771</v>
      </c>
      <c r="C2768" s="2">
        <v>230.76</v>
      </c>
      <c r="D2768" s="2" t="s">
        <v>5</v>
      </c>
    </row>
    <row r="2769" spans="1:4" ht="15" customHeight="1" x14ac:dyDescent="0.25">
      <c r="A2769" s="2" t="str">
        <f>"08050001351"</f>
        <v>08050001351</v>
      </c>
      <c r="B2769" s="2" t="s">
        <v>2772</v>
      </c>
      <c r="C2769" s="2">
        <v>160.52000000000001</v>
      </c>
      <c r="D2769" s="2" t="s">
        <v>5</v>
      </c>
    </row>
    <row r="2770" spans="1:4" ht="15" customHeight="1" x14ac:dyDescent="0.25">
      <c r="A2770" s="2" t="str">
        <f>"08050001352"</f>
        <v>08050001352</v>
      </c>
      <c r="B2770" s="2" t="s">
        <v>2773</v>
      </c>
      <c r="C2770" s="2">
        <v>188.36</v>
      </c>
      <c r="D2770" s="2" t="s">
        <v>5</v>
      </c>
    </row>
    <row r="2771" spans="1:4" ht="15" customHeight="1" x14ac:dyDescent="0.25">
      <c r="A2771" s="2" t="str">
        <f>"08050000999"</f>
        <v>08050000999</v>
      </c>
      <c r="B2771" s="2" t="s">
        <v>2774</v>
      </c>
      <c r="C2771" s="2">
        <v>457.67</v>
      </c>
      <c r="D2771" s="2" t="s">
        <v>5</v>
      </c>
    </row>
    <row r="2772" spans="1:4" ht="15" customHeight="1" x14ac:dyDescent="0.25">
      <c r="A2772" s="2" t="str">
        <f>"08050001310"</f>
        <v>08050001310</v>
      </c>
      <c r="B2772" s="2" t="s">
        <v>2775</v>
      </c>
      <c r="C2772" s="2">
        <v>524.73</v>
      </c>
      <c r="D2772" s="2" t="s">
        <v>5</v>
      </c>
    </row>
    <row r="2773" spans="1:4" ht="15" customHeight="1" x14ac:dyDescent="0.25">
      <c r="A2773" s="2" t="str">
        <f>"08050001315"</f>
        <v>08050001315</v>
      </c>
      <c r="B2773" s="2" t="s">
        <v>2776</v>
      </c>
      <c r="C2773" s="2">
        <v>524.73</v>
      </c>
      <c r="D2773" s="2" t="s">
        <v>5</v>
      </c>
    </row>
    <row r="2774" spans="1:4" ht="15" customHeight="1" x14ac:dyDescent="0.25">
      <c r="A2774" s="2" t="str">
        <f>"09110000065"</f>
        <v>09110000065</v>
      </c>
      <c r="B2774" s="2" t="s">
        <v>2777</v>
      </c>
      <c r="C2774" s="2">
        <v>11296.26</v>
      </c>
      <c r="D2774" s="2" t="s">
        <v>5</v>
      </c>
    </row>
    <row r="2775" spans="1:4" ht="15" customHeight="1" x14ac:dyDescent="0.25">
      <c r="A2775" s="2" t="str">
        <f>"09110000070"</f>
        <v>09110000070</v>
      </c>
      <c r="B2775" s="2" t="s">
        <v>2778</v>
      </c>
      <c r="C2775" s="2">
        <v>13332.6</v>
      </c>
      <c r="D2775" s="2" t="s">
        <v>5</v>
      </c>
    </row>
    <row r="2776" spans="1:4" ht="15" customHeight="1" x14ac:dyDescent="0.25">
      <c r="A2776" s="2" t="str">
        <f>"08050001300"</f>
        <v>08050001300</v>
      </c>
      <c r="B2776" s="2" t="s">
        <v>2779</v>
      </c>
      <c r="C2776" s="2">
        <v>432.29</v>
      </c>
      <c r="D2776" s="2" t="s">
        <v>5</v>
      </c>
    </row>
    <row r="2777" spans="1:4" ht="15" customHeight="1" x14ac:dyDescent="0.25">
      <c r="A2777" s="2" t="str">
        <f>"09020000630"</f>
        <v>09020000630</v>
      </c>
      <c r="B2777" s="2" t="s">
        <v>2780</v>
      </c>
      <c r="C2777" s="2">
        <v>204.12</v>
      </c>
      <c r="D2777" s="2" t="s">
        <v>5</v>
      </c>
    </row>
    <row r="2778" spans="1:4" ht="15" customHeight="1" x14ac:dyDescent="0.25">
      <c r="A2778" s="2" t="str">
        <f>"09020000635"</f>
        <v>09020000635</v>
      </c>
      <c r="B2778" s="2" t="s">
        <v>2781</v>
      </c>
      <c r="C2778" s="2">
        <v>243</v>
      </c>
      <c r="D2778" s="2" t="s">
        <v>5</v>
      </c>
    </row>
    <row r="2779" spans="1:4" ht="15" customHeight="1" x14ac:dyDescent="0.25">
      <c r="A2779" s="2" t="str">
        <f>"09020000640"</f>
        <v>09020000640</v>
      </c>
      <c r="B2779" s="2" t="s">
        <v>2782</v>
      </c>
      <c r="C2779" s="2">
        <v>379.1</v>
      </c>
      <c r="D2779" s="2" t="s">
        <v>5</v>
      </c>
    </row>
    <row r="2780" spans="1:4" ht="15" customHeight="1" x14ac:dyDescent="0.25">
      <c r="A2780" s="2" t="str">
        <f>"09020000645"</f>
        <v>09020000645</v>
      </c>
      <c r="B2780" s="2" t="s">
        <v>2783</v>
      </c>
      <c r="C2780" s="2">
        <v>659.37</v>
      </c>
      <c r="D2780" s="2" t="s">
        <v>5</v>
      </c>
    </row>
    <row r="2781" spans="1:4" ht="15" customHeight="1" x14ac:dyDescent="0.25">
      <c r="A2781" s="2" t="str">
        <f>"09020000650"</f>
        <v>09020000650</v>
      </c>
      <c r="B2781" s="2" t="s">
        <v>2784</v>
      </c>
      <c r="C2781" s="2">
        <v>874.83</v>
      </c>
      <c r="D2781" s="2" t="s">
        <v>5</v>
      </c>
    </row>
    <row r="2782" spans="1:4" ht="15" customHeight="1" x14ac:dyDescent="0.25">
      <c r="A2782" s="2" t="str">
        <f>"09020000655"</f>
        <v>09020000655</v>
      </c>
      <c r="B2782" s="2" t="s">
        <v>2785</v>
      </c>
      <c r="C2782" s="2">
        <v>1425.65</v>
      </c>
      <c r="D2782" s="2" t="s">
        <v>5</v>
      </c>
    </row>
    <row r="2783" spans="1:4" ht="15" customHeight="1" x14ac:dyDescent="0.25">
      <c r="A2783" s="2" t="str">
        <f>"09020000660"</f>
        <v>09020000660</v>
      </c>
      <c r="B2783" s="2" t="s">
        <v>2786</v>
      </c>
      <c r="C2783" s="2">
        <v>291.62</v>
      </c>
      <c r="D2783" s="2" t="s">
        <v>5</v>
      </c>
    </row>
    <row r="2784" spans="1:4" ht="15" customHeight="1" x14ac:dyDescent="0.25">
      <c r="A2784" s="2" t="str">
        <f>"09020000665"</f>
        <v>09020000665</v>
      </c>
      <c r="B2784" s="2" t="s">
        <v>2787</v>
      </c>
      <c r="C2784" s="2">
        <v>374.42</v>
      </c>
      <c r="D2784" s="2" t="s">
        <v>5</v>
      </c>
    </row>
    <row r="2785" spans="1:4" ht="15" customHeight="1" x14ac:dyDescent="0.25">
      <c r="A2785" s="2" t="str">
        <f>"09020000670"</f>
        <v>09020000670</v>
      </c>
      <c r="B2785" s="2" t="s">
        <v>2788</v>
      </c>
      <c r="C2785" s="2">
        <v>336.98</v>
      </c>
      <c r="D2785" s="2" t="s">
        <v>5</v>
      </c>
    </row>
    <row r="2786" spans="1:4" ht="15" customHeight="1" x14ac:dyDescent="0.25">
      <c r="A2786" s="2" t="str">
        <f>"09020000675"</f>
        <v>09020000675</v>
      </c>
      <c r="B2786" s="2" t="s">
        <v>2789</v>
      </c>
      <c r="C2786" s="2">
        <v>336.98</v>
      </c>
      <c r="D2786" s="2" t="s">
        <v>5</v>
      </c>
    </row>
    <row r="2787" spans="1:4" ht="15" customHeight="1" x14ac:dyDescent="0.25">
      <c r="A2787" s="2" t="str">
        <f>"09020000130"</f>
        <v>09020000130</v>
      </c>
      <c r="B2787" s="2" t="s">
        <v>2790</v>
      </c>
      <c r="C2787" s="2">
        <v>91511.58</v>
      </c>
      <c r="D2787" s="2" t="s">
        <v>5</v>
      </c>
    </row>
    <row r="2788" spans="1:4" ht="15" customHeight="1" x14ac:dyDescent="0.25">
      <c r="A2788" s="2" t="str">
        <f>"09020000120"</f>
        <v>09020000120</v>
      </c>
      <c r="B2788" s="2" t="s">
        <v>2791</v>
      </c>
      <c r="C2788" s="2">
        <v>35320.31</v>
      </c>
      <c r="D2788" s="2" t="s">
        <v>5</v>
      </c>
    </row>
    <row r="2789" spans="1:4" ht="15" customHeight="1" x14ac:dyDescent="0.25">
      <c r="A2789" s="2" t="str">
        <f>"09020000125"</f>
        <v>09020000125</v>
      </c>
      <c r="B2789" s="2" t="s">
        <v>2792</v>
      </c>
      <c r="C2789" s="2">
        <v>58600.800000000003</v>
      </c>
      <c r="D2789" s="2" t="s">
        <v>5</v>
      </c>
    </row>
    <row r="2790" spans="1:4" ht="15" customHeight="1" x14ac:dyDescent="0.25">
      <c r="A2790" s="2" t="str">
        <f>"09020000005"</f>
        <v>09020000005</v>
      </c>
      <c r="B2790" s="2" t="s">
        <v>2793</v>
      </c>
      <c r="C2790" s="2">
        <v>13044.11</v>
      </c>
      <c r="D2790" s="2" t="s">
        <v>5</v>
      </c>
    </row>
    <row r="2791" spans="1:4" ht="15" customHeight="1" x14ac:dyDescent="0.25">
      <c r="A2791" s="2" t="str">
        <f>"09020000010"</f>
        <v>09020000010</v>
      </c>
      <c r="B2791" s="2" t="s">
        <v>2794</v>
      </c>
      <c r="C2791" s="2">
        <v>22821.87</v>
      </c>
      <c r="D2791" s="2" t="s">
        <v>5</v>
      </c>
    </row>
    <row r="2792" spans="1:4" ht="15" customHeight="1" x14ac:dyDescent="0.25">
      <c r="A2792" s="2" t="str">
        <f>"09020000015"</f>
        <v>09020000015</v>
      </c>
      <c r="B2792" s="2" t="s">
        <v>2795</v>
      </c>
      <c r="C2792" s="2">
        <v>33791.21</v>
      </c>
      <c r="D2792" s="2" t="s">
        <v>5</v>
      </c>
    </row>
    <row r="2793" spans="1:4" ht="15" customHeight="1" x14ac:dyDescent="0.25">
      <c r="A2793" s="2" t="str">
        <f>"09020000020"</f>
        <v>09020000020</v>
      </c>
      <c r="B2793" s="2" t="s">
        <v>2796</v>
      </c>
      <c r="C2793" s="2">
        <v>44997.87</v>
      </c>
      <c r="D2793" s="2" t="s">
        <v>5</v>
      </c>
    </row>
    <row r="2794" spans="1:4" ht="15" customHeight="1" x14ac:dyDescent="0.25">
      <c r="A2794" s="2" t="str">
        <f>"09020000025"</f>
        <v>09020000025</v>
      </c>
      <c r="B2794" s="2" t="s">
        <v>2797</v>
      </c>
      <c r="C2794" s="2">
        <v>52980.35</v>
      </c>
      <c r="D2794" s="2" t="s">
        <v>5</v>
      </c>
    </row>
    <row r="2795" spans="1:4" ht="15" customHeight="1" x14ac:dyDescent="0.25">
      <c r="A2795" s="2" t="str">
        <f>"09020000030"</f>
        <v>09020000030</v>
      </c>
      <c r="B2795" s="2" t="s">
        <v>2798</v>
      </c>
      <c r="C2795" s="2">
        <v>100577.58</v>
      </c>
      <c r="D2795" s="2" t="s">
        <v>5</v>
      </c>
    </row>
    <row r="2796" spans="1:4" ht="15" customHeight="1" x14ac:dyDescent="0.25">
      <c r="A2796" s="2" t="str">
        <f>"09020000035"</f>
        <v>09020000035</v>
      </c>
      <c r="B2796" s="2" t="s">
        <v>2799</v>
      </c>
      <c r="C2796" s="2">
        <v>77954.39</v>
      </c>
      <c r="D2796" s="2" t="s">
        <v>5</v>
      </c>
    </row>
    <row r="2797" spans="1:4" ht="15" customHeight="1" x14ac:dyDescent="0.25">
      <c r="A2797" s="2" t="str">
        <f>"09020000040"</f>
        <v>09020000040</v>
      </c>
      <c r="B2797" s="2" t="s">
        <v>2800</v>
      </c>
      <c r="C2797" s="2">
        <v>103794.39</v>
      </c>
      <c r="D2797" s="2" t="s">
        <v>5</v>
      </c>
    </row>
    <row r="2798" spans="1:4" ht="15" customHeight="1" x14ac:dyDescent="0.25">
      <c r="A2798" s="2" t="str">
        <f>"09020000690"</f>
        <v>09020000690</v>
      </c>
      <c r="B2798" s="2" t="s">
        <v>2801</v>
      </c>
      <c r="C2798" s="2">
        <v>16778.34</v>
      </c>
      <c r="D2798" s="2" t="s">
        <v>5</v>
      </c>
    </row>
    <row r="2799" spans="1:4" ht="15" customHeight="1" x14ac:dyDescent="0.25">
      <c r="A2799" s="2" t="str">
        <f>"09020000045"</f>
        <v>09020000045</v>
      </c>
      <c r="B2799" s="2" t="s">
        <v>2802</v>
      </c>
      <c r="C2799" s="2">
        <v>17125.009999999998</v>
      </c>
      <c r="D2799" s="2" t="s">
        <v>5</v>
      </c>
    </row>
    <row r="2800" spans="1:4" ht="15" customHeight="1" x14ac:dyDescent="0.25">
      <c r="A2800" s="2" t="str">
        <f>"09020000700"</f>
        <v>09020000700</v>
      </c>
      <c r="B2800" s="2" t="s">
        <v>2803</v>
      </c>
      <c r="C2800" s="2">
        <v>30185.46</v>
      </c>
      <c r="D2800" s="2" t="s">
        <v>5</v>
      </c>
    </row>
    <row r="2801" spans="1:4" ht="15" customHeight="1" x14ac:dyDescent="0.25">
      <c r="A2801" s="2" t="str">
        <f>"09020000050"</f>
        <v>09020000050</v>
      </c>
      <c r="B2801" s="2" t="s">
        <v>2804</v>
      </c>
      <c r="C2801" s="2">
        <v>27796.5</v>
      </c>
      <c r="D2801" s="2" t="s">
        <v>5</v>
      </c>
    </row>
    <row r="2802" spans="1:4" ht="15" customHeight="1" x14ac:dyDescent="0.25">
      <c r="A2802" s="2" t="str">
        <f>"09020000680"</f>
        <v>09020000680</v>
      </c>
      <c r="B2802" s="2" t="s">
        <v>2805</v>
      </c>
      <c r="C2802" s="2">
        <v>40804.559999999998</v>
      </c>
      <c r="D2802" s="2" t="s">
        <v>5</v>
      </c>
    </row>
    <row r="2803" spans="1:4" ht="15" customHeight="1" x14ac:dyDescent="0.25">
      <c r="A2803" s="2" t="str">
        <f>"09020000055"</f>
        <v>09020000055</v>
      </c>
      <c r="B2803" s="2" t="s">
        <v>2806</v>
      </c>
      <c r="C2803" s="2">
        <v>42385.35</v>
      </c>
      <c r="D2803" s="2" t="s">
        <v>5</v>
      </c>
    </row>
    <row r="2804" spans="1:4" ht="15" customHeight="1" x14ac:dyDescent="0.25">
      <c r="A2804" s="2" t="str">
        <f>"09020000725"</f>
        <v>09020000725</v>
      </c>
      <c r="B2804" s="2" t="s">
        <v>2807</v>
      </c>
      <c r="C2804" s="2">
        <v>66121.919999999998</v>
      </c>
      <c r="D2804" s="2" t="s">
        <v>5</v>
      </c>
    </row>
    <row r="2805" spans="1:4" ht="15" customHeight="1" x14ac:dyDescent="0.25">
      <c r="A2805" s="2" t="str">
        <f>"09020000060"</f>
        <v>09020000060</v>
      </c>
      <c r="B2805" s="2" t="s">
        <v>2808</v>
      </c>
      <c r="C2805" s="2">
        <v>60690.66</v>
      </c>
      <c r="D2805" s="2" t="s">
        <v>5</v>
      </c>
    </row>
    <row r="2806" spans="1:4" ht="15" customHeight="1" x14ac:dyDescent="0.25">
      <c r="A2806" s="2" t="str">
        <f>"09020000720"</f>
        <v>09020000720</v>
      </c>
      <c r="B2806" s="2" t="s">
        <v>2809</v>
      </c>
      <c r="C2806" s="2">
        <v>89027.1</v>
      </c>
      <c r="D2806" s="2" t="s">
        <v>5</v>
      </c>
    </row>
    <row r="2807" spans="1:4" ht="15" customHeight="1" x14ac:dyDescent="0.25">
      <c r="A2807" s="2" t="str">
        <f>"09020000065"</f>
        <v>09020000065</v>
      </c>
      <c r="B2807" s="2" t="s">
        <v>2810</v>
      </c>
      <c r="C2807" s="2">
        <v>87797.16</v>
      </c>
      <c r="D2807" s="2" t="s">
        <v>5</v>
      </c>
    </row>
    <row r="2808" spans="1:4" ht="15" customHeight="1" x14ac:dyDescent="0.25">
      <c r="A2808" s="2" t="str">
        <f>"09020000070"</f>
        <v>09020000070</v>
      </c>
      <c r="B2808" s="2" t="s">
        <v>2811</v>
      </c>
      <c r="C2808" s="2">
        <v>159017.54999999999</v>
      </c>
      <c r="D2808" s="2" t="s">
        <v>5</v>
      </c>
    </row>
    <row r="2809" spans="1:4" ht="15" customHeight="1" x14ac:dyDescent="0.25">
      <c r="A2809" s="2" t="str">
        <f>"09020000715"</f>
        <v>09020000715</v>
      </c>
      <c r="B2809" s="2" t="s">
        <v>2812</v>
      </c>
      <c r="C2809" s="2">
        <v>63246.42</v>
      </c>
      <c r="D2809" s="2" t="s">
        <v>5</v>
      </c>
    </row>
    <row r="2810" spans="1:4" ht="15" customHeight="1" x14ac:dyDescent="0.25">
      <c r="A2810" s="2" t="str">
        <f>"09020000075"</f>
        <v>09020000075</v>
      </c>
      <c r="B2810" s="2" t="s">
        <v>2813</v>
      </c>
      <c r="C2810" s="2">
        <v>128212.52</v>
      </c>
      <c r="D2810" s="2" t="s">
        <v>5</v>
      </c>
    </row>
    <row r="2811" spans="1:4" ht="15" customHeight="1" x14ac:dyDescent="0.25">
      <c r="A2811" s="2" t="str">
        <f>"09020000080"</f>
        <v>09020000080</v>
      </c>
      <c r="B2811" s="2" t="s">
        <v>2814</v>
      </c>
      <c r="C2811" s="2">
        <v>176005.17</v>
      </c>
      <c r="D2811" s="2" t="s">
        <v>5</v>
      </c>
    </row>
    <row r="2812" spans="1:4" ht="15" customHeight="1" x14ac:dyDescent="0.25">
      <c r="A2812" s="2" t="str">
        <f>"09020000710"</f>
        <v>09020000710</v>
      </c>
      <c r="B2812" s="2" t="s">
        <v>2815</v>
      </c>
      <c r="C2812" s="2">
        <v>22070.880000000001</v>
      </c>
      <c r="D2812" s="2" t="s">
        <v>5</v>
      </c>
    </row>
    <row r="2813" spans="1:4" ht="15" customHeight="1" x14ac:dyDescent="0.25">
      <c r="A2813" s="2" t="str">
        <f>"09020000085"</f>
        <v>09020000085</v>
      </c>
      <c r="B2813" s="2" t="s">
        <v>2816</v>
      </c>
      <c r="C2813" s="2">
        <v>19539.8</v>
      </c>
      <c r="D2813" s="2" t="s">
        <v>5</v>
      </c>
    </row>
    <row r="2814" spans="1:4" ht="15" customHeight="1" x14ac:dyDescent="0.25">
      <c r="A2814" s="2" t="str">
        <f>"09020000090"</f>
        <v>09020000090</v>
      </c>
      <c r="B2814" s="2" t="s">
        <v>2817</v>
      </c>
      <c r="C2814" s="2">
        <v>34647.99</v>
      </c>
      <c r="D2814" s="2" t="s">
        <v>5</v>
      </c>
    </row>
    <row r="2815" spans="1:4" ht="15" customHeight="1" x14ac:dyDescent="0.25">
      <c r="A2815" s="2" t="str">
        <f>"09020000095"</f>
        <v>09020000095</v>
      </c>
      <c r="B2815" s="2" t="s">
        <v>2818</v>
      </c>
      <c r="C2815" s="2">
        <v>62613.2</v>
      </c>
      <c r="D2815" s="2" t="s">
        <v>5</v>
      </c>
    </row>
    <row r="2816" spans="1:4" ht="15" customHeight="1" x14ac:dyDescent="0.25">
      <c r="A2816" s="2" t="str">
        <f>"09020000100"</f>
        <v>09020000100</v>
      </c>
      <c r="B2816" s="2" t="s">
        <v>2819</v>
      </c>
      <c r="C2816" s="2">
        <v>106725.32</v>
      </c>
      <c r="D2816" s="2" t="s">
        <v>5</v>
      </c>
    </row>
    <row r="2817" spans="1:4" ht="15" customHeight="1" x14ac:dyDescent="0.25">
      <c r="A2817" s="2" t="str">
        <f>"09020000105"</f>
        <v>09020000105</v>
      </c>
      <c r="B2817" s="2" t="s">
        <v>2820</v>
      </c>
      <c r="C2817" s="2">
        <v>141739.79999999999</v>
      </c>
      <c r="D2817" s="2" t="s">
        <v>5</v>
      </c>
    </row>
    <row r="2818" spans="1:4" ht="15" customHeight="1" x14ac:dyDescent="0.25">
      <c r="A2818" s="2" t="str">
        <f>"09020000110"</f>
        <v>09020000110</v>
      </c>
      <c r="B2818" s="2" t="s">
        <v>2821</v>
      </c>
      <c r="C2818" s="2">
        <v>128453.01</v>
      </c>
      <c r="D2818" s="2" t="s">
        <v>5</v>
      </c>
    </row>
    <row r="2819" spans="1:4" ht="15" customHeight="1" x14ac:dyDescent="0.25">
      <c r="A2819" s="2" t="str">
        <f>"03005600110"</f>
        <v>03005600110</v>
      </c>
      <c r="B2819" s="2" t="s">
        <v>2822</v>
      </c>
      <c r="C2819" s="2">
        <v>2838.02</v>
      </c>
      <c r="D2819" s="2" t="s">
        <v>5</v>
      </c>
    </row>
    <row r="2820" spans="1:4" ht="15" customHeight="1" x14ac:dyDescent="0.25">
      <c r="A2820" s="2" t="str">
        <f>"06010000810"</f>
        <v>06010000810</v>
      </c>
      <c r="B2820" s="2" t="s">
        <v>2823</v>
      </c>
      <c r="C2820" s="2">
        <v>2368.8200000000002</v>
      </c>
      <c r="D2820" s="2" t="s">
        <v>5</v>
      </c>
    </row>
    <row r="2821" spans="1:4" ht="15" customHeight="1" x14ac:dyDescent="0.25">
      <c r="A2821" s="2" t="str">
        <f>"03005600080"</f>
        <v>03005600080</v>
      </c>
      <c r="B2821" s="2" t="s">
        <v>2824</v>
      </c>
      <c r="C2821" s="2">
        <v>6721.92</v>
      </c>
      <c r="D2821" s="2" t="s">
        <v>5</v>
      </c>
    </row>
    <row r="2822" spans="1:4" ht="15" customHeight="1" x14ac:dyDescent="0.25">
      <c r="A2822" s="2" t="str">
        <f>"06010000815"</f>
        <v>06010000815</v>
      </c>
      <c r="B2822" s="2" t="s">
        <v>2825</v>
      </c>
      <c r="C2822" s="2">
        <v>2253.48</v>
      </c>
      <c r="D2822" s="2" t="s">
        <v>5</v>
      </c>
    </row>
    <row r="2823" spans="1:4" ht="15" customHeight="1" x14ac:dyDescent="0.25">
      <c r="A2823" s="2" t="str">
        <f>"03005600100"</f>
        <v>03005600100</v>
      </c>
      <c r="B2823" s="2" t="s">
        <v>2826</v>
      </c>
      <c r="C2823" s="2">
        <v>2838.02</v>
      </c>
      <c r="D2823" s="2" t="s">
        <v>5</v>
      </c>
    </row>
    <row r="2824" spans="1:4" ht="15" customHeight="1" x14ac:dyDescent="0.25">
      <c r="A2824" s="2" t="str">
        <f>"09040000005"</f>
        <v>09040000005</v>
      </c>
      <c r="B2824" s="2" t="s">
        <v>2827</v>
      </c>
      <c r="C2824" s="2">
        <v>318.89</v>
      </c>
      <c r="D2824" s="2" t="s">
        <v>5</v>
      </c>
    </row>
    <row r="2825" spans="1:4" ht="15" customHeight="1" x14ac:dyDescent="0.25">
      <c r="A2825" s="2" t="str">
        <f>"09040000010"</f>
        <v>09040000010</v>
      </c>
      <c r="B2825" s="2" t="s">
        <v>2828</v>
      </c>
      <c r="C2825" s="2">
        <v>372.02</v>
      </c>
      <c r="D2825" s="2" t="s">
        <v>5</v>
      </c>
    </row>
    <row r="2826" spans="1:4" ht="15" customHeight="1" x14ac:dyDescent="0.25">
      <c r="A2826" s="2" t="str">
        <f>"09040000015"</f>
        <v>09040000015</v>
      </c>
      <c r="B2826" s="2" t="s">
        <v>2829</v>
      </c>
      <c r="C2826" s="2">
        <v>488.28</v>
      </c>
      <c r="D2826" s="2" t="s">
        <v>5</v>
      </c>
    </row>
    <row r="2827" spans="1:4" ht="15" customHeight="1" x14ac:dyDescent="0.25">
      <c r="A2827" s="2" t="str">
        <f>"09040000020"</f>
        <v>09040000020</v>
      </c>
      <c r="B2827" s="2" t="s">
        <v>2830</v>
      </c>
      <c r="C2827" s="2">
        <v>523.16999999999996</v>
      </c>
      <c r="D2827" s="2" t="s">
        <v>5</v>
      </c>
    </row>
    <row r="2828" spans="1:4" ht="15" customHeight="1" x14ac:dyDescent="0.25">
      <c r="A2828" s="2" t="str">
        <f>"09040000025"</f>
        <v>09040000025</v>
      </c>
      <c r="B2828" s="2" t="s">
        <v>2831</v>
      </c>
      <c r="C2828" s="2">
        <v>730.77</v>
      </c>
      <c r="D2828" s="2" t="s">
        <v>5</v>
      </c>
    </row>
    <row r="2829" spans="1:4" ht="15" customHeight="1" x14ac:dyDescent="0.25">
      <c r="A2829" s="2" t="str">
        <f>"09040000030"</f>
        <v>09040000030</v>
      </c>
      <c r="B2829" s="2" t="s">
        <v>2832</v>
      </c>
      <c r="C2829" s="2">
        <v>813.8</v>
      </c>
      <c r="D2829" s="2" t="s">
        <v>5</v>
      </c>
    </row>
    <row r="2830" spans="1:4" ht="15" customHeight="1" x14ac:dyDescent="0.25">
      <c r="A2830" s="2" t="str">
        <f>"09120000005"</f>
        <v>09120000005</v>
      </c>
      <c r="B2830" s="2" t="s">
        <v>2833</v>
      </c>
      <c r="C2830" s="2">
        <v>6110.64</v>
      </c>
      <c r="D2830" s="2" t="s">
        <v>5</v>
      </c>
    </row>
    <row r="2831" spans="1:4" ht="15" customHeight="1" x14ac:dyDescent="0.25">
      <c r="A2831" s="2" t="str">
        <f>"09120000010"</f>
        <v>09120000010</v>
      </c>
      <c r="B2831" s="2" t="s">
        <v>2834</v>
      </c>
      <c r="C2831" s="2">
        <v>10589.94</v>
      </c>
      <c r="D2831" s="2" t="s">
        <v>5</v>
      </c>
    </row>
    <row r="2832" spans="1:4" ht="15" customHeight="1" x14ac:dyDescent="0.25">
      <c r="A2832" s="2" t="str">
        <f>"09120000015"</f>
        <v>09120000015</v>
      </c>
      <c r="B2832" s="2" t="s">
        <v>2835</v>
      </c>
      <c r="C2832" s="2">
        <v>12963.24</v>
      </c>
      <c r="D2832" s="2" t="s">
        <v>5</v>
      </c>
    </row>
    <row r="2833" spans="1:4" ht="15" customHeight="1" x14ac:dyDescent="0.25">
      <c r="A2833" s="2" t="str">
        <f>"09120000020"</f>
        <v>09120000020</v>
      </c>
      <c r="B2833" s="2" t="s">
        <v>2836</v>
      </c>
      <c r="C2833" s="2">
        <v>25490.7</v>
      </c>
      <c r="D2833" s="2" t="s">
        <v>5</v>
      </c>
    </row>
    <row r="2834" spans="1:4" ht="15" customHeight="1" x14ac:dyDescent="0.25">
      <c r="A2834" s="2" t="str">
        <f>"09040000050"</f>
        <v>09040000050</v>
      </c>
      <c r="B2834" s="2" t="s">
        <v>2837</v>
      </c>
      <c r="C2834" s="2">
        <v>93</v>
      </c>
      <c r="D2834" s="2" t="s">
        <v>5</v>
      </c>
    </row>
    <row r="2835" spans="1:4" ht="15" customHeight="1" x14ac:dyDescent="0.25">
      <c r="A2835" s="2" t="str">
        <f>"09040000055"</f>
        <v>09040000055</v>
      </c>
      <c r="B2835" s="2" t="s">
        <v>2838</v>
      </c>
      <c r="C2835" s="2">
        <v>99.65</v>
      </c>
      <c r="D2835" s="2" t="s">
        <v>5</v>
      </c>
    </row>
    <row r="2836" spans="1:4" ht="15" customHeight="1" x14ac:dyDescent="0.25">
      <c r="A2836" s="2" t="str">
        <f>"09040000060"</f>
        <v>09040000060</v>
      </c>
      <c r="B2836" s="2" t="s">
        <v>2839</v>
      </c>
      <c r="C2836" s="2">
        <v>132.87</v>
      </c>
      <c r="D2836" s="2" t="s">
        <v>5</v>
      </c>
    </row>
    <row r="2837" spans="1:4" ht="15" customHeight="1" x14ac:dyDescent="0.25">
      <c r="A2837" s="2" t="str">
        <f>"09040000065"</f>
        <v>09040000065</v>
      </c>
      <c r="B2837" s="2" t="s">
        <v>2840</v>
      </c>
      <c r="C2837" s="2">
        <v>146.16</v>
      </c>
      <c r="D2837" s="2" t="s">
        <v>5</v>
      </c>
    </row>
    <row r="2838" spans="1:4" ht="15" customHeight="1" x14ac:dyDescent="0.25">
      <c r="A2838" s="2" t="str">
        <f>"09040000070"</f>
        <v>09040000070</v>
      </c>
      <c r="B2838" s="2" t="s">
        <v>2841</v>
      </c>
      <c r="C2838" s="2">
        <v>373.68</v>
      </c>
      <c r="D2838" s="2" t="s">
        <v>5</v>
      </c>
    </row>
    <row r="2839" spans="1:4" ht="15" customHeight="1" x14ac:dyDescent="0.25">
      <c r="A2839" s="2" t="str">
        <f>"09040000075"</f>
        <v>09040000075</v>
      </c>
      <c r="B2839" s="2" t="s">
        <v>2842</v>
      </c>
      <c r="C2839" s="2">
        <v>358.74</v>
      </c>
      <c r="D2839" s="2" t="s">
        <v>5</v>
      </c>
    </row>
    <row r="2840" spans="1:4" ht="15" customHeight="1" x14ac:dyDescent="0.25">
      <c r="A2840" s="2" t="str">
        <f>"09040000080"</f>
        <v>09040000080</v>
      </c>
      <c r="B2840" s="2" t="s">
        <v>2843</v>
      </c>
      <c r="C2840" s="2">
        <v>279.02</v>
      </c>
      <c r="D2840" s="2" t="s">
        <v>5</v>
      </c>
    </row>
    <row r="2841" spans="1:4" ht="15" customHeight="1" x14ac:dyDescent="0.25">
      <c r="A2841" s="2" t="str">
        <f>"09040000085"</f>
        <v>09040000085</v>
      </c>
      <c r="B2841" s="2" t="s">
        <v>2844</v>
      </c>
      <c r="C2841" s="2">
        <v>398.58</v>
      </c>
      <c r="D2841" s="2" t="s">
        <v>5</v>
      </c>
    </row>
    <row r="2842" spans="1:4" ht="15" customHeight="1" x14ac:dyDescent="0.25">
      <c r="A2842" s="2" t="str">
        <f>"09040000090"</f>
        <v>09040000090</v>
      </c>
      <c r="B2842" s="2" t="s">
        <v>2845</v>
      </c>
      <c r="C2842" s="2">
        <v>398.58</v>
      </c>
      <c r="D2842" s="2" t="s">
        <v>5</v>
      </c>
    </row>
    <row r="2843" spans="1:4" ht="15" customHeight="1" x14ac:dyDescent="0.25">
      <c r="A2843" s="2" t="str">
        <f>"09040000095"</f>
        <v>09040000095</v>
      </c>
      <c r="B2843" s="2" t="s">
        <v>2846</v>
      </c>
      <c r="C2843" s="2">
        <v>332.18</v>
      </c>
      <c r="D2843" s="2" t="s">
        <v>5</v>
      </c>
    </row>
    <row r="2844" spans="1:4" ht="15" customHeight="1" x14ac:dyDescent="0.25">
      <c r="A2844" s="2" t="str">
        <f>"09040000100"</f>
        <v>09040000100</v>
      </c>
      <c r="B2844" s="2" t="s">
        <v>2847</v>
      </c>
      <c r="C2844" s="2">
        <v>328.85</v>
      </c>
      <c r="D2844" s="2" t="s">
        <v>5</v>
      </c>
    </row>
    <row r="2845" spans="1:4" ht="15" customHeight="1" x14ac:dyDescent="0.25">
      <c r="A2845" s="2" t="str">
        <f>"09040000105"</f>
        <v>09040000105</v>
      </c>
      <c r="B2845" s="2" t="s">
        <v>2848</v>
      </c>
      <c r="C2845" s="2">
        <v>747.38</v>
      </c>
      <c r="D2845" s="2" t="s">
        <v>5</v>
      </c>
    </row>
    <row r="2846" spans="1:4" ht="15" customHeight="1" x14ac:dyDescent="0.25">
      <c r="A2846" s="2" t="str">
        <f>"09040000110"</f>
        <v>09040000110</v>
      </c>
      <c r="B2846" s="2" t="s">
        <v>2849</v>
      </c>
      <c r="C2846" s="2">
        <v>747.38</v>
      </c>
      <c r="D2846" s="2" t="s">
        <v>5</v>
      </c>
    </row>
    <row r="2847" spans="1:4" ht="15" customHeight="1" x14ac:dyDescent="0.25">
      <c r="A2847" s="2" t="str">
        <f>"09040000115"</f>
        <v>09040000115</v>
      </c>
      <c r="B2847" s="2" t="s">
        <v>2850</v>
      </c>
      <c r="C2847" s="2">
        <v>780.59</v>
      </c>
      <c r="D2847" s="2" t="s">
        <v>5</v>
      </c>
    </row>
    <row r="2848" spans="1:4" ht="15" customHeight="1" x14ac:dyDescent="0.25">
      <c r="A2848" s="2" t="str">
        <f>"09040000120"</f>
        <v>09040000120</v>
      </c>
      <c r="B2848" s="2" t="s">
        <v>2851</v>
      </c>
      <c r="C2848" s="2">
        <v>747.38</v>
      </c>
      <c r="D2848" s="2" t="s">
        <v>5</v>
      </c>
    </row>
    <row r="2849" spans="1:4" ht="15" customHeight="1" x14ac:dyDescent="0.25">
      <c r="A2849" s="2" t="str">
        <f>"09040000125"</f>
        <v>09040000125</v>
      </c>
      <c r="B2849" s="2" t="s">
        <v>2852</v>
      </c>
      <c r="C2849" s="2">
        <v>664.34</v>
      </c>
      <c r="D2849" s="2" t="s">
        <v>5</v>
      </c>
    </row>
    <row r="2850" spans="1:4" ht="15" customHeight="1" x14ac:dyDescent="0.25">
      <c r="A2850" s="2" t="str">
        <f>"09120000030"</f>
        <v>09120000030</v>
      </c>
      <c r="B2850" s="2" t="s">
        <v>2853</v>
      </c>
      <c r="C2850" s="2">
        <v>3048.84</v>
      </c>
      <c r="D2850" s="2" t="s">
        <v>5</v>
      </c>
    </row>
    <row r="2851" spans="1:4" ht="15" customHeight="1" x14ac:dyDescent="0.25">
      <c r="A2851" s="2" t="str">
        <f>"09120000025"</f>
        <v>09120000025</v>
      </c>
      <c r="B2851" s="2" t="s">
        <v>2854</v>
      </c>
      <c r="C2851" s="2">
        <v>3732.48</v>
      </c>
      <c r="D2851" s="2" t="s">
        <v>5</v>
      </c>
    </row>
    <row r="2852" spans="1:4" ht="15" customHeight="1" x14ac:dyDescent="0.25">
      <c r="A2852" s="2" t="str">
        <f>"09120000035"</f>
        <v>09120000035</v>
      </c>
      <c r="B2852" s="2" t="s">
        <v>2855</v>
      </c>
      <c r="C2852" s="2">
        <v>3235.14</v>
      </c>
      <c r="D2852" s="2" t="s">
        <v>5</v>
      </c>
    </row>
    <row r="2853" spans="1:4" ht="15" customHeight="1" x14ac:dyDescent="0.25">
      <c r="A2853" s="2" t="str">
        <f>"09120000040"</f>
        <v>09120000040</v>
      </c>
      <c r="B2853" s="2" t="s">
        <v>2856</v>
      </c>
      <c r="C2853" s="2">
        <v>9525.6</v>
      </c>
      <c r="D2853" s="2" t="s">
        <v>5</v>
      </c>
    </row>
    <row r="2854" spans="1:4" ht="15" customHeight="1" x14ac:dyDescent="0.25">
      <c r="A2854" s="2" t="str">
        <f>"09120000045"</f>
        <v>09120000045</v>
      </c>
      <c r="B2854" s="2" t="s">
        <v>2857</v>
      </c>
      <c r="C2854" s="2">
        <v>7771.14</v>
      </c>
      <c r="D2854" s="2" t="s">
        <v>5</v>
      </c>
    </row>
    <row r="2855" spans="1:4" ht="15" customHeight="1" x14ac:dyDescent="0.25">
      <c r="A2855" s="2" t="str">
        <f>"09120000050"</f>
        <v>09120000050</v>
      </c>
      <c r="B2855" s="2" t="s">
        <v>2858</v>
      </c>
      <c r="C2855" s="2">
        <v>10056.959999999999</v>
      </c>
      <c r="D2855" s="2" t="s">
        <v>5</v>
      </c>
    </row>
    <row r="2856" spans="1:4" ht="15" customHeight="1" x14ac:dyDescent="0.25">
      <c r="A2856" s="2" t="str">
        <f>"09120000055"</f>
        <v>09120000055</v>
      </c>
      <c r="B2856" s="2" t="s">
        <v>2859</v>
      </c>
      <c r="C2856" s="2">
        <v>26908.2</v>
      </c>
      <c r="D2856" s="2" t="s">
        <v>5</v>
      </c>
    </row>
    <row r="2857" spans="1:4" ht="15" customHeight="1" x14ac:dyDescent="0.25">
      <c r="A2857" s="2" t="str">
        <f>"09040000190"</f>
        <v>09040000190</v>
      </c>
      <c r="B2857" s="2" t="s">
        <v>2860</v>
      </c>
      <c r="C2857" s="2">
        <v>1104.45</v>
      </c>
      <c r="D2857" s="2" t="s">
        <v>5</v>
      </c>
    </row>
    <row r="2858" spans="1:4" ht="15" customHeight="1" x14ac:dyDescent="0.25">
      <c r="A2858" s="2" t="str">
        <f>"09040000185"</f>
        <v>09040000185</v>
      </c>
      <c r="B2858" s="2" t="s">
        <v>2861</v>
      </c>
      <c r="C2858" s="2">
        <v>777.27</v>
      </c>
      <c r="D2858" s="2" t="s">
        <v>5</v>
      </c>
    </row>
    <row r="2859" spans="1:4" ht="15" customHeight="1" x14ac:dyDescent="0.25">
      <c r="A2859" s="2" t="str">
        <f>"09040000240"</f>
        <v>09040000240</v>
      </c>
      <c r="B2859" s="2" t="s">
        <v>2862</v>
      </c>
      <c r="C2859" s="2">
        <v>617.84</v>
      </c>
      <c r="D2859" s="2" t="s">
        <v>5</v>
      </c>
    </row>
    <row r="2860" spans="1:4" ht="15" customHeight="1" x14ac:dyDescent="0.25">
      <c r="A2860" s="2" t="str">
        <f>"09040000180"</f>
        <v>09040000180</v>
      </c>
      <c r="B2860" s="2" t="s">
        <v>2863</v>
      </c>
      <c r="C2860" s="2">
        <v>491.61</v>
      </c>
      <c r="D2860" s="2" t="s">
        <v>5</v>
      </c>
    </row>
    <row r="2861" spans="1:4" ht="15" customHeight="1" x14ac:dyDescent="0.25">
      <c r="A2861" s="2" t="str">
        <f>"09040000225"</f>
        <v>09040000225</v>
      </c>
      <c r="B2861" s="2" t="s">
        <v>2864</v>
      </c>
      <c r="C2861" s="2">
        <v>762.3</v>
      </c>
      <c r="D2861" s="2" t="s">
        <v>5</v>
      </c>
    </row>
    <row r="2862" spans="1:4" ht="15" customHeight="1" x14ac:dyDescent="0.25">
      <c r="A2862" s="2" t="str">
        <f>"09040000220"</f>
        <v>09040000220</v>
      </c>
      <c r="B2862" s="2" t="s">
        <v>2865</v>
      </c>
      <c r="C2862" s="2">
        <v>722.46</v>
      </c>
      <c r="D2862" s="2" t="s">
        <v>5</v>
      </c>
    </row>
    <row r="2863" spans="1:4" ht="15" customHeight="1" x14ac:dyDescent="0.25">
      <c r="A2863" s="2" t="str">
        <f>"09040000230"</f>
        <v>09040000230</v>
      </c>
      <c r="B2863" s="2" t="s">
        <v>2866</v>
      </c>
      <c r="C2863" s="2">
        <v>255.78</v>
      </c>
      <c r="D2863" s="2" t="s">
        <v>5</v>
      </c>
    </row>
    <row r="2864" spans="1:4" ht="15" customHeight="1" x14ac:dyDescent="0.25">
      <c r="A2864" s="2" t="str">
        <f>"09040000170"</f>
        <v>09040000170</v>
      </c>
      <c r="B2864" s="2" t="s">
        <v>2867</v>
      </c>
      <c r="C2864" s="2">
        <v>139.52000000000001</v>
      </c>
      <c r="D2864" s="2" t="s">
        <v>5</v>
      </c>
    </row>
    <row r="2865" spans="1:4" ht="15" customHeight="1" x14ac:dyDescent="0.25">
      <c r="A2865" s="2" t="str">
        <f>"09040000195"</f>
        <v>09040000195</v>
      </c>
      <c r="B2865" s="2" t="s">
        <v>2868</v>
      </c>
      <c r="C2865" s="2">
        <v>1929.89</v>
      </c>
      <c r="D2865" s="2" t="s">
        <v>5</v>
      </c>
    </row>
    <row r="2866" spans="1:4" ht="15" customHeight="1" x14ac:dyDescent="0.25">
      <c r="A2866" s="2" t="str">
        <f>"09040000235"</f>
        <v>09040000235</v>
      </c>
      <c r="B2866" s="2" t="s">
        <v>2869</v>
      </c>
      <c r="C2866" s="2">
        <v>365.37</v>
      </c>
      <c r="D2866" s="2" t="s">
        <v>5</v>
      </c>
    </row>
    <row r="2867" spans="1:4" ht="15" customHeight="1" x14ac:dyDescent="0.25">
      <c r="A2867" s="2" t="str">
        <f>"09040000175"</f>
        <v>09040000175</v>
      </c>
      <c r="B2867" s="2" t="s">
        <v>2870</v>
      </c>
      <c r="C2867" s="2">
        <v>219.23</v>
      </c>
      <c r="D2867" s="2" t="s">
        <v>5</v>
      </c>
    </row>
    <row r="2868" spans="1:4" ht="15" customHeight="1" x14ac:dyDescent="0.25">
      <c r="A2868" s="2" t="str">
        <f>"09040000215"</f>
        <v>09040000215</v>
      </c>
      <c r="B2868" s="2" t="s">
        <v>2871</v>
      </c>
      <c r="C2868" s="2">
        <v>252.45</v>
      </c>
      <c r="D2868" s="2" t="s">
        <v>5</v>
      </c>
    </row>
    <row r="2869" spans="1:4" ht="15" customHeight="1" x14ac:dyDescent="0.25">
      <c r="A2869" s="2" t="str">
        <f>"09040000265"</f>
        <v>09040000265</v>
      </c>
      <c r="B2869" s="2" t="s">
        <v>2872</v>
      </c>
      <c r="C2869" s="2">
        <v>1222.3699999999999</v>
      </c>
      <c r="D2869" s="2" t="s">
        <v>5</v>
      </c>
    </row>
    <row r="2870" spans="1:4" ht="15" customHeight="1" x14ac:dyDescent="0.25">
      <c r="A2870" s="2" t="str">
        <f>"09010000580"</f>
        <v>09010000580</v>
      </c>
      <c r="B2870" s="2" t="s">
        <v>2873</v>
      </c>
      <c r="C2870" s="2">
        <v>1008.39</v>
      </c>
      <c r="D2870" s="2" t="s">
        <v>5</v>
      </c>
    </row>
    <row r="2871" spans="1:4" ht="15" customHeight="1" x14ac:dyDescent="0.25">
      <c r="A2871" s="2" t="str">
        <f>"09040000260"</f>
        <v>09040000260</v>
      </c>
      <c r="B2871" s="2" t="s">
        <v>2874</v>
      </c>
      <c r="C2871" s="2">
        <v>996.5</v>
      </c>
      <c r="D2871" s="2" t="s">
        <v>5</v>
      </c>
    </row>
    <row r="2872" spans="1:4" ht="15" customHeight="1" x14ac:dyDescent="0.25">
      <c r="A2872" s="2" t="str">
        <f>"09040000285"</f>
        <v>09040000285</v>
      </c>
      <c r="B2872" s="2" t="s">
        <v>2875</v>
      </c>
      <c r="C2872" s="2">
        <v>604.54999999999995</v>
      </c>
      <c r="D2872" s="2" t="s">
        <v>5</v>
      </c>
    </row>
    <row r="2873" spans="1:4" ht="15" customHeight="1" x14ac:dyDescent="0.25">
      <c r="A2873" s="2" t="str">
        <f>"09040000255"</f>
        <v>09040000255</v>
      </c>
      <c r="B2873" s="2" t="s">
        <v>2876</v>
      </c>
      <c r="C2873" s="2">
        <v>438.47</v>
      </c>
      <c r="D2873" s="2" t="s">
        <v>5</v>
      </c>
    </row>
    <row r="2874" spans="1:4" ht="15" customHeight="1" x14ac:dyDescent="0.25">
      <c r="A2874" s="2" t="str">
        <f>"09040000245"</f>
        <v>09040000245</v>
      </c>
      <c r="B2874" s="2" t="s">
        <v>2877</v>
      </c>
      <c r="C2874" s="2">
        <v>146.16</v>
      </c>
      <c r="D2874" s="2" t="s">
        <v>5</v>
      </c>
    </row>
    <row r="2875" spans="1:4" ht="15" customHeight="1" x14ac:dyDescent="0.25">
      <c r="A2875" s="2" t="str">
        <f>"09040000270"</f>
        <v>09040000270</v>
      </c>
      <c r="B2875" s="2" t="s">
        <v>2878</v>
      </c>
      <c r="C2875" s="2">
        <v>2059.4299999999998</v>
      </c>
      <c r="D2875" s="2" t="s">
        <v>5</v>
      </c>
    </row>
    <row r="2876" spans="1:4" ht="15" customHeight="1" x14ac:dyDescent="0.25">
      <c r="A2876" s="2" t="str">
        <f>"09040000280"</f>
        <v>09040000280</v>
      </c>
      <c r="B2876" s="2" t="s">
        <v>2879</v>
      </c>
      <c r="C2876" s="2">
        <v>373.68</v>
      </c>
      <c r="D2876" s="2" t="s">
        <v>5</v>
      </c>
    </row>
    <row r="2877" spans="1:4" ht="15" customHeight="1" x14ac:dyDescent="0.25">
      <c r="A2877" s="2" t="str">
        <f>"09040000250"</f>
        <v>09040000250</v>
      </c>
      <c r="B2877" s="2" t="s">
        <v>2880</v>
      </c>
      <c r="C2877" s="2">
        <v>239.16</v>
      </c>
      <c r="D2877" s="2" t="s">
        <v>5</v>
      </c>
    </row>
    <row r="2878" spans="1:4" ht="15" customHeight="1" x14ac:dyDescent="0.25">
      <c r="A2878" s="2" t="str">
        <f>"09040000375"</f>
        <v>09040000375</v>
      </c>
      <c r="B2878" s="2" t="s">
        <v>2881</v>
      </c>
      <c r="C2878" s="2">
        <v>1637.28</v>
      </c>
      <c r="D2878" s="2" t="s">
        <v>5</v>
      </c>
    </row>
    <row r="2879" spans="1:4" ht="15" customHeight="1" x14ac:dyDescent="0.25">
      <c r="A2879" s="2" t="str">
        <f>"09040000385"</f>
        <v>09040000385</v>
      </c>
      <c r="B2879" s="2" t="s">
        <v>2882</v>
      </c>
      <c r="C2879" s="2">
        <v>2888.06</v>
      </c>
      <c r="D2879" s="2" t="s">
        <v>5</v>
      </c>
    </row>
    <row r="2880" spans="1:4" ht="15" customHeight="1" x14ac:dyDescent="0.25">
      <c r="A2880" s="2" t="str">
        <f>"09040000380"</f>
        <v>09040000380</v>
      </c>
      <c r="B2880" s="2" t="s">
        <v>2883</v>
      </c>
      <c r="C2880" s="2">
        <v>1094.04</v>
      </c>
      <c r="D2880" s="2" t="s">
        <v>5</v>
      </c>
    </row>
    <row r="2881" spans="1:4" ht="15" customHeight="1" x14ac:dyDescent="0.25">
      <c r="A2881" s="2" t="str">
        <f>"09040000365"</f>
        <v>09040000365</v>
      </c>
      <c r="B2881" s="2" t="s">
        <v>2884</v>
      </c>
      <c r="C2881" s="2">
        <v>1114.02</v>
      </c>
      <c r="D2881" s="2" t="s">
        <v>5</v>
      </c>
    </row>
    <row r="2882" spans="1:4" ht="15" customHeight="1" x14ac:dyDescent="0.25">
      <c r="A2882" s="2" t="str">
        <f>"09040000390"</f>
        <v>09040000390</v>
      </c>
      <c r="B2882" s="2" t="s">
        <v>2885</v>
      </c>
      <c r="C2882" s="2">
        <v>3725.12</v>
      </c>
      <c r="D2882" s="2" t="s">
        <v>5</v>
      </c>
    </row>
    <row r="2883" spans="1:4" ht="15" customHeight="1" x14ac:dyDescent="0.25">
      <c r="A2883" s="2" t="str">
        <f>"09040000370"</f>
        <v>09040000370</v>
      </c>
      <c r="B2883" s="2" t="s">
        <v>2886</v>
      </c>
      <c r="C2883" s="2">
        <v>1313</v>
      </c>
      <c r="D2883" s="2" t="s">
        <v>5</v>
      </c>
    </row>
    <row r="2884" spans="1:4" ht="15" customHeight="1" x14ac:dyDescent="0.25">
      <c r="A2884" s="2" t="str">
        <f>"09120000060"</f>
        <v>09120000060</v>
      </c>
      <c r="B2884" s="2" t="s">
        <v>2887</v>
      </c>
      <c r="C2884" s="2">
        <v>31850.82</v>
      </c>
      <c r="D2884" s="2" t="s">
        <v>5</v>
      </c>
    </row>
    <row r="2885" spans="1:4" ht="15" customHeight="1" x14ac:dyDescent="0.25">
      <c r="A2885" s="2" t="str">
        <f>"09120000065"</f>
        <v>09120000065</v>
      </c>
      <c r="B2885" s="2" t="s">
        <v>2888</v>
      </c>
      <c r="C2885" s="2">
        <v>33806.160000000003</v>
      </c>
      <c r="D2885" s="2" t="s">
        <v>5</v>
      </c>
    </row>
    <row r="2886" spans="1:4" ht="15" customHeight="1" x14ac:dyDescent="0.25">
      <c r="A2886" s="2" t="str">
        <f>"09120000070"</f>
        <v>09120000070</v>
      </c>
      <c r="B2886" s="2" t="s">
        <v>2889</v>
      </c>
      <c r="C2886" s="2">
        <v>55847.88</v>
      </c>
      <c r="D2886" s="2" t="s">
        <v>5</v>
      </c>
    </row>
    <row r="2887" spans="1:4" ht="15" customHeight="1" x14ac:dyDescent="0.25">
      <c r="A2887" s="2" t="str">
        <f>"09000000847"</f>
        <v>09000000847</v>
      </c>
      <c r="B2887" s="2" t="s">
        <v>2890</v>
      </c>
      <c r="C2887" s="2">
        <v>695.82</v>
      </c>
      <c r="D2887" s="2" t="s">
        <v>5</v>
      </c>
    </row>
    <row r="2888" spans="1:4" ht="15" customHeight="1" x14ac:dyDescent="0.25">
      <c r="A2888" s="2" t="str">
        <f>"09000000848"</f>
        <v>09000000848</v>
      </c>
      <c r="B2888" s="2" t="s">
        <v>2891</v>
      </c>
      <c r="C2888" s="2">
        <v>725.93</v>
      </c>
      <c r="D2888" s="2" t="s">
        <v>5</v>
      </c>
    </row>
    <row r="2889" spans="1:4" ht="15" customHeight="1" x14ac:dyDescent="0.25">
      <c r="A2889" s="2" t="str">
        <f>"09040000295"</f>
        <v>09040000295</v>
      </c>
      <c r="B2889" s="2" t="s">
        <v>2892</v>
      </c>
      <c r="C2889" s="2">
        <v>119.6</v>
      </c>
      <c r="D2889" s="2" t="s">
        <v>5</v>
      </c>
    </row>
    <row r="2890" spans="1:4" ht="15" customHeight="1" x14ac:dyDescent="0.25">
      <c r="A2890" s="2" t="str">
        <f>"09040000300"</f>
        <v>09040000300</v>
      </c>
      <c r="B2890" s="2" t="s">
        <v>2893</v>
      </c>
      <c r="C2890" s="2">
        <v>186.02</v>
      </c>
      <c r="D2890" s="2" t="s">
        <v>5</v>
      </c>
    </row>
    <row r="2891" spans="1:4" ht="15" customHeight="1" x14ac:dyDescent="0.25">
      <c r="A2891" s="2" t="str">
        <f>"09040000305"</f>
        <v>09040000305</v>
      </c>
      <c r="B2891" s="2" t="s">
        <v>2894</v>
      </c>
      <c r="C2891" s="2">
        <v>305.58</v>
      </c>
      <c r="D2891" s="2" t="s">
        <v>5</v>
      </c>
    </row>
    <row r="2892" spans="1:4" ht="15" customHeight="1" x14ac:dyDescent="0.25">
      <c r="A2892" s="2" t="str">
        <f>"09040000310"</f>
        <v>09040000310</v>
      </c>
      <c r="B2892" s="2" t="s">
        <v>2895</v>
      </c>
      <c r="C2892" s="2">
        <v>592.91</v>
      </c>
      <c r="D2892" s="2" t="s">
        <v>5</v>
      </c>
    </row>
    <row r="2893" spans="1:4" ht="15" customHeight="1" x14ac:dyDescent="0.25">
      <c r="A2893" s="2" t="str">
        <f>"09040000315"</f>
        <v>09040000315</v>
      </c>
      <c r="B2893" s="2" t="s">
        <v>2896</v>
      </c>
      <c r="C2893" s="2">
        <v>709.17</v>
      </c>
      <c r="D2893" s="2" t="s">
        <v>5</v>
      </c>
    </row>
    <row r="2894" spans="1:4" ht="15" customHeight="1" x14ac:dyDescent="0.25">
      <c r="A2894" s="2" t="str">
        <f>"09040000320"</f>
        <v>09040000320</v>
      </c>
      <c r="B2894" s="2" t="s">
        <v>2897</v>
      </c>
      <c r="C2894" s="2">
        <v>1248.96</v>
      </c>
      <c r="D2894" s="2" t="s">
        <v>5</v>
      </c>
    </row>
    <row r="2895" spans="1:4" ht="15" customHeight="1" x14ac:dyDescent="0.25">
      <c r="A2895" s="2" t="str">
        <f>"09040000340"</f>
        <v>09040000340</v>
      </c>
      <c r="B2895" s="2" t="s">
        <v>2898</v>
      </c>
      <c r="C2895" s="2">
        <v>159.44</v>
      </c>
      <c r="D2895" s="2" t="s">
        <v>5</v>
      </c>
    </row>
    <row r="2896" spans="1:4" ht="15" customHeight="1" x14ac:dyDescent="0.25">
      <c r="A2896" s="2" t="str">
        <f>"09040000345"</f>
        <v>09040000345</v>
      </c>
      <c r="B2896" s="2" t="s">
        <v>2899</v>
      </c>
      <c r="C2896" s="2">
        <v>219.23</v>
      </c>
      <c r="D2896" s="2" t="s">
        <v>5</v>
      </c>
    </row>
    <row r="2897" spans="1:4" ht="15" customHeight="1" x14ac:dyDescent="0.25">
      <c r="A2897" s="2" t="str">
        <f>"09040000350"</f>
        <v>09040000350</v>
      </c>
      <c r="B2897" s="2" t="s">
        <v>2900</v>
      </c>
      <c r="C2897" s="2">
        <v>328.85</v>
      </c>
      <c r="D2897" s="2" t="s">
        <v>5</v>
      </c>
    </row>
    <row r="2898" spans="1:4" ht="15" customHeight="1" x14ac:dyDescent="0.25">
      <c r="A2898" s="2" t="str">
        <f>"09040000355"</f>
        <v>09040000355</v>
      </c>
      <c r="B2898" s="2" t="s">
        <v>2901</v>
      </c>
      <c r="C2898" s="2">
        <v>365.37</v>
      </c>
      <c r="D2898" s="2" t="s">
        <v>5</v>
      </c>
    </row>
    <row r="2899" spans="1:4" ht="15" customHeight="1" x14ac:dyDescent="0.25">
      <c r="A2899" s="2" t="str">
        <f>"09120000075"</f>
        <v>09120000075</v>
      </c>
      <c r="B2899" s="2" t="s">
        <v>2902</v>
      </c>
      <c r="C2899" s="2">
        <v>3431.16</v>
      </c>
      <c r="D2899" s="2" t="s">
        <v>5</v>
      </c>
    </row>
    <row r="2900" spans="1:4" ht="15" customHeight="1" x14ac:dyDescent="0.25">
      <c r="A2900" s="2" t="str">
        <f>"09120000080"</f>
        <v>09120000080</v>
      </c>
      <c r="B2900" s="2" t="s">
        <v>2903</v>
      </c>
      <c r="C2900" s="2">
        <v>4565.16</v>
      </c>
      <c r="D2900" s="2" t="s">
        <v>5</v>
      </c>
    </row>
    <row r="2901" spans="1:4" ht="15" customHeight="1" x14ac:dyDescent="0.25">
      <c r="A2901" s="2" t="str">
        <f>"09120000085"</f>
        <v>09120000085</v>
      </c>
      <c r="B2901" s="2" t="s">
        <v>2904</v>
      </c>
      <c r="C2901" s="2">
        <v>6400.62</v>
      </c>
      <c r="D2901" s="2" t="s">
        <v>5</v>
      </c>
    </row>
    <row r="2902" spans="1:4" ht="15" customHeight="1" x14ac:dyDescent="0.25">
      <c r="A2902" s="2" t="str">
        <f>"09010000835"</f>
        <v>09010000835</v>
      </c>
      <c r="B2902" s="2" t="s">
        <v>2905</v>
      </c>
      <c r="C2902" s="2">
        <v>189.17</v>
      </c>
      <c r="D2902" s="2" t="s">
        <v>5</v>
      </c>
    </row>
    <row r="2903" spans="1:4" ht="15" customHeight="1" x14ac:dyDescent="0.25">
      <c r="A2903" s="2" t="str">
        <f>"09010000840"</f>
        <v>09010000840</v>
      </c>
      <c r="B2903" s="2" t="s">
        <v>2906</v>
      </c>
      <c r="C2903" s="2">
        <v>189.17</v>
      </c>
      <c r="D2903" s="2" t="s">
        <v>5</v>
      </c>
    </row>
    <row r="2904" spans="1:4" ht="15" customHeight="1" x14ac:dyDescent="0.25">
      <c r="A2904" s="2" t="str">
        <f>"09010000845"</f>
        <v>09010000845</v>
      </c>
      <c r="B2904" s="2" t="s">
        <v>2907</v>
      </c>
      <c r="C2904" s="2">
        <v>132.84</v>
      </c>
      <c r="D2904" s="2" t="s">
        <v>5</v>
      </c>
    </row>
    <row r="2905" spans="1:4" ht="15" customHeight="1" x14ac:dyDescent="0.25">
      <c r="A2905" s="2" t="str">
        <f>"09010000175"</f>
        <v>09010000175</v>
      </c>
      <c r="B2905" s="2" t="s">
        <v>2908</v>
      </c>
      <c r="C2905" s="2">
        <v>143.54</v>
      </c>
      <c r="D2905" s="2" t="s">
        <v>5</v>
      </c>
    </row>
    <row r="2906" spans="1:4" ht="15" customHeight="1" x14ac:dyDescent="0.25">
      <c r="A2906" s="2" t="str">
        <f>"09010000170"</f>
        <v>09010000170</v>
      </c>
      <c r="B2906" s="2" t="s">
        <v>2909</v>
      </c>
      <c r="C2906" s="2">
        <v>199.05</v>
      </c>
      <c r="D2906" s="2" t="s">
        <v>5</v>
      </c>
    </row>
    <row r="2907" spans="1:4" ht="15" customHeight="1" x14ac:dyDescent="0.25">
      <c r="A2907" s="2" t="str">
        <f>"09010000160"</f>
        <v>09010000160</v>
      </c>
      <c r="B2907" s="2" t="s">
        <v>2910</v>
      </c>
      <c r="C2907" s="2">
        <v>199.05</v>
      </c>
      <c r="D2907" s="2" t="s">
        <v>5</v>
      </c>
    </row>
    <row r="2908" spans="1:4" ht="15" customHeight="1" x14ac:dyDescent="0.25">
      <c r="A2908" s="2" t="str">
        <f>"09040000415"</f>
        <v>09040000415</v>
      </c>
      <c r="B2908" s="2" t="s">
        <v>2911</v>
      </c>
      <c r="C2908" s="2">
        <v>830.42</v>
      </c>
      <c r="D2908" s="2" t="s">
        <v>5</v>
      </c>
    </row>
    <row r="2909" spans="1:4" ht="15" customHeight="1" x14ac:dyDescent="0.25">
      <c r="A2909" s="2" t="str">
        <f>"09040000425"</f>
        <v>09040000425</v>
      </c>
      <c r="B2909" s="2" t="s">
        <v>2912</v>
      </c>
      <c r="C2909" s="2">
        <v>2092.64</v>
      </c>
      <c r="D2909" s="2" t="s">
        <v>5</v>
      </c>
    </row>
    <row r="2910" spans="1:4" ht="15" customHeight="1" x14ac:dyDescent="0.25">
      <c r="A2910" s="2" t="str">
        <f>"09040000420"</f>
        <v>09040000420</v>
      </c>
      <c r="B2910" s="2" t="s">
        <v>2913</v>
      </c>
      <c r="C2910" s="2">
        <v>1743.87</v>
      </c>
      <c r="D2910" s="2" t="s">
        <v>5</v>
      </c>
    </row>
    <row r="2911" spans="1:4" ht="15" customHeight="1" x14ac:dyDescent="0.25">
      <c r="A2911" s="2" t="str">
        <f>"09040000405"</f>
        <v>09040000405</v>
      </c>
      <c r="B2911" s="2" t="s">
        <v>2914</v>
      </c>
      <c r="C2911" s="2">
        <v>418.52</v>
      </c>
      <c r="D2911" s="2" t="s">
        <v>5</v>
      </c>
    </row>
    <row r="2912" spans="1:4" ht="15" customHeight="1" x14ac:dyDescent="0.25">
      <c r="A2912" s="2" t="str">
        <f>"09040000430"</f>
        <v>09040000430</v>
      </c>
      <c r="B2912" s="2" t="s">
        <v>2915</v>
      </c>
      <c r="C2912" s="2">
        <v>3105.75</v>
      </c>
      <c r="D2912" s="2" t="s">
        <v>5</v>
      </c>
    </row>
    <row r="2913" spans="1:4" ht="15" customHeight="1" x14ac:dyDescent="0.25">
      <c r="A2913" s="2" t="str">
        <f>"09040000410"</f>
        <v>09040000410</v>
      </c>
      <c r="B2913" s="2" t="s">
        <v>2916</v>
      </c>
      <c r="C2913" s="2">
        <v>534.78</v>
      </c>
      <c r="D2913" s="2" t="s">
        <v>5</v>
      </c>
    </row>
    <row r="2914" spans="1:4" ht="15" customHeight="1" x14ac:dyDescent="0.25">
      <c r="A2914" s="2" t="str">
        <f>"09040000445"</f>
        <v>09040000445</v>
      </c>
      <c r="B2914" s="2" t="s">
        <v>2917</v>
      </c>
      <c r="C2914" s="2">
        <v>916.77</v>
      </c>
      <c r="D2914" s="2" t="s">
        <v>5</v>
      </c>
    </row>
    <row r="2915" spans="1:4" ht="15" customHeight="1" x14ac:dyDescent="0.25">
      <c r="A2915" s="2" t="str">
        <f>"09040000455"</f>
        <v>09040000455</v>
      </c>
      <c r="B2915" s="2" t="s">
        <v>2918</v>
      </c>
      <c r="C2915" s="2">
        <v>2673.95</v>
      </c>
      <c r="D2915" s="2" t="s">
        <v>5</v>
      </c>
    </row>
    <row r="2916" spans="1:4" ht="15" customHeight="1" x14ac:dyDescent="0.25">
      <c r="A2916" s="2" t="str">
        <f>"09040000450"</f>
        <v>09040000450</v>
      </c>
      <c r="B2916" s="2" t="s">
        <v>2919</v>
      </c>
      <c r="C2916" s="2">
        <v>1813.64</v>
      </c>
      <c r="D2916" s="2" t="s">
        <v>5</v>
      </c>
    </row>
    <row r="2917" spans="1:4" ht="15" customHeight="1" x14ac:dyDescent="0.25">
      <c r="A2917" s="2" t="str">
        <f>"09040000435"</f>
        <v>09040000435</v>
      </c>
      <c r="B2917" s="2" t="s">
        <v>2920</v>
      </c>
      <c r="C2917" s="2">
        <v>518.19000000000005</v>
      </c>
      <c r="D2917" s="2" t="s">
        <v>5</v>
      </c>
    </row>
    <row r="2918" spans="1:4" ht="15" customHeight="1" x14ac:dyDescent="0.25">
      <c r="A2918" s="2" t="str">
        <f>"09040000460"</f>
        <v>09040000460</v>
      </c>
      <c r="B2918" s="2" t="s">
        <v>2921</v>
      </c>
      <c r="C2918" s="2">
        <v>4122.18</v>
      </c>
      <c r="D2918" s="2" t="s">
        <v>5</v>
      </c>
    </row>
    <row r="2919" spans="1:4" ht="15" customHeight="1" x14ac:dyDescent="0.25">
      <c r="A2919" s="2" t="str">
        <f>"09040000440"</f>
        <v>09040000440</v>
      </c>
      <c r="B2919" s="2" t="s">
        <v>2922</v>
      </c>
      <c r="C2919" s="2">
        <v>622.82000000000005</v>
      </c>
      <c r="D2919" s="2" t="s">
        <v>5</v>
      </c>
    </row>
    <row r="2920" spans="1:4" ht="15" customHeight="1" x14ac:dyDescent="0.25">
      <c r="A2920" s="2" t="str">
        <f>"09040000475"</f>
        <v>09040000475</v>
      </c>
      <c r="B2920" s="2" t="s">
        <v>2923</v>
      </c>
      <c r="C2920" s="2">
        <v>3105.75</v>
      </c>
      <c r="D2920" s="2" t="s">
        <v>5</v>
      </c>
    </row>
    <row r="2921" spans="1:4" ht="15" customHeight="1" x14ac:dyDescent="0.25">
      <c r="A2921" s="2" t="str">
        <f>"09040000465"</f>
        <v>09040000465</v>
      </c>
      <c r="B2921" s="2" t="s">
        <v>2924</v>
      </c>
      <c r="C2921" s="2">
        <v>930.08</v>
      </c>
      <c r="D2921" s="2" t="s">
        <v>5</v>
      </c>
    </row>
    <row r="2922" spans="1:4" ht="15" customHeight="1" x14ac:dyDescent="0.25">
      <c r="A2922" s="2" t="str">
        <f>"09040000470"</f>
        <v>09040000470</v>
      </c>
      <c r="B2922" s="2" t="s">
        <v>2925</v>
      </c>
      <c r="C2922" s="2">
        <v>1594.4</v>
      </c>
      <c r="D2922" s="2" t="s">
        <v>5</v>
      </c>
    </row>
    <row r="2923" spans="1:4" ht="15" customHeight="1" x14ac:dyDescent="0.25">
      <c r="A2923" s="2" t="str">
        <f>"09040000490"</f>
        <v>09040000490</v>
      </c>
      <c r="B2923" s="2" t="s">
        <v>2926</v>
      </c>
      <c r="C2923" s="2">
        <v>159.44</v>
      </c>
      <c r="D2923" s="2" t="s">
        <v>5</v>
      </c>
    </row>
    <row r="2924" spans="1:4" ht="15" customHeight="1" x14ac:dyDescent="0.25">
      <c r="A2924" s="2" t="str">
        <f>"09040000480"</f>
        <v>09040000480</v>
      </c>
      <c r="B2924" s="2" t="s">
        <v>2927</v>
      </c>
      <c r="C2924" s="2">
        <v>119.6</v>
      </c>
      <c r="D2924" s="2" t="s">
        <v>5</v>
      </c>
    </row>
    <row r="2925" spans="1:4" ht="15" customHeight="1" x14ac:dyDescent="0.25">
      <c r="A2925" s="2" t="str">
        <f>"09040000485"</f>
        <v>09040000485</v>
      </c>
      <c r="B2925" s="2" t="s">
        <v>2928</v>
      </c>
      <c r="C2925" s="2">
        <v>132.87</v>
      </c>
      <c r="D2925" s="2" t="s">
        <v>5</v>
      </c>
    </row>
    <row r="2926" spans="1:4" ht="15" customHeight="1" x14ac:dyDescent="0.25">
      <c r="A2926" s="2" t="str">
        <f>"09040000785"</f>
        <v>09040000785</v>
      </c>
      <c r="B2926" s="2" t="s">
        <v>2929</v>
      </c>
      <c r="C2926" s="2">
        <v>134.52000000000001</v>
      </c>
      <c r="D2926" s="2" t="s">
        <v>5</v>
      </c>
    </row>
    <row r="2927" spans="1:4" ht="15" customHeight="1" x14ac:dyDescent="0.25">
      <c r="A2927" s="2" t="str">
        <f>"09040000790"</f>
        <v>09040000790</v>
      </c>
      <c r="B2927" s="2" t="s">
        <v>2930</v>
      </c>
      <c r="C2927" s="2">
        <v>159.44</v>
      </c>
      <c r="D2927" s="2" t="s">
        <v>5</v>
      </c>
    </row>
    <row r="2928" spans="1:4" ht="15" customHeight="1" x14ac:dyDescent="0.25">
      <c r="A2928" s="2" t="str">
        <f>"09040000795"</f>
        <v>09040000795</v>
      </c>
      <c r="B2928" s="2" t="s">
        <v>2931</v>
      </c>
      <c r="C2928" s="2">
        <v>298.95</v>
      </c>
      <c r="D2928" s="2" t="s">
        <v>5</v>
      </c>
    </row>
    <row r="2929" spans="1:4" ht="15" customHeight="1" x14ac:dyDescent="0.25">
      <c r="A2929" s="2" t="str">
        <f>"09040000800"</f>
        <v>09040000800</v>
      </c>
      <c r="B2929" s="2" t="s">
        <v>2932</v>
      </c>
      <c r="C2929" s="2">
        <v>415.2</v>
      </c>
      <c r="D2929" s="2" t="s">
        <v>5</v>
      </c>
    </row>
    <row r="2930" spans="1:4" ht="15" customHeight="1" x14ac:dyDescent="0.25">
      <c r="A2930" s="2" t="str">
        <f>"09040000805"</f>
        <v>09040000805</v>
      </c>
      <c r="B2930" s="2" t="s">
        <v>2933</v>
      </c>
      <c r="C2930" s="2">
        <v>553.07000000000005</v>
      </c>
      <c r="D2930" s="2" t="s">
        <v>5</v>
      </c>
    </row>
    <row r="2931" spans="1:4" ht="15" customHeight="1" x14ac:dyDescent="0.25">
      <c r="A2931" s="2" t="str">
        <f>"09040000810"</f>
        <v>09040000810</v>
      </c>
      <c r="B2931" s="2" t="s">
        <v>2934</v>
      </c>
      <c r="C2931" s="2">
        <v>783.9</v>
      </c>
      <c r="D2931" s="2" t="s">
        <v>5</v>
      </c>
    </row>
    <row r="2932" spans="1:4" ht="15" customHeight="1" x14ac:dyDescent="0.25">
      <c r="A2932" s="2" t="str">
        <f>"09040000815"</f>
        <v>09040000815</v>
      </c>
      <c r="B2932" s="2" t="s">
        <v>2935</v>
      </c>
      <c r="C2932" s="2">
        <v>179.37</v>
      </c>
      <c r="D2932" s="2" t="s">
        <v>5</v>
      </c>
    </row>
    <row r="2933" spans="1:4" ht="15" customHeight="1" x14ac:dyDescent="0.25">
      <c r="A2933" s="2" t="str">
        <f>"09040000820"</f>
        <v>09040000820</v>
      </c>
      <c r="B2933" s="2" t="s">
        <v>2936</v>
      </c>
      <c r="C2933" s="2">
        <v>212.6</v>
      </c>
      <c r="D2933" s="2" t="s">
        <v>5</v>
      </c>
    </row>
    <row r="2934" spans="1:4" ht="15" customHeight="1" x14ac:dyDescent="0.25">
      <c r="A2934" s="2" t="str">
        <f>"09040000825"</f>
        <v>09040000825</v>
      </c>
      <c r="B2934" s="2" t="s">
        <v>2937</v>
      </c>
      <c r="C2934" s="2">
        <v>332.18</v>
      </c>
      <c r="D2934" s="2" t="s">
        <v>5</v>
      </c>
    </row>
    <row r="2935" spans="1:4" ht="15" customHeight="1" x14ac:dyDescent="0.25">
      <c r="A2935" s="2" t="str">
        <f>"09040000830"</f>
        <v>09040000830</v>
      </c>
      <c r="B2935" s="2" t="s">
        <v>2938</v>
      </c>
      <c r="C2935" s="2">
        <v>581.29999999999995</v>
      </c>
      <c r="D2935" s="2" t="s">
        <v>5</v>
      </c>
    </row>
    <row r="2936" spans="1:4" ht="15" customHeight="1" x14ac:dyDescent="0.25">
      <c r="A2936" s="2" t="str">
        <f>"09040000835"</f>
        <v>09040000835</v>
      </c>
      <c r="B2936" s="2" t="s">
        <v>2939</v>
      </c>
      <c r="C2936" s="2">
        <v>664.34</v>
      </c>
      <c r="D2936" s="2" t="s">
        <v>5</v>
      </c>
    </row>
    <row r="2937" spans="1:4" ht="15" customHeight="1" x14ac:dyDescent="0.25">
      <c r="A2937" s="2" t="str">
        <f>"09040000840"</f>
        <v>09040000840</v>
      </c>
      <c r="B2937" s="2" t="s">
        <v>2940</v>
      </c>
      <c r="C2937" s="2">
        <v>871.94</v>
      </c>
      <c r="D2937" s="2" t="s">
        <v>5</v>
      </c>
    </row>
    <row r="2938" spans="1:4" ht="15" customHeight="1" x14ac:dyDescent="0.25">
      <c r="A2938" s="2" t="str">
        <f>"09040000845"</f>
        <v>09040000845</v>
      </c>
      <c r="B2938" s="2" t="s">
        <v>2941</v>
      </c>
      <c r="C2938" s="2">
        <v>232.52</v>
      </c>
      <c r="D2938" s="2" t="s">
        <v>5</v>
      </c>
    </row>
    <row r="2939" spans="1:4" ht="15" customHeight="1" x14ac:dyDescent="0.25">
      <c r="A2939" s="2" t="str">
        <f>"09040000850"</f>
        <v>09040000850</v>
      </c>
      <c r="B2939" s="2" t="s">
        <v>2942</v>
      </c>
      <c r="C2939" s="2">
        <v>255.78</v>
      </c>
      <c r="D2939" s="2" t="s">
        <v>5</v>
      </c>
    </row>
    <row r="2940" spans="1:4" ht="15" customHeight="1" x14ac:dyDescent="0.25">
      <c r="A2940" s="2" t="str">
        <f>"09040000855"</f>
        <v>09040000855</v>
      </c>
      <c r="B2940" s="2" t="s">
        <v>2943</v>
      </c>
      <c r="C2940" s="2">
        <v>328.85</v>
      </c>
      <c r="D2940" s="2" t="s">
        <v>5</v>
      </c>
    </row>
    <row r="2941" spans="1:4" ht="15" customHeight="1" x14ac:dyDescent="0.25">
      <c r="A2941" s="2" t="str">
        <f>"09040000860"</f>
        <v>09040000860</v>
      </c>
      <c r="B2941" s="2" t="s">
        <v>2944</v>
      </c>
      <c r="C2941" s="2">
        <v>624.48</v>
      </c>
      <c r="D2941" s="2" t="s">
        <v>5</v>
      </c>
    </row>
    <row r="2942" spans="1:4" ht="15" customHeight="1" x14ac:dyDescent="0.25">
      <c r="A2942" s="2" t="str">
        <f>"09040000865"</f>
        <v>09040000865</v>
      </c>
      <c r="B2942" s="2" t="s">
        <v>2945</v>
      </c>
      <c r="C2942" s="2">
        <v>720.81</v>
      </c>
      <c r="D2942" s="2" t="s">
        <v>5</v>
      </c>
    </row>
    <row r="2943" spans="1:4" ht="15" customHeight="1" x14ac:dyDescent="0.25">
      <c r="A2943" s="2" t="str">
        <f>"09040000870"</f>
        <v>09040000870</v>
      </c>
      <c r="B2943" s="2" t="s">
        <v>2946</v>
      </c>
      <c r="C2943" s="2">
        <v>1081.19</v>
      </c>
      <c r="D2943" s="2" t="s">
        <v>5</v>
      </c>
    </row>
    <row r="2944" spans="1:4" ht="15" customHeight="1" x14ac:dyDescent="0.25">
      <c r="A2944" s="2" t="str">
        <f>"09040000875"</f>
        <v>09040000875</v>
      </c>
      <c r="B2944" s="2" t="s">
        <v>2947</v>
      </c>
      <c r="C2944" s="2">
        <v>232.52</v>
      </c>
      <c r="D2944" s="2" t="s">
        <v>5</v>
      </c>
    </row>
    <row r="2945" spans="1:4" ht="15" customHeight="1" x14ac:dyDescent="0.25">
      <c r="A2945" s="2" t="str">
        <f>"09040000880"</f>
        <v>09040000880</v>
      </c>
      <c r="B2945" s="2" t="s">
        <v>2948</v>
      </c>
      <c r="C2945" s="2">
        <v>332.18</v>
      </c>
      <c r="D2945" s="2" t="s">
        <v>5</v>
      </c>
    </row>
    <row r="2946" spans="1:4" ht="15" customHeight="1" x14ac:dyDescent="0.25">
      <c r="A2946" s="2" t="str">
        <f>"09040000885"</f>
        <v>09040000885</v>
      </c>
      <c r="B2946" s="2" t="s">
        <v>2949</v>
      </c>
      <c r="C2946" s="2">
        <v>531.48</v>
      </c>
      <c r="D2946" s="2" t="s">
        <v>5</v>
      </c>
    </row>
    <row r="2947" spans="1:4" ht="15" customHeight="1" x14ac:dyDescent="0.25">
      <c r="A2947" s="2" t="str">
        <f>"09040000890"</f>
        <v>09040000890</v>
      </c>
      <c r="B2947" s="2" t="s">
        <v>2950</v>
      </c>
      <c r="C2947" s="2">
        <v>783.9</v>
      </c>
      <c r="D2947" s="2" t="s">
        <v>5</v>
      </c>
    </row>
    <row r="2948" spans="1:4" ht="15" customHeight="1" x14ac:dyDescent="0.25">
      <c r="A2948" s="2" t="str">
        <f>"09040000895"</f>
        <v>09040000895</v>
      </c>
      <c r="B2948" s="2" t="s">
        <v>2951</v>
      </c>
      <c r="C2948" s="2">
        <v>943.37</v>
      </c>
      <c r="D2948" s="2" t="s">
        <v>5</v>
      </c>
    </row>
    <row r="2949" spans="1:4" ht="15" customHeight="1" x14ac:dyDescent="0.25">
      <c r="A2949" s="2" t="str">
        <f>"09040000900"</f>
        <v>09040000900</v>
      </c>
      <c r="B2949" s="2" t="s">
        <v>2952</v>
      </c>
      <c r="C2949" s="2">
        <v>1262.24</v>
      </c>
      <c r="D2949" s="2" t="s">
        <v>5</v>
      </c>
    </row>
    <row r="2950" spans="1:4" ht="15" customHeight="1" x14ac:dyDescent="0.25">
      <c r="A2950" s="2" t="str">
        <f>"09040000905"</f>
        <v>09040000905</v>
      </c>
      <c r="B2950" s="2" t="s">
        <v>2953</v>
      </c>
      <c r="C2950" s="2">
        <v>290.64</v>
      </c>
      <c r="D2950" s="2" t="s">
        <v>5</v>
      </c>
    </row>
    <row r="2951" spans="1:4" ht="15" customHeight="1" x14ac:dyDescent="0.25">
      <c r="A2951" s="2" t="str">
        <f>"09040000910"</f>
        <v>09040000910</v>
      </c>
      <c r="B2951" s="2" t="s">
        <v>2954</v>
      </c>
      <c r="C2951" s="2">
        <v>398.58</v>
      </c>
      <c r="D2951" s="2" t="s">
        <v>5</v>
      </c>
    </row>
    <row r="2952" spans="1:4" ht="15" customHeight="1" x14ac:dyDescent="0.25">
      <c r="A2952" s="2" t="str">
        <f>"09040000915"</f>
        <v>09040000915</v>
      </c>
      <c r="B2952" s="2" t="s">
        <v>2955</v>
      </c>
      <c r="C2952" s="2">
        <v>581.29999999999995</v>
      </c>
      <c r="D2952" s="2" t="s">
        <v>5</v>
      </c>
    </row>
    <row r="2953" spans="1:4" ht="15" customHeight="1" x14ac:dyDescent="0.25">
      <c r="A2953" s="2" t="str">
        <f>"09040000920"</f>
        <v>09040000920</v>
      </c>
      <c r="B2953" s="2" t="s">
        <v>2956</v>
      </c>
      <c r="C2953" s="2">
        <v>825.44</v>
      </c>
      <c r="D2953" s="2" t="s">
        <v>5</v>
      </c>
    </row>
    <row r="2954" spans="1:4" ht="15" customHeight="1" x14ac:dyDescent="0.25">
      <c r="A2954" s="2" t="str">
        <f>"09040000925"</f>
        <v>09040000925</v>
      </c>
      <c r="B2954" s="2" t="s">
        <v>2957</v>
      </c>
      <c r="C2954" s="2">
        <v>1057.95</v>
      </c>
      <c r="D2954" s="2" t="s">
        <v>5</v>
      </c>
    </row>
    <row r="2955" spans="1:4" ht="15" customHeight="1" x14ac:dyDescent="0.25">
      <c r="A2955" s="2" t="str">
        <f>"09040000930"</f>
        <v>09040000930</v>
      </c>
      <c r="B2955" s="2" t="s">
        <v>2958</v>
      </c>
      <c r="C2955" s="2">
        <v>1594.4</v>
      </c>
      <c r="D2955" s="2" t="s">
        <v>5</v>
      </c>
    </row>
    <row r="2956" spans="1:4" ht="15" customHeight="1" x14ac:dyDescent="0.25">
      <c r="A2956" s="2" t="str">
        <f>"09040000935"</f>
        <v>09040000935</v>
      </c>
      <c r="B2956" s="2" t="s">
        <v>2959</v>
      </c>
      <c r="C2956" s="2">
        <v>448.43</v>
      </c>
      <c r="D2956" s="2" t="s">
        <v>5</v>
      </c>
    </row>
    <row r="2957" spans="1:4" ht="15" customHeight="1" x14ac:dyDescent="0.25">
      <c r="A2957" s="2" t="str">
        <f>"09040000940"</f>
        <v>09040000940</v>
      </c>
      <c r="B2957" s="2" t="s">
        <v>2960</v>
      </c>
      <c r="C2957" s="2">
        <v>597.9</v>
      </c>
      <c r="D2957" s="2" t="s">
        <v>5</v>
      </c>
    </row>
    <row r="2958" spans="1:4" ht="15" customHeight="1" x14ac:dyDescent="0.25">
      <c r="A2958" s="2" t="str">
        <f>"09040000945"</f>
        <v>09040000945</v>
      </c>
      <c r="B2958" s="2" t="s">
        <v>2961</v>
      </c>
      <c r="C2958" s="2">
        <v>790.56</v>
      </c>
      <c r="D2958" s="2" t="s">
        <v>5</v>
      </c>
    </row>
    <row r="2959" spans="1:4" ht="15" customHeight="1" x14ac:dyDescent="0.25">
      <c r="A2959" s="2" t="str">
        <f>"09040000950"</f>
        <v>09040000950</v>
      </c>
      <c r="B2959" s="2" t="s">
        <v>2962</v>
      </c>
      <c r="C2959" s="2">
        <v>1270.53</v>
      </c>
      <c r="D2959" s="2" t="s">
        <v>5</v>
      </c>
    </row>
    <row r="2960" spans="1:4" ht="15" customHeight="1" x14ac:dyDescent="0.25">
      <c r="A2960" s="2" t="str">
        <f>"09040000955"</f>
        <v>09040000955</v>
      </c>
      <c r="B2960" s="2" t="s">
        <v>2963</v>
      </c>
      <c r="C2960" s="2">
        <v>1554.54</v>
      </c>
      <c r="D2960" s="2" t="s">
        <v>5</v>
      </c>
    </row>
    <row r="2961" spans="1:4" ht="15" customHeight="1" x14ac:dyDescent="0.25">
      <c r="A2961" s="2" t="str">
        <f>"09040000960"</f>
        <v>09040000960</v>
      </c>
      <c r="B2961" s="2" t="s">
        <v>2964</v>
      </c>
      <c r="C2961" s="2">
        <v>2139.15</v>
      </c>
      <c r="D2961" s="2" t="s">
        <v>5</v>
      </c>
    </row>
    <row r="2962" spans="1:4" ht="15" customHeight="1" x14ac:dyDescent="0.25">
      <c r="A2962" s="2" t="str">
        <f>"09040000965"</f>
        <v>09040000965</v>
      </c>
      <c r="B2962" s="2" t="s">
        <v>2965</v>
      </c>
      <c r="C2962" s="2">
        <v>508.44</v>
      </c>
      <c r="D2962" s="2" t="s">
        <v>5</v>
      </c>
    </row>
    <row r="2963" spans="1:4" ht="15" customHeight="1" x14ac:dyDescent="0.25">
      <c r="A2963" s="2" t="str">
        <f>"09040000970"</f>
        <v>09040000970</v>
      </c>
      <c r="B2963" s="2" t="s">
        <v>2966</v>
      </c>
      <c r="C2963" s="2">
        <v>762.75</v>
      </c>
      <c r="D2963" s="2" t="s">
        <v>5</v>
      </c>
    </row>
    <row r="2964" spans="1:4" ht="15" customHeight="1" x14ac:dyDescent="0.25">
      <c r="A2964" s="2" t="str">
        <f>"09040000975"</f>
        <v>09040000975</v>
      </c>
      <c r="B2964" s="2" t="s">
        <v>2967</v>
      </c>
      <c r="C2964" s="2">
        <v>999.75</v>
      </c>
      <c r="D2964" s="2" t="s">
        <v>5</v>
      </c>
    </row>
    <row r="2965" spans="1:4" ht="15" customHeight="1" x14ac:dyDescent="0.25">
      <c r="A2965" s="2" t="str">
        <f>"09040000980"</f>
        <v>09040000980</v>
      </c>
      <c r="B2965" s="2" t="s">
        <v>2968</v>
      </c>
      <c r="C2965" s="2">
        <v>1932.84</v>
      </c>
      <c r="D2965" s="2" t="s">
        <v>5</v>
      </c>
    </row>
    <row r="2966" spans="1:4" ht="15" customHeight="1" x14ac:dyDescent="0.25">
      <c r="A2966" s="2" t="str">
        <f>"09040000985"</f>
        <v>09040000985</v>
      </c>
      <c r="B2966" s="2" t="s">
        <v>2969</v>
      </c>
      <c r="C2966" s="2">
        <v>2881.67</v>
      </c>
      <c r="D2966" s="2" t="s">
        <v>5</v>
      </c>
    </row>
    <row r="2967" spans="1:4" ht="15" customHeight="1" x14ac:dyDescent="0.25">
      <c r="A2967" s="2" t="str">
        <f>"09040000990"</f>
        <v>09040000990</v>
      </c>
      <c r="B2967" s="2" t="s">
        <v>2970</v>
      </c>
      <c r="C2967" s="2">
        <v>3971.19</v>
      </c>
      <c r="D2967" s="2" t="s">
        <v>5</v>
      </c>
    </row>
    <row r="2968" spans="1:4" ht="15" customHeight="1" x14ac:dyDescent="0.25">
      <c r="A2968" s="2" t="str">
        <f>"09040000995"</f>
        <v>09040000995</v>
      </c>
      <c r="B2968" s="2" t="s">
        <v>2971</v>
      </c>
      <c r="C2968" s="2">
        <v>784.47</v>
      </c>
      <c r="D2968" s="2" t="s">
        <v>5</v>
      </c>
    </row>
    <row r="2969" spans="1:4" ht="15" customHeight="1" x14ac:dyDescent="0.25">
      <c r="A2969" s="2" t="str">
        <f>"09040001000"</f>
        <v>09040001000</v>
      </c>
      <c r="B2969" s="2" t="s">
        <v>2972</v>
      </c>
      <c r="C2969" s="2">
        <v>1372.92</v>
      </c>
      <c r="D2969" s="2" t="s">
        <v>5</v>
      </c>
    </row>
    <row r="2970" spans="1:4" ht="15" customHeight="1" x14ac:dyDescent="0.25">
      <c r="A2970" s="2" t="str">
        <f>"09040001005"</f>
        <v>09040001005</v>
      </c>
      <c r="B2970" s="2" t="s">
        <v>2973</v>
      </c>
      <c r="C2970" s="2">
        <v>1542.48</v>
      </c>
      <c r="D2970" s="2" t="s">
        <v>5</v>
      </c>
    </row>
    <row r="2971" spans="1:4" ht="15" customHeight="1" x14ac:dyDescent="0.25">
      <c r="A2971" s="2" t="str">
        <f>"09040001010"</f>
        <v>09040001010</v>
      </c>
      <c r="B2971" s="2" t="s">
        <v>2974</v>
      </c>
      <c r="C2971" s="2">
        <v>2087.4899999999998</v>
      </c>
      <c r="D2971" s="2" t="s">
        <v>5</v>
      </c>
    </row>
    <row r="2972" spans="1:4" ht="15" customHeight="1" x14ac:dyDescent="0.25">
      <c r="A2972" s="2" t="str">
        <f>"09040001015"</f>
        <v>09040001015</v>
      </c>
      <c r="B2972" s="2" t="s">
        <v>2975</v>
      </c>
      <c r="C2972" s="2">
        <v>3112.2</v>
      </c>
      <c r="D2972" s="2" t="s">
        <v>5</v>
      </c>
    </row>
    <row r="2973" spans="1:4" ht="15" customHeight="1" x14ac:dyDescent="0.25">
      <c r="A2973" s="2" t="str">
        <f>"09040001020"</f>
        <v>09040001020</v>
      </c>
      <c r="B2973" s="2" t="s">
        <v>2976</v>
      </c>
      <c r="C2973" s="2">
        <v>4765.4399999999996</v>
      </c>
      <c r="D2973" s="2" t="s">
        <v>5</v>
      </c>
    </row>
    <row r="2974" spans="1:4" ht="15" customHeight="1" x14ac:dyDescent="0.25">
      <c r="A2974" s="2" t="str">
        <f>"09040001025"</f>
        <v>09040001025</v>
      </c>
      <c r="B2974" s="2" t="s">
        <v>2977</v>
      </c>
      <c r="C2974" s="2">
        <v>1743.24</v>
      </c>
      <c r="D2974" s="2" t="s">
        <v>5</v>
      </c>
    </row>
    <row r="2975" spans="1:4" ht="15" customHeight="1" x14ac:dyDescent="0.25">
      <c r="A2975" s="2" t="str">
        <f>"09040001030"</f>
        <v>09040001030</v>
      </c>
      <c r="B2975" s="2" t="s">
        <v>2978</v>
      </c>
      <c r="C2975" s="2">
        <v>2288.2199999999998</v>
      </c>
      <c r="D2975" s="2" t="s">
        <v>5</v>
      </c>
    </row>
    <row r="2976" spans="1:4" ht="15" customHeight="1" x14ac:dyDescent="0.25">
      <c r="A2976" s="2" t="str">
        <f>"09040001035"</f>
        <v>09040001035</v>
      </c>
      <c r="B2976" s="2" t="s">
        <v>2979</v>
      </c>
      <c r="C2976" s="2">
        <v>2856.45</v>
      </c>
      <c r="D2976" s="2" t="s">
        <v>5</v>
      </c>
    </row>
    <row r="2977" spans="1:4" ht="15" customHeight="1" x14ac:dyDescent="0.25">
      <c r="A2977" s="2" t="str">
        <f>"09040001040"</f>
        <v>09040001040</v>
      </c>
      <c r="B2977" s="2" t="s">
        <v>2980</v>
      </c>
      <c r="C2977" s="2">
        <v>4638.83</v>
      </c>
      <c r="D2977" s="2" t="s">
        <v>5</v>
      </c>
    </row>
    <row r="2978" spans="1:4" ht="15" customHeight="1" x14ac:dyDescent="0.25">
      <c r="A2978" s="2" t="str">
        <f>"09040001045"</f>
        <v>09040001045</v>
      </c>
      <c r="B2978" s="2" t="s">
        <v>2981</v>
      </c>
      <c r="C2978" s="2">
        <v>6916.02</v>
      </c>
      <c r="D2978" s="2" t="s">
        <v>5</v>
      </c>
    </row>
    <row r="2979" spans="1:4" ht="15" customHeight="1" x14ac:dyDescent="0.25">
      <c r="A2979" s="2" t="str">
        <f>"09040001050"</f>
        <v>09040001050</v>
      </c>
      <c r="B2979" s="2" t="s">
        <v>2982</v>
      </c>
      <c r="C2979" s="2">
        <v>9530.8700000000008</v>
      </c>
      <c r="D2979" s="2" t="s">
        <v>5</v>
      </c>
    </row>
    <row r="2980" spans="1:4" ht="15" customHeight="1" x14ac:dyDescent="0.25">
      <c r="A2980" s="2" t="str">
        <f>"09040001055"</f>
        <v>09040001055</v>
      </c>
      <c r="B2980" s="2" t="s">
        <v>2983</v>
      </c>
      <c r="C2980" s="2">
        <v>2324.3000000000002</v>
      </c>
      <c r="D2980" s="2" t="s">
        <v>5</v>
      </c>
    </row>
    <row r="2981" spans="1:4" ht="15" customHeight="1" x14ac:dyDescent="0.25">
      <c r="A2981" s="2" t="str">
        <f>"09040001060"</f>
        <v>09040001060</v>
      </c>
      <c r="B2981" s="2" t="s">
        <v>2984</v>
      </c>
      <c r="C2981" s="2">
        <v>2860.26</v>
      </c>
      <c r="D2981" s="2" t="s">
        <v>5</v>
      </c>
    </row>
    <row r="2982" spans="1:4" ht="15" customHeight="1" x14ac:dyDescent="0.25">
      <c r="A2982" s="2" t="str">
        <f>"09040001065"</f>
        <v>09040001065</v>
      </c>
      <c r="B2982" s="2" t="s">
        <v>2985</v>
      </c>
      <c r="C2982" s="2">
        <v>3713.39</v>
      </c>
      <c r="D2982" s="2" t="s">
        <v>5</v>
      </c>
    </row>
    <row r="2983" spans="1:4" ht="15" customHeight="1" x14ac:dyDescent="0.25">
      <c r="A2983" s="2" t="str">
        <f>"09040001070"</f>
        <v>09040001070</v>
      </c>
      <c r="B2983" s="2" t="s">
        <v>2986</v>
      </c>
      <c r="C2983" s="2">
        <v>5411.96</v>
      </c>
      <c r="D2983" s="2" t="s">
        <v>5</v>
      </c>
    </row>
    <row r="2984" spans="1:4" ht="15" customHeight="1" x14ac:dyDescent="0.25">
      <c r="A2984" s="2" t="str">
        <f>"09040001075"</f>
        <v>09040001075</v>
      </c>
      <c r="B2984" s="2" t="s">
        <v>2987</v>
      </c>
      <c r="C2984" s="2">
        <v>8068.68</v>
      </c>
      <c r="D2984" s="2" t="s">
        <v>5</v>
      </c>
    </row>
    <row r="2985" spans="1:4" ht="15" customHeight="1" x14ac:dyDescent="0.25">
      <c r="A2985" s="2" t="str">
        <f>"09040001080"</f>
        <v>09040001080</v>
      </c>
      <c r="B2985" s="2" t="s">
        <v>2988</v>
      </c>
      <c r="C2985" s="2">
        <v>11913.57</v>
      </c>
      <c r="D2985" s="2" t="s">
        <v>5</v>
      </c>
    </row>
    <row r="2986" spans="1:4" ht="15" customHeight="1" x14ac:dyDescent="0.25">
      <c r="A2986" s="2" t="str">
        <f>"09010001120"</f>
        <v>09010001120</v>
      </c>
      <c r="B2986" s="2" t="s">
        <v>2989</v>
      </c>
      <c r="C2986" s="2">
        <v>566.4</v>
      </c>
      <c r="D2986" s="2" t="s">
        <v>5</v>
      </c>
    </row>
    <row r="2987" spans="1:4" ht="15" customHeight="1" x14ac:dyDescent="0.25">
      <c r="A2987" s="2" t="str">
        <f>"09040000495"</f>
        <v>09040000495</v>
      </c>
      <c r="B2987" s="2" t="s">
        <v>2990</v>
      </c>
      <c r="C2987" s="2">
        <v>89.69</v>
      </c>
      <c r="D2987" s="2" t="s">
        <v>5</v>
      </c>
    </row>
    <row r="2988" spans="1:4" ht="15" customHeight="1" x14ac:dyDescent="0.25">
      <c r="A2988" s="2" t="str">
        <f>"09040000500"</f>
        <v>09040000500</v>
      </c>
      <c r="B2988" s="2" t="s">
        <v>2991</v>
      </c>
      <c r="C2988" s="2">
        <v>132.87</v>
      </c>
      <c r="D2988" s="2" t="s">
        <v>5</v>
      </c>
    </row>
    <row r="2989" spans="1:4" ht="15" customHeight="1" x14ac:dyDescent="0.25">
      <c r="A2989" s="2" t="str">
        <f>"09040000505"</f>
        <v>09040000505</v>
      </c>
      <c r="B2989" s="2" t="s">
        <v>2992</v>
      </c>
      <c r="C2989" s="2">
        <v>199.29</v>
      </c>
      <c r="D2989" s="2" t="s">
        <v>5</v>
      </c>
    </row>
    <row r="2990" spans="1:4" ht="15" customHeight="1" x14ac:dyDescent="0.25">
      <c r="A2990" s="2" t="str">
        <f>"09040000510"</f>
        <v>09040000510</v>
      </c>
      <c r="B2990" s="2" t="s">
        <v>2993</v>
      </c>
      <c r="C2990" s="2">
        <v>372.02</v>
      </c>
      <c r="D2990" s="2" t="s">
        <v>5</v>
      </c>
    </row>
    <row r="2991" spans="1:4" ht="15" customHeight="1" x14ac:dyDescent="0.25">
      <c r="A2991" s="2" t="str">
        <f>"09040000515"</f>
        <v>09040000515</v>
      </c>
      <c r="B2991" s="2" t="s">
        <v>2994</v>
      </c>
      <c r="C2991" s="2">
        <v>418.52</v>
      </c>
      <c r="D2991" s="2" t="s">
        <v>5</v>
      </c>
    </row>
    <row r="2992" spans="1:4" ht="15" customHeight="1" x14ac:dyDescent="0.25">
      <c r="A2992" s="2" t="str">
        <f>"09040000520"</f>
        <v>09040000520</v>
      </c>
      <c r="B2992" s="2" t="s">
        <v>2995</v>
      </c>
      <c r="C2992" s="2">
        <v>677.61</v>
      </c>
      <c r="D2992" s="2" t="s">
        <v>5</v>
      </c>
    </row>
    <row r="2993" spans="1:4" ht="15" customHeight="1" x14ac:dyDescent="0.25">
      <c r="A2993" s="2" t="str">
        <f>"09040000540"</f>
        <v>09040000540</v>
      </c>
      <c r="B2993" s="2" t="s">
        <v>2996</v>
      </c>
      <c r="C2993" s="2">
        <v>132.87</v>
      </c>
      <c r="D2993" s="2" t="s">
        <v>5</v>
      </c>
    </row>
    <row r="2994" spans="1:4" ht="15" customHeight="1" x14ac:dyDescent="0.25">
      <c r="A2994" s="2" t="str">
        <f>"09040000545"</f>
        <v>09040000545</v>
      </c>
      <c r="B2994" s="2" t="s">
        <v>2997</v>
      </c>
      <c r="C2994" s="2">
        <v>199.29</v>
      </c>
      <c r="D2994" s="2" t="s">
        <v>5</v>
      </c>
    </row>
    <row r="2995" spans="1:4" ht="15" customHeight="1" x14ac:dyDescent="0.25">
      <c r="A2995" s="2" t="str">
        <f>"09040000550"</f>
        <v>09040000550</v>
      </c>
      <c r="B2995" s="2" t="s">
        <v>2998</v>
      </c>
      <c r="C2995" s="2">
        <v>194.33</v>
      </c>
      <c r="D2995" s="2" t="s">
        <v>5</v>
      </c>
    </row>
    <row r="2996" spans="1:4" ht="15" customHeight="1" x14ac:dyDescent="0.25">
      <c r="A2996" s="2" t="str">
        <f>"09120000090"</f>
        <v>09120000090</v>
      </c>
      <c r="B2996" s="2" t="s">
        <v>2999</v>
      </c>
      <c r="C2996" s="2">
        <v>3008.34</v>
      </c>
      <c r="D2996" s="2" t="s">
        <v>5</v>
      </c>
    </row>
    <row r="2997" spans="1:4" ht="15" customHeight="1" x14ac:dyDescent="0.25">
      <c r="A2997" s="2" t="str">
        <f>"09010000680"</f>
        <v>09010000680</v>
      </c>
      <c r="B2997" s="2" t="s">
        <v>3000</v>
      </c>
      <c r="C2997" s="2">
        <v>407.12</v>
      </c>
      <c r="D2997" s="2" t="s">
        <v>5</v>
      </c>
    </row>
    <row r="2998" spans="1:4" ht="15" customHeight="1" x14ac:dyDescent="0.25">
      <c r="A2998" s="2" t="str">
        <f>"09120000095"</f>
        <v>09120000095</v>
      </c>
      <c r="B2998" s="2" t="s">
        <v>3001</v>
      </c>
      <c r="C2998" s="2">
        <v>3807</v>
      </c>
      <c r="D2998" s="2" t="s">
        <v>5</v>
      </c>
    </row>
    <row r="2999" spans="1:4" ht="15" customHeight="1" x14ac:dyDescent="0.25">
      <c r="A2999" s="2" t="str">
        <f>"09120000100"</f>
        <v>09120000100</v>
      </c>
      <c r="B2999" s="2" t="s">
        <v>3002</v>
      </c>
      <c r="C2999" s="2">
        <v>9136.7999999999993</v>
      </c>
      <c r="D2999" s="2" t="s">
        <v>5</v>
      </c>
    </row>
    <row r="3000" spans="1:4" ht="15" customHeight="1" x14ac:dyDescent="0.25">
      <c r="A3000" s="2" t="str">
        <f>"09040000565"</f>
        <v>09040000565</v>
      </c>
      <c r="B3000" s="2" t="s">
        <v>3003</v>
      </c>
      <c r="C3000" s="2">
        <v>249.11</v>
      </c>
      <c r="D3000" s="2" t="s">
        <v>5</v>
      </c>
    </row>
    <row r="3001" spans="1:4" ht="15" customHeight="1" x14ac:dyDescent="0.25">
      <c r="A3001" s="2" t="str">
        <f>"09040000575"</f>
        <v>09040000575</v>
      </c>
      <c r="B3001" s="2" t="s">
        <v>3004</v>
      </c>
      <c r="C3001" s="2">
        <v>747.38</v>
      </c>
      <c r="D3001" s="2" t="s">
        <v>5</v>
      </c>
    </row>
    <row r="3002" spans="1:4" ht="15" customHeight="1" x14ac:dyDescent="0.25">
      <c r="A3002" s="2" t="str">
        <f>"09040000570"</f>
        <v>09040000570</v>
      </c>
      <c r="B3002" s="2" t="s">
        <v>3005</v>
      </c>
      <c r="C3002" s="2">
        <v>511.53</v>
      </c>
      <c r="D3002" s="2" t="s">
        <v>5</v>
      </c>
    </row>
    <row r="3003" spans="1:4" ht="15" customHeight="1" x14ac:dyDescent="0.25">
      <c r="A3003" s="2" t="str">
        <f>"09040000555"</f>
        <v>09040000555</v>
      </c>
      <c r="B3003" s="2" t="s">
        <v>3006</v>
      </c>
      <c r="C3003" s="2">
        <v>99.65</v>
      </c>
      <c r="D3003" s="2" t="s">
        <v>5</v>
      </c>
    </row>
    <row r="3004" spans="1:4" ht="15" customHeight="1" x14ac:dyDescent="0.25">
      <c r="A3004" s="2" t="str">
        <f>"09040000580"</f>
        <v>09040000580</v>
      </c>
      <c r="B3004" s="2" t="s">
        <v>3007</v>
      </c>
      <c r="C3004" s="2">
        <v>1079.55</v>
      </c>
      <c r="D3004" s="2" t="s">
        <v>5</v>
      </c>
    </row>
    <row r="3005" spans="1:4" ht="15" customHeight="1" x14ac:dyDescent="0.25">
      <c r="A3005" s="2" t="str">
        <f>"09120000105"</f>
        <v>09120000105</v>
      </c>
      <c r="B3005" s="2" t="s">
        <v>3008</v>
      </c>
      <c r="C3005" s="2">
        <v>4571.6400000000003</v>
      </c>
      <c r="D3005" s="2" t="s">
        <v>5</v>
      </c>
    </row>
    <row r="3006" spans="1:4" ht="15" customHeight="1" x14ac:dyDescent="0.25">
      <c r="A3006" s="2" t="str">
        <f>"09120000110"</f>
        <v>09120000110</v>
      </c>
      <c r="B3006" s="2" t="s">
        <v>3009</v>
      </c>
      <c r="C3006" s="2">
        <v>5712.12</v>
      </c>
      <c r="D3006" s="2" t="s">
        <v>5</v>
      </c>
    </row>
    <row r="3007" spans="1:4" ht="15" customHeight="1" x14ac:dyDescent="0.25">
      <c r="A3007" s="2" t="str">
        <f>"09040000560"</f>
        <v>09040000560</v>
      </c>
      <c r="B3007" s="2" t="s">
        <v>3010</v>
      </c>
      <c r="C3007" s="2">
        <v>149.47999999999999</v>
      </c>
      <c r="D3007" s="2" t="s">
        <v>5</v>
      </c>
    </row>
    <row r="3008" spans="1:4" ht="15" customHeight="1" x14ac:dyDescent="0.25">
      <c r="A3008" s="2" t="str">
        <f>"09120000115"</f>
        <v>09120000115</v>
      </c>
      <c r="B3008" s="2" t="s">
        <v>3011</v>
      </c>
      <c r="C3008" s="2">
        <v>9143.2800000000007</v>
      </c>
      <c r="D3008" s="2" t="s">
        <v>5</v>
      </c>
    </row>
    <row r="3009" spans="1:4" ht="15" customHeight="1" x14ac:dyDescent="0.25">
      <c r="A3009" s="2" t="str">
        <f>"09040000610"</f>
        <v>09040000610</v>
      </c>
      <c r="B3009" s="2" t="s">
        <v>3012</v>
      </c>
      <c r="C3009" s="2">
        <v>166.08</v>
      </c>
      <c r="D3009" s="2" t="s">
        <v>5</v>
      </c>
    </row>
    <row r="3010" spans="1:4" ht="15" customHeight="1" x14ac:dyDescent="0.25">
      <c r="A3010" s="2" t="str">
        <f>"09040000620"</f>
        <v>09040000620</v>
      </c>
      <c r="B3010" s="2" t="s">
        <v>3013</v>
      </c>
      <c r="C3010" s="2">
        <v>358.74</v>
      </c>
      <c r="D3010" s="2" t="s">
        <v>5</v>
      </c>
    </row>
    <row r="3011" spans="1:4" ht="15" customHeight="1" x14ac:dyDescent="0.25">
      <c r="A3011" s="2" t="str">
        <f>"09040000615"</f>
        <v>09040000615</v>
      </c>
      <c r="B3011" s="2" t="s">
        <v>3014</v>
      </c>
      <c r="C3011" s="2">
        <v>318.89</v>
      </c>
      <c r="D3011" s="2" t="s">
        <v>5</v>
      </c>
    </row>
    <row r="3012" spans="1:4" ht="15" customHeight="1" x14ac:dyDescent="0.25">
      <c r="A3012" s="2" t="str">
        <f>"09040000600"</f>
        <v>09040000600</v>
      </c>
      <c r="B3012" s="2" t="s">
        <v>3015</v>
      </c>
      <c r="C3012" s="2">
        <v>73.08</v>
      </c>
      <c r="D3012" s="2" t="s">
        <v>5</v>
      </c>
    </row>
    <row r="3013" spans="1:4" ht="15" customHeight="1" x14ac:dyDescent="0.25">
      <c r="A3013" s="2" t="str">
        <f>"09040000625"</f>
        <v>09040000625</v>
      </c>
      <c r="B3013" s="2" t="s">
        <v>3016</v>
      </c>
      <c r="C3013" s="2">
        <v>627.79999999999995</v>
      </c>
      <c r="D3013" s="2" t="s">
        <v>5</v>
      </c>
    </row>
    <row r="3014" spans="1:4" ht="15" customHeight="1" x14ac:dyDescent="0.25">
      <c r="A3014" s="2" t="str">
        <f>"09120000120"</f>
        <v>09120000120</v>
      </c>
      <c r="B3014" s="2" t="s">
        <v>3017</v>
      </c>
      <c r="C3014" s="2">
        <v>3048.84</v>
      </c>
      <c r="D3014" s="2" t="s">
        <v>5</v>
      </c>
    </row>
    <row r="3015" spans="1:4" ht="15" customHeight="1" x14ac:dyDescent="0.25">
      <c r="A3015" s="2" t="str">
        <f>"09120000125"</f>
        <v>09120000125</v>
      </c>
      <c r="B3015" s="2" t="s">
        <v>3018</v>
      </c>
      <c r="C3015" s="2">
        <v>3928.5</v>
      </c>
      <c r="D3015" s="2" t="s">
        <v>5</v>
      </c>
    </row>
    <row r="3016" spans="1:4" ht="15" customHeight="1" x14ac:dyDescent="0.25">
      <c r="A3016" s="2" t="str">
        <f>"09040000605"</f>
        <v>09040000605</v>
      </c>
      <c r="B3016" s="2" t="s">
        <v>3019</v>
      </c>
      <c r="C3016" s="2">
        <v>119.6</v>
      </c>
      <c r="D3016" s="2" t="s">
        <v>5</v>
      </c>
    </row>
    <row r="3017" spans="1:4" ht="15" customHeight="1" x14ac:dyDescent="0.25">
      <c r="A3017" s="2" t="str">
        <f>"09120000130"</f>
        <v>09120000130</v>
      </c>
      <c r="B3017" s="2" t="s">
        <v>3020</v>
      </c>
      <c r="C3017" s="2">
        <v>9143.2800000000007</v>
      </c>
      <c r="D3017" s="2" t="s">
        <v>5</v>
      </c>
    </row>
    <row r="3018" spans="1:4" ht="15" customHeight="1" x14ac:dyDescent="0.25">
      <c r="A3018" s="2" t="str">
        <f>"09120000135"</f>
        <v>09120000135</v>
      </c>
      <c r="B3018" s="2" t="s">
        <v>3021</v>
      </c>
      <c r="C3018" s="2">
        <v>10965.78</v>
      </c>
      <c r="D3018" s="2" t="s">
        <v>5</v>
      </c>
    </row>
    <row r="3019" spans="1:4" ht="15" customHeight="1" x14ac:dyDescent="0.25">
      <c r="A3019" s="2" t="str">
        <f>"09120000140"</f>
        <v>09120000140</v>
      </c>
      <c r="B3019" s="2" t="s">
        <v>3022</v>
      </c>
      <c r="C3019" s="2">
        <v>12799.62</v>
      </c>
      <c r="D3019" s="2" t="s">
        <v>5</v>
      </c>
    </row>
    <row r="3020" spans="1:4" ht="15" customHeight="1" x14ac:dyDescent="0.25">
      <c r="A3020" s="2" t="str">
        <f>"09120000145"</f>
        <v>09120000145</v>
      </c>
      <c r="B3020" s="2" t="s">
        <v>3023</v>
      </c>
      <c r="C3020" s="2">
        <v>40681.440000000002</v>
      </c>
      <c r="D3020" s="2" t="s">
        <v>5</v>
      </c>
    </row>
    <row r="3021" spans="1:4" ht="15" customHeight="1" x14ac:dyDescent="0.25">
      <c r="A3021" s="2" t="str">
        <f>"09040000655"</f>
        <v>09040000655</v>
      </c>
      <c r="B3021" s="2" t="s">
        <v>3024</v>
      </c>
      <c r="C3021" s="2">
        <v>637.76</v>
      </c>
      <c r="D3021" s="2" t="s">
        <v>5</v>
      </c>
    </row>
    <row r="3022" spans="1:4" ht="15" customHeight="1" x14ac:dyDescent="0.25">
      <c r="A3022" s="2" t="str">
        <f>"09040000665"</f>
        <v>09040000665</v>
      </c>
      <c r="B3022" s="2" t="s">
        <v>3025</v>
      </c>
      <c r="C3022" s="2">
        <v>1453.22</v>
      </c>
      <c r="D3022" s="2" t="s">
        <v>5</v>
      </c>
    </row>
    <row r="3023" spans="1:4" ht="15" customHeight="1" x14ac:dyDescent="0.25">
      <c r="A3023" s="2" t="str">
        <f>"09040000660"</f>
        <v>09040000660</v>
      </c>
      <c r="B3023" s="2" t="s">
        <v>3026</v>
      </c>
      <c r="C3023" s="2">
        <v>1150.97</v>
      </c>
      <c r="D3023" s="2" t="s">
        <v>5</v>
      </c>
    </row>
    <row r="3024" spans="1:4" ht="15" customHeight="1" x14ac:dyDescent="0.25">
      <c r="A3024" s="2" t="str">
        <f>"09040000700"</f>
        <v>09040000700</v>
      </c>
      <c r="B3024" s="2" t="s">
        <v>3027</v>
      </c>
      <c r="C3024" s="2">
        <v>602.88</v>
      </c>
      <c r="D3024" s="2" t="s">
        <v>5</v>
      </c>
    </row>
    <row r="3025" spans="1:4" ht="15" customHeight="1" x14ac:dyDescent="0.25">
      <c r="A3025" s="2" t="str">
        <f>"09040000695"</f>
        <v>09040000695</v>
      </c>
      <c r="B3025" s="2" t="s">
        <v>3028</v>
      </c>
      <c r="C3025" s="2">
        <v>597.9</v>
      </c>
      <c r="D3025" s="2" t="s">
        <v>5</v>
      </c>
    </row>
    <row r="3026" spans="1:4" ht="15" customHeight="1" x14ac:dyDescent="0.25">
      <c r="A3026" s="2" t="str">
        <f>"09040000645"</f>
        <v>09040000645</v>
      </c>
      <c r="B3026" s="2" t="s">
        <v>3029</v>
      </c>
      <c r="C3026" s="2">
        <v>249.11</v>
      </c>
      <c r="D3026" s="2" t="s">
        <v>5</v>
      </c>
    </row>
    <row r="3027" spans="1:4" ht="15" customHeight="1" x14ac:dyDescent="0.25">
      <c r="A3027" s="2" t="str">
        <f>"09040000710"</f>
        <v>09040000710</v>
      </c>
      <c r="B3027" s="2" t="s">
        <v>3030</v>
      </c>
      <c r="C3027" s="2">
        <v>617.84</v>
      </c>
      <c r="D3027" s="2" t="s">
        <v>5</v>
      </c>
    </row>
    <row r="3028" spans="1:4" ht="15" customHeight="1" x14ac:dyDescent="0.25">
      <c r="A3028" s="2" t="str">
        <f>"09040000670"</f>
        <v>09040000670</v>
      </c>
      <c r="B3028" s="2" t="s">
        <v>3031</v>
      </c>
      <c r="C3028" s="2">
        <v>2301.9299999999998</v>
      </c>
      <c r="D3028" s="2" t="s">
        <v>5</v>
      </c>
    </row>
    <row r="3029" spans="1:4" ht="15" customHeight="1" x14ac:dyDescent="0.25">
      <c r="A3029" s="2" t="str">
        <f>"09040000650"</f>
        <v>09040000650</v>
      </c>
      <c r="B3029" s="2" t="s">
        <v>3032</v>
      </c>
      <c r="C3029" s="2">
        <v>345.45</v>
      </c>
      <c r="D3029" s="2" t="s">
        <v>5</v>
      </c>
    </row>
    <row r="3030" spans="1:4" ht="15" customHeight="1" x14ac:dyDescent="0.25">
      <c r="A3030" s="2" t="str">
        <f>"09040000690"</f>
        <v>09040000690</v>
      </c>
      <c r="B3030" s="2" t="s">
        <v>3033</v>
      </c>
      <c r="C3030" s="2">
        <v>358.74</v>
      </c>
      <c r="D3030" s="2" t="s">
        <v>5</v>
      </c>
    </row>
    <row r="3031" spans="1:4" ht="15" customHeight="1" x14ac:dyDescent="0.25">
      <c r="A3031" s="2" t="str">
        <f>"09040000705"</f>
        <v>09040000705</v>
      </c>
      <c r="B3031" s="2" t="s">
        <v>3034</v>
      </c>
      <c r="C3031" s="2">
        <v>617.84</v>
      </c>
      <c r="D3031" s="2" t="s">
        <v>5</v>
      </c>
    </row>
    <row r="3032" spans="1:4" ht="15" customHeight="1" x14ac:dyDescent="0.25">
      <c r="A3032" s="2" t="str">
        <f>"09040000715"</f>
        <v>09040000715</v>
      </c>
      <c r="B3032" s="2" t="s">
        <v>3035</v>
      </c>
      <c r="C3032" s="2">
        <v>617.84</v>
      </c>
      <c r="D3032" s="2" t="s">
        <v>5</v>
      </c>
    </row>
    <row r="3033" spans="1:4" ht="15" customHeight="1" x14ac:dyDescent="0.25">
      <c r="A3033" s="2" t="str">
        <f>"09030000450"</f>
        <v>09030000450</v>
      </c>
      <c r="B3033" s="2" t="s">
        <v>3036</v>
      </c>
      <c r="C3033" s="2">
        <v>2950.1</v>
      </c>
      <c r="D3033" s="2" t="s">
        <v>5</v>
      </c>
    </row>
    <row r="3034" spans="1:4" ht="15" customHeight="1" x14ac:dyDescent="0.25">
      <c r="A3034" s="2" t="str">
        <f>"09030000455"</f>
        <v>09030000455</v>
      </c>
      <c r="B3034" s="2" t="s">
        <v>3037</v>
      </c>
      <c r="C3034" s="2">
        <v>4161.21</v>
      </c>
      <c r="D3034" s="2" t="s">
        <v>5</v>
      </c>
    </row>
    <row r="3035" spans="1:4" ht="15" customHeight="1" x14ac:dyDescent="0.25">
      <c r="A3035" s="2" t="str">
        <f>"09030000460"</f>
        <v>09030000460</v>
      </c>
      <c r="B3035" s="2" t="s">
        <v>3038</v>
      </c>
      <c r="C3035" s="2">
        <v>6176.28</v>
      </c>
      <c r="D3035" s="2" t="s">
        <v>5</v>
      </c>
    </row>
    <row r="3036" spans="1:4" ht="15" customHeight="1" x14ac:dyDescent="0.25">
      <c r="A3036" s="2" t="str">
        <f>"09030000465"</f>
        <v>09030000465</v>
      </c>
      <c r="B3036" s="2" t="s">
        <v>3039</v>
      </c>
      <c r="C3036" s="2">
        <v>8329.3799999999992</v>
      </c>
      <c r="D3036" s="2" t="s">
        <v>5</v>
      </c>
    </row>
    <row r="3037" spans="1:4" ht="15" customHeight="1" x14ac:dyDescent="0.25">
      <c r="A3037" s="2" t="str">
        <f>"09030000470"</f>
        <v>09030000470</v>
      </c>
      <c r="B3037" s="2" t="s">
        <v>3040</v>
      </c>
      <c r="C3037" s="2">
        <v>12922.74</v>
      </c>
      <c r="D3037" s="2" t="s">
        <v>5</v>
      </c>
    </row>
    <row r="3038" spans="1:4" ht="15" customHeight="1" x14ac:dyDescent="0.25">
      <c r="A3038" s="2" t="str">
        <f>"09030000475"</f>
        <v>09030000475</v>
      </c>
      <c r="B3038" s="2" t="s">
        <v>3041</v>
      </c>
      <c r="C3038" s="2">
        <v>20212.28</v>
      </c>
      <c r="D3038" s="2" t="s">
        <v>5</v>
      </c>
    </row>
    <row r="3039" spans="1:4" ht="15" customHeight="1" x14ac:dyDescent="0.25">
      <c r="A3039" s="2" t="str">
        <f>"09030000480"</f>
        <v>09030000480</v>
      </c>
      <c r="B3039" s="2" t="s">
        <v>3042</v>
      </c>
      <c r="C3039" s="2">
        <v>34529.360000000001</v>
      </c>
      <c r="D3039" s="2" t="s">
        <v>5</v>
      </c>
    </row>
    <row r="3040" spans="1:4" ht="15" customHeight="1" x14ac:dyDescent="0.25">
      <c r="A3040" s="2" t="str">
        <f>"09030000485"</f>
        <v>09030000485</v>
      </c>
      <c r="B3040" s="2" t="s">
        <v>3043</v>
      </c>
      <c r="C3040" s="2">
        <v>45974.7</v>
      </c>
      <c r="D3040" s="2" t="s">
        <v>5</v>
      </c>
    </row>
    <row r="3041" spans="1:4" ht="15" customHeight="1" x14ac:dyDescent="0.25">
      <c r="A3041" s="2" t="str">
        <f>"09030000490"</f>
        <v>09030000490</v>
      </c>
      <c r="B3041" s="2" t="s">
        <v>3044</v>
      </c>
      <c r="C3041" s="2">
        <v>67760.33</v>
      </c>
      <c r="D3041" s="2" t="s">
        <v>5</v>
      </c>
    </row>
    <row r="3042" spans="1:4" ht="15" customHeight="1" x14ac:dyDescent="0.25">
      <c r="A3042" s="2" t="str">
        <f>"09030000100"</f>
        <v>09030000100</v>
      </c>
      <c r="B3042" s="2" t="s">
        <v>3045</v>
      </c>
      <c r="C3042" s="2">
        <v>4658.09</v>
      </c>
      <c r="D3042" s="2" t="s">
        <v>5</v>
      </c>
    </row>
    <row r="3043" spans="1:4" ht="15" customHeight="1" x14ac:dyDescent="0.25">
      <c r="A3043" s="2" t="str">
        <f>"09030000105"</f>
        <v>09030000105</v>
      </c>
      <c r="B3043" s="2" t="s">
        <v>3046</v>
      </c>
      <c r="C3043" s="2">
        <v>6570.38</v>
      </c>
      <c r="D3043" s="2" t="s">
        <v>5</v>
      </c>
    </row>
    <row r="3044" spans="1:4" ht="15" customHeight="1" x14ac:dyDescent="0.25">
      <c r="A3044" s="2" t="str">
        <f>"09030000110"</f>
        <v>09030000110</v>
      </c>
      <c r="B3044" s="2" t="s">
        <v>3047</v>
      </c>
      <c r="C3044" s="2">
        <v>9751.17</v>
      </c>
      <c r="D3044" s="2" t="s">
        <v>5</v>
      </c>
    </row>
    <row r="3045" spans="1:4" ht="15" customHeight="1" x14ac:dyDescent="0.25">
      <c r="A3045" s="2" t="str">
        <f>"09030000115"</f>
        <v>09030000115</v>
      </c>
      <c r="B3045" s="2" t="s">
        <v>3048</v>
      </c>
      <c r="C3045" s="2">
        <v>13151.66</v>
      </c>
      <c r="D3045" s="2" t="s">
        <v>5</v>
      </c>
    </row>
    <row r="3046" spans="1:4" ht="15" customHeight="1" x14ac:dyDescent="0.25">
      <c r="A3046" s="2" t="str">
        <f>"09030000120"</f>
        <v>09030000120</v>
      </c>
      <c r="B3046" s="2" t="s">
        <v>3049</v>
      </c>
      <c r="C3046" s="2">
        <v>20404.34</v>
      </c>
      <c r="D3046" s="2" t="s">
        <v>5</v>
      </c>
    </row>
    <row r="3047" spans="1:4" ht="15" customHeight="1" x14ac:dyDescent="0.25">
      <c r="A3047" s="2" t="str">
        <f>"09030000125"</f>
        <v>09030000125</v>
      </c>
      <c r="B3047" s="2" t="s">
        <v>3050</v>
      </c>
      <c r="C3047" s="2">
        <v>31914.12</v>
      </c>
      <c r="D3047" s="2" t="s">
        <v>5</v>
      </c>
    </row>
    <row r="3048" spans="1:4" ht="15" customHeight="1" x14ac:dyDescent="0.25">
      <c r="A3048" s="2" t="str">
        <f>"09030000130"</f>
        <v>09030000130</v>
      </c>
      <c r="B3048" s="2" t="s">
        <v>3051</v>
      </c>
      <c r="C3048" s="2">
        <v>54520.07</v>
      </c>
      <c r="D3048" s="2" t="s">
        <v>5</v>
      </c>
    </row>
    <row r="3049" spans="1:4" ht="15" customHeight="1" x14ac:dyDescent="0.25">
      <c r="A3049" s="2" t="str">
        <f>"09030000135"</f>
        <v>09030000135</v>
      </c>
      <c r="B3049" s="2" t="s">
        <v>3052</v>
      </c>
      <c r="C3049" s="2">
        <v>72591.63</v>
      </c>
      <c r="D3049" s="2" t="s">
        <v>5</v>
      </c>
    </row>
    <row r="3050" spans="1:4" ht="15" customHeight="1" x14ac:dyDescent="0.25">
      <c r="A3050" s="2" t="str">
        <f>"09030000140"</f>
        <v>09030000140</v>
      </c>
      <c r="B3050" s="2" t="s">
        <v>3053</v>
      </c>
      <c r="C3050" s="2">
        <v>106990.02</v>
      </c>
      <c r="D3050" s="2" t="s">
        <v>5</v>
      </c>
    </row>
    <row r="3051" spans="1:4" ht="15" customHeight="1" x14ac:dyDescent="0.25">
      <c r="A3051" s="2" t="str">
        <f>"09030000400"</f>
        <v>09030000400</v>
      </c>
      <c r="B3051" s="2" t="s">
        <v>3054</v>
      </c>
      <c r="C3051" s="2">
        <v>2747.25</v>
      </c>
      <c r="D3051" s="2" t="s">
        <v>5</v>
      </c>
    </row>
    <row r="3052" spans="1:4" ht="15" customHeight="1" x14ac:dyDescent="0.25">
      <c r="A3052" s="2" t="str">
        <f>"09030000405"</f>
        <v>09030000405</v>
      </c>
      <c r="B3052" s="2" t="s">
        <v>3055</v>
      </c>
      <c r="C3052" s="2">
        <v>3646.94</v>
      </c>
      <c r="D3052" s="2" t="s">
        <v>5</v>
      </c>
    </row>
    <row r="3053" spans="1:4" ht="15" customHeight="1" x14ac:dyDescent="0.25">
      <c r="A3053" s="2" t="str">
        <f>"09030000410"</f>
        <v>09030000410</v>
      </c>
      <c r="B3053" s="2" t="s">
        <v>3056</v>
      </c>
      <c r="C3053" s="2">
        <v>5462.39</v>
      </c>
      <c r="D3053" s="2" t="s">
        <v>5</v>
      </c>
    </row>
    <row r="3054" spans="1:4" ht="15" customHeight="1" x14ac:dyDescent="0.25">
      <c r="A3054" s="2" t="str">
        <f>"09030000415"</f>
        <v>09030000415</v>
      </c>
      <c r="B3054" s="2" t="s">
        <v>3057</v>
      </c>
      <c r="C3054" s="2">
        <v>7377.39</v>
      </c>
      <c r="D3054" s="2" t="s">
        <v>5</v>
      </c>
    </row>
    <row r="3055" spans="1:4" ht="15" customHeight="1" x14ac:dyDescent="0.25">
      <c r="A3055" s="2" t="str">
        <f>"09030000420"</f>
        <v>09030000420</v>
      </c>
      <c r="B3055" s="2" t="s">
        <v>3058</v>
      </c>
      <c r="C3055" s="2">
        <v>11619.84</v>
      </c>
      <c r="D3055" s="2" t="s">
        <v>5</v>
      </c>
    </row>
    <row r="3056" spans="1:4" ht="15" customHeight="1" x14ac:dyDescent="0.25">
      <c r="A3056" s="2" t="str">
        <f>"09030000425"</f>
        <v>09030000425</v>
      </c>
      <c r="B3056" s="2" t="s">
        <v>3059</v>
      </c>
      <c r="C3056" s="2">
        <v>16022.15</v>
      </c>
      <c r="D3056" s="2" t="s">
        <v>5</v>
      </c>
    </row>
    <row r="3057" spans="1:4" ht="15" customHeight="1" x14ac:dyDescent="0.25">
      <c r="A3057" s="2" t="str">
        <f>"09030000005"</f>
        <v>09030000005</v>
      </c>
      <c r="B3057" s="2" t="s">
        <v>3060</v>
      </c>
      <c r="C3057" s="2">
        <v>4337.7299999999996</v>
      </c>
      <c r="D3057" s="2" t="s">
        <v>5</v>
      </c>
    </row>
    <row r="3058" spans="1:4" ht="15" customHeight="1" x14ac:dyDescent="0.25">
      <c r="A3058" s="2" t="str">
        <f>"09030000010"</f>
        <v>09030000010</v>
      </c>
      <c r="B3058" s="2" t="s">
        <v>3061</v>
      </c>
      <c r="C3058" s="2">
        <v>5758.29</v>
      </c>
      <c r="D3058" s="2" t="s">
        <v>5</v>
      </c>
    </row>
    <row r="3059" spans="1:4" ht="15" customHeight="1" x14ac:dyDescent="0.25">
      <c r="A3059" s="2" t="str">
        <f>"09030000015"</f>
        <v>09030000015</v>
      </c>
      <c r="B3059" s="2" t="s">
        <v>3062</v>
      </c>
      <c r="C3059" s="2">
        <v>8624.85</v>
      </c>
      <c r="D3059" s="2" t="s">
        <v>5</v>
      </c>
    </row>
    <row r="3060" spans="1:4" ht="15" customHeight="1" x14ac:dyDescent="0.25">
      <c r="A3060" s="2" t="str">
        <f>"09030000020"</f>
        <v>09030000020</v>
      </c>
      <c r="B3060" s="2" t="s">
        <v>3063</v>
      </c>
      <c r="C3060" s="2">
        <v>11648.54</v>
      </c>
      <c r="D3060" s="2" t="s">
        <v>5</v>
      </c>
    </row>
    <row r="3061" spans="1:4" ht="15" customHeight="1" x14ac:dyDescent="0.25">
      <c r="A3061" s="2" t="str">
        <f>"09030000025"</f>
        <v>09030000025</v>
      </c>
      <c r="B3061" s="2" t="s">
        <v>3064</v>
      </c>
      <c r="C3061" s="2">
        <v>18347.09</v>
      </c>
      <c r="D3061" s="2" t="s">
        <v>5</v>
      </c>
    </row>
    <row r="3062" spans="1:4" ht="15" customHeight="1" x14ac:dyDescent="0.25">
      <c r="A3062" s="2" t="str">
        <f>"09030000030"</f>
        <v>09030000030</v>
      </c>
      <c r="B3062" s="2" t="s">
        <v>3065</v>
      </c>
      <c r="C3062" s="2">
        <v>25298.12</v>
      </c>
      <c r="D3062" s="2" t="s">
        <v>5</v>
      </c>
    </row>
    <row r="3063" spans="1:4" ht="15" customHeight="1" x14ac:dyDescent="0.25">
      <c r="A3063" s="2" t="str">
        <f>"09040000735"</f>
        <v>09040000735</v>
      </c>
      <c r="B3063" s="2" t="s">
        <v>3066</v>
      </c>
      <c r="C3063" s="2">
        <v>1400.12</v>
      </c>
      <c r="D3063" s="2" t="s">
        <v>5</v>
      </c>
    </row>
    <row r="3064" spans="1:4" ht="15" customHeight="1" x14ac:dyDescent="0.25">
      <c r="A3064" s="2" t="str">
        <f>"09040000745"</f>
        <v>09040000745</v>
      </c>
      <c r="B3064" s="2" t="s">
        <v>3067</v>
      </c>
      <c r="C3064" s="2">
        <v>3122.82</v>
      </c>
      <c r="D3064" s="2" t="s">
        <v>5</v>
      </c>
    </row>
    <row r="3065" spans="1:4" ht="15" customHeight="1" x14ac:dyDescent="0.25">
      <c r="A3065" s="2" t="str">
        <f>"09040000740"</f>
        <v>09040000740</v>
      </c>
      <c r="B3065" s="2" t="s">
        <v>3068</v>
      </c>
      <c r="C3065" s="2">
        <v>2621.69</v>
      </c>
      <c r="D3065" s="2" t="s">
        <v>5</v>
      </c>
    </row>
    <row r="3066" spans="1:4" ht="15" customHeight="1" x14ac:dyDescent="0.25">
      <c r="A3066" s="2" t="str">
        <f>"09040000725"</f>
        <v>09040000725</v>
      </c>
      <c r="B3066" s="2" t="s">
        <v>3069</v>
      </c>
      <c r="C3066" s="2">
        <v>699.72</v>
      </c>
      <c r="D3066" s="2" t="s">
        <v>5</v>
      </c>
    </row>
    <row r="3067" spans="1:4" ht="15" customHeight="1" x14ac:dyDescent="0.25">
      <c r="A3067" s="2" t="str">
        <f>"09040000750"</f>
        <v>09040000750</v>
      </c>
      <c r="B3067" s="2" t="s">
        <v>3070</v>
      </c>
      <c r="C3067" s="2">
        <v>4694.6400000000003</v>
      </c>
      <c r="D3067" s="2" t="s">
        <v>5</v>
      </c>
    </row>
    <row r="3068" spans="1:4" ht="15" customHeight="1" x14ac:dyDescent="0.25">
      <c r="A3068" s="2" t="str">
        <f>"09040000730"</f>
        <v>09040000730</v>
      </c>
      <c r="B3068" s="2" t="s">
        <v>3071</v>
      </c>
      <c r="C3068" s="2">
        <v>808.52</v>
      </c>
      <c r="D3068" s="2" t="s">
        <v>5</v>
      </c>
    </row>
    <row r="3069" spans="1:4" ht="15" customHeight="1" x14ac:dyDescent="0.25">
      <c r="A3069" s="2" t="str">
        <f>"09120000150"</f>
        <v>09120000150</v>
      </c>
      <c r="B3069" s="2" t="s">
        <v>3072</v>
      </c>
      <c r="C3069" s="2">
        <v>32341.68</v>
      </c>
      <c r="D3069" s="2" t="s">
        <v>5</v>
      </c>
    </row>
    <row r="3070" spans="1:4" ht="15" customHeight="1" x14ac:dyDescent="0.25">
      <c r="A3070" s="2" t="str">
        <f>"09120000155"</f>
        <v>09120000155</v>
      </c>
      <c r="B3070" s="2" t="s">
        <v>3073</v>
      </c>
      <c r="C3070" s="2">
        <v>35149.14</v>
      </c>
      <c r="D3070" s="2" t="s">
        <v>5</v>
      </c>
    </row>
    <row r="3071" spans="1:4" ht="15" customHeight="1" x14ac:dyDescent="0.25">
      <c r="A3071" s="2" t="str">
        <f>"09120000160"</f>
        <v>09120000160</v>
      </c>
      <c r="B3071" s="2" t="s">
        <v>3074</v>
      </c>
      <c r="C3071" s="2">
        <v>48301.919999999998</v>
      </c>
      <c r="D3071" s="2" t="s">
        <v>5</v>
      </c>
    </row>
    <row r="3072" spans="1:4" ht="15" customHeight="1" x14ac:dyDescent="0.25">
      <c r="A3072" s="2" t="str">
        <f>"09040000780"</f>
        <v>09040000780</v>
      </c>
      <c r="B3072" s="2" t="s">
        <v>3075</v>
      </c>
      <c r="C3072" s="2">
        <v>1342.01</v>
      </c>
      <c r="D3072" s="2" t="s">
        <v>5</v>
      </c>
    </row>
    <row r="3073" spans="1:4" ht="15" customHeight="1" x14ac:dyDescent="0.25">
      <c r="A3073" s="2" t="str">
        <f>"09040000770"</f>
        <v>09040000770</v>
      </c>
      <c r="B3073" s="2" t="s">
        <v>3076</v>
      </c>
      <c r="C3073" s="2">
        <v>632.25</v>
      </c>
      <c r="D3073" s="2" t="s">
        <v>5</v>
      </c>
    </row>
    <row r="3074" spans="1:4" ht="15" customHeight="1" x14ac:dyDescent="0.25">
      <c r="A3074" s="2" t="str">
        <f>"09040000775"</f>
        <v>09040000775</v>
      </c>
      <c r="B3074" s="2" t="s">
        <v>3077</v>
      </c>
      <c r="C3074" s="2">
        <v>811.68</v>
      </c>
      <c r="D3074" s="2" t="s">
        <v>5</v>
      </c>
    </row>
    <row r="3075" spans="1:4" ht="15" customHeight="1" x14ac:dyDescent="0.25">
      <c r="A3075" s="2" t="str">
        <f>"08410000035"</f>
        <v>08410000035</v>
      </c>
      <c r="B3075" s="2" t="s">
        <v>3078</v>
      </c>
      <c r="C3075" s="2">
        <v>10155.290000000001</v>
      </c>
      <c r="D3075" s="2" t="s">
        <v>5</v>
      </c>
    </row>
    <row r="3076" spans="1:4" ht="15" customHeight="1" x14ac:dyDescent="0.25">
      <c r="A3076" s="2" t="str">
        <f>"08410000005"</f>
        <v>08410000005</v>
      </c>
      <c r="B3076" s="2" t="s">
        <v>3079</v>
      </c>
      <c r="C3076" s="2">
        <v>12708.15</v>
      </c>
      <c r="D3076" s="2" t="s">
        <v>5</v>
      </c>
    </row>
    <row r="3077" spans="1:4" ht="15" customHeight="1" x14ac:dyDescent="0.25">
      <c r="A3077" s="2" t="str">
        <f>"08410000020"</f>
        <v>08410000020</v>
      </c>
      <c r="B3077" s="2" t="s">
        <v>3080</v>
      </c>
      <c r="C3077" s="2">
        <v>4047.96</v>
      </c>
      <c r="D3077" s="2" t="s">
        <v>5</v>
      </c>
    </row>
    <row r="3078" spans="1:4" ht="15" customHeight="1" x14ac:dyDescent="0.25">
      <c r="A3078" s="2" t="str">
        <f>"08410000030"</f>
        <v>08410000030</v>
      </c>
      <c r="B3078" s="2" t="s">
        <v>3081</v>
      </c>
      <c r="C3078" s="2">
        <v>8170.56</v>
      </c>
      <c r="D3078" s="2" t="s">
        <v>5</v>
      </c>
    </row>
    <row r="3079" spans="1:4" ht="15" customHeight="1" x14ac:dyDescent="0.25">
      <c r="A3079" s="2" t="str">
        <f>"08410000025"</f>
        <v>08410000025</v>
      </c>
      <c r="B3079" s="2" t="s">
        <v>3082</v>
      </c>
      <c r="C3079" s="2">
        <v>4337.87</v>
      </c>
      <c r="D3079" s="2" t="s">
        <v>5</v>
      </c>
    </row>
    <row r="3080" spans="1:4" ht="15" customHeight="1" x14ac:dyDescent="0.25">
      <c r="A3080" s="2" t="str">
        <f>"08410000010"</f>
        <v>08410000010</v>
      </c>
      <c r="B3080" s="2" t="s">
        <v>3083</v>
      </c>
      <c r="C3080" s="2">
        <v>12061.46</v>
      </c>
      <c r="D3080" s="2" t="s">
        <v>5</v>
      </c>
    </row>
    <row r="3081" spans="1:4" ht="15" customHeight="1" x14ac:dyDescent="0.25">
      <c r="A3081" s="2" t="str">
        <f>"08410000015"</f>
        <v>08410000015</v>
      </c>
      <c r="B3081" s="2" t="s">
        <v>3084</v>
      </c>
      <c r="C3081" s="2">
        <v>12221.43</v>
      </c>
      <c r="D3081" s="2" t="s">
        <v>5</v>
      </c>
    </row>
    <row r="3082" spans="1:4" ht="15" customHeight="1" x14ac:dyDescent="0.25">
      <c r="A3082" s="2" t="str">
        <f>"08070000775"</f>
        <v>08070000775</v>
      </c>
      <c r="B3082" s="2" t="s">
        <v>3085</v>
      </c>
      <c r="C3082" s="2">
        <v>405.53</v>
      </c>
      <c r="D3082" s="2" t="s">
        <v>5</v>
      </c>
    </row>
    <row r="3083" spans="1:4" ht="15" customHeight="1" x14ac:dyDescent="0.25">
      <c r="A3083" s="2" t="str">
        <f>"08070000774"</f>
        <v>08070000774</v>
      </c>
      <c r="B3083" s="2" t="s">
        <v>3086</v>
      </c>
      <c r="C3083" s="2">
        <v>336.14</v>
      </c>
      <c r="D3083" s="2" t="s">
        <v>5</v>
      </c>
    </row>
    <row r="3084" spans="1:4" ht="15" customHeight="1" x14ac:dyDescent="0.25">
      <c r="A3084" s="2" t="str">
        <f>"08070000776"</f>
        <v>08070000776</v>
      </c>
      <c r="B3084" s="2" t="s">
        <v>3087</v>
      </c>
      <c r="C3084" s="2">
        <v>336.14</v>
      </c>
      <c r="D3084" s="2" t="s">
        <v>5</v>
      </c>
    </row>
    <row r="3085" spans="1:4" ht="15" customHeight="1" x14ac:dyDescent="0.25">
      <c r="A3085" s="2" t="str">
        <f>"08300000815"</f>
        <v>08300000815</v>
      </c>
      <c r="B3085" s="2" t="s">
        <v>3088</v>
      </c>
      <c r="C3085" s="2">
        <v>2475.81</v>
      </c>
      <c r="D3085" s="2" t="s">
        <v>5</v>
      </c>
    </row>
    <row r="3086" spans="1:4" ht="15" customHeight="1" x14ac:dyDescent="0.25">
      <c r="A3086" s="2" t="str">
        <f>"08300000800"</f>
        <v>08300000800</v>
      </c>
      <c r="B3086" s="2" t="s">
        <v>3089</v>
      </c>
      <c r="C3086" s="2">
        <v>1212.56</v>
      </c>
      <c r="D3086" s="2" t="s">
        <v>5</v>
      </c>
    </row>
    <row r="3087" spans="1:4" ht="15" customHeight="1" x14ac:dyDescent="0.25">
      <c r="A3087" s="2" t="str">
        <f>"08300000805"</f>
        <v>08300000805</v>
      </c>
      <c r="B3087" s="2" t="s">
        <v>3090</v>
      </c>
      <c r="C3087" s="2">
        <v>1364</v>
      </c>
      <c r="D3087" s="2" t="s">
        <v>5</v>
      </c>
    </row>
    <row r="3088" spans="1:4" ht="15" customHeight="1" x14ac:dyDescent="0.25">
      <c r="A3088" s="2" t="str">
        <f>"08300000810"</f>
        <v>08300000810</v>
      </c>
      <c r="B3088" s="2" t="s">
        <v>3091</v>
      </c>
      <c r="C3088" s="2">
        <v>1622.73</v>
      </c>
      <c r="D3088" s="2" t="s">
        <v>5</v>
      </c>
    </row>
    <row r="3089" spans="1:4" ht="15" customHeight="1" x14ac:dyDescent="0.25">
      <c r="A3089" s="2" t="str">
        <f>"08070000773"</f>
        <v>08070000773</v>
      </c>
      <c r="B3089" s="2" t="s">
        <v>3092</v>
      </c>
      <c r="C3089" s="2">
        <v>451.91</v>
      </c>
      <c r="D3089" s="2" t="s">
        <v>5</v>
      </c>
    </row>
    <row r="3090" spans="1:4" ht="15" customHeight="1" x14ac:dyDescent="0.25">
      <c r="A3090" s="2" t="str">
        <f>"08070000640"</f>
        <v>08070000640</v>
      </c>
      <c r="B3090" s="2" t="s">
        <v>3093</v>
      </c>
      <c r="C3090" s="2">
        <v>10902.14</v>
      </c>
      <c r="D3090" s="2" t="s">
        <v>5</v>
      </c>
    </row>
    <row r="3091" spans="1:4" ht="15" customHeight="1" x14ac:dyDescent="0.25">
      <c r="A3091" s="2" t="str">
        <f>"08300002220"</f>
        <v>08300002220</v>
      </c>
      <c r="B3091" s="2" t="s">
        <v>3094</v>
      </c>
      <c r="C3091" s="2">
        <v>4764.7700000000004</v>
      </c>
      <c r="D3091" s="2" t="s">
        <v>5</v>
      </c>
    </row>
    <row r="3092" spans="1:4" ht="15" customHeight="1" x14ac:dyDescent="0.25">
      <c r="A3092" s="2" t="str">
        <f>"08070000510"</f>
        <v>08070000510</v>
      </c>
      <c r="B3092" s="2" t="s">
        <v>3095</v>
      </c>
      <c r="C3092" s="2">
        <v>5154.38</v>
      </c>
      <c r="D3092" s="2" t="s">
        <v>5</v>
      </c>
    </row>
    <row r="3093" spans="1:4" ht="15" customHeight="1" x14ac:dyDescent="0.25">
      <c r="A3093" s="2" t="str">
        <f>"08070000630"</f>
        <v>08070000630</v>
      </c>
      <c r="B3093" s="2" t="s">
        <v>3096</v>
      </c>
      <c r="C3093" s="2">
        <v>5366.91</v>
      </c>
      <c r="D3093" s="2" t="s">
        <v>5</v>
      </c>
    </row>
    <row r="3094" spans="1:4" ht="15" customHeight="1" x14ac:dyDescent="0.25">
      <c r="A3094" s="2" t="str">
        <f>"08300002300"</f>
        <v>08300002300</v>
      </c>
      <c r="B3094" s="2" t="s">
        <v>3097</v>
      </c>
      <c r="C3094" s="2">
        <v>6740.39</v>
      </c>
      <c r="D3094" s="2" t="s">
        <v>5</v>
      </c>
    </row>
    <row r="3095" spans="1:4" ht="15" customHeight="1" x14ac:dyDescent="0.25">
      <c r="A3095" s="2" t="str">
        <f>"08300002305"</f>
        <v>08300002305</v>
      </c>
      <c r="B3095" s="2" t="s">
        <v>3098</v>
      </c>
      <c r="C3095" s="2">
        <v>6060.09</v>
      </c>
      <c r="D3095" s="2" t="s">
        <v>5</v>
      </c>
    </row>
    <row r="3096" spans="1:4" ht="15" customHeight="1" x14ac:dyDescent="0.25">
      <c r="A3096" s="2" t="str">
        <f>"08300002350"</f>
        <v>08300002350</v>
      </c>
      <c r="B3096" s="2" t="s">
        <v>3099</v>
      </c>
      <c r="C3096" s="2">
        <v>4665.5</v>
      </c>
      <c r="D3096" s="2" t="s">
        <v>5</v>
      </c>
    </row>
    <row r="3097" spans="1:4" ht="15" customHeight="1" x14ac:dyDescent="0.25">
      <c r="A3097" s="2" t="str">
        <f>"08300002400"</f>
        <v>08300002400</v>
      </c>
      <c r="B3097" s="2" t="s">
        <v>3099</v>
      </c>
      <c r="C3097" s="2">
        <v>4820.45</v>
      </c>
      <c r="D3097" s="2" t="s">
        <v>5</v>
      </c>
    </row>
    <row r="3098" spans="1:4" ht="15" customHeight="1" x14ac:dyDescent="0.25">
      <c r="A3098" s="2" t="str">
        <f>"08070000530"</f>
        <v>08070000530</v>
      </c>
      <c r="B3098" s="2" t="s">
        <v>3100</v>
      </c>
      <c r="C3098" s="2">
        <v>762.98</v>
      </c>
      <c r="D3098" s="2" t="s">
        <v>5</v>
      </c>
    </row>
    <row r="3099" spans="1:4" ht="15" customHeight="1" x14ac:dyDescent="0.25">
      <c r="A3099" s="2" t="str">
        <f>"08070000540"</f>
        <v>08070000540</v>
      </c>
      <c r="B3099" s="2" t="s">
        <v>3101</v>
      </c>
      <c r="C3099" s="2">
        <v>1737.09</v>
      </c>
      <c r="D3099" s="2" t="s">
        <v>5</v>
      </c>
    </row>
    <row r="3100" spans="1:4" ht="15" customHeight="1" x14ac:dyDescent="0.25">
      <c r="A3100" s="2" t="str">
        <f>"08070000550"</f>
        <v>08070000550</v>
      </c>
      <c r="B3100" s="2" t="s">
        <v>3102</v>
      </c>
      <c r="C3100" s="2">
        <v>1814.09</v>
      </c>
      <c r="D3100" s="2" t="s">
        <v>5</v>
      </c>
    </row>
    <row r="3101" spans="1:4" ht="15" customHeight="1" x14ac:dyDescent="0.25">
      <c r="A3101" s="2" t="str">
        <f>"08300002450"</f>
        <v>08300002450</v>
      </c>
      <c r="B3101" s="2" t="s">
        <v>3103</v>
      </c>
      <c r="C3101" s="2">
        <v>4630.04</v>
      </c>
      <c r="D3101" s="2" t="s">
        <v>5</v>
      </c>
    </row>
    <row r="3102" spans="1:4" ht="15" customHeight="1" x14ac:dyDescent="0.25">
      <c r="A3102" s="2" t="str">
        <f>"08070000650"</f>
        <v>08070000650</v>
      </c>
      <c r="B3102" s="2" t="s">
        <v>3104</v>
      </c>
      <c r="C3102" s="2">
        <v>3581.15</v>
      </c>
      <c r="D3102" s="2" t="s">
        <v>5</v>
      </c>
    </row>
    <row r="3103" spans="1:4" ht="15" customHeight="1" x14ac:dyDescent="0.25">
      <c r="A3103" s="2" t="str">
        <f>"08300000370"</f>
        <v>08300000370</v>
      </c>
      <c r="B3103" s="2" t="s">
        <v>3105</v>
      </c>
      <c r="C3103" s="2">
        <v>669.93</v>
      </c>
      <c r="D3103" s="2" t="s">
        <v>5</v>
      </c>
    </row>
    <row r="3104" spans="1:4" ht="15" customHeight="1" x14ac:dyDescent="0.25">
      <c r="A3104" s="2" t="str">
        <f>"08300000300"</f>
        <v>08300000300</v>
      </c>
      <c r="B3104" s="2" t="s">
        <v>3106</v>
      </c>
      <c r="C3104" s="2">
        <v>488.3</v>
      </c>
      <c r="D3104" s="2" t="s">
        <v>5</v>
      </c>
    </row>
    <row r="3105" spans="1:4" ht="15" customHeight="1" x14ac:dyDescent="0.25">
      <c r="A3105" s="2" t="str">
        <f>"08300000305"</f>
        <v>08300000305</v>
      </c>
      <c r="B3105" s="2" t="s">
        <v>3107</v>
      </c>
      <c r="C3105" s="2">
        <v>853.05</v>
      </c>
      <c r="D3105" s="2" t="s">
        <v>5</v>
      </c>
    </row>
    <row r="3106" spans="1:4" ht="15" customHeight="1" x14ac:dyDescent="0.25">
      <c r="A3106" s="2" t="str">
        <f>"08300000310"</f>
        <v>08300000310</v>
      </c>
      <c r="B3106" s="2" t="s">
        <v>3108</v>
      </c>
      <c r="C3106" s="2">
        <v>908.07</v>
      </c>
      <c r="D3106" s="2" t="s">
        <v>5</v>
      </c>
    </row>
    <row r="3107" spans="1:4" ht="15" customHeight="1" x14ac:dyDescent="0.25">
      <c r="A3107" s="2" t="str">
        <f>"08300000315"</f>
        <v>08300000315</v>
      </c>
      <c r="B3107" s="2" t="s">
        <v>3109</v>
      </c>
      <c r="C3107" s="2">
        <v>1818.62</v>
      </c>
      <c r="D3107" s="2" t="s">
        <v>5</v>
      </c>
    </row>
    <row r="3108" spans="1:4" ht="15" customHeight="1" x14ac:dyDescent="0.25">
      <c r="A3108" s="2" t="str">
        <f>"08300000320"</f>
        <v>08300000320</v>
      </c>
      <c r="B3108" s="2" t="s">
        <v>3110</v>
      </c>
      <c r="C3108" s="2">
        <v>14391.57</v>
      </c>
      <c r="D3108" s="2" t="s">
        <v>5</v>
      </c>
    </row>
    <row r="3109" spans="1:4" ht="15" customHeight="1" x14ac:dyDescent="0.25">
      <c r="A3109" s="2" t="str">
        <f>"08300000350"</f>
        <v>08300000350</v>
      </c>
      <c r="B3109" s="2" t="s">
        <v>3111</v>
      </c>
      <c r="C3109" s="2">
        <v>597.35</v>
      </c>
      <c r="D3109" s="2" t="s">
        <v>5</v>
      </c>
    </row>
    <row r="3110" spans="1:4" ht="15" customHeight="1" x14ac:dyDescent="0.25">
      <c r="A3110" s="2" t="str">
        <f>"08300000355"</f>
        <v>08300000355</v>
      </c>
      <c r="B3110" s="2" t="s">
        <v>3112</v>
      </c>
      <c r="C3110" s="2">
        <v>1015.61</v>
      </c>
      <c r="D3110" s="2" t="s">
        <v>5</v>
      </c>
    </row>
    <row r="3111" spans="1:4" ht="15" customHeight="1" x14ac:dyDescent="0.25">
      <c r="A3111" s="2" t="str">
        <f>"08300000360"</f>
        <v>08300000360</v>
      </c>
      <c r="B3111" s="2" t="s">
        <v>3113</v>
      </c>
      <c r="C3111" s="2">
        <v>1060.8800000000001</v>
      </c>
      <c r="D3111" s="2" t="s">
        <v>5</v>
      </c>
    </row>
    <row r="3112" spans="1:4" ht="15" customHeight="1" x14ac:dyDescent="0.25">
      <c r="A3112" s="2" t="str">
        <f>"08300000365"</f>
        <v>08300000365</v>
      </c>
      <c r="B3112" s="2" t="s">
        <v>3114</v>
      </c>
      <c r="C3112" s="2">
        <v>2120.96</v>
      </c>
      <c r="D3112" s="2" t="s">
        <v>5</v>
      </c>
    </row>
    <row r="3113" spans="1:4" ht="15" customHeight="1" x14ac:dyDescent="0.25">
      <c r="A3113" s="2" t="str">
        <f>"08300000400"</f>
        <v>08300000400</v>
      </c>
      <c r="B3113" s="2" t="s">
        <v>3115</v>
      </c>
      <c r="C3113" s="2">
        <v>2423.75</v>
      </c>
      <c r="D3113" s="2" t="s">
        <v>5</v>
      </c>
    </row>
    <row r="3114" spans="1:4" ht="15" customHeight="1" x14ac:dyDescent="0.25">
      <c r="A3114" s="2" t="str">
        <f>"08300000450"</f>
        <v>08300000450</v>
      </c>
      <c r="B3114" s="2" t="s">
        <v>3116</v>
      </c>
      <c r="C3114" s="2">
        <v>2423.75</v>
      </c>
      <c r="D3114" s="2" t="s">
        <v>5</v>
      </c>
    </row>
    <row r="3115" spans="1:4" ht="15" customHeight="1" x14ac:dyDescent="0.25">
      <c r="A3115" s="2" t="str">
        <f>"08300000550"</f>
        <v>08300000550</v>
      </c>
      <c r="B3115" s="2" t="s">
        <v>3117</v>
      </c>
      <c r="C3115" s="2">
        <v>3181.52</v>
      </c>
      <c r="D3115" s="2" t="s">
        <v>5</v>
      </c>
    </row>
    <row r="3116" spans="1:4" ht="15" customHeight="1" x14ac:dyDescent="0.25">
      <c r="A3116" s="2" t="str">
        <f>"08300000600"</f>
        <v>08300000600</v>
      </c>
      <c r="B3116" s="2" t="s">
        <v>3118</v>
      </c>
      <c r="C3116" s="2">
        <v>545.69000000000005</v>
      </c>
      <c r="D3116" s="2" t="s">
        <v>5</v>
      </c>
    </row>
    <row r="3117" spans="1:4" ht="15" customHeight="1" x14ac:dyDescent="0.25">
      <c r="A3117" s="2" t="str">
        <f>"08300000605"</f>
        <v>08300000605</v>
      </c>
      <c r="B3117" s="2" t="s">
        <v>3119</v>
      </c>
      <c r="C3117" s="2">
        <v>783.72</v>
      </c>
      <c r="D3117" s="2" t="s">
        <v>5</v>
      </c>
    </row>
    <row r="3118" spans="1:4" ht="15" customHeight="1" x14ac:dyDescent="0.25">
      <c r="A3118" s="2" t="str">
        <f>"08300000610"</f>
        <v>08300000610</v>
      </c>
      <c r="B3118" s="2" t="s">
        <v>3120</v>
      </c>
      <c r="C3118" s="2">
        <v>828.36</v>
      </c>
      <c r="D3118" s="2" t="s">
        <v>5</v>
      </c>
    </row>
    <row r="3119" spans="1:4" ht="15" customHeight="1" x14ac:dyDescent="0.25">
      <c r="A3119" s="2" t="str">
        <f>"08300000615"</f>
        <v>08300000615</v>
      </c>
      <c r="B3119" s="2" t="s">
        <v>3121</v>
      </c>
      <c r="C3119" s="2">
        <v>1667.04</v>
      </c>
      <c r="D3119" s="2" t="s">
        <v>5</v>
      </c>
    </row>
    <row r="3120" spans="1:4" ht="15" customHeight="1" x14ac:dyDescent="0.25">
      <c r="A3120" s="2" t="str">
        <f>"08300000620"</f>
        <v>08300000620</v>
      </c>
      <c r="B3120" s="2" t="s">
        <v>3122</v>
      </c>
      <c r="C3120" s="2">
        <v>13635.24</v>
      </c>
      <c r="D3120" s="2" t="s">
        <v>5</v>
      </c>
    </row>
    <row r="3121" spans="1:4" ht="15" customHeight="1" x14ac:dyDescent="0.25">
      <c r="A3121" s="2" t="str">
        <f>"08300000650"</f>
        <v>08300000650</v>
      </c>
      <c r="B3121" s="2" t="s">
        <v>3123</v>
      </c>
      <c r="C3121" s="2">
        <v>581.82000000000005</v>
      </c>
      <c r="D3121" s="2" t="s">
        <v>5</v>
      </c>
    </row>
    <row r="3122" spans="1:4" ht="15" customHeight="1" x14ac:dyDescent="0.25">
      <c r="A3122" s="2" t="str">
        <f>"08300000655"</f>
        <v>08300000655</v>
      </c>
      <c r="B3122" s="2" t="s">
        <v>3124</v>
      </c>
      <c r="C3122" s="2">
        <v>799.67</v>
      </c>
      <c r="D3122" s="2" t="s">
        <v>5</v>
      </c>
    </row>
    <row r="3123" spans="1:4" ht="15" customHeight="1" x14ac:dyDescent="0.25">
      <c r="A3123" s="2" t="str">
        <f>"08300000660"</f>
        <v>08300000660</v>
      </c>
      <c r="B3123" s="2" t="s">
        <v>3125</v>
      </c>
      <c r="C3123" s="2">
        <v>1094.72</v>
      </c>
      <c r="D3123" s="2" t="s">
        <v>5</v>
      </c>
    </row>
    <row r="3124" spans="1:4" ht="15" customHeight="1" x14ac:dyDescent="0.25">
      <c r="A3124" s="2" t="str">
        <f>"08300000665"</f>
        <v>08300000665</v>
      </c>
      <c r="B3124" s="2" t="s">
        <v>3126</v>
      </c>
      <c r="C3124" s="2">
        <v>2045.97</v>
      </c>
      <c r="D3124" s="2" t="s">
        <v>5</v>
      </c>
    </row>
    <row r="3125" spans="1:4" ht="15" customHeight="1" x14ac:dyDescent="0.25">
      <c r="A3125" s="2" t="str">
        <f>"08300000500"</f>
        <v>08300000500</v>
      </c>
      <c r="B3125" s="2" t="s">
        <v>3127</v>
      </c>
      <c r="C3125" s="2">
        <v>5301.69</v>
      </c>
      <c r="D3125" s="2" t="s">
        <v>5</v>
      </c>
    </row>
    <row r="3126" spans="1:4" ht="15" customHeight="1" x14ac:dyDescent="0.25">
      <c r="A3126" s="2" t="str">
        <f>"08070000300"</f>
        <v>08070000300</v>
      </c>
      <c r="B3126" s="2" t="s">
        <v>3128</v>
      </c>
      <c r="C3126" s="2">
        <v>474.53</v>
      </c>
      <c r="D3126" s="2" t="s">
        <v>5</v>
      </c>
    </row>
    <row r="3127" spans="1:4" ht="15" customHeight="1" x14ac:dyDescent="0.25">
      <c r="A3127" s="2" t="str">
        <f>"08070000310"</f>
        <v>08070000310</v>
      </c>
      <c r="B3127" s="2" t="s">
        <v>3129</v>
      </c>
      <c r="C3127" s="2">
        <v>679.17</v>
      </c>
      <c r="D3127" s="2" t="s">
        <v>5</v>
      </c>
    </row>
    <row r="3128" spans="1:4" ht="15" customHeight="1" x14ac:dyDescent="0.25">
      <c r="A3128" s="2" t="str">
        <f>"08070000320"</f>
        <v>08070000320</v>
      </c>
      <c r="B3128" s="2" t="s">
        <v>3130</v>
      </c>
      <c r="C3128" s="2">
        <v>1140.96</v>
      </c>
      <c r="D3128" s="2" t="s">
        <v>5</v>
      </c>
    </row>
    <row r="3129" spans="1:4" ht="15" customHeight="1" x14ac:dyDescent="0.25">
      <c r="A3129" s="2" t="str">
        <f>"08070000330"</f>
        <v>08070000330</v>
      </c>
      <c r="B3129" s="2" t="s">
        <v>3131</v>
      </c>
      <c r="C3129" s="2">
        <v>2454.71</v>
      </c>
      <c r="D3129" s="2" t="s">
        <v>5</v>
      </c>
    </row>
    <row r="3130" spans="1:4" ht="15" customHeight="1" x14ac:dyDescent="0.25">
      <c r="A3130" s="2" t="str">
        <f>"08070000340"</f>
        <v>08070000340</v>
      </c>
      <c r="B3130" s="2" t="s">
        <v>3132</v>
      </c>
      <c r="C3130" s="2">
        <v>513.27</v>
      </c>
      <c r="D3130" s="2" t="s">
        <v>5</v>
      </c>
    </row>
    <row r="3131" spans="1:4" ht="15" customHeight="1" x14ac:dyDescent="0.25">
      <c r="A3131" s="2" t="str">
        <f>"08070000350"</f>
        <v>08070000350</v>
      </c>
      <c r="B3131" s="2" t="s">
        <v>3133</v>
      </c>
      <c r="C3131" s="2">
        <v>679.17</v>
      </c>
      <c r="D3131" s="2" t="s">
        <v>5</v>
      </c>
    </row>
    <row r="3132" spans="1:4" ht="15" customHeight="1" x14ac:dyDescent="0.25">
      <c r="A3132" s="2" t="str">
        <f>"08070000360"</f>
        <v>08070000360</v>
      </c>
      <c r="B3132" s="2" t="s">
        <v>3134</v>
      </c>
      <c r="C3132" s="2">
        <v>1204.8499999999999</v>
      </c>
      <c r="D3132" s="2" t="s">
        <v>5</v>
      </c>
    </row>
    <row r="3133" spans="1:4" ht="15" customHeight="1" x14ac:dyDescent="0.25">
      <c r="A3133" s="2" t="str">
        <f>"08070000370"</f>
        <v>08070000370</v>
      </c>
      <c r="B3133" s="2" t="s">
        <v>3135</v>
      </c>
      <c r="C3133" s="2">
        <v>2666.55</v>
      </c>
      <c r="D3133" s="2" t="s">
        <v>5</v>
      </c>
    </row>
    <row r="3134" spans="1:4" ht="15" customHeight="1" x14ac:dyDescent="0.25">
      <c r="A3134" s="2" t="str">
        <f>"08070000450"</f>
        <v>08070000450</v>
      </c>
      <c r="B3134" s="2" t="s">
        <v>3136</v>
      </c>
      <c r="C3134" s="2">
        <v>602.69000000000005</v>
      </c>
      <c r="D3134" s="2" t="s">
        <v>5</v>
      </c>
    </row>
    <row r="3135" spans="1:4" ht="15" customHeight="1" x14ac:dyDescent="0.25">
      <c r="A3135" s="2" t="str">
        <f>"08070000460"</f>
        <v>08070000460</v>
      </c>
      <c r="B3135" s="2" t="s">
        <v>3137</v>
      </c>
      <c r="C3135" s="2">
        <v>839.94</v>
      </c>
      <c r="D3135" s="2" t="s">
        <v>5</v>
      </c>
    </row>
    <row r="3136" spans="1:4" ht="15" customHeight="1" x14ac:dyDescent="0.25">
      <c r="A3136" s="2" t="str">
        <f>"08070000470"</f>
        <v>08070000470</v>
      </c>
      <c r="B3136" s="2" t="s">
        <v>3138</v>
      </c>
      <c r="C3136" s="2">
        <v>1345.77</v>
      </c>
      <c r="D3136" s="2" t="s">
        <v>5</v>
      </c>
    </row>
    <row r="3137" spans="1:4" ht="15" customHeight="1" x14ac:dyDescent="0.25">
      <c r="A3137" s="2" t="str">
        <f>"08070000480"</f>
        <v>08070000480</v>
      </c>
      <c r="B3137" s="2" t="s">
        <v>3139</v>
      </c>
      <c r="C3137" s="2">
        <v>635.29999999999995</v>
      </c>
      <c r="D3137" s="2" t="s">
        <v>5</v>
      </c>
    </row>
    <row r="3138" spans="1:4" ht="15" customHeight="1" x14ac:dyDescent="0.25">
      <c r="A3138" s="2" t="str">
        <f>"08070000490"</f>
        <v>08070000490</v>
      </c>
      <c r="B3138" s="2" t="s">
        <v>3140</v>
      </c>
      <c r="C3138" s="2">
        <v>839.94</v>
      </c>
      <c r="D3138" s="2" t="s">
        <v>5</v>
      </c>
    </row>
    <row r="3139" spans="1:4" ht="15" customHeight="1" x14ac:dyDescent="0.25">
      <c r="A3139" s="2" t="str">
        <f>"08070000500"</f>
        <v>08070000500</v>
      </c>
      <c r="B3139" s="2" t="s">
        <v>3141</v>
      </c>
      <c r="C3139" s="2">
        <v>794</v>
      </c>
      <c r="D3139" s="2" t="s">
        <v>5</v>
      </c>
    </row>
    <row r="3140" spans="1:4" ht="15" customHeight="1" x14ac:dyDescent="0.25">
      <c r="A3140" s="2" t="str">
        <f>"08070000505"</f>
        <v>08070000505</v>
      </c>
      <c r="B3140" s="2" t="s">
        <v>3142</v>
      </c>
      <c r="C3140" s="2">
        <v>780.11</v>
      </c>
      <c r="D3140" s="2" t="s">
        <v>5</v>
      </c>
    </row>
    <row r="3141" spans="1:4" ht="15" customHeight="1" x14ac:dyDescent="0.25">
      <c r="A3141" s="2" t="str">
        <f>"08070000570"</f>
        <v>08070000570</v>
      </c>
      <c r="B3141" s="2" t="s">
        <v>3143</v>
      </c>
      <c r="C3141" s="2">
        <v>1236.8</v>
      </c>
      <c r="D3141" s="2" t="s">
        <v>5</v>
      </c>
    </row>
    <row r="3142" spans="1:4" ht="15" customHeight="1" x14ac:dyDescent="0.25">
      <c r="A3142" s="2" t="str">
        <f>"08070000580"</f>
        <v>08070000580</v>
      </c>
      <c r="B3142" s="2" t="s">
        <v>3144</v>
      </c>
      <c r="C3142" s="2">
        <v>1411.1</v>
      </c>
      <c r="D3142" s="2" t="s">
        <v>5</v>
      </c>
    </row>
    <row r="3143" spans="1:4" ht="15" customHeight="1" x14ac:dyDescent="0.25">
      <c r="A3143" s="2" t="str">
        <f>"08070000590"</f>
        <v>08070000590</v>
      </c>
      <c r="B3143" s="2" t="s">
        <v>3145</v>
      </c>
      <c r="C3143" s="2">
        <v>2389.89</v>
      </c>
      <c r="D3143" s="2" t="s">
        <v>5</v>
      </c>
    </row>
    <row r="3144" spans="1:4" ht="15" customHeight="1" x14ac:dyDescent="0.25">
      <c r="A3144" s="2" t="str">
        <f>"08300000700"</f>
        <v>08300000700</v>
      </c>
      <c r="B3144" s="2" t="s">
        <v>3146</v>
      </c>
      <c r="C3144" s="2">
        <v>637.16</v>
      </c>
      <c r="D3144" s="2" t="s">
        <v>5</v>
      </c>
    </row>
    <row r="3145" spans="1:4" ht="15" customHeight="1" x14ac:dyDescent="0.25">
      <c r="A3145" s="2" t="str">
        <f>"08300000705"</f>
        <v>08300000705</v>
      </c>
      <c r="B3145" s="2" t="s">
        <v>3147</v>
      </c>
      <c r="C3145" s="2">
        <v>682.55</v>
      </c>
      <c r="D3145" s="2" t="s">
        <v>5</v>
      </c>
    </row>
    <row r="3146" spans="1:4" ht="15" customHeight="1" x14ac:dyDescent="0.25">
      <c r="A3146" s="2" t="str">
        <f>"08300000710"</f>
        <v>08300000710</v>
      </c>
      <c r="B3146" s="2" t="s">
        <v>3148</v>
      </c>
      <c r="C3146" s="2">
        <v>903.81</v>
      </c>
      <c r="D3146" s="2" t="s">
        <v>5</v>
      </c>
    </row>
    <row r="3147" spans="1:4" ht="15" customHeight="1" x14ac:dyDescent="0.25">
      <c r="A3147" s="2" t="str">
        <f>"08300000715"</f>
        <v>08300000715</v>
      </c>
      <c r="B3147" s="2" t="s">
        <v>3149</v>
      </c>
      <c r="C3147" s="2">
        <v>1667.04</v>
      </c>
      <c r="D3147" s="2" t="s">
        <v>5</v>
      </c>
    </row>
    <row r="3148" spans="1:4" ht="15" customHeight="1" x14ac:dyDescent="0.25">
      <c r="A3148" s="2" t="str">
        <f>"08300000720"</f>
        <v>08300000720</v>
      </c>
      <c r="B3148" s="2" t="s">
        <v>3150</v>
      </c>
      <c r="C3148" s="2">
        <v>9847.11</v>
      </c>
      <c r="D3148" s="2" t="s">
        <v>5</v>
      </c>
    </row>
    <row r="3149" spans="1:4" ht="15" customHeight="1" x14ac:dyDescent="0.25">
      <c r="A3149" s="2" t="str">
        <f>"08300000750"</f>
        <v>08300000750</v>
      </c>
      <c r="B3149" s="2" t="s">
        <v>3151</v>
      </c>
      <c r="C3149" s="2">
        <v>637.16</v>
      </c>
      <c r="D3149" s="2" t="s">
        <v>5</v>
      </c>
    </row>
    <row r="3150" spans="1:4" ht="15" customHeight="1" x14ac:dyDescent="0.25">
      <c r="A3150" s="2" t="str">
        <f>"08300000755"</f>
        <v>08300000755</v>
      </c>
      <c r="B3150" s="2" t="s">
        <v>3152</v>
      </c>
      <c r="C3150" s="2">
        <v>682.55</v>
      </c>
      <c r="D3150" s="2" t="s">
        <v>5</v>
      </c>
    </row>
    <row r="3151" spans="1:4" ht="15" customHeight="1" x14ac:dyDescent="0.25">
      <c r="A3151" s="2" t="str">
        <f>"08300000760"</f>
        <v>08300000760</v>
      </c>
      <c r="B3151" s="2" t="s">
        <v>3153</v>
      </c>
      <c r="C3151" s="2">
        <v>903.81</v>
      </c>
      <c r="D3151" s="2" t="s">
        <v>5</v>
      </c>
    </row>
    <row r="3152" spans="1:4" ht="15" customHeight="1" x14ac:dyDescent="0.25">
      <c r="A3152" s="2" t="str">
        <f>"08300000765"</f>
        <v>08300000765</v>
      </c>
      <c r="B3152" s="2" t="s">
        <v>3154</v>
      </c>
      <c r="C3152" s="2">
        <v>1667.04</v>
      </c>
      <c r="D3152" s="2" t="s">
        <v>5</v>
      </c>
    </row>
    <row r="3153" spans="1:4" ht="15" customHeight="1" x14ac:dyDescent="0.25">
      <c r="A3153" s="2" t="str">
        <f>"08300000770"</f>
        <v>08300000770</v>
      </c>
      <c r="B3153" s="2" t="s">
        <v>3155</v>
      </c>
      <c r="C3153" s="2">
        <v>9847.11</v>
      </c>
      <c r="D3153" s="2" t="s">
        <v>5</v>
      </c>
    </row>
    <row r="3154" spans="1:4" ht="15" customHeight="1" x14ac:dyDescent="0.25">
      <c r="A3154" s="2" t="str">
        <f>"08300000850"</f>
        <v>08300000850</v>
      </c>
      <c r="B3154" s="2" t="s">
        <v>3156</v>
      </c>
      <c r="C3154" s="2">
        <v>2918</v>
      </c>
      <c r="D3154" s="2" t="s">
        <v>5</v>
      </c>
    </row>
    <row r="3155" spans="1:4" ht="15" customHeight="1" x14ac:dyDescent="0.25">
      <c r="A3155" s="2" t="str">
        <f>"08300000900"</f>
        <v>08300000900</v>
      </c>
      <c r="B3155" s="2" t="s">
        <v>3157</v>
      </c>
      <c r="C3155" s="2">
        <v>3403.58</v>
      </c>
      <c r="D3155" s="2" t="s">
        <v>5</v>
      </c>
    </row>
    <row r="3156" spans="1:4" ht="15" customHeight="1" x14ac:dyDescent="0.25">
      <c r="A3156" s="2" t="str">
        <f>"08070000600"</f>
        <v>08070000600</v>
      </c>
      <c r="B3156" s="2" t="s">
        <v>3158</v>
      </c>
      <c r="C3156" s="2">
        <v>763.82</v>
      </c>
      <c r="D3156" s="2" t="s">
        <v>5</v>
      </c>
    </row>
    <row r="3157" spans="1:4" ht="15" customHeight="1" x14ac:dyDescent="0.25">
      <c r="A3157" s="2" t="str">
        <f>"08070000610"</f>
        <v>08070000610</v>
      </c>
      <c r="B3157" s="2" t="s">
        <v>3159</v>
      </c>
      <c r="C3157" s="2">
        <v>1012.43</v>
      </c>
      <c r="D3157" s="2" t="s">
        <v>5</v>
      </c>
    </row>
    <row r="3158" spans="1:4" ht="15" customHeight="1" x14ac:dyDescent="0.25">
      <c r="A3158" s="2" t="str">
        <f>"08070000612"</f>
        <v>08070000612</v>
      </c>
      <c r="B3158" s="2" t="s">
        <v>3160</v>
      </c>
      <c r="C3158" s="2">
        <v>1795.31</v>
      </c>
      <c r="D3158" s="2" t="s">
        <v>5</v>
      </c>
    </row>
    <row r="3159" spans="1:4" ht="15" customHeight="1" x14ac:dyDescent="0.25">
      <c r="A3159" s="2" t="str">
        <f>"08070000560"</f>
        <v>08070000560</v>
      </c>
      <c r="B3159" s="2" t="s">
        <v>3161</v>
      </c>
      <c r="C3159" s="2">
        <v>4597.3999999999996</v>
      </c>
      <c r="D3159" s="2" t="s">
        <v>5</v>
      </c>
    </row>
    <row r="3160" spans="1:4" ht="15" customHeight="1" x14ac:dyDescent="0.25">
      <c r="A3160" s="2" t="str">
        <f>"08070000772"</f>
        <v>08070000772</v>
      </c>
      <c r="B3160" s="2" t="s">
        <v>3162</v>
      </c>
      <c r="C3160" s="2">
        <v>12313.07</v>
      </c>
      <c r="D3160" s="2" t="s">
        <v>5</v>
      </c>
    </row>
    <row r="3161" spans="1:4" ht="15" customHeight="1" x14ac:dyDescent="0.25">
      <c r="A3161" s="2" t="str">
        <f>"08070000771"</f>
        <v>08070000771</v>
      </c>
      <c r="B3161" s="2" t="s">
        <v>3163</v>
      </c>
      <c r="C3161" s="2">
        <v>22387.83</v>
      </c>
      <c r="D3161" s="2" t="s">
        <v>5</v>
      </c>
    </row>
    <row r="3162" spans="1:4" ht="15" customHeight="1" x14ac:dyDescent="0.25">
      <c r="A3162" s="2" t="str">
        <f>"08300003300"</f>
        <v>08300003300</v>
      </c>
      <c r="B3162" s="2" t="s">
        <v>3164</v>
      </c>
      <c r="C3162" s="2">
        <v>4078.2</v>
      </c>
      <c r="D3162" s="2" t="s">
        <v>5</v>
      </c>
    </row>
    <row r="3163" spans="1:4" ht="15" customHeight="1" x14ac:dyDescent="0.25">
      <c r="A3163" s="2" t="str">
        <f>"08070000613"</f>
        <v>08070000613</v>
      </c>
      <c r="B3163" s="2" t="s">
        <v>3165</v>
      </c>
      <c r="C3163" s="2">
        <v>782.31</v>
      </c>
      <c r="D3163" s="2" t="s">
        <v>5</v>
      </c>
    </row>
    <row r="3164" spans="1:4" ht="15" customHeight="1" x14ac:dyDescent="0.25">
      <c r="A3164" s="2" t="str">
        <f>"08070000614"</f>
        <v>08070000614</v>
      </c>
      <c r="B3164" s="2" t="s">
        <v>3166</v>
      </c>
      <c r="C3164" s="2">
        <v>859.08</v>
      </c>
      <c r="D3164" s="2" t="s">
        <v>5</v>
      </c>
    </row>
    <row r="3165" spans="1:4" ht="15" customHeight="1" x14ac:dyDescent="0.25">
      <c r="A3165" s="2" t="str">
        <f>"08070000616"</f>
        <v>08070000616</v>
      </c>
      <c r="B3165" s="2" t="s">
        <v>3167</v>
      </c>
      <c r="C3165" s="2">
        <v>2538.3200000000002</v>
      </c>
      <c r="D3165" s="2" t="s">
        <v>5</v>
      </c>
    </row>
    <row r="3166" spans="1:4" ht="15" customHeight="1" x14ac:dyDescent="0.25">
      <c r="A3166" s="2" t="str">
        <f>"08070000615"</f>
        <v>08070000615</v>
      </c>
      <c r="B3166" s="2" t="s">
        <v>3168</v>
      </c>
      <c r="C3166" s="2">
        <v>1140.96</v>
      </c>
      <c r="D3166" s="2" t="s">
        <v>5</v>
      </c>
    </row>
    <row r="3167" spans="1:4" ht="15" customHeight="1" x14ac:dyDescent="0.25">
      <c r="A3167" s="2" t="str">
        <f>"08300002310"</f>
        <v>08300002310</v>
      </c>
      <c r="B3167" s="2" t="s">
        <v>3169</v>
      </c>
      <c r="C3167" s="2">
        <v>3734.46</v>
      </c>
      <c r="D3167" s="2" t="s">
        <v>5</v>
      </c>
    </row>
    <row r="3168" spans="1:4" ht="15" customHeight="1" x14ac:dyDescent="0.25">
      <c r="A3168" s="2" t="str">
        <f>"08300002130"</f>
        <v>08300002130</v>
      </c>
      <c r="B3168" s="2" t="s">
        <v>3170</v>
      </c>
      <c r="C3168" s="2">
        <v>5409.98</v>
      </c>
      <c r="D3168" s="2" t="s">
        <v>5</v>
      </c>
    </row>
    <row r="3169" spans="1:4" ht="15" customHeight="1" x14ac:dyDescent="0.25">
      <c r="A3169" s="2" t="str">
        <f>"08300002150"</f>
        <v>08300002150</v>
      </c>
      <c r="B3169" s="2" t="s">
        <v>3171</v>
      </c>
      <c r="C3169" s="2">
        <v>6246.2</v>
      </c>
      <c r="D3169" s="2" t="s">
        <v>5</v>
      </c>
    </row>
    <row r="3170" spans="1:4" ht="15" customHeight="1" x14ac:dyDescent="0.25">
      <c r="A3170" s="2" t="str">
        <f>"08300002210"</f>
        <v>08300002210</v>
      </c>
      <c r="B3170" s="2" t="s">
        <v>3172</v>
      </c>
      <c r="C3170" s="2">
        <v>4436.42</v>
      </c>
      <c r="D3170" s="2" t="s">
        <v>5</v>
      </c>
    </row>
    <row r="3171" spans="1:4" ht="15" customHeight="1" x14ac:dyDescent="0.25">
      <c r="A3171" s="2" t="str">
        <f>"08300002170"</f>
        <v>08300002170</v>
      </c>
      <c r="B3171" s="2" t="s">
        <v>3173</v>
      </c>
      <c r="C3171" s="2">
        <v>6246.2</v>
      </c>
      <c r="D3171" s="2" t="s">
        <v>5</v>
      </c>
    </row>
    <row r="3172" spans="1:4" ht="15" customHeight="1" x14ac:dyDescent="0.25">
      <c r="A3172" s="2" t="str">
        <f>"08300002110"</f>
        <v>08300002110</v>
      </c>
      <c r="B3172" s="2" t="s">
        <v>3174</v>
      </c>
      <c r="C3172" s="2">
        <v>6817.28</v>
      </c>
      <c r="D3172" s="2" t="s">
        <v>5</v>
      </c>
    </row>
    <row r="3173" spans="1:4" ht="15" customHeight="1" x14ac:dyDescent="0.25">
      <c r="A3173" s="2" t="str">
        <f>"08300002010"</f>
        <v>08300002010</v>
      </c>
      <c r="B3173" s="2" t="s">
        <v>3175</v>
      </c>
      <c r="C3173" s="2">
        <v>2756</v>
      </c>
      <c r="D3173" s="2" t="s">
        <v>5</v>
      </c>
    </row>
    <row r="3174" spans="1:4" ht="15" customHeight="1" x14ac:dyDescent="0.25">
      <c r="A3174" s="2" t="str">
        <f>"08070000408"</f>
        <v>08070000408</v>
      </c>
      <c r="B3174" s="2" t="s">
        <v>3176</v>
      </c>
      <c r="C3174" s="2">
        <v>4094.37</v>
      </c>
      <c r="D3174" s="2" t="s">
        <v>5</v>
      </c>
    </row>
    <row r="3175" spans="1:4" ht="15" customHeight="1" x14ac:dyDescent="0.25">
      <c r="A3175" s="2" t="str">
        <f>"08300002205"</f>
        <v>08300002205</v>
      </c>
      <c r="B3175" s="2" t="s">
        <v>3177</v>
      </c>
      <c r="C3175" s="2">
        <v>6582.42</v>
      </c>
      <c r="D3175" s="2" t="s">
        <v>5</v>
      </c>
    </row>
    <row r="3176" spans="1:4" ht="15" customHeight="1" x14ac:dyDescent="0.25">
      <c r="A3176" s="2" t="str">
        <f>"08300002200"</f>
        <v>08300002200</v>
      </c>
      <c r="B3176" s="2" t="s">
        <v>3178</v>
      </c>
      <c r="C3176" s="2">
        <v>6181.23</v>
      </c>
      <c r="D3176" s="2" t="s">
        <v>5</v>
      </c>
    </row>
    <row r="3177" spans="1:4" ht="15" customHeight="1" x14ac:dyDescent="0.25">
      <c r="A3177" s="2" t="str">
        <f>"08300002105"</f>
        <v>08300002105</v>
      </c>
      <c r="B3177" s="2" t="s">
        <v>3179</v>
      </c>
      <c r="C3177" s="2">
        <v>9665.33</v>
      </c>
      <c r="D3177" s="2" t="s">
        <v>5</v>
      </c>
    </row>
    <row r="3178" spans="1:4" ht="15" customHeight="1" x14ac:dyDescent="0.25">
      <c r="A3178" s="2" t="str">
        <f>"08300002100"</f>
        <v>08300002100</v>
      </c>
      <c r="B3178" s="2" t="s">
        <v>3180</v>
      </c>
      <c r="C3178" s="2">
        <v>8665.34</v>
      </c>
      <c r="D3178" s="2" t="s">
        <v>5</v>
      </c>
    </row>
    <row r="3179" spans="1:4" ht="15" customHeight="1" x14ac:dyDescent="0.25">
      <c r="A3179" s="2" t="str">
        <f>"08070000410"</f>
        <v>08070000410</v>
      </c>
      <c r="B3179" s="2" t="s">
        <v>3181</v>
      </c>
      <c r="C3179" s="2">
        <v>7621.86</v>
      </c>
      <c r="D3179" s="2" t="s">
        <v>5</v>
      </c>
    </row>
    <row r="3180" spans="1:4" ht="15" customHeight="1" x14ac:dyDescent="0.25">
      <c r="A3180" s="2" t="str">
        <f>"08070000412"</f>
        <v>08070000412</v>
      </c>
      <c r="B3180" s="2" t="s">
        <v>3182</v>
      </c>
      <c r="C3180" s="2">
        <v>6789.33</v>
      </c>
      <c r="D3180" s="2" t="s">
        <v>5</v>
      </c>
    </row>
    <row r="3181" spans="1:4" ht="15" customHeight="1" x14ac:dyDescent="0.25">
      <c r="A3181" s="2" t="str">
        <f>"08070000414"</f>
        <v>08070000414</v>
      </c>
      <c r="B3181" s="2" t="s">
        <v>3183</v>
      </c>
      <c r="C3181" s="2">
        <v>5329.4</v>
      </c>
      <c r="D3181" s="2" t="s">
        <v>5</v>
      </c>
    </row>
    <row r="3182" spans="1:4" ht="15" customHeight="1" x14ac:dyDescent="0.25">
      <c r="A3182" s="2" t="str">
        <f>"08070000415"</f>
        <v>08070000415</v>
      </c>
      <c r="B3182" s="2" t="s">
        <v>3184</v>
      </c>
      <c r="C3182" s="2">
        <v>33747.440000000002</v>
      </c>
      <c r="D3182" s="2" t="s">
        <v>5</v>
      </c>
    </row>
    <row r="3183" spans="1:4" ht="15" customHeight="1" x14ac:dyDescent="0.25">
      <c r="A3183" s="2" t="str">
        <f>"08070000660"</f>
        <v>08070000660</v>
      </c>
      <c r="B3183" s="2" t="s">
        <v>3185</v>
      </c>
      <c r="C3183" s="2">
        <v>3363</v>
      </c>
      <c r="D3183" s="2" t="s">
        <v>5</v>
      </c>
    </row>
    <row r="3184" spans="1:4" ht="15" customHeight="1" x14ac:dyDescent="0.25">
      <c r="A3184" s="2" t="str">
        <f>"08070000670"</f>
        <v>08070000670</v>
      </c>
      <c r="B3184" s="2" t="s">
        <v>3186</v>
      </c>
      <c r="C3184" s="2">
        <v>3363</v>
      </c>
      <c r="D3184" s="2" t="s">
        <v>5</v>
      </c>
    </row>
    <row r="3185" spans="1:4" ht="15" customHeight="1" x14ac:dyDescent="0.25">
      <c r="A3185" s="2" t="str">
        <f>"08070000690"</f>
        <v>08070000690</v>
      </c>
      <c r="B3185" s="2" t="s">
        <v>3187</v>
      </c>
      <c r="C3185" s="2">
        <v>3291.15</v>
      </c>
      <c r="D3185" s="2" t="s">
        <v>5</v>
      </c>
    </row>
    <row r="3186" spans="1:4" ht="15" customHeight="1" x14ac:dyDescent="0.25">
      <c r="A3186" s="2" t="str">
        <f>"08070000663"</f>
        <v>08070000663</v>
      </c>
      <c r="B3186" s="2" t="s">
        <v>3188</v>
      </c>
      <c r="C3186" s="2">
        <v>2818.28</v>
      </c>
      <c r="D3186" s="2" t="s">
        <v>5</v>
      </c>
    </row>
    <row r="3187" spans="1:4" ht="15" customHeight="1" x14ac:dyDescent="0.25">
      <c r="A3187" s="2" t="str">
        <f>"08070000700"</f>
        <v>08070000700</v>
      </c>
      <c r="B3187" s="2" t="s">
        <v>3189</v>
      </c>
      <c r="C3187" s="2">
        <v>1576.59</v>
      </c>
      <c r="D3187" s="2" t="s">
        <v>5</v>
      </c>
    </row>
    <row r="3188" spans="1:4" ht="15" customHeight="1" x14ac:dyDescent="0.25">
      <c r="A3188" s="2" t="str">
        <f>"08070000710"</f>
        <v>08070000710</v>
      </c>
      <c r="B3188" s="2" t="s">
        <v>3190</v>
      </c>
      <c r="C3188" s="2">
        <v>1542.72</v>
      </c>
      <c r="D3188" s="2" t="s">
        <v>5</v>
      </c>
    </row>
    <row r="3189" spans="1:4" ht="15" customHeight="1" x14ac:dyDescent="0.25">
      <c r="A3189" s="2" t="str">
        <f>"08070000712"</f>
        <v>08070000712</v>
      </c>
      <c r="B3189" s="2" t="s">
        <v>3191</v>
      </c>
      <c r="C3189" s="2">
        <v>4561.25</v>
      </c>
      <c r="D3189" s="2" t="s">
        <v>5</v>
      </c>
    </row>
    <row r="3190" spans="1:4" ht="15" customHeight="1" x14ac:dyDescent="0.25">
      <c r="A3190" s="2" t="str">
        <f>"08070000714"</f>
        <v>08070000714</v>
      </c>
      <c r="B3190" s="2" t="s">
        <v>3192</v>
      </c>
      <c r="C3190" s="2">
        <v>4561.25</v>
      </c>
      <c r="D3190" s="2" t="s">
        <v>5</v>
      </c>
    </row>
    <row r="3191" spans="1:4" ht="15" customHeight="1" x14ac:dyDescent="0.25">
      <c r="A3191" s="2" t="str">
        <f>"08300002315"</f>
        <v>08300002315</v>
      </c>
      <c r="B3191" s="2" t="s">
        <v>3193</v>
      </c>
      <c r="C3191" s="2">
        <v>1263.9000000000001</v>
      </c>
      <c r="D3191" s="2" t="s">
        <v>5</v>
      </c>
    </row>
    <row r="3192" spans="1:4" ht="15" customHeight="1" x14ac:dyDescent="0.25">
      <c r="A3192" s="2" t="str">
        <f>"08300002320"</f>
        <v>08300002320</v>
      </c>
      <c r="B3192" s="2" t="s">
        <v>3194</v>
      </c>
      <c r="C3192" s="2">
        <v>1263.9000000000001</v>
      </c>
      <c r="D3192" s="2" t="s">
        <v>5</v>
      </c>
    </row>
    <row r="3193" spans="1:4" ht="15" customHeight="1" x14ac:dyDescent="0.25">
      <c r="A3193" s="2" t="str">
        <f>"08300001010"</f>
        <v>08300001010</v>
      </c>
      <c r="B3193" s="2" t="s">
        <v>3195</v>
      </c>
      <c r="C3193" s="2">
        <v>3788.15</v>
      </c>
      <c r="D3193" s="2" t="s">
        <v>5</v>
      </c>
    </row>
    <row r="3194" spans="1:4" ht="15" customHeight="1" x14ac:dyDescent="0.25">
      <c r="A3194" s="2" t="str">
        <f>"08300000950"</f>
        <v>08300000950</v>
      </c>
      <c r="B3194" s="2" t="s">
        <v>3196</v>
      </c>
      <c r="C3194" s="2">
        <v>3181.52</v>
      </c>
      <c r="D3194" s="2" t="s">
        <v>5</v>
      </c>
    </row>
    <row r="3195" spans="1:4" ht="15" customHeight="1" x14ac:dyDescent="0.25">
      <c r="A3195" s="2" t="str">
        <f>"08300001120"</f>
        <v>08300001120</v>
      </c>
      <c r="B3195" s="2" t="s">
        <v>3197</v>
      </c>
      <c r="C3195" s="2">
        <v>3550.73</v>
      </c>
      <c r="D3195" s="2" t="s">
        <v>5</v>
      </c>
    </row>
    <row r="3196" spans="1:4" ht="15" customHeight="1" x14ac:dyDescent="0.25">
      <c r="A3196" s="2" t="str">
        <f>"08300001110"</f>
        <v>08300001110</v>
      </c>
      <c r="B3196" s="2" t="s">
        <v>3198</v>
      </c>
      <c r="C3196" s="2">
        <v>3608.93</v>
      </c>
      <c r="D3196" s="2" t="s">
        <v>5</v>
      </c>
    </row>
    <row r="3197" spans="1:4" ht="15" customHeight="1" x14ac:dyDescent="0.25">
      <c r="A3197" s="2" t="str">
        <f>"08300001050"</f>
        <v>08300001050</v>
      </c>
      <c r="B3197" s="2" t="s">
        <v>3199</v>
      </c>
      <c r="C3197" s="2">
        <v>2726.54</v>
      </c>
      <c r="D3197" s="2" t="s">
        <v>5</v>
      </c>
    </row>
    <row r="3198" spans="1:4" ht="15" customHeight="1" x14ac:dyDescent="0.25">
      <c r="A3198" s="2" t="str">
        <f>"08300001100"</f>
        <v>08300001100</v>
      </c>
      <c r="B3198" s="2" t="s">
        <v>3200</v>
      </c>
      <c r="C3198" s="2">
        <v>3499.34</v>
      </c>
      <c r="D3198" s="2" t="s">
        <v>5</v>
      </c>
    </row>
    <row r="3199" spans="1:4" ht="15" customHeight="1" x14ac:dyDescent="0.25">
      <c r="A3199" s="2" t="str">
        <f>"08300001015"</f>
        <v>08300001015</v>
      </c>
      <c r="B3199" s="2" t="s">
        <v>3201</v>
      </c>
      <c r="C3199" s="2">
        <v>19451.150000000001</v>
      </c>
      <c r="D3199" s="2" t="s">
        <v>5</v>
      </c>
    </row>
    <row r="3200" spans="1:4" ht="15" customHeight="1" x14ac:dyDescent="0.25">
      <c r="A3200" s="2" t="str">
        <f>"08300000955"</f>
        <v>08300000955</v>
      </c>
      <c r="B3200" s="2" t="s">
        <v>3202</v>
      </c>
      <c r="C3200" s="2">
        <v>17020.71</v>
      </c>
      <c r="D3200" s="2" t="s">
        <v>5</v>
      </c>
    </row>
    <row r="3201" spans="1:4" ht="15" customHeight="1" x14ac:dyDescent="0.25">
      <c r="A3201" s="2" t="str">
        <f>"08070000402"</f>
        <v>08070000402</v>
      </c>
      <c r="B3201" s="2" t="s">
        <v>3203</v>
      </c>
      <c r="C3201" s="2">
        <v>3544.68</v>
      </c>
      <c r="D3201" s="2" t="s">
        <v>5</v>
      </c>
    </row>
    <row r="3202" spans="1:4" ht="15" customHeight="1" x14ac:dyDescent="0.25">
      <c r="A3202" s="2" t="str">
        <f>"08070000405"</f>
        <v>08070000405</v>
      </c>
      <c r="B3202" s="2" t="s">
        <v>3204</v>
      </c>
      <c r="C3202" s="2">
        <v>2531.52</v>
      </c>
      <c r="D3202" s="2" t="s">
        <v>5</v>
      </c>
    </row>
    <row r="3203" spans="1:4" ht="15" customHeight="1" x14ac:dyDescent="0.25">
      <c r="A3203" s="2" t="str">
        <f>"08070000375"</f>
        <v>08070000375</v>
      </c>
      <c r="B3203" s="2" t="s">
        <v>3205</v>
      </c>
      <c r="C3203" s="2">
        <v>1009.83</v>
      </c>
      <c r="D3203" s="2" t="s">
        <v>5</v>
      </c>
    </row>
    <row r="3204" spans="1:4" ht="15" customHeight="1" x14ac:dyDescent="0.25">
      <c r="A3204" s="2" t="str">
        <f>"08070000380"</f>
        <v>08070000380</v>
      </c>
      <c r="B3204" s="2" t="s">
        <v>3206</v>
      </c>
      <c r="C3204" s="2">
        <v>1234.4000000000001</v>
      </c>
      <c r="D3204" s="2" t="s">
        <v>5</v>
      </c>
    </row>
    <row r="3205" spans="1:4" ht="15" customHeight="1" x14ac:dyDescent="0.25">
      <c r="A3205" s="2" t="str">
        <f>"08070000401"</f>
        <v>08070000401</v>
      </c>
      <c r="B3205" s="2" t="s">
        <v>3207</v>
      </c>
      <c r="C3205" s="2">
        <v>4487.49</v>
      </c>
      <c r="D3205" s="2" t="s">
        <v>5</v>
      </c>
    </row>
    <row r="3206" spans="1:4" ht="15" customHeight="1" x14ac:dyDescent="0.25">
      <c r="A3206" s="2" t="str">
        <f>"08070000390"</f>
        <v>08070000390</v>
      </c>
      <c r="B3206" s="2" t="s">
        <v>3208</v>
      </c>
      <c r="C3206" s="2">
        <v>5621.28</v>
      </c>
      <c r="D3206" s="2" t="s">
        <v>5</v>
      </c>
    </row>
    <row r="3207" spans="1:4" ht="15" customHeight="1" x14ac:dyDescent="0.25">
      <c r="A3207" s="2" t="str">
        <f>"08070000400"</f>
        <v>08070000400</v>
      </c>
      <c r="B3207" s="2" t="s">
        <v>3209</v>
      </c>
      <c r="C3207" s="2">
        <v>3993.08</v>
      </c>
      <c r="D3207" s="2" t="s">
        <v>5</v>
      </c>
    </row>
    <row r="3208" spans="1:4" ht="15" customHeight="1" x14ac:dyDescent="0.25">
      <c r="A3208" s="2" t="str">
        <f>"08070000406"</f>
        <v>08070000406</v>
      </c>
      <c r="B3208" s="2" t="s">
        <v>3210</v>
      </c>
      <c r="C3208" s="2">
        <v>2660.81</v>
      </c>
      <c r="D3208" s="2" t="s">
        <v>5</v>
      </c>
    </row>
    <row r="3209" spans="1:4" ht="15" customHeight="1" x14ac:dyDescent="0.25">
      <c r="A3209" s="2" t="str">
        <f>"08070000040"</f>
        <v>08070000040</v>
      </c>
      <c r="B3209" s="2" t="s">
        <v>3211</v>
      </c>
      <c r="C3209" s="2">
        <v>1459.34</v>
      </c>
      <c r="D3209" s="2" t="s">
        <v>5</v>
      </c>
    </row>
    <row r="3210" spans="1:4" ht="15" customHeight="1" x14ac:dyDescent="0.25">
      <c r="A3210" s="2" t="str">
        <f>"08070000045"</f>
        <v>08070000045</v>
      </c>
      <c r="B3210" s="2" t="s">
        <v>3212</v>
      </c>
      <c r="C3210" s="2">
        <v>1954.58</v>
      </c>
      <c r="D3210" s="2" t="s">
        <v>5</v>
      </c>
    </row>
    <row r="3211" spans="1:4" ht="15" customHeight="1" x14ac:dyDescent="0.25">
      <c r="A3211" s="2" t="str">
        <f>"08070000770"</f>
        <v>08070000770</v>
      </c>
      <c r="B3211" s="2" t="s">
        <v>3213</v>
      </c>
      <c r="C3211" s="2">
        <v>405.48</v>
      </c>
      <c r="D3211" s="2" t="s">
        <v>5</v>
      </c>
    </row>
    <row r="3212" spans="1:4" ht="15" customHeight="1" x14ac:dyDescent="0.25">
      <c r="A3212" s="2" t="str">
        <f>"08070000520"</f>
        <v>08070000520</v>
      </c>
      <c r="B3212" s="2" t="s">
        <v>3214</v>
      </c>
      <c r="C3212" s="2">
        <v>2247.75</v>
      </c>
      <c r="D3212" s="2" t="s">
        <v>5</v>
      </c>
    </row>
    <row r="3213" spans="1:4" ht="15" customHeight="1" x14ac:dyDescent="0.25">
      <c r="A3213" s="2" t="str">
        <f>"08300001025"</f>
        <v>08300001025</v>
      </c>
      <c r="B3213" s="2" t="s">
        <v>3215</v>
      </c>
      <c r="C3213" s="2">
        <v>1179.8699999999999</v>
      </c>
      <c r="D3213" s="2" t="s">
        <v>5</v>
      </c>
    </row>
    <row r="3214" spans="1:4" ht="15" customHeight="1" x14ac:dyDescent="0.25">
      <c r="A3214" s="2" t="str">
        <f>"08300001020"</f>
        <v>08300001020</v>
      </c>
      <c r="B3214" s="2" t="s">
        <v>3216</v>
      </c>
      <c r="C3214" s="2">
        <v>1179.8699999999999</v>
      </c>
      <c r="D3214" s="2" t="s">
        <v>5</v>
      </c>
    </row>
    <row r="3215" spans="1:4" ht="15" customHeight="1" x14ac:dyDescent="0.25">
      <c r="A3215" s="2" t="str">
        <f>"08300001000"</f>
        <v>08300001000</v>
      </c>
      <c r="B3215" s="2" t="s">
        <v>3217</v>
      </c>
      <c r="C3215" s="2">
        <v>1212.56</v>
      </c>
      <c r="D3215" s="2" t="s">
        <v>5</v>
      </c>
    </row>
    <row r="3216" spans="1:4" ht="15" customHeight="1" x14ac:dyDescent="0.25">
      <c r="A3216" s="2" t="str">
        <f>"08300001005"</f>
        <v>08300001005</v>
      </c>
      <c r="B3216" s="2" t="s">
        <v>3218</v>
      </c>
      <c r="C3216" s="2">
        <v>1818.62</v>
      </c>
      <c r="D3216" s="2" t="s">
        <v>5</v>
      </c>
    </row>
    <row r="3217" spans="1:4" ht="15" customHeight="1" x14ac:dyDescent="0.25">
      <c r="A3217" s="2" t="str">
        <f>"08300002500"</f>
        <v>08300002500</v>
      </c>
      <c r="B3217" s="2" t="s">
        <v>3219</v>
      </c>
      <c r="C3217" s="2">
        <v>7210.49</v>
      </c>
      <c r="D3217" s="2" t="s">
        <v>5</v>
      </c>
    </row>
    <row r="3218" spans="1:4" ht="15" customHeight="1" x14ac:dyDescent="0.25">
      <c r="A3218" s="2" t="str">
        <f>"08300002505"</f>
        <v>08300002505</v>
      </c>
      <c r="B3218" s="2" t="s">
        <v>3220</v>
      </c>
      <c r="C3218" s="2">
        <v>7279.92</v>
      </c>
      <c r="D3218" s="2" t="s">
        <v>5</v>
      </c>
    </row>
    <row r="3219" spans="1:4" ht="15" customHeight="1" x14ac:dyDescent="0.25">
      <c r="A3219" s="2" t="str">
        <f>"08300002510"</f>
        <v>08300002510</v>
      </c>
      <c r="B3219" s="2" t="s">
        <v>3221</v>
      </c>
      <c r="C3219" s="2">
        <v>7390.17</v>
      </c>
      <c r="D3219" s="2" t="s">
        <v>5</v>
      </c>
    </row>
    <row r="3220" spans="1:4" ht="15" customHeight="1" x14ac:dyDescent="0.25">
      <c r="A3220" s="2" t="str">
        <f>"08300001400"</f>
        <v>08300001400</v>
      </c>
      <c r="B3220" s="2" t="s">
        <v>3222</v>
      </c>
      <c r="C3220" s="2">
        <v>1969.76</v>
      </c>
      <c r="D3220" s="2" t="s">
        <v>5</v>
      </c>
    </row>
    <row r="3221" spans="1:4" ht="15" customHeight="1" x14ac:dyDescent="0.25">
      <c r="A3221" s="2" t="str">
        <f>"08070000778"</f>
        <v>08070000778</v>
      </c>
      <c r="B3221" s="2" t="s">
        <v>3223</v>
      </c>
      <c r="C3221" s="2">
        <v>29216.63</v>
      </c>
      <c r="D3221" s="2" t="s">
        <v>5</v>
      </c>
    </row>
    <row r="3222" spans="1:4" ht="15" customHeight="1" x14ac:dyDescent="0.25">
      <c r="A3222" s="2" t="str">
        <f>"08300001200"</f>
        <v>08300001200</v>
      </c>
      <c r="B3222" s="2" t="s">
        <v>3224</v>
      </c>
      <c r="C3222" s="2">
        <v>5576.66</v>
      </c>
      <c r="D3222" s="2" t="s">
        <v>5</v>
      </c>
    </row>
    <row r="3223" spans="1:4" ht="15" customHeight="1" x14ac:dyDescent="0.25">
      <c r="A3223" s="2" t="str">
        <f>"08070000661"</f>
        <v>08070000661</v>
      </c>
      <c r="B3223" s="2" t="s">
        <v>3225</v>
      </c>
      <c r="C3223" s="2">
        <v>3291.15</v>
      </c>
      <c r="D3223" s="2" t="s">
        <v>5</v>
      </c>
    </row>
    <row r="3224" spans="1:4" ht="15" customHeight="1" x14ac:dyDescent="0.25">
      <c r="A3224" s="2" t="str">
        <f>"08300002000"</f>
        <v>08300002000</v>
      </c>
      <c r="B3224" s="2" t="s">
        <v>3226</v>
      </c>
      <c r="C3224" s="2">
        <v>6817.28</v>
      </c>
      <c r="D3224" s="2" t="s">
        <v>5</v>
      </c>
    </row>
    <row r="3225" spans="1:4" ht="15" customHeight="1" x14ac:dyDescent="0.25">
      <c r="A3225" s="2" t="str">
        <f>"08300002005"</f>
        <v>08300002005</v>
      </c>
      <c r="B3225" s="2" t="s">
        <v>3227</v>
      </c>
      <c r="C3225" s="2">
        <v>5604.83</v>
      </c>
      <c r="D3225" s="2" t="s">
        <v>5</v>
      </c>
    </row>
    <row r="3226" spans="1:4" ht="15" customHeight="1" x14ac:dyDescent="0.25">
      <c r="A3226" s="2" t="str">
        <f>"08300001670"</f>
        <v>08300001670</v>
      </c>
      <c r="B3226" s="2" t="s">
        <v>3228</v>
      </c>
      <c r="C3226" s="2">
        <v>2840.49</v>
      </c>
      <c r="D3226" s="2" t="s">
        <v>5</v>
      </c>
    </row>
    <row r="3227" spans="1:4" ht="15" customHeight="1" x14ac:dyDescent="0.25">
      <c r="A3227" s="2" t="str">
        <f>"08300001660"</f>
        <v>08300001660</v>
      </c>
      <c r="B3227" s="2" t="s">
        <v>3229</v>
      </c>
      <c r="C3227" s="2">
        <v>1440.5</v>
      </c>
      <c r="D3227" s="2" t="s">
        <v>5</v>
      </c>
    </row>
    <row r="3228" spans="1:4" ht="15" customHeight="1" x14ac:dyDescent="0.25">
      <c r="A3228" s="2" t="str">
        <f>"08300001665"</f>
        <v>08300001665</v>
      </c>
      <c r="B3228" s="2" t="s">
        <v>3230</v>
      </c>
      <c r="C3228" s="2">
        <v>12876.45</v>
      </c>
      <c r="D3228" s="2" t="s">
        <v>5</v>
      </c>
    </row>
    <row r="3229" spans="1:4" ht="15" customHeight="1" x14ac:dyDescent="0.25">
      <c r="A3229" s="2" t="str">
        <f>"08300001650"</f>
        <v>08300001650</v>
      </c>
      <c r="B3229" s="2" t="s">
        <v>3231</v>
      </c>
      <c r="C3229" s="2">
        <v>545.69000000000005</v>
      </c>
      <c r="D3229" s="2" t="s">
        <v>5</v>
      </c>
    </row>
    <row r="3230" spans="1:4" ht="15" customHeight="1" x14ac:dyDescent="0.25">
      <c r="A3230" s="2" t="str">
        <f>"08300001655"</f>
        <v>08300001655</v>
      </c>
      <c r="B3230" s="2" t="s">
        <v>3232</v>
      </c>
      <c r="C3230" s="2">
        <v>789.65</v>
      </c>
      <c r="D3230" s="2" t="s">
        <v>5</v>
      </c>
    </row>
    <row r="3231" spans="1:4" ht="15" customHeight="1" x14ac:dyDescent="0.25">
      <c r="A3231" s="2" t="str">
        <f>"08300002325"</f>
        <v>08300002325</v>
      </c>
      <c r="B3231" s="2" t="s">
        <v>3233</v>
      </c>
      <c r="C3231" s="2">
        <v>2195.6</v>
      </c>
      <c r="D3231" s="2" t="s">
        <v>5</v>
      </c>
    </row>
    <row r="3232" spans="1:4" ht="15" customHeight="1" x14ac:dyDescent="0.25">
      <c r="A3232" s="2" t="str">
        <f>"08070000777"</f>
        <v>08070000777</v>
      </c>
      <c r="B3232" s="2" t="s">
        <v>3234</v>
      </c>
      <c r="C3232" s="2">
        <v>3070.53</v>
      </c>
      <c r="D3232" s="2"/>
    </row>
    <row r="3233" spans="1:4" ht="15" customHeight="1" x14ac:dyDescent="0.25">
      <c r="A3233" s="2" t="str">
        <f>"08300002175"</f>
        <v>08300002175</v>
      </c>
      <c r="B3233" s="2" t="s">
        <v>3235</v>
      </c>
      <c r="C3233" s="2">
        <v>933.74</v>
      </c>
      <c r="D3233" s="2" t="s">
        <v>5</v>
      </c>
    </row>
    <row r="3234" spans="1:4" ht="15" customHeight="1" x14ac:dyDescent="0.25">
      <c r="A3234" s="2" t="str">
        <f>"08070000756"</f>
        <v>08070000756</v>
      </c>
      <c r="B3234" s="2" t="s">
        <v>3236</v>
      </c>
      <c r="C3234" s="2">
        <v>1319.69</v>
      </c>
      <c r="D3234" s="2" t="s">
        <v>5</v>
      </c>
    </row>
    <row r="3235" spans="1:4" ht="15" customHeight="1" x14ac:dyDescent="0.25">
      <c r="A3235" s="2" t="str">
        <f>"08070000757"</f>
        <v>08070000757</v>
      </c>
      <c r="B3235" s="2" t="s">
        <v>3237</v>
      </c>
      <c r="C3235" s="2">
        <v>2249.1799999999998</v>
      </c>
      <c r="D3235" s="2" t="s">
        <v>5</v>
      </c>
    </row>
    <row r="3236" spans="1:4" ht="15" customHeight="1" x14ac:dyDescent="0.25">
      <c r="A3236" s="2" t="str">
        <f>"08070000720"</f>
        <v>08070000720</v>
      </c>
      <c r="B3236" s="2" t="s">
        <v>3238</v>
      </c>
      <c r="C3236" s="2">
        <v>11317.26</v>
      </c>
      <c r="D3236" s="2" t="s">
        <v>5</v>
      </c>
    </row>
    <row r="3237" spans="1:4" ht="15" customHeight="1" x14ac:dyDescent="0.25">
      <c r="A3237" s="2" t="str">
        <f>"08070000080"</f>
        <v>08070000080</v>
      </c>
      <c r="B3237" s="2" t="s">
        <v>3239</v>
      </c>
      <c r="C3237" s="2">
        <v>13068.9</v>
      </c>
      <c r="D3237" s="2" t="s">
        <v>5</v>
      </c>
    </row>
    <row r="3238" spans="1:4" ht="15" customHeight="1" x14ac:dyDescent="0.25">
      <c r="A3238" s="2" t="str">
        <f>"08070000060"</f>
        <v>08070000060</v>
      </c>
      <c r="B3238" s="2" t="s">
        <v>3240</v>
      </c>
      <c r="C3238" s="2">
        <v>12603.12</v>
      </c>
      <c r="D3238" s="2" t="s">
        <v>5</v>
      </c>
    </row>
    <row r="3239" spans="1:4" ht="15" customHeight="1" x14ac:dyDescent="0.25">
      <c r="A3239" s="2" t="str">
        <f>"08070000730"</f>
        <v>08070000730</v>
      </c>
      <c r="B3239" s="2" t="s">
        <v>3241</v>
      </c>
      <c r="C3239" s="2">
        <v>11317.26</v>
      </c>
      <c r="D3239" s="2" t="s">
        <v>5</v>
      </c>
    </row>
    <row r="3240" spans="1:4" ht="15" customHeight="1" x14ac:dyDescent="0.25">
      <c r="A3240" s="2" t="str">
        <f>"08070000070"</f>
        <v>08070000070</v>
      </c>
      <c r="B3240" s="2" t="s">
        <v>3242</v>
      </c>
      <c r="C3240" s="2">
        <v>10731.44</v>
      </c>
      <c r="D3240" s="2" t="s">
        <v>5</v>
      </c>
    </row>
    <row r="3241" spans="1:4" ht="15" customHeight="1" x14ac:dyDescent="0.25">
      <c r="A3241" s="2" t="str">
        <f>"08070000735"</f>
        <v>08070000735</v>
      </c>
      <c r="B3241" s="2" t="s">
        <v>3243</v>
      </c>
      <c r="C3241" s="2">
        <v>13068.9</v>
      </c>
      <c r="D3241" s="2" t="s">
        <v>5</v>
      </c>
    </row>
    <row r="3242" spans="1:4" ht="15" customHeight="1" x14ac:dyDescent="0.25">
      <c r="A3242" s="2" t="str">
        <f>"08070000065"</f>
        <v>08070000065</v>
      </c>
      <c r="B3242" s="2" t="s">
        <v>3244</v>
      </c>
      <c r="C3242" s="2">
        <v>12603.12</v>
      </c>
      <c r="D3242" s="2" t="s">
        <v>5</v>
      </c>
    </row>
    <row r="3243" spans="1:4" ht="15" customHeight="1" x14ac:dyDescent="0.25">
      <c r="A3243" s="2" t="str">
        <f>"08300002405"</f>
        <v>08300002405</v>
      </c>
      <c r="B3243" s="2" t="s">
        <v>3245</v>
      </c>
      <c r="C3243" s="2">
        <v>1935.32</v>
      </c>
      <c r="D3243" s="2" t="s">
        <v>5</v>
      </c>
    </row>
    <row r="3244" spans="1:4" ht="15" customHeight="1" x14ac:dyDescent="0.25">
      <c r="A3244" s="2" t="str">
        <f>"08300001500"</f>
        <v>08300001500</v>
      </c>
      <c r="B3244" s="2" t="s">
        <v>3246</v>
      </c>
      <c r="C3244" s="2">
        <v>1449.62</v>
      </c>
      <c r="D3244" s="2" t="s">
        <v>5</v>
      </c>
    </row>
    <row r="3245" spans="1:4" ht="15" customHeight="1" x14ac:dyDescent="0.25">
      <c r="A3245" s="2" t="str">
        <f>"08300002330"</f>
        <v>08300002330</v>
      </c>
      <c r="B3245" s="2" t="s">
        <v>3247</v>
      </c>
      <c r="C3245" s="2">
        <v>2147.16</v>
      </c>
      <c r="D3245" s="2" t="s">
        <v>5</v>
      </c>
    </row>
    <row r="3246" spans="1:4" ht="15" customHeight="1" x14ac:dyDescent="0.25">
      <c r="A3246" s="2" t="str">
        <f>"08070000420"</f>
        <v>08070000420</v>
      </c>
      <c r="B3246" s="2" t="s">
        <v>3248</v>
      </c>
      <c r="C3246" s="2">
        <v>429.75</v>
      </c>
      <c r="D3246" s="2" t="s">
        <v>5</v>
      </c>
    </row>
    <row r="3247" spans="1:4" ht="15" customHeight="1" x14ac:dyDescent="0.25">
      <c r="A3247" s="2" t="str">
        <f>"08070000430"</f>
        <v>08070000430</v>
      </c>
      <c r="B3247" s="2" t="s">
        <v>3249</v>
      </c>
      <c r="C3247" s="2">
        <v>1126.8</v>
      </c>
      <c r="D3247" s="2" t="s">
        <v>5</v>
      </c>
    </row>
    <row r="3248" spans="1:4" ht="15" customHeight="1" x14ac:dyDescent="0.25">
      <c r="A3248" s="2" t="str">
        <f>"08070000435"</f>
        <v>08070000435</v>
      </c>
      <c r="B3248" s="2" t="s">
        <v>3250</v>
      </c>
      <c r="C3248" s="2">
        <v>1903.91</v>
      </c>
      <c r="D3248" s="2" t="s">
        <v>5</v>
      </c>
    </row>
    <row r="3249" spans="1:4" ht="15" customHeight="1" x14ac:dyDescent="0.25">
      <c r="A3249" s="2" t="str">
        <f>"08070000440"</f>
        <v>08070000440</v>
      </c>
      <c r="B3249" s="2" t="s">
        <v>3251</v>
      </c>
      <c r="C3249" s="2">
        <v>696.26</v>
      </c>
      <c r="D3249" s="2" t="s">
        <v>5</v>
      </c>
    </row>
    <row r="3250" spans="1:4" ht="15" customHeight="1" x14ac:dyDescent="0.25">
      <c r="A3250" s="2" t="str">
        <f>"08300001550"</f>
        <v>08300001550</v>
      </c>
      <c r="B3250" s="2" t="s">
        <v>3252</v>
      </c>
      <c r="C3250" s="2">
        <v>197.13</v>
      </c>
      <c r="D3250" s="2" t="s">
        <v>5</v>
      </c>
    </row>
    <row r="3251" spans="1:4" ht="15" customHeight="1" x14ac:dyDescent="0.25">
      <c r="A3251" s="2" t="str">
        <f>"08300001555"</f>
        <v>08300001555</v>
      </c>
      <c r="B3251" s="2" t="s">
        <v>3253</v>
      </c>
      <c r="C3251" s="2">
        <v>257.27999999999997</v>
      </c>
      <c r="D3251" s="2" t="s">
        <v>5</v>
      </c>
    </row>
    <row r="3252" spans="1:4" ht="15" customHeight="1" x14ac:dyDescent="0.25">
      <c r="A3252" s="2" t="str">
        <f>"08300001560"</f>
        <v>08300001560</v>
      </c>
      <c r="B3252" s="2" t="s">
        <v>3254</v>
      </c>
      <c r="C3252" s="2">
        <v>424.89</v>
      </c>
      <c r="D3252" s="2" t="s">
        <v>5</v>
      </c>
    </row>
    <row r="3253" spans="1:4" ht="15" customHeight="1" x14ac:dyDescent="0.25">
      <c r="A3253" s="2" t="str">
        <f>"08300001565"</f>
        <v>08300001565</v>
      </c>
      <c r="B3253" s="2" t="s">
        <v>3255</v>
      </c>
      <c r="C3253" s="2">
        <v>834.03</v>
      </c>
      <c r="D3253" s="2" t="s">
        <v>5</v>
      </c>
    </row>
    <row r="3254" spans="1:4" ht="15" customHeight="1" x14ac:dyDescent="0.25">
      <c r="A3254" s="2" t="str">
        <f>"08300001570"</f>
        <v>08300001570</v>
      </c>
      <c r="B3254" s="2" t="s">
        <v>3256</v>
      </c>
      <c r="C3254" s="2">
        <v>7574.37</v>
      </c>
      <c r="D3254" s="2" t="s">
        <v>5</v>
      </c>
    </row>
    <row r="3255" spans="1:4" ht="15" customHeight="1" x14ac:dyDescent="0.25">
      <c r="A3255" s="2" t="str">
        <f>"08070000446"</f>
        <v>08070000446</v>
      </c>
      <c r="B3255" s="2" t="s">
        <v>3257</v>
      </c>
      <c r="C3255" s="2">
        <v>1185.78</v>
      </c>
      <c r="D3255" s="2" t="s">
        <v>5</v>
      </c>
    </row>
    <row r="3256" spans="1:4" ht="15" customHeight="1" x14ac:dyDescent="0.25">
      <c r="A3256" s="2" t="str">
        <f>"08070000443"</f>
        <v>08070000443</v>
      </c>
      <c r="B3256" s="2" t="s">
        <v>3258</v>
      </c>
      <c r="C3256" s="2">
        <v>301.17</v>
      </c>
      <c r="D3256" s="2" t="s">
        <v>5</v>
      </c>
    </row>
    <row r="3257" spans="1:4" ht="15" customHeight="1" x14ac:dyDescent="0.25">
      <c r="A3257" s="2" t="str">
        <f>"08070000444"</f>
        <v>08070000444</v>
      </c>
      <c r="B3257" s="2" t="s">
        <v>3259</v>
      </c>
      <c r="C3257" s="2">
        <v>378.11</v>
      </c>
      <c r="D3257" s="2" t="s">
        <v>5</v>
      </c>
    </row>
    <row r="3258" spans="1:4" ht="15" customHeight="1" x14ac:dyDescent="0.25">
      <c r="A3258" s="2" t="str">
        <f>"08070000445"</f>
        <v>08070000445</v>
      </c>
      <c r="B3258" s="2" t="s">
        <v>3260</v>
      </c>
      <c r="C3258" s="2">
        <v>1185.78</v>
      </c>
      <c r="D3258" s="2" t="s">
        <v>5</v>
      </c>
    </row>
    <row r="3259" spans="1:4" ht="15" customHeight="1" x14ac:dyDescent="0.25">
      <c r="A3259" s="2" t="str">
        <f>"08070000760"</f>
        <v>08070000760</v>
      </c>
      <c r="B3259" s="2" t="s">
        <v>3261</v>
      </c>
      <c r="C3259" s="2">
        <v>3788.12</v>
      </c>
      <c r="D3259" s="2" t="s">
        <v>5</v>
      </c>
    </row>
    <row r="3260" spans="1:4" ht="15" customHeight="1" x14ac:dyDescent="0.25">
      <c r="A3260" s="2" t="str">
        <f>"08070000761"</f>
        <v>08070000761</v>
      </c>
      <c r="B3260" s="2" t="s">
        <v>3262</v>
      </c>
      <c r="C3260" s="2">
        <v>4134.2</v>
      </c>
      <c r="D3260" s="2" t="s">
        <v>5</v>
      </c>
    </row>
    <row r="3261" spans="1:4" ht="15" customHeight="1" x14ac:dyDescent="0.25">
      <c r="A3261" s="2" t="str">
        <f>"08070000762"</f>
        <v>08070000762</v>
      </c>
      <c r="B3261" s="2" t="s">
        <v>3263</v>
      </c>
      <c r="C3261" s="2">
        <v>4941.7700000000004</v>
      </c>
      <c r="D3261" s="2" t="s">
        <v>5</v>
      </c>
    </row>
    <row r="3262" spans="1:4" ht="15" customHeight="1" x14ac:dyDescent="0.25">
      <c r="A3262" s="2" t="str">
        <f>"08070000763"</f>
        <v>08070000763</v>
      </c>
      <c r="B3262" s="2" t="s">
        <v>3264</v>
      </c>
      <c r="C3262" s="2">
        <v>7210.76</v>
      </c>
      <c r="D3262" s="2" t="s">
        <v>5</v>
      </c>
    </row>
    <row r="3263" spans="1:4" ht="15" customHeight="1" x14ac:dyDescent="0.25">
      <c r="A3263" s="2" t="str">
        <f>"08300000005"</f>
        <v>08300000005</v>
      </c>
      <c r="B3263" s="2" t="s">
        <v>3265</v>
      </c>
      <c r="C3263" s="2">
        <v>966.54</v>
      </c>
      <c r="D3263" s="2" t="s">
        <v>5</v>
      </c>
    </row>
    <row r="3264" spans="1:4" ht="15" customHeight="1" x14ac:dyDescent="0.25">
      <c r="A3264" s="2" t="str">
        <f>"08300000010"</f>
        <v>08300000010</v>
      </c>
      <c r="B3264" s="2" t="s">
        <v>3266</v>
      </c>
      <c r="C3264" s="2">
        <v>1259.24</v>
      </c>
      <c r="D3264" s="2" t="s">
        <v>5</v>
      </c>
    </row>
    <row r="3265" spans="1:4" ht="15" customHeight="1" x14ac:dyDescent="0.25">
      <c r="A3265" s="2" t="str">
        <f>"08300000015"</f>
        <v>08300000015</v>
      </c>
      <c r="B3265" s="2" t="s">
        <v>3267</v>
      </c>
      <c r="C3265" s="2">
        <v>1403.24</v>
      </c>
      <c r="D3265" s="2" t="s">
        <v>5</v>
      </c>
    </row>
    <row r="3266" spans="1:4" ht="15" customHeight="1" x14ac:dyDescent="0.25">
      <c r="A3266" s="2" t="str">
        <f>"08300000020"</f>
        <v>08300000020</v>
      </c>
      <c r="B3266" s="2" t="s">
        <v>3268</v>
      </c>
      <c r="C3266" s="2">
        <v>1887.75</v>
      </c>
      <c r="D3266" s="2" t="s">
        <v>5</v>
      </c>
    </row>
    <row r="3267" spans="1:4" ht="15" customHeight="1" x14ac:dyDescent="0.25">
      <c r="A3267" s="2" t="str">
        <f>"08300000025"</f>
        <v>08300000025</v>
      </c>
      <c r="B3267" s="2" t="s">
        <v>3269</v>
      </c>
      <c r="C3267" s="2">
        <v>2182.85</v>
      </c>
      <c r="D3267" s="2" t="s">
        <v>5</v>
      </c>
    </row>
    <row r="3268" spans="1:4" ht="15" customHeight="1" x14ac:dyDescent="0.25">
      <c r="A3268" s="2" t="str">
        <f>"08300000030"</f>
        <v>08300000030</v>
      </c>
      <c r="B3268" s="2" t="s">
        <v>3270</v>
      </c>
      <c r="C3268" s="2">
        <v>3118.71</v>
      </c>
      <c r="D3268" s="2" t="s">
        <v>5</v>
      </c>
    </row>
    <row r="3269" spans="1:4" ht="15" customHeight="1" x14ac:dyDescent="0.25">
      <c r="A3269" s="2" t="str">
        <f>"08300000035"</f>
        <v>08300000035</v>
      </c>
      <c r="B3269" s="2" t="s">
        <v>3271</v>
      </c>
      <c r="C3269" s="2">
        <v>3898.23</v>
      </c>
      <c r="D3269" s="2" t="s">
        <v>5</v>
      </c>
    </row>
    <row r="3270" spans="1:4" ht="15" customHeight="1" x14ac:dyDescent="0.25">
      <c r="A3270" s="2" t="str">
        <f>"08300000060"</f>
        <v>08300000060</v>
      </c>
      <c r="B3270" s="2" t="s">
        <v>3272</v>
      </c>
      <c r="C3270" s="2">
        <v>1325.57</v>
      </c>
      <c r="D3270" s="2" t="s">
        <v>5</v>
      </c>
    </row>
    <row r="3271" spans="1:4" ht="15" customHeight="1" x14ac:dyDescent="0.25">
      <c r="A3271" s="2" t="str">
        <f>"08300000065"</f>
        <v>08300000065</v>
      </c>
      <c r="B3271" s="2" t="s">
        <v>3273</v>
      </c>
      <c r="C3271" s="2">
        <v>1211.8499999999999</v>
      </c>
      <c r="D3271" s="2" t="s">
        <v>5</v>
      </c>
    </row>
    <row r="3272" spans="1:4" ht="15" customHeight="1" x14ac:dyDescent="0.25">
      <c r="A3272" s="2" t="str">
        <f>"08300000070"</f>
        <v>08300000070</v>
      </c>
      <c r="B3272" s="2" t="s">
        <v>3274</v>
      </c>
      <c r="C3272" s="2">
        <v>1871.19</v>
      </c>
      <c r="D3272" s="2" t="s">
        <v>5</v>
      </c>
    </row>
    <row r="3273" spans="1:4" ht="15" customHeight="1" x14ac:dyDescent="0.25">
      <c r="A3273" s="2" t="str">
        <f>"08300000075"</f>
        <v>08300000075</v>
      </c>
      <c r="B3273" s="2" t="s">
        <v>3275</v>
      </c>
      <c r="C3273" s="2">
        <v>1695.42</v>
      </c>
      <c r="D3273" s="2" t="s">
        <v>5</v>
      </c>
    </row>
    <row r="3274" spans="1:4" ht="15" customHeight="1" x14ac:dyDescent="0.25">
      <c r="A3274" s="2" t="str">
        <f>"08300000080"</f>
        <v>08300000080</v>
      </c>
      <c r="B3274" s="2" t="s">
        <v>3276</v>
      </c>
      <c r="C3274" s="2">
        <v>2806.82</v>
      </c>
      <c r="D3274" s="2" t="s">
        <v>5</v>
      </c>
    </row>
    <row r="3275" spans="1:4" ht="15" customHeight="1" x14ac:dyDescent="0.25">
      <c r="A3275" s="2" t="str">
        <f>"08300000085"</f>
        <v>08300000085</v>
      </c>
      <c r="B3275" s="2" t="s">
        <v>3277</v>
      </c>
      <c r="C3275" s="2">
        <v>3898.23</v>
      </c>
      <c r="D3275" s="2" t="s">
        <v>5</v>
      </c>
    </row>
    <row r="3276" spans="1:4" ht="15" customHeight="1" x14ac:dyDescent="0.25">
      <c r="A3276" s="2" t="str">
        <f>"08300000090"</f>
        <v>08300000090</v>
      </c>
      <c r="B3276" s="2" t="s">
        <v>3278</v>
      </c>
      <c r="C3276" s="2">
        <v>5145.5</v>
      </c>
      <c r="D3276" s="2" t="s">
        <v>5</v>
      </c>
    </row>
    <row r="3277" spans="1:4" ht="15" customHeight="1" x14ac:dyDescent="0.25">
      <c r="A3277" s="2" t="str">
        <f>"08300000120"</f>
        <v>08300000120</v>
      </c>
      <c r="B3277" s="2" t="s">
        <v>3279</v>
      </c>
      <c r="C3277" s="2">
        <v>1715.46</v>
      </c>
      <c r="D3277" s="2" t="s">
        <v>5</v>
      </c>
    </row>
    <row r="3278" spans="1:4" ht="15" customHeight="1" x14ac:dyDescent="0.25">
      <c r="A3278" s="2" t="str">
        <f>"08300000125"</f>
        <v>08300000125</v>
      </c>
      <c r="B3278" s="2" t="s">
        <v>3280</v>
      </c>
      <c r="C3278" s="2">
        <v>2123.7800000000002</v>
      </c>
      <c r="D3278" s="2" t="s">
        <v>5</v>
      </c>
    </row>
    <row r="3279" spans="1:4" ht="15" customHeight="1" x14ac:dyDescent="0.25">
      <c r="A3279" s="2" t="str">
        <f>"08300000130"</f>
        <v>08300000130</v>
      </c>
      <c r="B3279" s="2" t="s">
        <v>3281</v>
      </c>
      <c r="C3279" s="2">
        <v>2338.5300000000002</v>
      </c>
      <c r="D3279" s="2" t="s">
        <v>5</v>
      </c>
    </row>
    <row r="3280" spans="1:4" ht="15" customHeight="1" x14ac:dyDescent="0.25">
      <c r="A3280" s="2" t="str">
        <f>"08300000135"</f>
        <v>08300000135</v>
      </c>
      <c r="B3280" s="2" t="s">
        <v>3282</v>
      </c>
      <c r="C3280" s="2">
        <v>3067.65</v>
      </c>
      <c r="D3280" s="2" t="s">
        <v>5</v>
      </c>
    </row>
    <row r="3281" spans="1:4" ht="15" customHeight="1" x14ac:dyDescent="0.25">
      <c r="A3281" s="2" t="str">
        <f>"08300000140"</f>
        <v>08300000140</v>
      </c>
      <c r="B3281" s="2" t="s">
        <v>3283</v>
      </c>
      <c r="C3281" s="2">
        <v>3586.14</v>
      </c>
      <c r="D3281" s="2" t="s">
        <v>5</v>
      </c>
    </row>
    <row r="3282" spans="1:4" ht="15" customHeight="1" x14ac:dyDescent="0.25">
      <c r="A3282" s="2" t="str">
        <f>"08300000145"</f>
        <v>08300000145</v>
      </c>
      <c r="B3282" s="2" t="s">
        <v>3284</v>
      </c>
      <c r="C3282" s="2">
        <v>4677.3599999999997</v>
      </c>
      <c r="D3282" s="2" t="s">
        <v>5</v>
      </c>
    </row>
    <row r="3283" spans="1:4" ht="15" customHeight="1" x14ac:dyDescent="0.25">
      <c r="A3283" s="2" t="str">
        <f>"08300000150"</f>
        <v>08300000150</v>
      </c>
      <c r="B3283" s="2" t="s">
        <v>3285</v>
      </c>
      <c r="C3283" s="2">
        <v>6236.63</v>
      </c>
      <c r="D3283" s="2" t="s">
        <v>5</v>
      </c>
    </row>
    <row r="3284" spans="1:4" ht="15" customHeight="1" x14ac:dyDescent="0.25">
      <c r="A3284" s="2" t="str">
        <f>"08300000170"</f>
        <v>08300000170</v>
      </c>
      <c r="B3284" s="2" t="s">
        <v>3286</v>
      </c>
      <c r="C3284" s="2">
        <v>3229.59</v>
      </c>
      <c r="D3284" s="2" t="s">
        <v>5</v>
      </c>
    </row>
    <row r="3285" spans="1:4" ht="15" customHeight="1" x14ac:dyDescent="0.25">
      <c r="A3285" s="2" t="str">
        <f>"08300000175"</f>
        <v>08300000175</v>
      </c>
      <c r="B3285" s="2" t="s">
        <v>3287</v>
      </c>
      <c r="C3285" s="2">
        <v>3947.06</v>
      </c>
      <c r="D3285" s="2" t="s">
        <v>5</v>
      </c>
    </row>
    <row r="3286" spans="1:4" ht="15" customHeight="1" x14ac:dyDescent="0.25">
      <c r="A3286" s="2" t="str">
        <f>"08300000180"</f>
        <v>08300000180</v>
      </c>
      <c r="B3286" s="2" t="s">
        <v>3288</v>
      </c>
      <c r="C3286" s="2">
        <v>4759.1400000000003</v>
      </c>
      <c r="D3286" s="2" t="s">
        <v>5</v>
      </c>
    </row>
    <row r="3287" spans="1:4" ht="15" customHeight="1" x14ac:dyDescent="0.25">
      <c r="A3287" s="2" t="str">
        <f>"08300000185"</f>
        <v>08300000185</v>
      </c>
      <c r="B3287" s="2" t="s">
        <v>3289</v>
      </c>
      <c r="C3287" s="2">
        <v>6034.38</v>
      </c>
      <c r="D3287" s="2" t="s">
        <v>5</v>
      </c>
    </row>
    <row r="3288" spans="1:4" ht="15" customHeight="1" x14ac:dyDescent="0.25">
      <c r="A3288" s="2" t="str">
        <f>"08300000190"</f>
        <v>08300000190</v>
      </c>
      <c r="B3288" s="2" t="s">
        <v>3290</v>
      </c>
      <c r="C3288" s="2">
        <v>7335.41</v>
      </c>
      <c r="D3288" s="2" t="s">
        <v>5</v>
      </c>
    </row>
    <row r="3289" spans="1:4" ht="15" customHeight="1" x14ac:dyDescent="0.25">
      <c r="A3289" s="2" t="str">
        <f>"08300000200"</f>
        <v>08300000200</v>
      </c>
      <c r="B3289" s="2" t="s">
        <v>3291</v>
      </c>
      <c r="C3289" s="2">
        <v>9772.5300000000007</v>
      </c>
      <c r="D3289" s="2" t="s">
        <v>5</v>
      </c>
    </row>
    <row r="3290" spans="1:4" ht="15" customHeight="1" x14ac:dyDescent="0.25">
      <c r="A3290" s="2" t="str">
        <f>"08300000205"</f>
        <v>08300000205</v>
      </c>
      <c r="B3290" s="2" t="s">
        <v>3292</v>
      </c>
      <c r="C3290" s="2">
        <v>12700.41</v>
      </c>
      <c r="D3290" s="2" t="s">
        <v>5</v>
      </c>
    </row>
    <row r="3291" spans="1:4" ht="15" customHeight="1" x14ac:dyDescent="0.25">
      <c r="A3291" s="2" t="str">
        <f>"08300000255"</f>
        <v>08300000255</v>
      </c>
      <c r="B3291" s="2" t="s">
        <v>3293</v>
      </c>
      <c r="C3291" s="2">
        <v>11209.7</v>
      </c>
      <c r="D3291" s="2" t="s">
        <v>5</v>
      </c>
    </row>
    <row r="3292" spans="1:4" ht="15" customHeight="1" x14ac:dyDescent="0.25">
      <c r="A3292" s="2" t="str">
        <f>"08300000230"</f>
        <v>08300000230</v>
      </c>
      <c r="B3292" s="2" t="s">
        <v>3294</v>
      </c>
      <c r="C3292" s="2">
        <v>22662.69</v>
      </c>
      <c r="D3292" s="2" t="s">
        <v>5</v>
      </c>
    </row>
    <row r="3293" spans="1:4" ht="15" customHeight="1" x14ac:dyDescent="0.25">
      <c r="A3293" s="2" t="str">
        <f>"08300000235"</f>
        <v>08300000235</v>
      </c>
      <c r="B3293" s="2" t="s">
        <v>3295</v>
      </c>
      <c r="C3293" s="2">
        <v>27387.77</v>
      </c>
      <c r="D3293" s="2" t="s">
        <v>5</v>
      </c>
    </row>
    <row r="3294" spans="1:4" ht="15" customHeight="1" x14ac:dyDescent="0.25">
      <c r="A3294" s="2" t="str">
        <f>"08300000240"</f>
        <v>08300000240</v>
      </c>
      <c r="B3294" s="2" t="s">
        <v>3296</v>
      </c>
      <c r="C3294" s="2">
        <v>41084.06</v>
      </c>
      <c r="D3294" s="2" t="s">
        <v>5</v>
      </c>
    </row>
    <row r="3295" spans="1:4" ht="15" customHeight="1" x14ac:dyDescent="0.25">
      <c r="A3295" s="2" t="str">
        <f>"08070000100"</f>
        <v>08070000100</v>
      </c>
      <c r="B3295" s="2" t="s">
        <v>3297</v>
      </c>
      <c r="C3295" s="2">
        <v>1264.19</v>
      </c>
      <c r="D3295" s="2" t="s">
        <v>5</v>
      </c>
    </row>
    <row r="3296" spans="1:4" ht="15" customHeight="1" x14ac:dyDescent="0.25">
      <c r="A3296" s="2" t="str">
        <f>"08070000110"</f>
        <v>08070000110</v>
      </c>
      <c r="B3296" s="2" t="s">
        <v>3298</v>
      </c>
      <c r="C3296" s="2">
        <v>1555.98</v>
      </c>
      <c r="D3296" s="2" t="s">
        <v>5</v>
      </c>
    </row>
    <row r="3297" spans="1:4" ht="15" customHeight="1" x14ac:dyDescent="0.25">
      <c r="A3297" s="2" t="str">
        <f>"08070000120"</f>
        <v>08070000120</v>
      </c>
      <c r="B3297" s="2" t="s">
        <v>3299</v>
      </c>
      <c r="C3297" s="2">
        <v>2211.48</v>
      </c>
      <c r="D3297" s="2" t="s">
        <v>5</v>
      </c>
    </row>
    <row r="3298" spans="1:4" ht="15" customHeight="1" x14ac:dyDescent="0.25">
      <c r="A3298" s="2" t="str">
        <f>"08070000130"</f>
        <v>08070000130</v>
      </c>
      <c r="B3298" s="2" t="s">
        <v>3300</v>
      </c>
      <c r="C3298" s="2">
        <v>2816.7</v>
      </c>
      <c r="D3298" s="2" t="s">
        <v>5</v>
      </c>
    </row>
    <row r="3299" spans="1:4" ht="15" customHeight="1" x14ac:dyDescent="0.25">
      <c r="A3299" s="2" t="str">
        <f>"08070000140"</f>
        <v>08070000140</v>
      </c>
      <c r="B3299" s="2" t="s">
        <v>3301</v>
      </c>
      <c r="C3299" s="2">
        <v>3479.84</v>
      </c>
      <c r="D3299" s="2" t="s">
        <v>5</v>
      </c>
    </row>
    <row r="3300" spans="1:4" ht="15" customHeight="1" x14ac:dyDescent="0.25">
      <c r="A3300" s="2" t="str">
        <f>"08070000150"</f>
        <v>08070000150</v>
      </c>
      <c r="B3300" s="2" t="s">
        <v>3302</v>
      </c>
      <c r="C3300" s="2">
        <v>1625.52</v>
      </c>
      <c r="D3300" s="2" t="s">
        <v>5</v>
      </c>
    </row>
    <row r="3301" spans="1:4" ht="15" customHeight="1" x14ac:dyDescent="0.25">
      <c r="A3301" s="2" t="str">
        <f>"08070000160"</f>
        <v>08070000160</v>
      </c>
      <c r="B3301" s="2" t="s">
        <v>3303</v>
      </c>
      <c r="C3301" s="2">
        <v>2025.83</v>
      </c>
      <c r="D3301" s="2" t="s">
        <v>5</v>
      </c>
    </row>
    <row r="3302" spans="1:4" ht="15" customHeight="1" x14ac:dyDescent="0.25">
      <c r="A3302" s="2" t="str">
        <f>"08070000170"</f>
        <v>08070000170</v>
      </c>
      <c r="B3302" s="2" t="s">
        <v>3304</v>
      </c>
      <c r="C3302" s="2">
        <v>2837.22</v>
      </c>
      <c r="D3302" s="2" t="s">
        <v>5</v>
      </c>
    </row>
    <row r="3303" spans="1:4" ht="15" customHeight="1" x14ac:dyDescent="0.25">
      <c r="A3303" s="2" t="str">
        <f>"08070000180"</f>
        <v>08070000180</v>
      </c>
      <c r="B3303" s="2" t="s">
        <v>3305</v>
      </c>
      <c r="C3303" s="2">
        <v>3423.81</v>
      </c>
      <c r="D3303" s="2" t="s">
        <v>5</v>
      </c>
    </row>
    <row r="3304" spans="1:4" ht="15" customHeight="1" x14ac:dyDescent="0.25">
      <c r="A3304" s="2" t="str">
        <f>"08070000190"</f>
        <v>08070000190</v>
      </c>
      <c r="B3304" s="2" t="s">
        <v>3306</v>
      </c>
      <c r="C3304" s="2">
        <v>4378.74</v>
      </c>
      <c r="D3304" s="2" t="s">
        <v>5</v>
      </c>
    </row>
    <row r="3305" spans="1:4" ht="15" customHeight="1" x14ac:dyDescent="0.25">
      <c r="A3305" s="2" t="str">
        <f>"08070000200"</f>
        <v>08070000200</v>
      </c>
      <c r="B3305" s="2" t="s">
        <v>3307</v>
      </c>
      <c r="C3305" s="2">
        <v>2163.14</v>
      </c>
      <c r="D3305" s="2" t="s">
        <v>5</v>
      </c>
    </row>
    <row r="3306" spans="1:4" ht="15" customHeight="1" x14ac:dyDescent="0.25">
      <c r="A3306" s="2" t="str">
        <f>"08070000210"</f>
        <v>08070000210</v>
      </c>
      <c r="B3306" s="2" t="s">
        <v>3308</v>
      </c>
      <c r="C3306" s="2">
        <v>2707.26</v>
      </c>
      <c r="D3306" s="2" t="s">
        <v>5</v>
      </c>
    </row>
    <row r="3307" spans="1:4" ht="15" customHeight="1" x14ac:dyDescent="0.25">
      <c r="A3307" s="2" t="str">
        <f>"08070000220"</f>
        <v>08070000220</v>
      </c>
      <c r="B3307" s="2" t="s">
        <v>3309</v>
      </c>
      <c r="C3307" s="2">
        <v>3654.77</v>
      </c>
      <c r="D3307" s="2" t="s">
        <v>5</v>
      </c>
    </row>
    <row r="3308" spans="1:4" ht="15" customHeight="1" x14ac:dyDescent="0.25">
      <c r="A3308" s="2" t="str">
        <f>"08070000222"</f>
        <v>08070000222</v>
      </c>
      <c r="B3308" s="2" t="s">
        <v>3310</v>
      </c>
      <c r="C3308" s="2">
        <v>4596.9799999999996</v>
      </c>
      <c r="D3308" s="2" t="s">
        <v>5</v>
      </c>
    </row>
    <row r="3309" spans="1:4" ht="15" customHeight="1" x14ac:dyDescent="0.25">
      <c r="A3309" s="2" t="str">
        <f>"08070000230"</f>
        <v>08070000230</v>
      </c>
      <c r="B3309" s="2" t="s">
        <v>3311</v>
      </c>
      <c r="C3309" s="2">
        <v>5548.22</v>
      </c>
      <c r="D3309" s="2" t="s">
        <v>5</v>
      </c>
    </row>
    <row r="3310" spans="1:4" ht="15" customHeight="1" x14ac:dyDescent="0.25">
      <c r="A3310" s="2" t="str">
        <f>"08070000240"</f>
        <v>08070000240</v>
      </c>
      <c r="B3310" s="2" t="s">
        <v>3312</v>
      </c>
      <c r="C3310" s="2">
        <v>9874.2199999999993</v>
      </c>
      <c r="D3310" s="2" t="s">
        <v>5</v>
      </c>
    </row>
    <row r="3311" spans="1:4" ht="15" customHeight="1" x14ac:dyDescent="0.25">
      <c r="A3311" s="2" t="str">
        <f>"08070000250"</f>
        <v>08070000250</v>
      </c>
      <c r="B3311" s="2" t="s">
        <v>3313</v>
      </c>
      <c r="C3311" s="2">
        <v>3654.77</v>
      </c>
      <c r="D3311" s="2" t="s">
        <v>5</v>
      </c>
    </row>
    <row r="3312" spans="1:4" ht="15" customHeight="1" x14ac:dyDescent="0.25">
      <c r="A3312" s="2" t="str">
        <f>"08070000260"</f>
        <v>08070000260</v>
      </c>
      <c r="B3312" s="2" t="s">
        <v>3314</v>
      </c>
      <c r="C3312" s="2">
        <v>4596.9799999999996</v>
      </c>
      <c r="D3312" s="2" t="s">
        <v>5</v>
      </c>
    </row>
    <row r="3313" spans="1:4" ht="15" customHeight="1" x14ac:dyDescent="0.25">
      <c r="A3313" s="2" t="str">
        <f>"08070000265"</f>
        <v>08070000265</v>
      </c>
      <c r="B3313" s="2" t="s">
        <v>3315</v>
      </c>
      <c r="C3313" s="2">
        <v>5546.72</v>
      </c>
      <c r="D3313" s="2" t="s">
        <v>5</v>
      </c>
    </row>
    <row r="3314" spans="1:4" ht="15" customHeight="1" x14ac:dyDescent="0.25">
      <c r="A3314" s="2" t="str">
        <f>"08070000270"</f>
        <v>08070000270</v>
      </c>
      <c r="B3314" s="2" t="s">
        <v>3316</v>
      </c>
      <c r="C3314" s="2">
        <v>6761.34</v>
      </c>
      <c r="D3314" s="2" t="s">
        <v>5</v>
      </c>
    </row>
    <row r="3315" spans="1:4" ht="15" customHeight="1" x14ac:dyDescent="0.25">
      <c r="A3315" s="2" t="str">
        <f>"08070000280"</f>
        <v>08070000280</v>
      </c>
      <c r="B3315" s="2" t="s">
        <v>3317</v>
      </c>
      <c r="C3315" s="2">
        <v>8388.6200000000008</v>
      </c>
      <c r="D3315" s="2" t="s">
        <v>5</v>
      </c>
    </row>
    <row r="3316" spans="1:4" ht="15" customHeight="1" x14ac:dyDescent="0.25">
      <c r="A3316" s="2" t="str">
        <f>"08070000290"</f>
        <v>08070000290</v>
      </c>
      <c r="B3316" s="2" t="s">
        <v>3318</v>
      </c>
      <c r="C3316" s="2">
        <v>10273.64</v>
      </c>
      <c r="D3316" s="2" t="s">
        <v>5</v>
      </c>
    </row>
    <row r="3317" spans="1:4" ht="15" customHeight="1" x14ac:dyDescent="0.25">
      <c r="A3317" s="2" t="str">
        <f>"08070000292"</f>
        <v>08070000292</v>
      </c>
      <c r="B3317" s="2" t="s">
        <v>3319</v>
      </c>
      <c r="C3317" s="2">
        <v>18262.86</v>
      </c>
      <c r="D3317" s="2" t="s">
        <v>5</v>
      </c>
    </row>
    <row r="3318" spans="1:4" ht="15" customHeight="1" x14ac:dyDescent="0.25">
      <c r="A3318" s="2" t="str">
        <f>"08070000620"</f>
        <v>08070000620</v>
      </c>
      <c r="B3318" s="2" t="s">
        <v>3320</v>
      </c>
      <c r="C3318" s="2">
        <v>14324.1</v>
      </c>
      <c r="D3318" s="2" t="s">
        <v>5</v>
      </c>
    </row>
    <row r="3319" spans="1:4" ht="15" customHeight="1" x14ac:dyDescent="0.25">
      <c r="A3319" s="2" t="str">
        <f>"08070000622"</f>
        <v>08070000622</v>
      </c>
      <c r="B3319" s="2" t="s">
        <v>3321</v>
      </c>
      <c r="C3319" s="2">
        <v>55829.03</v>
      </c>
      <c r="D3319" s="2" t="s">
        <v>5</v>
      </c>
    </row>
    <row r="3320" spans="1:4" ht="15" customHeight="1" x14ac:dyDescent="0.25">
      <c r="A3320" s="2" t="str">
        <f>"08070000623"</f>
        <v>08070000623</v>
      </c>
      <c r="B3320" s="2" t="s">
        <v>3322</v>
      </c>
      <c r="C3320" s="2">
        <v>106624.14</v>
      </c>
      <c r="D3320" s="2" t="s">
        <v>5</v>
      </c>
    </row>
    <row r="3321" spans="1:4" ht="15" customHeight="1" x14ac:dyDescent="0.25">
      <c r="A3321" s="2" t="str">
        <f>"02002000180"</f>
        <v>02002000180</v>
      </c>
      <c r="B3321" s="2" t="s">
        <v>3323</v>
      </c>
      <c r="C3321" s="2">
        <v>801.32</v>
      </c>
      <c r="D3321" s="2" t="s">
        <v>5</v>
      </c>
    </row>
    <row r="3322" spans="1:4" ht="15" customHeight="1" x14ac:dyDescent="0.25">
      <c r="A3322" s="2" t="str">
        <f>"02002000200"</f>
        <v>02002000200</v>
      </c>
      <c r="B3322" s="2" t="s">
        <v>3324</v>
      </c>
      <c r="C3322" s="2">
        <v>2748.35</v>
      </c>
      <c r="D3322" s="2" t="s">
        <v>5</v>
      </c>
    </row>
    <row r="3323" spans="1:4" ht="15" customHeight="1" x14ac:dyDescent="0.25">
      <c r="A3323" s="2" t="str">
        <f>"02002000205"</f>
        <v>02002000205</v>
      </c>
      <c r="B3323" s="2" t="s">
        <v>3325</v>
      </c>
      <c r="C3323" s="2">
        <v>3515.69</v>
      </c>
      <c r="D3323" s="2" t="s">
        <v>5</v>
      </c>
    </row>
    <row r="3324" spans="1:4" ht="15" customHeight="1" x14ac:dyDescent="0.25">
      <c r="A3324" s="2" t="str">
        <f>"02002000210"</f>
        <v>02002000210</v>
      </c>
      <c r="B3324" s="2" t="s">
        <v>3326</v>
      </c>
      <c r="C3324" s="2">
        <v>3106.34</v>
      </c>
      <c r="D3324" s="2" t="s">
        <v>5</v>
      </c>
    </row>
    <row r="3325" spans="1:4" ht="15" customHeight="1" x14ac:dyDescent="0.25">
      <c r="A3325" s="2" t="str">
        <f>"02002000225"</f>
        <v>02002000225</v>
      </c>
      <c r="B3325" s="2" t="s">
        <v>3327</v>
      </c>
      <c r="C3325" s="2">
        <v>3363.89</v>
      </c>
      <c r="D3325" s="2" t="s">
        <v>5</v>
      </c>
    </row>
    <row r="3326" spans="1:4" ht="15" customHeight="1" x14ac:dyDescent="0.25">
      <c r="A3326" s="2" t="str">
        <f>"02002000235"</f>
        <v>02002000235</v>
      </c>
      <c r="B3326" s="2" t="s">
        <v>3328</v>
      </c>
      <c r="C3326" s="2">
        <v>4706.72</v>
      </c>
      <c r="D3326" s="2" t="s">
        <v>5</v>
      </c>
    </row>
    <row r="3327" spans="1:4" ht="15" customHeight="1" x14ac:dyDescent="0.25">
      <c r="A3327" s="2" t="str">
        <f>"02002000240"</f>
        <v>02002000240</v>
      </c>
      <c r="B3327" s="2" t="s">
        <v>3329</v>
      </c>
      <c r="C3327" s="2">
        <v>5689.29</v>
      </c>
      <c r="D3327" s="2" t="s">
        <v>5</v>
      </c>
    </row>
    <row r="3328" spans="1:4" ht="15" customHeight="1" x14ac:dyDescent="0.25">
      <c r="A3328" s="2" t="str">
        <f>"02002000250"</f>
        <v>02002000250</v>
      </c>
      <c r="B3328" s="2" t="s">
        <v>3330</v>
      </c>
      <c r="C3328" s="2">
        <v>7612.92</v>
      </c>
      <c r="D3328" s="2" t="s">
        <v>5</v>
      </c>
    </row>
    <row r="3329" spans="1:4" ht="15" customHeight="1" x14ac:dyDescent="0.25">
      <c r="A3329" s="2" t="str">
        <f>"02002000245"</f>
        <v>02002000245</v>
      </c>
      <c r="B3329" s="2" t="s">
        <v>3331</v>
      </c>
      <c r="C3329" s="2">
        <v>8496.57</v>
      </c>
      <c r="D3329" s="2" t="s">
        <v>5</v>
      </c>
    </row>
    <row r="3330" spans="1:4" ht="15" customHeight="1" x14ac:dyDescent="0.25">
      <c r="A3330" s="2" t="str">
        <f>"02002000270"</f>
        <v>02002000270</v>
      </c>
      <c r="B3330" s="2" t="s">
        <v>3332</v>
      </c>
      <c r="C3330" s="2">
        <v>14435.09</v>
      </c>
      <c r="D3330" s="2" t="s">
        <v>5</v>
      </c>
    </row>
    <row r="3331" spans="1:4" ht="15" customHeight="1" x14ac:dyDescent="0.25">
      <c r="A3331" s="2" t="str">
        <f>"02002000275"</f>
        <v>02002000275</v>
      </c>
      <c r="B3331" s="2" t="s">
        <v>3333</v>
      </c>
      <c r="C3331" s="2">
        <v>10740.41</v>
      </c>
      <c r="D3331" s="2" t="s">
        <v>5</v>
      </c>
    </row>
    <row r="3332" spans="1:4" ht="15" customHeight="1" x14ac:dyDescent="0.25">
      <c r="A3332" s="2" t="str">
        <f>"05022000725"</f>
        <v>05022000725</v>
      </c>
      <c r="B3332" s="2" t="s">
        <v>3334</v>
      </c>
      <c r="C3332" s="2">
        <v>540.65</v>
      </c>
      <c r="D3332" s="2" t="s">
        <v>5</v>
      </c>
    </row>
    <row r="3333" spans="1:4" ht="15" customHeight="1" x14ac:dyDescent="0.25">
      <c r="A3333" s="2" t="str">
        <f>"02002000005"</f>
        <v>02002000005</v>
      </c>
      <c r="B3333" s="2" t="s">
        <v>3335</v>
      </c>
      <c r="C3333" s="2">
        <v>801.32</v>
      </c>
      <c r="D3333" s="2" t="s">
        <v>5</v>
      </c>
    </row>
    <row r="3334" spans="1:4" ht="15" customHeight="1" x14ac:dyDescent="0.25">
      <c r="A3334" s="2" t="str">
        <f>"02002000020"</f>
        <v>02002000020</v>
      </c>
      <c r="B3334" s="2" t="s">
        <v>3336</v>
      </c>
      <c r="C3334" s="2">
        <v>1797.5</v>
      </c>
      <c r="D3334" s="2" t="s">
        <v>5</v>
      </c>
    </row>
    <row r="3335" spans="1:4" ht="15" customHeight="1" x14ac:dyDescent="0.25">
      <c r="A3335" s="2" t="str">
        <f>"02002000025"</f>
        <v>02002000025</v>
      </c>
      <c r="B3335" s="2" t="s">
        <v>3337</v>
      </c>
      <c r="C3335" s="2">
        <v>2748.35</v>
      </c>
      <c r="D3335" s="2" t="s">
        <v>5</v>
      </c>
    </row>
    <row r="3336" spans="1:4" ht="15" customHeight="1" x14ac:dyDescent="0.25">
      <c r="A3336" s="2" t="str">
        <f>"02002000030"</f>
        <v>02002000030</v>
      </c>
      <c r="B3336" s="2" t="s">
        <v>3338</v>
      </c>
      <c r="C3336" s="2">
        <v>3515.69</v>
      </c>
      <c r="D3336" s="2" t="s">
        <v>5</v>
      </c>
    </row>
    <row r="3337" spans="1:4" ht="15" customHeight="1" x14ac:dyDescent="0.25">
      <c r="A3337" s="2" t="str">
        <f>"02002000045"</f>
        <v>02002000045</v>
      </c>
      <c r="B3337" s="2" t="s">
        <v>3339</v>
      </c>
      <c r="C3337" s="2">
        <v>3106.34</v>
      </c>
      <c r="D3337" s="2" t="s">
        <v>5</v>
      </c>
    </row>
    <row r="3338" spans="1:4" ht="15" customHeight="1" x14ac:dyDescent="0.25">
      <c r="A3338" s="2" t="str">
        <f>"02002000050"</f>
        <v>02002000050</v>
      </c>
      <c r="B3338" s="2" t="s">
        <v>3340</v>
      </c>
      <c r="C3338" s="2">
        <v>3363.89</v>
      </c>
      <c r="D3338" s="2" t="s">
        <v>5</v>
      </c>
    </row>
    <row r="3339" spans="1:4" ht="15" customHeight="1" x14ac:dyDescent="0.25">
      <c r="A3339" s="2" t="str">
        <f>"02002000060"</f>
        <v>02002000060</v>
      </c>
      <c r="B3339" s="2" t="s">
        <v>3341</v>
      </c>
      <c r="C3339" s="2">
        <v>4706.72</v>
      </c>
      <c r="D3339" s="2" t="s">
        <v>5</v>
      </c>
    </row>
    <row r="3340" spans="1:4" ht="15" customHeight="1" x14ac:dyDescent="0.25">
      <c r="A3340" s="2" t="str">
        <f>"02002000065"</f>
        <v>02002000065</v>
      </c>
      <c r="B3340" s="2" t="s">
        <v>3342</v>
      </c>
      <c r="C3340" s="2">
        <v>5689.29</v>
      </c>
      <c r="D3340" s="2" t="s">
        <v>5</v>
      </c>
    </row>
    <row r="3341" spans="1:4" ht="15" customHeight="1" x14ac:dyDescent="0.25">
      <c r="A3341" s="2" t="str">
        <f>"02002000070"</f>
        <v>02002000070</v>
      </c>
      <c r="B3341" s="2" t="s">
        <v>3343</v>
      </c>
      <c r="C3341" s="2">
        <v>7612.92</v>
      </c>
      <c r="D3341" s="2" t="s">
        <v>5</v>
      </c>
    </row>
    <row r="3342" spans="1:4" ht="15" customHeight="1" x14ac:dyDescent="0.25">
      <c r="A3342" s="2" t="str">
        <f>"02002000075"</f>
        <v>02002000075</v>
      </c>
      <c r="B3342" s="2" t="s">
        <v>3344</v>
      </c>
      <c r="C3342" s="2">
        <v>8496.57</v>
      </c>
      <c r="D3342" s="2" t="s">
        <v>5</v>
      </c>
    </row>
    <row r="3343" spans="1:4" ht="15" customHeight="1" x14ac:dyDescent="0.25">
      <c r="A3343" s="2" t="str">
        <f>"02002000105"</f>
        <v>02002000105</v>
      </c>
      <c r="B3343" s="2" t="s">
        <v>3345</v>
      </c>
      <c r="C3343" s="2">
        <v>10740.41</v>
      </c>
      <c r="D3343" s="2" t="s">
        <v>5</v>
      </c>
    </row>
    <row r="3344" spans="1:4" ht="15" customHeight="1" x14ac:dyDescent="0.25">
      <c r="A3344" s="2" t="str">
        <f>"02002000155"</f>
        <v>02002000155</v>
      </c>
      <c r="B3344" s="2" t="s">
        <v>3346</v>
      </c>
      <c r="C3344" s="2">
        <v>10723.04</v>
      </c>
      <c r="D3344" s="2" t="s">
        <v>5</v>
      </c>
    </row>
    <row r="3345" spans="1:4" ht="15" customHeight="1" x14ac:dyDescent="0.25">
      <c r="A3345" s="2" t="str">
        <f>"02002000160"</f>
        <v>02002000160</v>
      </c>
      <c r="B3345" s="2" t="s">
        <v>3347</v>
      </c>
      <c r="C3345" s="2">
        <v>12537.15</v>
      </c>
      <c r="D3345" s="2" t="s">
        <v>5</v>
      </c>
    </row>
    <row r="3346" spans="1:4" ht="15" customHeight="1" x14ac:dyDescent="0.25">
      <c r="A3346" s="2" t="str">
        <f>"02002000165"</f>
        <v>02002000165</v>
      </c>
      <c r="B3346" s="2" t="s">
        <v>3348</v>
      </c>
      <c r="C3346" s="2">
        <v>14666.19</v>
      </c>
      <c r="D3346" s="2" t="s">
        <v>5</v>
      </c>
    </row>
    <row r="3347" spans="1:4" ht="15" customHeight="1" x14ac:dyDescent="0.25">
      <c r="A3347" s="2" t="str">
        <f>"05022000720"</f>
        <v>05022000720</v>
      </c>
      <c r="B3347" s="2" t="s">
        <v>3349</v>
      </c>
      <c r="C3347" s="2">
        <v>159.65</v>
      </c>
      <c r="D3347" s="2" t="s">
        <v>5</v>
      </c>
    </row>
    <row r="3348" spans="1:4" ht="15" customHeight="1" x14ac:dyDescent="0.25">
      <c r="A3348" s="2" t="str">
        <f>"03062100146"</f>
        <v>03062100146</v>
      </c>
      <c r="B3348" s="2" t="s">
        <v>3350</v>
      </c>
      <c r="C3348" s="2">
        <v>546.72</v>
      </c>
      <c r="D3348" s="2" t="s">
        <v>5</v>
      </c>
    </row>
    <row r="3349" spans="1:4" ht="15" customHeight="1" x14ac:dyDescent="0.25">
      <c r="A3349" s="2" t="str">
        <f>"05015000116"</f>
        <v>05015000116</v>
      </c>
      <c r="B3349" s="2" t="s">
        <v>3351</v>
      </c>
      <c r="C3349" s="2">
        <v>370.92</v>
      </c>
      <c r="D3349" s="2" t="s">
        <v>5</v>
      </c>
    </row>
    <row r="3350" spans="1:4" ht="15" customHeight="1" x14ac:dyDescent="0.25">
      <c r="A3350" s="2" t="str">
        <f>"05015000117"</f>
        <v>05015000117</v>
      </c>
      <c r="B3350" s="2" t="s">
        <v>3352</v>
      </c>
      <c r="C3350" s="2">
        <v>408.83</v>
      </c>
      <c r="D3350" s="2" t="s">
        <v>5</v>
      </c>
    </row>
    <row r="3351" spans="1:4" ht="15" customHeight="1" x14ac:dyDescent="0.25">
      <c r="A3351" s="2" t="str">
        <f>"05015000083"</f>
        <v>05015000083</v>
      </c>
      <c r="B3351" s="2" t="s">
        <v>3353</v>
      </c>
      <c r="C3351" s="2">
        <v>27.41</v>
      </c>
      <c r="D3351" s="2" t="s">
        <v>5</v>
      </c>
    </row>
    <row r="3352" spans="1:4" ht="15" customHeight="1" x14ac:dyDescent="0.25">
      <c r="A3352" s="2" t="str">
        <f>"05015000082"</f>
        <v>05015000082</v>
      </c>
      <c r="B3352" s="2" t="s">
        <v>3354</v>
      </c>
      <c r="C3352" s="2">
        <v>27.41</v>
      </c>
      <c r="D3352" s="2" t="s">
        <v>5</v>
      </c>
    </row>
    <row r="3353" spans="1:4" ht="15" customHeight="1" x14ac:dyDescent="0.25">
      <c r="A3353" s="2" t="str">
        <f>"05015000081"</f>
        <v>05015000081</v>
      </c>
      <c r="B3353" s="2" t="s">
        <v>3355</v>
      </c>
      <c r="C3353" s="2">
        <v>22.16</v>
      </c>
      <c r="D3353" s="2" t="s">
        <v>5</v>
      </c>
    </row>
    <row r="3354" spans="1:4" ht="15" customHeight="1" x14ac:dyDescent="0.25">
      <c r="A3354" s="2" t="str">
        <f>"09008000040"</f>
        <v>09008000040</v>
      </c>
      <c r="B3354" s="2" t="s">
        <v>3356</v>
      </c>
      <c r="C3354" s="2">
        <v>17010</v>
      </c>
      <c r="D3354" s="2" t="s">
        <v>5</v>
      </c>
    </row>
    <row r="3355" spans="1:4" ht="15" customHeight="1" x14ac:dyDescent="0.25">
      <c r="A3355" s="2" t="str">
        <f>"09008000035"</f>
        <v>09008000035</v>
      </c>
      <c r="B3355" s="2" t="s">
        <v>3357</v>
      </c>
      <c r="C3355" s="2">
        <v>15309</v>
      </c>
      <c r="D3355" s="2" t="s">
        <v>5</v>
      </c>
    </row>
    <row r="3356" spans="1:4" ht="15" customHeight="1" x14ac:dyDescent="0.25">
      <c r="A3356" s="2" t="str">
        <f>"09008000025"</f>
        <v>09008000025</v>
      </c>
      <c r="B3356" s="2" t="s">
        <v>3358</v>
      </c>
      <c r="C3356" s="2">
        <v>7371</v>
      </c>
      <c r="D3356" s="2" t="s">
        <v>5</v>
      </c>
    </row>
    <row r="3357" spans="1:4" ht="15" customHeight="1" x14ac:dyDescent="0.25">
      <c r="A3357" s="2" t="str">
        <f>"09008000030"</f>
        <v>09008000030</v>
      </c>
      <c r="B3357" s="2" t="s">
        <v>3359</v>
      </c>
      <c r="C3357" s="2">
        <v>10206</v>
      </c>
      <c r="D3357" s="2" t="s">
        <v>5</v>
      </c>
    </row>
    <row r="3358" spans="1:4" ht="15" customHeight="1" x14ac:dyDescent="0.25">
      <c r="A3358" s="2" t="str">
        <f>"05022000998"</f>
        <v>05022000998</v>
      </c>
      <c r="B3358" s="2" t="s">
        <v>3360</v>
      </c>
      <c r="C3358" s="2">
        <v>550.79999999999995</v>
      </c>
      <c r="D3358" s="2" t="s">
        <v>5</v>
      </c>
    </row>
    <row r="3359" spans="1:4" ht="15" customHeight="1" x14ac:dyDescent="0.25">
      <c r="A3359" s="2" t="str">
        <f>"03016500767"</f>
        <v>03016500767</v>
      </c>
      <c r="B3359" s="2" t="s">
        <v>3361</v>
      </c>
      <c r="C3359" s="2">
        <v>25963.08</v>
      </c>
      <c r="D3359" s="2" t="s">
        <v>5</v>
      </c>
    </row>
    <row r="3360" spans="1:4" ht="15" customHeight="1" x14ac:dyDescent="0.25">
      <c r="A3360" s="2" t="str">
        <f>"03016501025"</f>
        <v>03016501025</v>
      </c>
      <c r="B3360" s="2" t="s">
        <v>3362</v>
      </c>
      <c r="C3360" s="2">
        <v>14167.76</v>
      </c>
      <c r="D3360" s="2" t="s">
        <v>5</v>
      </c>
    </row>
    <row r="3361" spans="1:4" ht="15" customHeight="1" x14ac:dyDescent="0.25">
      <c r="A3361" s="2" t="str">
        <f>"01031101000"</f>
        <v>01031101000</v>
      </c>
      <c r="B3361" s="2" t="s">
        <v>3363</v>
      </c>
      <c r="C3361" s="2">
        <v>64.83</v>
      </c>
      <c r="D3361" s="2" t="s">
        <v>5</v>
      </c>
    </row>
    <row r="3362" spans="1:4" ht="15" customHeight="1" x14ac:dyDescent="0.25">
      <c r="A3362" s="2" t="str">
        <f>"06070000090"</f>
        <v>06070000090</v>
      </c>
      <c r="B3362" s="2" t="s">
        <v>3364</v>
      </c>
      <c r="C3362" s="2">
        <v>81.63</v>
      </c>
      <c r="D3362" s="2" t="s">
        <v>5</v>
      </c>
    </row>
    <row r="3363" spans="1:4" ht="15" customHeight="1" x14ac:dyDescent="0.25">
      <c r="A3363" s="2" t="str">
        <f>"05010000305"</f>
        <v>05010000305</v>
      </c>
      <c r="B3363" s="2" t="s">
        <v>3365</v>
      </c>
      <c r="C3363" s="2">
        <v>3432.38</v>
      </c>
      <c r="D3363" s="2" t="s">
        <v>5</v>
      </c>
    </row>
    <row r="3364" spans="1:4" ht="15" customHeight="1" x14ac:dyDescent="0.25">
      <c r="A3364" s="2" t="str">
        <f>"05010000306"</f>
        <v>05010000306</v>
      </c>
      <c r="B3364" s="2" t="s">
        <v>3366</v>
      </c>
      <c r="C3364" s="2">
        <v>2280.89</v>
      </c>
      <c r="D3364" s="2" t="s">
        <v>5</v>
      </c>
    </row>
    <row r="3365" spans="1:4" ht="15" customHeight="1" x14ac:dyDescent="0.25">
      <c r="A3365" s="2" t="str">
        <f>"08200001590"</f>
        <v>08200001590</v>
      </c>
      <c r="B3365" s="2" t="s">
        <v>3367</v>
      </c>
      <c r="C3365" s="2">
        <v>5852.24</v>
      </c>
      <c r="D3365" s="2" t="s">
        <v>5</v>
      </c>
    </row>
    <row r="3366" spans="1:4" ht="15" customHeight="1" x14ac:dyDescent="0.25">
      <c r="A3366" s="2" t="str">
        <f>"08200001595"</f>
        <v>08200001595</v>
      </c>
      <c r="B3366" s="2" t="s">
        <v>3368</v>
      </c>
      <c r="C3366" s="2">
        <v>3974.46</v>
      </c>
      <c r="D3366" s="2" t="s">
        <v>5</v>
      </c>
    </row>
    <row r="3367" spans="1:4" ht="15" customHeight="1" x14ac:dyDescent="0.25">
      <c r="A3367" s="2" t="str">
        <f>"07040000250"</f>
        <v>07040000250</v>
      </c>
      <c r="B3367" s="2" t="s">
        <v>3369</v>
      </c>
      <c r="C3367" s="2">
        <v>3417.32</v>
      </c>
      <c r="D3367" s="2" t="s">
        <v>5</v>
      </c>
    </row>
    <row r="3368" spans="1:4" ht="15" customHeight="1" x14ac:dyDescent="0.25">
      <c r="A3368" s="2" t="str">
        <f>"08200002500"</f>
        <v>08200002500</v>
      </c>
      <c r="B3368" s="2" t="s">
        <v>3370</v>
      </c>
      <c r="C3368" s="2">
        <v>1245.77</v>
      </c>
      <c r="D3368" s="2" t="s">
        <v>5</v>
      </c>
    </row>
    <row r="3369" spans="1:4" ht="15" customHeight="1" x14ac:dyDescent="0.25">
      <c r="A3369" s="2" t="str">
        <f>"08200002430"</f>
        <v>08200002430</v>
      </c>
      <c r="B3369" s="2" t="s">
        <v>3371</v>
      </c>
      <c r="C3369" s="2">
        <v>2682.15</v>
      </c>
      <c r="D3369" s="2" t="s">
        <v>5</v>
      </c>
    </row>
    <row r="3370" spans="1:4" ht="15" customHeight="1" x14ac:dyDescent="0.25">
      <c r="A3370" s="2" t="str">
        <f>"08800000015"</f>
        <v>08800000015</v>
      </c>
      <c r="B3370" s="2" t="s">
        <v>3372</v>
      </c>
      <c r="C3370" s="2">
        <v>54526.46</v>
      </c>
      <c r="D3370" s="2" t="s">
        <v>5</v>
      </c>
    </row>
    <row r="3371" spans="1:4" ht="15" customHeight="1" x14ac:dyDescent="0.25">
      <c r="A3371" s="2" t="str">
        <f>"05010000300"</f>
        <v>05010000300</v>
      </c>
      <c r="B3371" s="2" t="s">
        <v>3373</v>
      </c>
      <c r="C3371" s="2">
        <v>21214.74</v>
      </c>
      <c r="D3371" s="2" t="s">
        <v>5</v>
      </c>
    </row>
    <row r="3372" spans="1:4" ht="15" customHeight="1" x14ac:dyDescent="0.25">
      <c r="A3372" s="2" t="str">
        <f>"05010000301"</f>
        <v>05010000301</v>
      </c>
      <c r="B3372" s="2" t="s">
        <v>3374</v>
      </c>
      <c r="C3372" s="2">
        <v>19691.099999999999</v>
      </c>
      <c r="D3372" s="2" t="s">
        <v>5</v>
      </c>
    </row>
    <row r="3373" spans="1:4" ht="15" customHeight="1" x14ac:dyDescent="0.25">
      <c r="A3373" s="2" t="str">
        <f>"08200002400"</f>
        <v>08200002400</v>
      </c>
      <c r="B3373" s="2" t="s">
        <v>3375</v>
      </c>
      <c r="C3373" s="2">
        <v>5824.5</v>
      </c>
      <c r="D3373" s="2" t="s">
        <v>5</v>
      </c>
    </row>
    <row r="3374" spans="1:4" ht="15" customHeight="1" x14ac:dyDescent="0.25">
      <c r="A3374" s="2" t="str">
        <f>"07040000130"</f>
        <v>07040000130</v>
      </c>
      <c r="B3374" s="2" t="s">
        <v>3376</v>
      </c>
      <c r="C3374" s="2">
        <v>3197.96</v>
      </c>
      <c r="D3374" s="2" t="s">
        <v>5</v>
      </c>
    </row>
    <row r="3375" spans="1:4" ht="15" customHeight="1" x14ac:dyDescent="0.25">
      <c r="A3375" s="2" t="str">
        <f>"08200002370"</f>
        <v>08200002370</v>
      </c>
      <c r="B3375" s="2" t="s">
        <v>3377</v>
      </c>
      <c r="C3375" s="2">
        <v>5107.07</v>
      </c>
      <c r="D3375" s="2" t="s">
        <v>5</v>
      </c>
    </row>
    <row r="3376" spans="1:4" ht="15" customHeight="1" x14ac:dyDescent="0.25">
      <c r="A3376" s="2" t="str">
        <f>"05020000025"</f>
        <v>05020000025</v>
      </c>
      <c r="B3376" s="2" t="s">
        <v>3378</v>
      </c>
      <c r="C3376" s="2">
        <v>1653.69</v>
      </c>
      <c r="D3376" s="2" t="s">
        <v>5</v>
      </c>
    </row>
    <row r="3377" spans="1:4" ht="15" customHeight="1" x14ac:dyDescent="0.25">
      <c r="A3377" s="2" t="str">
        <f>"05020000030"</f>
        <v>05020000030</v>
      </c>
      <c r="B3377" s="2" t="s">
        <v>3379</v>
      </c>
      <c r="C3377" s="2">
        <v>1185.44</v>
      </c>
      <c r="D3377" s="2" t="s">
        <v>5</v>
      </c>
    </row>
    <row r="3378" spans="1:4" ht="15" customHeight="1" x14ac:dyDescent="0.25">
      <c r="A3378" s="2" t="str">
        <f>"05020000045"</f>
        <v>05020000045</v>
      </c>
      <c r="B3378" s="2" t="s">
        <v>3380</v>
      </c>
      <c r="C3378" s="2">
        <v>1690.82</v>
      </c>
      <c r="D3378" s="2" t="s">
        <v>5</v>
      </c>
    </row>
    <row r="3379" spans="1:4" ht="15" customHeight="1" x14ac:dyDescent="0.25">
      <c r="A3379" s="2" t="str">
        <f>"05020000035"</f>
        <v>05020000035</v>
      </c>
      <c r="B3379" s="2" t="s">
        <v>3381</v>
      </c>
      <c r="C3379" s="2">
        <v>1227.96</v>
      </c>
      <c r="D3379" s="2" t="s">
        <v>5</v>
      </c>
    </row>
    <row r="3380" spans="1:4" ht="15" customHeight="1" x14ac:dyDescent="0.25">
      <c r="A3380" s="2" t="str">
        <f>"05020000050"</f>
        <v>05020000050</v>
      </c>
      <c r="B3380" s="2" t="s">
        <v>3382</v>
      </c>
      <c r="C3380" s="2">
        <v>1690.82</v>
      </c>
      <c r="D3380" s="2" t="s">
        <v>5</v>
      </c>
    </row>
    <row r="3381" spans="1:4" ht="15" customHeight="1" x14ac:dyDescent="0.25">
      <c r="A3381" s="2" t="str">
        <f>"05020000040"</f>
        <v>05020000040</v>
      </c>
      <c r="B3381" s="2" t="s">
        <v>3383</v>
      </c>
      <c r="C3381" s="2">
        <v>1291.1300000000001</v>
      </c>
      <c r="D3381" s="2" t="s">
        <v>5</v>
      </c>
    </row>
    <row r="3382" spans="1:4" ht="15" customHeight="1" x14ac:dyDescent="0.25">
      <c r="A3382" s="2" t="str">
        <f>"05020000055"</f>
        <v>05020000055</v>
      </c>
      <c r="B3382" s="2" t="s">
        <v>3384</v>
      </c>
      <c r="C3382" s="2">
        <v>1690.82</v>
      </c>
      <c r="D3382" s="2" t="s">
        <v>5</v>
      </c>
    </row>
    <row r="3383" spans="1:4" ht="15" customHeight="1" x14ac:dyDescent="0.25">
      <c r="A3383" s="2" t="str">
        <f>"05020000005"</f>
        <v>05020000005</v>
      </c>
      <c r="B3383" s="2" t="s">
        <v>3385</v>
      </c>
      <c r="C3383" s="2">
        <v>436.88</v>
      </c>
      <c r="D3383" s="2" t="s">
        <v>5</v>
      </c>
    </row>
    <row r="3384" spans="1:4" ht="15" customHeight="1" x14ac:dyDescent="0.25">
      <c r="A3384" s="2" t="str">
        <f>"05020000010"</f>
        <v>05020000010</v>
      </c>
      <c r="B3384" s="2" t="s">
        <v>3386</v>
      </c>
      <c r="C3384" s="2">
        <v>433.49</v>
      </c>
      <c r="D3384" s="2" t="s">
        <v>5</v>
      </c>
    </row>
    <row r="3385" spans="1:4" ht="15" customHeight="1" x14ac:dyDescent="0.25">
      <c r="A3385" s="2" t="str">
        <f>"05020000020"</f>
        <v>05020000020</v>
      </c>
      <c r="B3385" s="2" t="s">
        <v>3387</v>
      </c>
      <c r="C3385" s="2">
        <v>600.38</v>
      </c>
      <c r="D3385" s="2" t="s">
        <v>5</v>
      </c>
    </row>
    <row r="3386" spans="1:4" ht="15" customHeight="1" x14ac:dyDescent="0.25">
      <c r="A3386" s="2" t="str">
        <f>"08200000150"</f>
        <v>08200000150</v>
      </c>
      <c r="B3386" s="2" t="s">
        <v>3388</v>
      </c>
      <c r="C3386" s="2">
        <v>368.51</v>
      </c>
      <c r="D3386" s="2" t="s">
        <v>5</v>
      </c>
    </row>
    <row r="3387" spans="1:4" ht="15" customHeight="1" x14ac:dyDescent="0.25">
      <c r="A3387" s="2" t="str">
        <f>"08200000155"</f>
        <v>08200000155</v>
      </c>
      <c r="B3387" s="2" t="s">
        <v>3389</v>
      </c>
      <c r="C3387" s="2">
        <v>712.56</v>
      </c>
      <c r="D3387" s="2" t="s">
        <v>5</v>
      </c>
    </row>
    <row r="3388" spans="1:4" ht="15" customHeight="1" x14ac:dyDescent="0.25">
      <c r="A3388" s="2" t="str">
        <f>"08200000160"</f>
        <v>08200000160</v>
      </c>
      <c r="B3388" s="2" t="s">
        <v>3390</v>
      </c>
      <c r="C3388" s="2">
        <v>771.54</v>
      </c>
      <c r="D3388" s="2" t="s">
        <v>5</v>
      </c>
    </row>
    <row r="3389" spans="1:4" ht="15" customHeight="1" x14ac:dyDescent="0.25">
      <c r="A3389" s="2" t="str">
        <f>"08200000165"</f>
        <v>08200000165</v>
      </c>
      <c r="B3389" s="2" t="s">
        <v>3391</v>
      </c>
      <c r="C3389" s="2">
        <v>1839.36</v>
      </c>
      <c r="D3389" s="2" t="s">
        <v>5</v>
      </c>
    </row>
    <row r="3390" spans="1:4" ht="15" customHeight="1" x14ac:dyDescent="0.25">
      <c r="A3390" s="2" t="str">
        <f>"08200000200"</f>
        <v>08200000200</v>
      </c>
      <c r="B3390" s="2" t="s">
        <v>3392</v>
      </c>
      <c r="C3390" s="2">
        <v>398.16</v>
      </c>
      <c r="D3390" s="2" t="s">
        <v>5</v>
      </c>
    </row>
    <row r="3391" spans="1:4" ht="15" customHeight="1" x14ac:dyDescent="0.25">
      <c r="A3391" s="2" t="str">
        <f>"08200000205"</f>
        <v>08200000205</v>
      </c>
      <c r="B3391" s="2" t="s">
        <v>3393</v>
      </c>
      <c r="C3391" s="2">
        <v>653.54</v>
      </c>
      <c r="D3391" s="2" t="s">
        <v>5</v>
      </c>
    </row>
    <row r="3392" spans="1:4" ht="15" customHeight="1" x14ac:dyDescent="0.25">
      <c r="A3392" s="2" t="str">
        <f>"08200000210"</f>
        <v>08200000210</v>
      </c>
      <c r="B3392" s="2" t="s">
        <v>3394</v>
      </c>
      <c r="C3392" s="2">
        <v>904.68</v>
      </c>
      <c r="D3392" s="2" t="s">
        <v>5</v>
      </c>
    </row>
    <row r="3393" spans="1:4" ht="15" customHeight="1" x14ac:dyDescent="0.25">
      <c r="A3393" s="2" t="str">
        <f>"08200000215"</f>
        <v>08200000215</v>
      </c>
      <c r="B3393" s="2" t="s">
        <v>3395</v>
      </c>
      <c r="C3393" s="2">
        <v>2454.38</v>
      </c>
      <c r="D3393" s="2" t="s">
        <v>5</v>
      </c>
    </row>
    <row r="3394" spans="1:4" ht="15" customHeight="1" x14ac:dyDescent="0.25">
      <c r="A3394" s="2" t="str">
        <f>"08200000250"</f>
        <v>08200000250</v>
      </c>
      <c r="B3394" s="2" t="s">
        <v>3396</v>
      </c>
      <c r="C3394" s="2">
        <v>2967.89</v>
      </c>
      <c r="D3394" s="2" t="s">
        <v>5</v>
      </c>
    </row>
    <row r="3395" spans="1:4" ht="15" customHeight="1" x14ac:dyDescent="0.25">
      <c r="A3395" s="2" t="str">
        <f>"08200000300"</f>
        <v>08200000300</v>
      </c>
      <c r="B3395" s="2" t="s">
        <v>3397</v>
      </c>
      <c r="C3395" s="2">
        <v>3502.02</v>
      </c>
      <c r="D3395" s="2" t="s">
        <v>5</v>
      </c>
    </row>
    <row r="3396" spans="1:4" ht="15" customHeight="1" x14ac:dyDescent="0.25">
      <c r="A3396" s="2" t="str">
        <f>"08200000350"</f>
        <v>08200000350</v>
      </c>
      <c r="B3396" s="2" t="s">
        <v>3398</v>
      </c>
      <c r="C3396" s="2">
        <v>563.84</v>
      </c>
      <c r="D3396" s="2" t="s">
        <v>5</v>
      </c>
    </row>
    <row r="3397" spans="1:4" ht="15" customHeight="1" x14ac:dyDescent="0.25">
      <c r="A3397" s="2" t="str">
        <f>"08200000355"</f>
        <v>08200000355</v>
      </c>
      <c r="B3397" s="2" t="s">
        <v>3399</v>
      </c>
      <c r="C3397" s="2">
        <v>642.32000000000005</v>
      </c>
      <c r="D3397" s="2" t="s">
        <v>5</v>
      </c>
    </row>
    <row r="3398" spans="1:4" ht="15" customHeight="1" x14ac:dyDescent="0.25">
      <c r="A3398" s="2" t="str">
        <f>"08200000360"</f>
        <v>08200000360</v>
      </c>
      <c r="B3398" s="2" t="s">
        <v>3400</v>
      </c>
      <c r="C3398" s="2">
        <v>830.04</v>
      </c>
      <c r="D3398" s="2" t="s">
        <v>5</v>
      </c>
    </row>
    <row r="3399" spans="1:4" ht="15" customHeight="1" x14ac:dyDescent="0.25">
      <c r="A3399" s="2" t="str">
        <f>"08200000365"</f>
        <v>08200000365</v>
      </c>
      <c r="B3399" s="2" t="s">
        <v>3401</v>
      </c>
      <c r="C3399" s="2">
        <v>2121.12</v>
      </c>
      <c r="D3399" s="2" t="s">
        <v>5</v>
      </c>
    </row>
    <row r="3400" spans="1:4" ht="15" customHeight="1" x14ac:dyDescent="0.25">
      <c r="A3400" s="2" t="str">
        <f>"08200000400"</f>
        <v>08200000400</v>
      </c>
      <c r="B3400" s="2" t="s">
        <v>3402</v>
      </c>
      <c r="C3400" s="2">
        <v>603.41</v>
      </c>
      <c r="D3400" s="2" t="s">
        <v>5</v>
      </c>
    </row>
    <row r="3401" spans="1:4" ht="15" customHeight="1" x14ac:dyDescent="0.25">
      <c r="A3401" s="2" t="str">
        <f>"08200000405"</f>
        <v>08200000405</v>
      </c>
      <c r="B3401" s="2" t="s">
        <v>3403</v>
      </c>
      <c r="C3401" s="2">
        <v>691.25</v>
      </c>
      <c r="D3401" s="2" t="s">
        <v>5</v>
      </c>
    </row>
    <row r="3402" spans="1:4" ht="15" customHeight="1" x14ac:dyDescent="0.25">
      <c r="A3402" s="2" t="str">
        <f>"08200000410"</f>
        <v>08200000410</v>
      </c>
      <c r="B3402" s="2" t="s">
        <v>3404</v>
      </c>
      <c r="C3402" s="2">
        <v>1067.79</v>
      </c>
      <c r="D3402" s="2" t="s">
        <v>5</v>
      </c>
    </row>
    <row r="3403" spans="1:4" ht="15" customHeight="1" x14ac:dyDescent="0.25">
      <c r="A3403" s="2" t="str">
        <f>"08200000415"</f>
        <v>08200000415</v>
      </c>
      <c r="B3403" s="2" t="s">
        <v>3405</v>
      </c>
      <c r="C3403" s="2">
        <v>2676.09</v>
      </c>
      <c r="D3403" s="2" t="s">
        <v>5</v>
      </c>
    </row>
    <row r="3404" spans="1:4" ht="15" customHeight="1" x14ac:dyDescent="0.25">
      <c r="A3404" s="2" t="str">
        <f>"07040000005"</f>
        <v>07040000005</v>
      </c>
      <c r="B3404" s="2" t="s">
        <v>3406</v>
      </c>
      <c r="C3404" s="2">
        <v>217.34</v>
      </c>
      <c r="D3404" s="2" t="s">
        <v>5</v>
      </c>
    </row>
    <row r="3405" spans="1:4" ht="15" customHeight="1" x14ac:dyDescent="0.25">
      <c r="A3405" s="2" t="str">
        <f>"07040000015"</f>
        <v>07040000015</v>
      </c>
      <c r="B3405" s="2" t="s">
        <v>3407</v>
      </c>
      <c r="C3405" s="2">
        <v>226.02</v>
      </c>
      <c r="D3405" s="2" t="s">
        <v>5</v>
      </c>
    </row>
    <row r="3406" spans="1:4" ht="15" customHeight="1" x14ac:dyDescent="0.25">
      <c r="A3406" s="2" t="str">
        <f>"07040000010"</f>
        <v>07040000010</v>
      </c>
      <c r="B3406" s="2" t="s">
        <v>3408</v>
      </c>
      <c r="C3406" s="2">
        <v>347.45</v>
      </c>
      <c r="D3406" s="2" t="s">
        <v>5</v>
      </c>
    </row>
    <row r="3407" spans="1:4" ht="15" customHeight="1" x14ac:dyDescent="0.25">
      <c r="A3407" s="2" t="str">
        <f>"07040000020"</f>
        <v>07040000020</v>
      </c>
      <c r="B3407" s="2" t="s">
        <v>3409</v>
      </c>
      <c r="C3407" s="2">
        <v>482.52</v>
      </c>
      <c r="D3407" s="2" t="s">
        <v>5</v>
      </c>
    </row>
    <row r="3408" spans="1:4" ht="15" customHeight="1" x14ac:dyDescent="0.25">
      <c r="A3408" s="2" t="str">
        <f>"07040000415"</f>
        <v>07040000415</v>
      </c>
      <c r="B3408" s="2" t="s">
        <v>3410</v>
      </c>
      <c r="C3408" s="2">
        <v>623.69000000000005</v>
      </c>
      <c r="D3408" s="2" t="s">
        <v>5</v>
      </c>
    </row>
    <row r="3409" spans="1:4" ht="15" customHeight="1" x14ac:dyDescent="0.25">
      <c r="A3409" s="2" t="str">
        <f>"07040000025"</f>
        <v>07040000025</v>
      </c>
      <c r="B3409" s="2" t="s">
        <v>3411</v>
      </c>
      <c r="C3409" s="2">
        <v>1077.48</v>
      </c>
      <c r="D3409" s="2" t="s">
        <v>5</v>
      </c>
    </row>
    <row r="3410" spans="1:4" ht="15" customHeight="1" x14ac:dyDescent="0.25">
      <c r="A3410" s="2" t="str">
        <f>"07040000035"</f>
        <v>07040000035</v>
      </c>
      <c r="B3410" s="2" t="s">
        <v>3412</v>
      </c>
      <c r="C3410" s="2">
        <v>2898.06</v>
      </c>
      <c r="D3410" s="2" t="s">
        <v>5</v>
      </c>
    </row>
    <row r="3411" spans="1:4" ht="15" customHeight="1" x14ac:dyDescent="0.25">
      <c r="A3411" s="2" t="str">
        <f>"07040000420"</f>
        <v>07040000420</v>
      </c>
      <c r="B3411" s="2" t="s">
        <v>3413</v>
      </c>
      <c r="C3411" s="2">
        <v>1702.85</v>
      </c>
      <c r="D3411" s="2" t="s">
        <v>5</v>
      </c>
    </row>
    <row r="3412" spans="1:4" ht="15" customHeight="1" x14ac:dyDescent="0.25">
      <c r="A3412" s="2" t="str">
        <f>"07040000030"</f>
        <v>07040000030</v>
      </c>
      <c r="B3412" s="2" t="s">
        <v>3414</v>
      </c>
      <c r="C3412" s="2">
        <v>1321.79</v>
      </c>
      <c r="D3412" s="2" t="s">
        <v>5</v>
      </c>
    </row>
    <row r="3413" spans="1:4" ht="15" customHeight="1" x14ac:dyDescent="0.25">
      <c r="A3413" s="2" t="str">
        <f>"07040000430"</f>
        <v>07040000430</v>
      </c>
      <c r="B3413" s="2" t="s">
        <v>3415</v>
      </c>
      <c r="C3413" s="2">
        <v>3099.14</v>
      </c>
      <c r="D3413" s="2" t="s">
        <v>5</v>
      </c>
    </row>
    <row r="3414" spans="1:4" ht="15" customHeight="1" x14ac:dyDescent="0.25">
      <c r="A3414" s="2" t="str">
        <f>"07040000435"</f>
        <v>07040000435</v>
      </c>
      <c r="B3414" s="2" t="s">
        <v>3416</v>
      </c>
      <c r="C3414" s="2">
        <v>1408.4</v>
      </c>
      <c r="D3414" s="2" t="s">
        <v>5</v>
      </c>
    </row>
    <row r="3415" spans="1:4" ht="15" customHeight="1" x14ac:dyDescent="0.25">
      <c r="A3415" s="2" t="str">
        <f>"07040000300"</f>
        <v>07040000300</v>
      </c>
      <c r="B3415" s="2" t="s">
        <v>3417</v>
      </c>
      <c r="C3415" s="2">
        <v>4807.88</v>
      </c>
      <c r="D3415" s="2" t="s">
        <v>5</v>
      </c>
    </row>
    <row r="3416" spans="1:4" ht="15" customHeight="1" x14ac:dyDescent="0.25">
      <c r="A3416" s="2" t="str">
        <f>"05010000320"</f>
        <v>05010000320</v>
      </c>
      <c r="B3416" s="2" t="s">
        <v>3418</v>
      </c>
      <c r="C3416" s="2">
        <v>11677.67</v>
      </c>
      <c r="D3416" s="2" t="s">
        <v>5</v>
      </c>
    </row>
    <row r="3417" spans="1:4" ht="15" customHeight="1" x14ac:dyDescent="0.25">
      <c r="A3417" s="2" t="str">
        <f>"08200000450"</f>
        <v>08200000450</v>
      </c>
      <c r="B3417" s="2" t="s">
        <v>3419</v>
      </c>
      <c r="C3417" s="2">
        <v>474.98</v>
      </c>
      <c r="D3417" s="2" t="s">
        <v>5</v>
      </c>
    </row>
    <row r="3418" spans="1:4" ht="15" customHeight="1" x14ac:dyDescent="0.25">
      <c r="A3418" s="2" t="str">
        <f>"08200000455"</f>
        <v>08200000455</v>
      </c>
      <c r="B3418" s="2" t="s">
        <v>3420</v>
      </c>
      <c r="C3418" s="2">
        <v>571.35</v>
      </c>
      <c r="D3418" s="2" t="s">
        <v>5</v>
      </c>
    </row>
    <row r="3419" spans="1:4" ht="15" customHeight="1" x14ac:dyDescent="0.25">
      <c r="A3419" s="2" t="str">
        <f>"08200000460"</f>
        <v>08200000460</v>
      </c>
      <c r="B3419" s="2" t="s">
        <v>3421</v>
      </c>
      <c r="C3419" s="2">
        <v>853.79</v>
      </c>
      <c r="D3419" s="2" t="s">
        <v>5</v>
      </c>
    </row>
    <row r="3420" spans="1:4" ht="15" customHeight="1" x14ac:dyDescent="0.25">
      <c r="A3420" s="2" t="str">
        <f>"08200000465"</f>
        <v>08200000465</v>
      </c>
      <c r="B3420" s="2" t="s">
        <v>3422</v>
      </c>
      <c r="C3420" s="2">
        <v>1786.46</v>
      </c>
      <c r="D3420" s="2" t="s">
        <v>5</v>
      </c>
    </row>
    <row r="3421" spans="1:4" ht="15" customHeight="1" x14ac:dyDescent="0.25">
      <c r="A3421" s="2" t="str">
        <f>"08200000500"</f>
        <v>08200000500</v>
      </c>
      <c r="B3421" s="2" t="s">
        <v>3423</v>
      </c>
      <c r="C3421" s="2">
        <v>385.53</v>
      </c>
      <c r="D3421" s="2" t="s">
        <v>5</v>
      </c>
    </row>
    <row r="3422" spans="1:4" ht="15" customHeight="1" x14ac:dyDescent="0.25">
      <c r="A3422" s="2" t="str">
        <f>"08200000505"</f>
        <v>08200000505</v>
      </c>
      <c r="B3422" s="2" t="s">
        <v>3424</v>
      </c>
      <c r="C3422" s="2">
        <v>453.41</v>
      </c>
      <c r="D3422" s="2" t="s">
        <v>5</v>
      </c>
    </row>
    <row r="3423" spans="1:4" ht="15" customHeight="1" x14ac:dyDescent="0.25">
      <c r="A3423" s="2" t="str">
        <f>"08200000510"</f>
        <v>08200000510</v>
      </c>
      <c r="B3423" s="2" t="s">
        <v>3425</v>
      </c>
      <c r="C3423" s="2">
        <v>712.56</v>
      </c>
      <c r="D3423" s="2" t="s">
        <v>5</v>
      </c>
    </row>
    <row r="3424" spans="1:4" ht="15" customHeight="1" x14ac:dyDescent="0.25">
      <c r="A3424" s="2" t="str">
        <f>"08200000515"</f>
        <v>08200000515</v>
      </c>
      <c r="B3424" s="2" t="s">
        <v>3426</v>
      </c>
      <c r="C3424" s="2">
        <v>1482.08</v>
      </c>
      <c r="D3424" s="2" t="s">
        <v>5</v>
      </c>
    </row>
    <row r="3425" spans="1:4" ht="15" customHeight="1" x14ac:dyDescent="0.25">
      <c r="A3425" s="2" t="str">
        <f>"08200000520"</f>
        <v>08200000520</v>
      </c>
      <c r="B3425" s="2" t="s">
        <v>3427</v>
      </c>
      <c r="C3425" s="2">
        <v>8755.1299999999992</v>
      </c>
      <c r="D3425" s="2" t="s">
        <v>5</v>
      </c>
    </row>
    <row r="3426" spans="1:4" ht="15" customHeight="1" x14ac:dyDescent="0.25">
      <c r="A3426" s="2" t="str">
        <f>"07040000135"</f>
        <v>07040000135</v>
      </c>
      <c r="B3426" s="2" t="s">
        <v>3428</v>
      </c>
      <c r="C3426" s="2">
        <v>251.13</v>
      </c>
      <c r="D3426" s="2" t="s">
        <v>5</v>
      </c>
    </row>
    <row r="3427" spans="1:4" ht="15" customHeight="1" x14ac:dyDescent="0.25">
      <c r="A3427" s="2" t="str">
        <f>"07040000140"</f>
        <v>07040000140</v>
      </c>
      <c r="B3427" s="2" t="s">
        <v>3429</v>
      </c>
      <c r="C3427" s="2">
        <v>267.52999999999997</v>
      </c>
      <c r="D3427" s="2" t="s">
        <v>5</v>
      </c>
    </row>
    <row r="3428" spans="1:4" ht="15" customHeight="1" x14ac:dyDescent="0.25">
      <c r="A3428" s="2" t="str">
        <f>"07040000145"</f>
        <v>07040000145</v>
      </c>
      <c r="B3428" s="2" t="s">
        <v>3430</v>
      </c>
      <c r="C3428" s="2">
        <v>347.76</v>
      </c>
      <c r="D3428" s="2" t="s">
        <v>5</v>
      </c>
    </row>
    <row r="3429" spans="1:4" ht="15" customHeight="1" x14ac:dyDescent="0.25">
      <c r="A3429" s="2" t="str">
        <f>"07040000555"</f>
        <v>07040000555</v>
      </c>
      <c r="B3429" s="2" t="s">
        <v>3431</v>
      </c>
      <c r="C3429" s="2">
        <v>519.89</v>
      </c>
      <c r="D3429" s="2" t="s">
        <v>5</v>
      </c>
    </row>
    <row r="3430" spans="1:4" ht="15" customHeight="1" x14ac:dyDescent="0.25">
      <c r="A3430" s="2" t="str">
        <f>"07040000150"</f>
        <v>07040000150</v>
      </c>
      <c r="B3430" s="2" t="s">
        <v>3432</v>
      </c>
      <c r="C3430" s="2">
        <v>767.43</v>
      </c>
      <c r="D3430" s="2" t="s">
        <v>5</v>
      </c>
    </row>
    <row r="3431" spans="1:4" ht="15" customHeight="1" x14ac:dyDescent="0.25">
      <c r="A3431" s="2" t="str">
        <f>"07040000560"</f>
        <v>07040000560</v>
      </c>
      <c r="B3431" s="2" t="s">
        <v>3433</v>
      </c>
      <c r="C3431" s="2">
        <v>996.17</v>
      </c>
      <c r="D3431" s="2" t="s">
        <v>5</v>
      </c>
    </row>
    <row r="3432" spans="1:4" ht="15" customHeight="1" x14ac:dyDescent="0.25">
      <c r="A3432" s="2" t="str">
        <f>"07040000340"</f>
        <v>07040000340</v>
      </c>
      <c r="B3432" s="2" t="s">
        <v>3434</v>
      </c>
      <c r="C3432" s="2">
        <v>2667.48</v>
      </c>
      <c r="D3432" s="2" t="s">
        <v>5</v>
      </c>
    </row>
    <row r="3433" spans="1:4" ht="15" customHeight="1" x14ac:dyDescent="0.25">
      <c r="A3433" s="2" t="str">
        <f>"08200000550"</f>
        <v>08200000550</v>
      </c>
      <c r="B3433" s="2" t="s">
        <v>3435</v>
      </c>
      <c r="C3433" s="2">
        <v>593.75</v>
      </c>
      <c r="D3433" s="2" t="s">
        <v>5</v>
      </c>
    </row>
    <row r="3434" spans="1:4" ht="15" customHeight="1" x14ac:dyDescent="0.25">
      <c r="A3434" s="2" t="str">
        <f>"08200000555"</f>
        <v>08200000555</v>
      </c>
      <c r="B3434" s="2" t="s">
        <v>3436</v>
      </c>
      <c r="C3434" s="2">
        <v>924.69</v>
      </c>
      <c r="D3434" s="2" t="s">
        <v>5</v>
      </c>
    </row>
    <row r="3435" spans="1:4" ht="15" customHeight="1" x14ac:dyDescent="0.25">
      <c r="A3435" s="2" t="str">
        <f>"08200000560"</f>
        <v>08200000560</v>
      </c>
      <c r="B3435" s="2" t="s">
        <v>3437</v>
      </c>
      <c r="C3435" s="2">
        <v>1272.3499999999999</v>
      </c>
      <c r="D3435" s="2" t="s">
        <v>5</v>
      </c>
    </row>
    <row r="3436" spans="1:4" ht="15" customHeight="1" x14ac:dyDescent="0.25">
      <c r="A3436" s="2" t="str">
        <f>"08200000565"</f>
        <v>08200000565</v>
      </c>
      <c r="B3436" s="2" t="s">
        <v>3438</v>
      </c>
      <c r="C3436" s="2">
        <v>3261.8</v>
      </c>
      <c r="D3436" s="2" t="s">
        <v>5</v>
      </c>
    </row>
    <row r="3437" spans="1:4" ht="15" customHeight="1" x14ac:dyDescent="0.25">
      <c r="A3437" s="2" t="str">
        <f>"08200000600"</f>
        <v>08200000600</v>
      </c>
      <c r="B3437" s="2" t="s">
        <v>3439</v>
      </c>
      <c r="C3437" s="2">
        <v>800.61</v>
      </c>
      <c r="D3437" s="2" t="s">
        <v>5</v>
      </c>
    </row>
    <row r="3438" spans="1:4" ht="15" customHeight="1" x14ac:dyDescent="0.25">
      <c r="A3438" s="2" t="str">
        <f>"08200000605"</f>
        <v>08200000605</v>
      </c>
      <c r="B3438" s="2" t="s">
        <v>3440</v>
      </c>
      <c r="C3438" s="2">
        <v>1177.95</v>
      </c>
      <c r="D3438" s="2" t="s">
        <v>5</v>
      </c>
    </row>
    <row r="3439" spans="1:4" ht="15" customHeight="1" x14ac:dyDescent="0.25">
      <c r="A3439" s="2" t="str">
        <f>"08200000610"</f>
        <v>08200000610</v>
      </c>
      <c r="B3439" s="2" t="s">
        <v>3441</v>
      </c>
      <c r="C3439" s="2">
        <v>2060.13</v>
      </c>
      <c r="D3439" s="2" t="s">
        <v>5</v>
      </c>
    </row>
    <row r="3440" spans="1:4" ht="15" customHeight="1" x14ac:dyDescent="0.25">
      <c r="A3440" s="2" t="str">
        <f>"08200000615"</f>
        <v>08200000615</v>
      </c>
      <c r="B3440" s="2" t="s">
        <v>3442</v>
      </c>
      <c r="C3440" s="2">
        <v>4037.49</v>
      </c>
      <c r="D3440" s="2" t="s">
        <v>5</v>
      </c>
    </row>
    <row r="3441" spans="1:4" ht="15" customHeight="1" x14ac:dyDescent="0.25">
      <c r="A3441" s="2" t="str">
        <f>"08200000650"</f>
        <v>08200000650</v>
      </c>
      <c r="B3441" s="2" t="s">
        <v>3443</v>
      </c>
      <c r="C3441" s="2">
        <v>581.28</v>
      </c>
      <c r="D3441" s="2" t="s">
        <v>5</v>
      </c>
    </row>
    <row r="3442" spans="1:4" ht="15" customHeight="1" x14ac:dyDescent="0.25">
      <c r="A3442" s="2" t="str">
        <f>"08200000655"</f>
        <v>08200000655</v>
      </c>
      <c r="B3442" s="2" t="s">
        <v>3444</v>
      </c>
      <c r="C3442" s="2">
        <v>712.56</v>
      </c>
      <c r="D3442" s="2" t="s">
        <v>5</v>
      </c>
    </row>
    <row r="3443" spans="1:4" ht="15" customHeight="1" x14ac:dyDescent="0.25">
      <c r="A3443" s="2" t="str">
        <f>"08200000660"</f>
        <v>08200000660</v>
      </c>
      <c r="B3443" s="2" t="s">
        <v>3445</v>
      </c>
      <c r="C3443" s="2">
        <v>1024.4100000000001</v>
      </c>
      <c r="D3443" s="2" t="s">
        <v>5</v>
      </c>
    </row>
    <row r="3444" spans="1:4" ht="15" customHeight="1" x14ac:dyDescent="0.25">
      <c r="A3444" s="2" t="str">
        <f>"08200000665"</f>
        <v>08200000665</v>
      </c>
      <c r="B3444" s="2" t="s">
        <v>3446</v>
      </c>
      <c r="C3444" s="2">
        <v>3261.8</v>
      </c>
      <c r="D3444" s="2" t="s">
        <v>5</v>
      </c>
    </row>
    <row r="3445" spans="1:4" ht="15" customHeight="1" x14ac:dyDescent="0.25">
      <c r="A3445" s="2" t="str">
        <f>"08200000700"</f>
        <v>08200000700</v>
      </c>
      <c r="B3445" s="2" t="s">
        <v>3447</v>
      </c>
      <c r="C3445" s="2">
        <v>682.53</v>
      </c>
      <c r="D3445" s="2" t="s">
        <v>5</v>
      </c>
    </row>
    <row r="3446" spans="1:4" ht="15" customHeight="1" x14ac:dyDescent="0.25">
      <c r="A3446" s="2" t="str">
        <f>"08200000705"</f>
        <v>08200000705</v>
      </c>
      <c r="B3446" s="2" t="s">
        <v>3448</v>
      </c>
      <c r="C3446" s="2">
        <v>1061.4000000000001</v>
      </c>
      <c r="D3446" s="2" t="s">
        <v>5</v>
      </c>
    </row>
    <row r="3447" spans="1:4" ht="15" customHeight="1" x14ac:dyDescent="0.25">
      <c r="A3447" s="2" t="str">
        <f>"08200000710"</f>
        <v>08200000710</v>
      </c>
      <c r="B3447" s="2" t="s">
        <v>3449</v>
      </c>
      <c r="C3447" s="2">
        <v>1308.69</v>
      </c>
      <c r="D3447" s="2" t="s">
        <v>5</v>
      </c>
    </row>
    <row r="3448" spans="1:4" ht="15" customHeight="1" x14ac:dyDescent="0.25">
      <c r="A3448" s="2" t="str">
        <f>"08200000715"</f>
        <v>08200000715</v>
      </c>
      <c r="B3448" s="2" t="s">
        <v>3450</v>
      </c>
      <c r="C3448" s="2">
        <v>3960.81</v>
      </c>
      <c r="D3448" s="2" t="s">
        <v>5</v>
      </c>
    </row>
    <row r="3449" spans="1:4" ht="15" customHeight="1" x14ac:dyDescent="0.25">
      <c r="A3449" s="2" t="str">
        <f>"07040000040"</f>
        <v>07040000040</v>
      </c>
      <c r="B3449" s="2" t="s">
        <v>3451</v>
      </c>
      <c r="C3449" s="2">
        <v>325.31</v>
      </c>
      <c r="D3449" s="2" t="s">
        <v>5</v>
      </c>
    </row>
    <row r="3450" spans="1:4" ht="15" customHeight="1" x14ac:dyDescent="0.25">
      <c r="A3450" s="2" t="str">
        <f>"07040000045"</f>
        <v>07040000045</v>
      </c>
      <c r="B3450" s="2" t="s">
        <v>3452</v>
      </c>
      <c r="C3450" s="2">
        <v>595.91999999999996</v>
      </c>
      <c r="D3450" s="2" t="s">
        <v>5</v>
      </c>
    </row>
    <row r="3451" spans="1:4" ht="15" customHeight="1" x14ac:dyDescent="0.25">
      <c r="A3451" s="2" t="str">
        <f>"07040000050"</f>
        <v>07040000050</v>
      </c>
      <c r="B3451" s="2" t="s">
        <v>3453</v>
      </c>
      <c r="C3451" s="2">
        <v>735.53</v>
      </c>
      <c r="D3451" s="2" t="s">
        <v>5</v>
      </c>
    </row>
    <row r="3452" spans="1:4" ht="15" customHeight="1" x14ac:dyDescent="0.25">
      <c r="A3452" s="2" t="str">
        <f>"07040000625"</f>
        <v>07040000625</v>
      </c>
      <c r="B3452" s="2" t="s">
        <v>3454</v>
      </c>
      <c r="C3452" s="2">
        <v>783.71</v>
      </c>
      <c r="D3452" s="2" t="s">
        <v>5</v>
      </c>
    </row>
    <row r="3453" spans="1:4" ht="15" customHeight="1" x14ac:dyDescent="0.25">
      <c r="A3453" s="2" t="str">
        <f>"07040000055"</f>
        <v>07040000055</v>
      </c>
      <c r="B3453" s="2" t="s">
        <v>3455</v>
      </c>
      <c r="C3453" s="2">
        <v>1956.62</v>
      </c>
      <c r="D3453" s="2" t="s">
        <v>5</v>
      </c>
    </row>
    <row r="3454" spans="1:4" ht="15" customHeight="1" x14ac:dyDescent="0.25">
      <c r="A3454" s="2" t="str">
        <f>"07040000455"</f>
        <v>07040000455</v>
      </c>
      <c r="B3454" s="2" t="s">
        <v>3456</v>
      </c>
      <c r="C3454" s="2">
        <v>2738.88</v>
      </c>
      <c r="D3454" s="2" t="s">
        <v>5</v>
      </c>
    </row>
    <row r="3455" spans="1:4" ht="15" customHeight="1" x14ac:dyDescent="0.25">
      <c r="A3455" s="2" t="str">
        <f>"07040000450"</f>
        <v>07040000450</v>
      </c>
      <c r="B3455" s="2" t="s">
        <v>3457</v>
      </c>
      <c r="C3455" s="2">
        <v>1042.4100000000001</v>
      </c>
      <c r="D3455" s="2" t="s">
        <v>5</v>
      </c>
    </row>
    <row r="3456" spans="1:4" ht="15" customHeight="1" x14ac:dyDescent="0.25">
      <c r="A3456" s="2" t="str">
        <f>"07040000060"</f>
        <v>07040000060</v>
      </c>
      <c r="B3456" s="2" t="s">
        <v>3458</v>
      </c>
      <c r="C3456" s="2">
        <v>334.62</v>
      </c>
      <c r="D3456" s="2" t="s">
        <v>5</v>
      </c>
    </row>
    <row r="3457" spans="1:4" ht="15" customHeight="1" x14ac:dyDescent="0.25">
      <c r="A3457" s="2" t="str">
        <f>"07040000070"</f>
        <v>07040000070</v>
      </c>
      <c r="B3457" s="2" t="s">
        <v>3459</v>
      </c>
      <c r="C3457" s="2">
        <v>664.41</v>
      </c>
      <c r="D3457" s="2" t="s">
        <v>5</v>
      </c>
    </row>
    <row r="3458" spans="1:4" ht="15" customHeight="1" x14ac:dyDescent="0.25">
      <c r="A3458" s="2" t="str">
        <f>"07040000065"</f>
        <v>07040000065</v>
      </c>
      <c r="B3458" s="2" t="s">
        <v>3460</v>
      </c>
      <c r="C3458" s="2">
        <v>580.35</v>
      </c>
      <c r="D3458" s="2" t="s">
        <v>5</v>
      </c>
    </row>
    <row r="3459" spans="1:4" ht="15" customHeight="1" x14ac:dyDescent="0.25">
      <c r="A3459" s="2" t="str">
        <f>"07040000075"</f>
        <v>07040000075</v>
      </c>
      <c r="B3459" s="2" t="s">
        <v>3461</v>
      </c>
      <c r="C3459" s="2">
        <v>1125.44</v>
      </c>
      <c r="D3459" s="2" t="s">
        <v>5</v>
      </c>
    </row>
    <row r="3460" spans="1:4" ht="15" customHeight="1" x14ac:dyDescent="0.25">
      <c r="A3460" s="2" t="str">
        <f>"07040000460"</f>
        <v>07040000460</v>
      </c>
      <c r="B3460" s="2" t="s">
        <v>3462</v>
      </c>
      <c r="C3460" s="2">
        <v>2049.1999999999998</v>
      </c>
      <c r="D3460" s="2" t="s">
        <v>5</v>
      </c>
    </row>
    <row r="3461" spans="1:4" ht="15" customHeight="1" x14ac:dyDescent="0.25">
      <c r="A3461" s="2" t="str">
        <f>"07040000310"</f>
        <v>07040000310</v>
      </c>
      <c r="B3461" s="2" t="s">
        <v>3463</v>
      </c>
      <c r="C3461" s="2">
        <v>4195.91</v>
      </c>
      <c r="D3461" s="2" t="s">
        <v>5</v>
      </c>
    </row>
    <row r="3462" spans="1:4" ht="15" customHeight="1" x14ac:dyDescent="0.25">
      <c r="A3462" s="2" t="str">
        <f>"07040000305"</f>
        <v>07040000305</v>
      </c>
      <c r="B3462" s="2" t="s">
        <v>3464</v>
      </c>
      <c r="C3462" s="2">
        <v>9752.2800000000007</v>
      </c>
      <c r="D3462" s="2" t="s">
        <v>5</v>
      </c>
    </row>
    <row r="3463" spans="1:4" ht="15" customHeight="1" x14ac:dyDescent="0.25">
      <c r="A3463" s="2" t="str">
        <f>"08200002550"</f>
        <v>08200002550</v>
      </c>
      <c r="B3463" s="2" t="s">
        <v>3465</v>
      </c>
      <c r="C3463" s="2">
        <v>6226.77</v>
      </c>
      <c r="D3463" s="2" t="s">
        <v>5</v>
      </c>
    </row>
    <row r="3464" spans="1:4" ht="15" customHeight="1" x14ac:dyDescent="0.25">
      <c r="A3464" s="2" t="str">
        <f>"07040000210"</f>
        <v>07040000210</v>
      </c>
      <c r="B3464" s="2" t="s">
        <v>3466</v>
      </c>
      <c r="C3464" s="2">
        <v>2146.17</v>
      </c>
      <c r="D3464" s="2" t="s">
        <v>5</v>
      </c>
    </row>
    <row r="3465" spans="1:4" ht="15" customHeight="1" x14ac:dyDescent="0.25">
      <c r="A3465" s="2" t="str">
        <f>"07040000205"</f>
        <v>07040000205</v>
      </c>
      <c r="B3465" s="2" t="s">
        <v>3467</v>
      </c>
      <c r="C3465" s="2">
        <v>2146.17</v>
      </c>
      <c r="D3465" s="2" t="s">
        <v>5</v>
      </c>
    </row>
    <row r="3466" spans="1:4" ht="15" customHeight="1" x14ac:dyDescent="0.25">
      <c r="A3466" s="2" t="str">
        <f>"07040000220"</f>
        <v>07040000220</v>
      </c>
      <c r="B3466" s="2" t="s">
        <v>3468</v>
      </c>
      <c r="C3466" s="2">
        <v>2459.12</v>
      </c>
      <c r="D3466" s="2" t="s">
        <v>5</v>
      </c>
    </row>
    <row r="3467" spans="1:4" ht="15" customHeight="1" x14ac:dyDescent="0.25">
      <c r="A3467" s="2" t="str">
        <f>"07040000215"</f>
        <v>07040000215</v>
      </c>
      <c r="B3467" s="2" t="s">
        <v>3469</v>
      </c>
      <c r="C3467" s="2">
        <v>2456.31</v>
      </c>
      <c r="D3467" s="2" t="s">
        <v>5</v>
      </c>
    </row>
    <row r="3468" spans="1:4" ht="15" customHeight="1" x14ac:dyDescent="0.25">
      <c r="A3468" s="2" t="str">
        <f>"08200002345"</f>
        <v>08200002345</v>
      </c>
      <c r="B3468" s="2" t="s">
        <v>3470</v>
      </c>
      <c r="C3468" s="2">
        <v>3024.29</v>
      </c>
      <c r="D3468" s="2" t="s">
        <v>5</v>
      </c>
    </row>
    <row r="3469" spans="1:4" ht="15" customHeight="1" x14ac:dyDescent="0.25">
      <c r="A3469" s="2" t="str">
        <f>"08200002340"</f>
        <v>08200002340</v>
      </c>
      <c r="B3469" s="2" t="s">
        <v>3471</v>
      </c>
      <c r="C3469" s="2">
        <v>3024.29</v>
      </c>
      <c r="D3469" s="2" t="s">
        <v>5</v>
      </c>
    </row>
    <row r="3470" spans="1:4" ht="15" customHeight="1" x14ac:dyDescent="0.25">
      <c r="A3470" s="2" t="str">
        <f>"08200002280"</f>
        <v>08200002280</v>
      </c>
      <c r="B3470" s="2" t="s">
        <v>3472</v>
      </c>
      <c r="C3470" s="2">
        <v>4237.1899999999996</v>
      </c>
      <c r="D3470" s="2" t="s">
        <v>5</v>
      </c>
    </row>
    <row r="3471" spans="1:4" ht="15" customHeight="1" x14ac:dyDescent="0.25">
      <c r="A3471" s="2" t="str">
        <f>"08200002315"</f>
        <v>08200002315</v>
      </c>
      <c r="B3471" s="2" t="s">
        <v>3473</v>
      </c>
      <c r="C3471" s="2">
        <v>3702.27</v>
      </c>
      <c r="D3471" s="2" t="s">
        <v>5</v>
      </c>
    </row>
    <row r="3472" spans="1:4" ht="15" customHeight="1" x14ac:dyDescent="0.25">
      <c r="A3472" s="2" t="str">
        <f>"08200002310"</f>
        <v>08200002310</v>
      </c>
      <c r="B3472" s="2" t="s">
        <v>3474</v>
      </c>
      <c r="C3472" s="2">
        <v>3702.27</v>
      </c>
      <c r="D3472" s="2" t="s">
        <v>5</v>
      </c>
    </row>
    <row r="3473" spans="1:4" ht="15" customHeight="1" x14ac:dyDescent="0.25">
      <c r="A3473" s="2" t="str">
        <f>"08900000530"</f>
        <v>08900000530</v>
      </c>
      <c r="B3473" s="2" t="s">
        <v>3475</v>
      </c>
      <c r="C3473" s="2">
        <v>0.18</v>
      </c>
      <c r="D3473" s="2" t="s">
        <v>107</v>
      </c>
    </row>
    <row r="3474" spans="1:4" ht="15" customHeight="1" x14ac:dyDescent="0.25">
      <c r="A3474" s="2" t="str">
        <f>"08900000535"</f>
        <v>08900000535</v>
      </c>
      <c r="B3474" s="2" t="s">
        <v>3476</v>
      </c>
      <c r="C3474" s="2">
        <v>0.3</v>
      </c>
      <c r="D3474" s="2" t="s">
        <v>107</v>
      </c>
    </row>
    <row r="3475" spans="1:4" ht="15" customHeight="1" x14ac:dyDescent="0.25">
      <c r="A3475" s="2" t="str">
        <f>"08900000540"</f>
        <v>08900000540</v>
      </c>
      <c r="B3475" s="2" t="s">
        <v>3477</v>
      </c>
      <c r="C3475" s="2">
        <v>0.45</v>
      </c>
      <c r="D3475" s="2" t="s">
        <v>107</v>
      </c>
    </row>
    <row r="3476" spans="1:4" ht="15" customHeight="1" x14ac:dyDescent="0.25">
      <c r="A3476" s="2" t="str">
        <f>"08900000545"</f>
        <v>08900000545</v>
      </c>
      <c r="B3476" s="2" t="s">
        <v>3478</v>
      </c>
      <c r="C3476" s="2">
        <v>0.9</v>
      </c>
      <c r="D3476" s="2" t="s">
        <v>107</v>
      </c>
    </row>
    <row r="3477" spans="1:4" ht="15" customHeight="1" x14ac:dyDescent="0.25">
      <c r="A3477" s="2" t="str">
        <f>"08900000550"</f>
        <v>08900000550</v>
      </c>
      <c r="B3477" s="2" t="s">
        <v>3479</v>
      </c>
      <c r="C3477" s="2">
        <v>1.4</v>
      </c>
      <c r="D3477" s="2" t="s">
        <v>107</v>
      </c>
    </row>
    <row r="3478" spans="1:4" ht="15" customHeight="1" x14ac:dyDescent="0.25">
      <c r="A3478" s="2" t="str">
        <f>"08900000555"</f>
        <v>08900000555</v>
      </c>
      <c r="B3478" s="2" t="s">
        <v>3480</v>
      </c>
      <c r="C3478" s="2">
        <v>1.74</v>
      </c>
      <c r="D3478" s="2" t="s">
        <v>107</v>
      </c>
    </row>
    <row r="3479" spans="1:4" ht="15" customHeight="1" x14ac:dyDescent="0.25">
      <c r="A3479" s="2" t="str">
        <f>"08900000560"</f>
        <v>08900000560</v>
      </c>
      <c r="B3479" s="2" t="s">
        <v>3481</v>
      </c>
      <c r="C3479" s="2">
        <v>6.21</v>
      </c>
      <c r="D3479" s="2" t="s">
        <v>107</v>
      </c>
    </row>
    <row r="3480" spans="1:4" ht="15" customHeight="1" x14ac:dyDescent="0.25">
      <c r="A3480" s="2" t="str">
        <f>"08900000565"</f>
        <v>08900000565</v>
      </c>
      <c r="B3480" s="2" t="s">
        <v>3482</v>
      </c>
      <c r="C3480" s="2">
        <v>10.08</v>
      </c>
      <c r="D3480" s="2" t="s">
        <v>107</v>
      </c>
    </row>
    <row r="3481" spans="1:4" ht="15" customHeight="1" x14ac:dyDescent="0.25">
      <c r="A3481" s="2" t="str">
        <f>"08900000390"</f>
        <v>08900000390</v>
      </c>
      <c r="B3481" s="2" t="s">
        <v>3483</v>
      </c>
      <c r="C3481" s="2">
        <v>18.41</v>
      </c>
      <c r="D3481" s="2" t="s">
        <v>107</v>
      </c>
    </row>
    <row r="3482" spans="1:4" ht="15" customHeight="1" x14ac:dyDescent="0.25">
      <c r="A3482" s="2" t="str">
        <f>"08900000435"</f>
        <v>08900000435</v>
      </c>
      <c r="B3482" s="2" t="s">
        <v>3484</v>
      </c>
      <c r="C3482" s="2">
        <v>20.37</v>
      </c>
      <c r="D3482" s="2" t="s">
        <v>107</v>
      </c>
    </row>
    <row r="3483" spans="1:4" ht="15" customHeight="1" x14ac:dyDescent="0.25">
      <c r="A3483" s="2" t="str">
        <f>"08900000350"</f>
        <v>08900000350</v>
      </c>
      <c r="B3483" s="2" t="s">
        <v>3485</v>
      </c>
      <c r="C3483" s="2">
        <v>0.38</v>
      </c>
      <c r="D3483" s="2" t="s">
        <v>107</v>
      </c>
    </row>
    <row r="3484" spans="1:4" ht="15" customHeight="1" x14ac:dyDescent="0.25">
      <c r="A3484" s="2" t="str">
        <f>"08900000395"</f>
        <v>08900000395</v>
      </c>
      <c r="B3484" s="2" t="s">
        <v>3486</v>
      </c>
      <c r="C3484" s="2">
        <v>0.38</v>
      </c>
      <c r="D3484" s="2" t="s">
        <v>107</v>
      </c>
    </row>
    <row r="3485" spans="1:4" ht="15" customHeight="1" x14ac:dyDescent="0.25">
      <c r="A3485" s="2" t="str">
        <f>"08900000355"</f>
        <v>08900000355</v>
      </c>
      <c r="B3485" s="2" t="s">
        <v>3487</v>
      </c>
      <c r="C3485" s="2">
        <v>0.5</v>
      </c>
      <c r="D3485" s="2" t="s">
        <v>107</v>
      </c>
    </row>
    <row r="3486" spans="1:4" ht="15" customHeight="1" x14ac:dyDescent="0.25">
      <c r="A3486" s="2" t="str">
        <f>"08900000400"</f>
        <v>08900000400</v>
      </c>
      <c r="B3486" s="2" t="s">
        <v>3488</v>
      </c>
      <c r="C3486" s="2">
        <v>0.5</v>
      </c>
      <c r="D3486" s="2" t="s">
        <v>107</v>
      </c>
    </row>
    <row r="3487" spans="1:4" ht="15" customHeight="1" x14ac:dyDescent="0.25">
      <c r="A3487" s="2" t="str">
        <f>"08900000360"</f>
        <v>08900000360</v>
      </c>
      <c r="B3487" s="2" t="s">
        <v>3489</v>
      </c>
      <c r="C3487" s="2">
        <v>0.86</v>
      </c>
      <c r="D3487" s="2" t="s">
        <v>107</v>
      </c>
    </row>
    <row r="3488" spans="1:4" ht="15" customHeight="1" x14ac:dyDescent="0.25">
      <c r="A3488" s="2" t="str">
        <f>"08900000405"</f>
        <v>08900000405</v>
      </c>
      <c r="B3488" s="2" t="s">
        <v>3490</v>
      </c>
      <c r="C3488" s="2">
        <v>0.93</v>
      </c>
      <c r="D3488" s="2" t="s">
        <v>107</v>
      </c>
    </row>
    <row r="3489" spans="1:4" ht="15" customHeight="1" x14ac:dyDescent="0.25">
      <c r="A3489" s="2" t="str">
        <f>"08900000365"</f>
        <v>08900000365</v>
      </c>
      <c r="B3489" s="2" t="s">
        <v>3491</v>
      </c>
      <c r="C3489" s="2">
        <v>1.35</v>
      </c>
      <c r="D3489" s="2" t="s">
        <v>107</v>
      </c>
    </row>
    <row r="3490" spans="1:4" ht="15" customHeight="1" x14ac:dyDescent="0.25">
      <c r="A3490" s="2" t="str">
        <f>"08900002000"</f>
        <v>08900002000</v>
      </c>
      <c r="B3490" s="2" t="s">
        <v>3492</v>
      </c>
      <c r="C3490" s="2">
        <v>911.04</v>
      </c>
      <c r="D3490" s="2" t="s">
        <v>5</v>
      </c>
    </row>
    <row r="3491" spans="1:4" ht="15" customHeight="1" x14ac:dyDescent="0.25">
      <c r="A3491" s="2" t="str">
        <f>"08900000410"</f>
        <v>08900000410</v>
      </c>
      <c r="B3491" s="2" t="s">
        <v>3493</v>
      </c>
      <c r="C3491" s="2">
        <v>1.58</v>
      </c>
      <c r="D3491" s="2" t="s">
        <v>107</v>
      </c>
    </row>
    <row r="3492" spans="1:4" ht="15" customHeight="1" x14ac:dyDescent="0.25">
      <c r="A3492" s="2" t="str">
        <f>"08900002001"</f>
        <v>08900002001</v>
      </c>
      <c r="B3492" s="2" t="s">
        <v>3494</v>
      </c>
      <c r="C3492" s="2">
        <v>1082.6400000000001</v>
      </c>
      <c r="D3492" s="2" t="s">
        <v>5</v>
      </c>
    </row>
    <row r="3493" spans="1:4" ht="15" customHeight="1" x14ac:dyDescent="0.25">
      <c r="A3493" s="2" t="str">
        <f>"08900000370"</f>
        <v>08900000370</v>
      </c>
      <c r="B3493" s="2" t="s">
        <v>3495</v>
      </c>
      <c r="C3493" s="2">
        <v>2.1800000000000002</v>
      </c>
      <c r="D3493" s="2" t="s">
        <v>107</v>
      </c>
    </row>
    <row r="3494" spans="1:4" ht="15" customHeight="1" x14ac:dyDescent="0.25">
      <c r="A3494" s="2" t="str">
        <f>"08900000415"</f>
        <v>08900000415</v>
      </c>
      <c r="B3494" s="2" t="s">
        <v>3496</v>
      </c>
      <c r="C3494" s="2">
        <v>2.4</v>
      </c>
      <c r="D3494" s="2" t="s">
        <v>107</v>
      </c>
    </row>
    <row r="3495" spans="1:4" ht="15" customHeight="1" x14ac:dyDescent="0.25">
      <c r="A3495" s="2" t="str">
        <f>"08900002009"</f>
        <v>08900002009</v>
      </c>
      <c r="B3495" s="2" t="s">
        <v>3497</v>
      </c>
      <c r="C3495" s="2">
        <v>1271.4000000000001</v>
      </c>
      <c r="D3495" s="2" t="s">
        <v>5</v>
      </c>
    </row>
    <row r="3496" spans="1:4" ht="15" customHeight="1" x14ac:dyDescent="0.25">
      <c r="A3496" s="2" t="str">
        <f>"08900000375"</f>
        <v>08900000375</v>
      </c>
      <c r="B3496" s="2" t="s">
        <v>3498</v>
      </c>
      <c r="C3496" s="2">
        <v>4.67</v>
      </c>
      <c r="D3496" s="2" t="s">
        <v>107</v>
      </c>
    </row>
    <row r="3497" spans="1:4" ht="15" customHeight="1" x14ac:dyDescent="0.25">
      <c r="A3497" s="2" t="str">
        <f>"08900000420"</f>
        <v>08900000420</v>
      </c>
      <c r="B3497" s="2" t="s">
        <v>3499</v>
      </c>
      <c r="C3497" s="2">
        <v>4.47</v>
      </c>
      <c r="D3497" s="2" t="s">
        <v>107</v>
      </c>
    </row>
    <row r="3498" spans="1:4" ht="15" customHeight="1" x14ac:dyDescent="0.25">
      <c r="A3498" s="2" t="str">
        <f>"08900000380"</f>
        <v>08900000380</v>
      </c>
      <c r="B3498" s="2" t="s">
        <v>3500</v>
      </c>
      <c r="C3498" s="2">
        <v>7.2</v>
      </c>
      <c r="D3498" s="2" t="s">
        <v>107</v>
      </c>
    </row>
    <row r="3499" spans="1:4" ht="15" customHeight="1" x14ac:dyDescent="0.25">
      <c r="A3499" s="2" t="str">
        <f>"08900000425"</f>
        <v>08900000425</v>
      </c>
      <c r="B3499" s="2" t="s">
        <v>3501</v>
      </c>
      <c r="C3499" s="2">
        <v>7.25</v>
      </c>
      <c r="D3499" s="2" t="s">
        <v>107</v>
      </c>
    </row>
    <row r="3500" spans="1:4" ht="15" customHeight="1" x14ac:dyDescent="0.25">
      <c r="A3500" s="2" t="str">
        <f>"08900000385"</f>
        <v>08900000385</v>
      </c>
      <c r="B3500" s="2" t="s">
        <v>3502</v>
      </c>
      <c r="C3500" s="2">
        <v>11.91</v>
      </c>
      <c r="D3500" s="2" t="s">
        <v>107</v>
      </c>
    </row>
    <row r="3501" spans="1:4" ht="15" customHeight="1" x14ac:dyDescent="0.25">
      <c r="A3501" s="2" t="str">
        <f>"08900000430"</f>
        <v>08900000430</v>
      </c>
      <c r="B3501" s="2" t="s">
        <v>3503</v>
      </c>
      <c r="C3501" s="2">
        <v>12.06</v>
      </c>
      <c r="D3501" s="2" t="s">
        <v>107</v>
      </c>
    </row>
    <row r="3502" spans="1:4" ht="15" customHeight="1" x14ac:dyDescent="0.25">
      <c r="A3502" s="2" t="str">
        <f>"08900000480"</f>
        <v>08900000480</v>
      </c>
      <c r="B3502" s="2" t="s">
        <v>3504</v>
      </c>
      <c r="C3502" s="2">
        <v>11.46</v>
      </c>
      <c r="D3502" s="2" t="s">
        <v>107</v>
      </c>
    </row>
    <row r="3503" spans="1:4" ht="15" customHeight="1" x14ac:dyDescent="0.25">
      <c r="A3503" s="2" t="str">
        <f>"08900000525"</f>
        <v>08900000525</v>
      </c>
      <c r="B3503" s="2" t="s">
        <v>3505</v>
      </c>
      <c r="C3503" s="2">
        <v>11.91</v>
      </c>
      <c r="D3503" s="2" t="s">
        <v>107</v>
      </c>
    </row>
    <row r="3504" spans="1:4" ht="15" customHeight="1" x14ac:dyDescent="0.25">
      <c r="A3504" s="2" t="str">
        <f>"08900000440"</f>
        <v>08900000440</v>
      </c>
      <c r="B3504" s="2" t="s">
        <v>3506</v>
      </c>
      <c r="C3504" s="2">
        <v>0.21</v>
      </c>
      <c r="D3504" s="2" t="s">
        <v>107</v>
      </c>
    </row>
    <row r="3505" spans="1:4" ht="15" customHeight="1" x14ac:dyDescent="0.25">
      <c r="A3505" s="2" t="str">
        <f>"08900000445"</f>
        <v>08900000445</v>
      </c>
      <c r="B3505" s="2" t="s">
        <v>3507</v>
      </c>
      <c r="C3505" s="2">
        <v>0.33</v>
      </c>
      <c r="D3505" s="2" t="s">
        <v>107</v>
      </c>
    </row>
    <row r="3506" spans="1:4" ht="15" customHeight="1" x14ac:dyDescent="0.25">
      <c r="A3506" s="2" t="str">
        <f>"08900000485"</f>
        <v>08900000485</v>
      </c>
      <c r="B3506" s="2" t="s">
        <v>3508</v>
      </c>
      <c r="C3506" s="2">
        <v>0.38</v>
      </c>
      <c r="D3506" s="2" t="s">
        <v>107</v>
      </c>
    </row>
    <row r="3507" spans="1:4" ht="15" customHeight="1" x14ac:dyDescent="0.25">
      <c r="A3507" s="2" t="str">
        <f>"08900000450"</f>
        <v>08900000450</v>
      </c>
      <c r="B3507" s="2" t="s">
        <v>3509</v>
      </c>
      <c r="C3507" s="2">
        <v>0.54</v>
      </c>
      <c r="D3507" s="2" t="s">
        <v>107</v>
      </c>
    </row>
    <row r="3508" spans="1:4" ht="15" customHeight="1" x14ac:dyDescent="0.25">
      <c r="A3508" s="2" t="str">
        <f>"08900000490"</f>
        <v>08900000490</v>
      </c>
      <c r="B3508" s="2" t="s">
        <v>3510</v>
      </c>
      <c r="C3508" s="2">
        <v>0.6</v>
      </c>
      <c r="D3508" s="2" t="s">
        <v>107</v>
      </c>
    </row>
    <row r="3509" spans="1:4" ht="15" customHeight="1" x14ac:dyDescent="0.25">
      <c r="A3509" s="2" t="str">
        <f>"08900000455"</f>
        <v>08900000455</v>
      </c>
      <c r="B3509" s="2" t="s">
        <v>3511</v>
      </c>
      <c r="C3509" s="2">
        <v>0.9</v>
      </c>
      <c r="D3509" s="2" t="s">
        <v>107</v>
      </c>
    </row>
    <row r="3510" spans="1:4" ht="15" customHeight="1" x14ac:dyDescent="0.25">
      <c r="A3510" s="2" t="str">
        <f>"08900002003"</f>
        <v>08900002003</v>
      </c>
      <c r="B3510" s="2" t="s">
        <v>3512</v>
      </c>
      <c r="C3510" s="2">
        <v>756.6</v>
      </c>
      <c r="D3510" s="2" t="s">
        <v>5</v>
      </c>
    </row>
    <row r="3511" spans="1:4" ht="15" customHeight="1" x14ac:dyDescent="0.25">
      <c r="A3511" s="2" t="str">
        <f>"08900000495"</f>
        <v>08900000495</v>
      </c>
      <c r="B3511" s="2" t="s">
        <v>3513</v>
      </c>
      <c r="C3511" s="2">
        <v>0.62</v>
      </c>
      <c r="D3511" s="2" t="s">
        <v>107</v>
      </c>
    </row>
    <row r="3512" spans="1:4" ht="15" customHeight="1" x14ac:dyDescent="0.25">
      <c r="A3512" s="2" t="str">
        <f>"08900000500"</f>
        <v>08900000500</v>
      </c>
      <c r="B3512" s="2" t="s">
        <v>3514</v>
      </c>
      <c r="C3512" s="2">
        <v>0.75</v>
      </c>
      <c r="D3512" s="2" t="s">
        <v>107</v>
      </c>
    </row>
    <row r="3513" spans="1:4" ht="15" customHeight="1" x14ac:dyDescent="0.25">
      <c r="A3513" s="2" t="str">
        <f>"08900000460"</f>
        <v>08900000460</v>
      </c>
      <c r="B3513" s="2" t="s">
        <v>3515</v>
      </c>
      <c r="C3513" s="2">
        <v>1.35</v>
      </c>
      <c r="D3513" s="2" t="s">
        <v>107</v>
      </c>
    </row>
    <row r="3514" spans="1:4" ht="15" customHeight="1" x14ac:dyDescent="0.25">
      <c r="A3514" s="2" t="str">
        <f>"08900002002"</f>
        <v>08900002002</v>
      </c>
      <c r="B3514" s="2" t="s">
        <v>3516</v>
      </c>
      <c r="C3514" s="2">
        <v>975</v>
      </c>
      <c r="D3514" s="2" t="s">
        <v>5</v>
      </c>
    </row>
    <row r="3515" spans="1:4" ht="15" customHeight="1" x14ac:dyDescent="0.25">
      <c r="A3515" s="2" t="str">
        <f>"08900000505"</f>
        <v>08900000505</v>
      </c>
      <c r="B3515" s="2" t="s">
        <v>3517</v>
      </c>
      <c r="C3515" s="2">
        <v>0.96</v>
      </c>
      <c r="D3515" s="2" t="s">
        <v>107</v>
      </c>
    </row>
    <row r="3516" spans="1:4" ht="15" customHeight="1" x14ac:dyDescent="0.25">
      <c r="A3516" s="2" t="str">
        <f>"08900000510"</f>
        <v>08900000510</v>
      </c>
      <c r="B3516" s="2" t="s">
        <v>3518</v>
      </c>
      <c r="C3516" s="2">
        <v>1.17</v>
      </c>
      <c r="D3516" s="2" t="s">
        <v>107</v>
      </c>
    </row>
    <row r="3517" spans="1:4" ht="15" customHeight="1" x14ac:dyDescent="0.25">
      <c r="A3517" s="2" t="str">
        <f>"08900000515"</f>
        <v>08900000515</v>
      </c>
      <c r="B3517" s="2" t="s">
        <v>3519</v>
      </c>
      <c r="C3517" s="2">
        <v>1.31</v>
      </c>
      <c r="D3517" s="2" t="s">
        <v>107</v>
      </c>
    </row>
    <row r="3518" spans="1:4" ht="15" customHeight="1" x14ac:dyDescent="0.25">
      <c r="A3518" s="2" t="str">
        <f>"08900000465"</f>
        <v>08900000465</v>
      </c>
      <c r="B3518" s="2" t="s">
        <v>3520</v>
      </c>
      <c r="C3518" s="2">
        <v>5.46</v>
      </c>
      <c r="D3518" s="2" t="s">
        <v>107</v>
      </c>
    </row>
    <row r="3519" spans="1:4" ht="15" customHeight="1" x14ac:dyDescent="0.25">
      <c r="A3519" s="2" t="str">
        <f>"08900000470"</f>
        <v>08900000470</v>
      </c>
      <c r="B3519" s="2" t="s">
        <v>3521</v>
      </c>
      <c r="C3519" s="2">
        <v>3.98</v>
      </c>
      <c r="D3519" s="2" t="s">
        <v>107</v>
      </c>
    </row>
    <row r="3520" spans="1:4" ht="15" customHeight="1" x14ac:dyDescent="0.25">
      <c r="A3520" s="2" t="str">
        <f>"08900000520"</f>
        <v>08900000520</v>
      </c>
      <c r="B3520" s="2" t="s">
        <v>3522</v>
      </c>
      <c r="C3520" s="2">
        <v>3.59</v>
      </c>
      <c r="D3520" s="2" t="s">
        <v>107</v>
      </c>
    </row>
    <row r="3521" spans="1:4" ht="15" customHeight="1" x14ac:dyDescent="0.25">
      <c r="A3521" s="2" t="str">
        <f>"08900000475"</f>
        <v>08900000475</v>
      </c>
      <c r="B3521" s="2" t="s">
        <v>3523</v>
      </c>
      <c r="C3521" s="2">
        <v>10.02</v>
      </c>
      <c r="D3521" s="2" t="s">
        <v>107</v>
      </c>
    </row>
    <row r="3522" spans="1:4" ht="15" customHeight="1" x14ac:dyDescent="0.25">
      <c r="A3522" s="2" t="str">
        <f>"08900002011"</f>
        <v>08900002011</v>
      </c>
      <c r="B3522" s="2" t="s">
        <v>3524</v>
      </c>
      <c r="C3522" s="2">
        <v>0</v>
      </c>
      <c r="D3522" s="2" t="s">
        <v>5</v>
      </c>
    </row>
    <row r="3523" spans="1:4" ht="15" customHeight="1" x14ac:dyDescent="0.25">
      <c r="A3523" s="2" t="str">
        <f>"08900002010"</f>
        <v>08900002010</v>
      </c>
      <c r="B3523" s="2" t="s">
        <v>3525</v>
      </c>
      <c r="C3523" s="2">
        <v>0</v>
      </c>
      <c r="D3523" s="2" t="s">
        <v>5</v>
      </c>
    </row>
    <row r="3524" spans="1:4" ht="15" customHeight="1" x14ac:dyDescent="0.25">
      <c r="A3524" s="2" t="str">
        <f>"08900000840"</f>
        <v>08900000840</v>
      </c>
      <c r="B3524" s="2" t="s">
        <v>3526</v>
      </c>
      <c r="C3524" s="2">
        <v>10.19</v>
      </c>
      <c r="D3524" s="2" t="s">
        <v>107</v>
      </c>
    </row>
    <row r="3525" spans="1:4" ht="15" customHeight="1" x14ac:dyDescent="0.25">
      <c r="A3525" s="2" t="str">
        <f>"08900000760"</f>
        <v>08900000760</v>
      </c>
      <c r="B3525" s="2" t="s">
        <v>3527</v>
      </c>
      <c r="C3525" s="2">
        <v>6.6</v>
      </c>
      <c r="D3525" s="2" t="s">
        <v>107</v>
      </c>
    </row>
    <row r="3526" spans="1:4" ht="15" customHeight="1" x14ac:dyDescent="0.25">
      <c r="A3526" s="2" t="str">
        <f>"08900000800"</f>
        <v>08900000800</v>
      </c>
      <c r="B3526" s="2" t="s">
        <v>3528</v>
      </c>
      <c r="C3526" s="2">
        <v>0.26</v>
      </c>
      <c r="D3526" s="2" t="s">
        <v>107</v>
      </c>
    </row>
    <row r="3527" spans="1:4" ht="15" customHeight="1" x14ac:dyDescent="0.25">
      <c r="A3527" s="2" t="str">
        <f>"08900000720"</f>
        <v>08900000720</v>
      </c>
      <c r="B3527" s="2" t="s">
        <v>3529</v>
      </c>
      <c r="C3527" s="2">
        <v>0.3</v>
      </c>
      <c r="D3527" s="2" t="s">
        <v>107</v>
      </c>
    </row>
    <row r="3528" spans="1:4" ht="15" customHeight="1" x14ac:dyDescent="0.25">
      <c r="A3528" s="2" t="str">
        <f>"08900000805"</f>
        <v>08900000805</v>
      </c>
      <c r="B3528" s="2" t="s">
        <v>3530</v>
      </c>
      <c r="C3528" s="2">
        <v>0.5</v>
      </c>
      <c r="D3528" s="2" t="s">
        <v>107</v>
      </c>
    </row>
    <row r="3529" spans="1:4" ht="15" customHeight="1" x14ac:dyDescent="0.25">
      <c r="A3529" s="2" t="str">
        <f>"08900000725"</f>
        <v>08900000725</v>
      </c>
      <c r="B3529" s="2" t="s">
        <v>3531</v>
      </c>
      <c r="C3529" s="2">
        <v>0.45</v>
      </c>
      <c r="D3529" s="2" t="s">
        <v>107</v>
      </c>
    </row>
    <row r="3530" spans="1:4" ht="15" customHeight="1" x14ac:dyDescent="0.25">
      <c r="A3530" s="2" t="str">
        <f>"08900000810"</f>
        <v>08900000810</v>
      </c>
      <c r="B3530" s="2" t="s">
        <v>3532</v>
      </c>
      <c r="C3530" s="2">
        <v>0.68</v>
      </c>
      <c r="D3530" s="2" t="s">
        <v>107</v>
      </c>
    </row>
    <row r="3531" spans="1:4" ht="15" customHeight="1" x14ac:dyDescent="0.25">
      <c r="A3531" s="2" t="str">
        <f>"08900000730"</f>
        <v>08900000730</v>
      </c>
      <c r="B3531" s="2" t="s">
        <v>3533</v>
      </c>
      <c r="C3531" s="2">
        <v>0.71</v>
      </c>
      <c r="D3531" s="2" t="s">
        <v>107</v>
      </c>
    </row>
    <row r="3532" spans="1:4" ht="15" customHeight="1" x14ac:dyDescent="0.25">
      <c r="A3532" s="2" t="str">
        <f>"08900002005"</f>
        <v>08900002005</v>
      </c>
      <c r="B3532" s="2" t="s">
        <v>3534</v>
      </c>
      <c r="C3532" s="2">
        <v>823.68</v>
      </c>
      <c r="D3532" s="2" t="s">
        <v>5</v>
      </c>
    </row>
    <row r="3533" spans="1:4" ht="15" customHeight="1" x14ac:dyDescent="0.25">
      <c r="A3533" s="2" t="str">
        <f>"08900000815"</f>
        <v>08900000815</v>
      </c>
      <c r="B3533" s="2" t="s">
        <v>3535</v>
      </c>
      <c r="C3533" s="2">
        <v>1.05</v>
      </c>
      <c r="D3533" s="2" t="s">
        <v>107</v>
      </c>
    </row>
    <row r="3534" spans="1:4" ht="15" customHeight="1" x14ac:dyDescent="0.25">
      <c r="A3534" s="2" t="str">
        <f>"08900000735"</f>
        <v>08900000735</v>
      </c>
      <c r="B3534" s="2" t="s">
        <v>3536</v>
      </c>
      <c r="C3534" s="2">
        <v>1.52</v>
      </c>
      <c r="D3534" s="2" t="s">
        <v>107</v>
      </c>
    </row>
    <row r="3535" spans="1:4" ht="15" customHeight="1" x14ac:dyDescent="0.25">
      <c r="A3535" s="2" t="str">
        <f>"08900000764"</f>
        <v>08900000764</v>
      </c>
      <c r="B3535" s="2" t="s">
        <v>3537</v>
      </c>
      <c r="C3535" s="2">
        <v>0.75</v>
      </c>
      <c r="D3535" s="2" t="s">
        <v>107</v>
      </c>
    </row>
    <row r="3536" spans="1:4" ht="15" customHeight="1" x14ac:dyDescent="0.25">
      <c r="A3536" s="2" t="str">
        <f>"08900000770"</f>
        <v>08900000770</v>
      </c>
      <c r="B3536" s="2" t="s">
        <v>3538</v>
      </c>
      <c r="C3536" s="2">
        <v>1.91</v>
      </c>
      <c r="D3536" s="2" t="s">
        <v>107</v>
      </c>
    </row>
    <row r="3537" spans="1:4" ht="15" customHeight="1" x14ac:dyDescent="0.25">
      <c r="A3537" s="2" t="str">
        <f>"08900000765"</f>
        <v>08900000765</v>
      </c>
      <c r="B3537" s="2" t="s">
        <v>3539</v>
      </c>
      <c r="C3537" s="2">
        <v>1.86</v>
      </c>
      <c r="D3537" s="2" t="s">
        <v>107</v>
      </c>
    </row>
    <row r="3538" spans="1:4" ht="15" customHeight="1" x14ac:dyDescent="0.25">
      <c r="A3538" s="2" t="str">
        <f>"08900000820"</f>
        <v>08900000820</v>
      </c>
      <c r="B3538" s="2" t="s">
        <v>3540</v>
      </c>
      <c r="C3538" s="2">
        <v>1.77</v>
      </c>
      <c r="D3538" s="2" t="s">
        <v>107</v>
      </c>
    </row>
    <row r="3539" spans="1:4" ht="15" customHeight="1" x14ac:dyDescent="0.25">
      <c r="A3539" s="2" t="str">
        <f>"08900002006"</f>
        <v>08900002006</v>
      </c>
      <c r="B3539" s="2" t="s">
        <v>3541</v>
      </c>
      <c r="C3539" s="2">
        <v>0</v>
      </c>
      <c r="D3539" s="2" t="s">
        <v>5</v>
      </c>
    </row>
    <row r="3540" spans="1:4" ht="15" customHeight="1" x14ac:dyDescent="0.25">
      <c r="A3540" s="2" t="str">
        <f>"08900000740"</f>
        <v>08900000740</v>
      </c>
      <c r="B3540" s="2" t="s">
        <v>3542</v>
      </c>
      <c r="C3540" s="2">
        <v>1.73</v>
      </c>
      <c r="D3540" s="2" t="s">
        <v>107</v>
      </c>
    </row>
    <row r="3541" spans="1:4" ht="15" customHeight="1" x14ac:dyDescent="0.25">
      <c r="A3541" s="2" t="str">
        <f>"08900002004"</f>
        <v>08900002004</v>
      </c>
      <c r="B3541" s="2" t="s">
        <v>3543</v>
      </c>
      <c r="C3541" s="2">
        <v>285.12</v>
      </c>
      <c r="D3541" s="2" t="s">
        <v>5</v>
      </c>
    </row>
    <row r="3542" spans="1:4" ht="15" customHeight="1" x14ac:dyDescent="0.25">
      <c r="A3542" s="2" t="str">
        <f>"08900002007"</f>
        <v>08900002007</v>
      </c>
      <c r="B3542" s="2" t="s">
        <v>3544</v>
      </c>
      <c r="C3542" s="2">
        <v>1068.5999999999999</v>
      </c>
      <c r="D3542" s="2" t="s">
        <v>5</v>
      </c>
    </row>
    <row r="3543" spans="1:4" ht="15" customHeight="1" x14ac:dyDescent="0.25">
      <c r="A3543" s="2" t="str">
        <f>"08900000775"</f>
        <v>08900000775</v>
      </c>
      <c r="B3543" s="2" t="s">
        <v>3545</v>
      </c>
      <c r="C3543" s="2">
        <v>3.17</v>
      </c>
      <c r="D3543" s="2" t="s">
        <v>107</v>
      </c>
    </row>
    <row r="3544" spans="1:4" ht="15" customHeight="1" x14ac:dyDescent="0.25">
      <c r="A3544" s="2" t="str">
        <f>"08900000780"</f>
        <v>08900000780</v>
      </c>
      <c r="B3544" s="2" t="s">
        <v>3546</v>
      </c>
      <c r="C3544" s="2">
        <v>3.53</v>
      </c>
      <c r="D3544" s="2" t="s">
        <v>107</v>
      </c>
    </row>
    <row r="3545" spans="1:4" ht="15" customHeight="1" x14ac:dyDescent="0.25">
      <c r="A3545" s="2" t="str">
        <f>"08900000825"</f>
        <v>08900000825</v>
      </c>
      <c r="B3545" s="2" t="s">
        <v>3547</v>
      </c>
      <c r="C3545" s="2">
        <v>2.0299999999999998</v>
      </c>
      <c r="D3545" s="2" t="s">
        <v>107</v>
      </c>
    </row>
    <row r="3546" spans="1:4" ht="15" customHeight="1" x14ac:dyDescent="0.25">
      <c r="A3546" s="2" t="str">
        <f>"08900000745"</f>
        <v>08900000745</v>
      </c>
      <c r="B3546" s="2" t="s">
        <v>3548</v>
      </c>
      <c r="C3546" s="2">
        <v>2.9</v>
      </c>
      <c r="D3546" s="2" t="s">
        <v>107</v>
      </c>
    </row>
    <row r="3547" spans="1:4" ht="15" customHeight="1" x14ac:dyDescent="0.25">
      <c r="A3547" s="2" t="str">
        <f>"08900000790"</f>
        <v>08900000790</v>
      </c>
      <c r="B3547" s="2" t="s">
        <v>3549</v>
      </c>
      <c r="C3547" s="2">
        <v>6.68</v>
      </c>
      <c r="D3547" s="2" t="s">
        <v>107</v>
      </c>
    </row>
    <row r="3548" spans="1:4" ht="15" customHeight="1" x14ac:dyDescent="0.25">
      <c r="A3548" s="2" t="str">
        <f>"08900000785"</f>
        <v>08900000785</v>
      </c>
      <c r="B3548" s="2" t="s">
        <v>3550</v>
      </c>
      <c r="C3548" s="2">
        <v>6.72</v>
      </c>
      <c r="D3548" s="2" t="s">
        <v>107</v>
      </c>
    </row>
    <row r="3549" spans="1:4" ht="15" customHeight="1" x14ac:dyDescent="0.25">
      <c r="A3549" s="2" t="str">
        <f>"08900000830"</f>
        <v>08900000830</v>
      </c>
      <c r="B3549" s="2" t="s">
        <v>3551</v>
      </c>
      <c r="C3549" s="2">
        <v>4.34</v>
      </c>
      <c r="D3549" s="2" t="s">
        <v>107</v>
      </c>
    </row>
    <row r="3550" spans="1:4" ht="15" customHeight="1" x14ac:dyDescent="0.25">
      <c r="A3550" s="2" t="str">
        <f>"08900000750"</f>
        <v>08900000750</v>
      </c>
      <c r="B3550" s="2" t="s">
        <v>3552</v>
      </c>
      <c r="C3550" s="2">
        <v>4.2300000000000004</v>
      </c>
      <c r="D3550" s="2" t="s">
        <v>107</v>
      </c>
    </row>
    <row r="3551" spans="1:4" ht="15" customHeight="1" x14ac:dyDescent="0.25">
      <c r="A3551" s="2" t="str">
        <f>"08900000795"</f>
        <v>08900000795</v>
      </c>
      <c r="B3551" s="2" t="s">
        <v>3553</v>
      </c>
      <c r="C3551" s="2">
        <v>7.26</v>
      </c>
      <c r="D3551" s="2" t="s">
        <v>107</v>
      </c>
    </row>
    <row r="3552" spans="1:4" ht="15" customHeight="1" x14ac:dyDescent="0.25">
      <c r="A3552" s="2" t="str">
        <f>"08900000835"</f>
        <v>08900000835</v>
      </c>
      <c r="B3552" s="2" t="s">
        <v>3554</v>
      </c>
      <c r="C3552" s="2">
        <v>6.71</v>
      </c>
      <c r="D3552" s="2" t="s">
        <v>107</v>
      </c>
    </row>
    <row r="3553" spans="1:4" ht="15" customHeight="1" x14ac:dyDescent="0.25">
      <c r="A3553" s="2" t="str">
        <f>"08900000755"</f>
        <v>08900000755</v>
      </c>
      <c r="B3553" s="2" t="s">
        <v>3555</v>
      </c>
      <c r="C3553" s="2">
        <v>10.82</v>
      </c>
      <c r="D3553" s="2" t="s">
        <v>107</v>
      </c>
    </row>
    <row r="3554" spans="1:4" ht="15" customHeight="1" x14ac:dyDescent="0.25">
      <c r="A3554" s="2" t="str">
        <f>"08900000610"</f>
        <v>08900000610</v>
      </c>
      <c r="B3554" s="2" t="s">
        <v>3556</v>
      </c>
      <c r="C3554" s="2">
        <v>9.3800000000000008</v>
      </c>
      <c r="D3554" s="2" t="s">
        <v>107</v>
      </c>
    </row>
    <row r="3555" spans="1:4" ht="15" customHeight="1" x14ac:dyDescent="0.25">
      <c r="A3555" s="2" t="str">
        <f>"08900000570"</f>
        <v>08900000570</v>
      </c>
      <c r="B3555" s="2" t="s">
        <v>3557</v>
      </c>
      <c r="C3555" s="2">
        <v>0.14000000000000001</v>
      </c>
      <c r="D3555" s="2" t="s">
        <v>107</v>
      </c>
    </row>
    <row r="3556" spans="1:4" ht="15" customHeight="1" x14ac:dyDescent="0.25">
      <c r="A3556" s="2" t="str">
        <f>"08900000575"</f>
        <v>08900000575</v>
      </c>
      <c r="B3556" s="2" t="s">
        <v>3558</v>
      </c>
      <c r="C3556" s="2">
        <v>0.24</v>
      </c>
      <c r="D3556" s="2" t="s">
        <v>107</v>
      </c>
    </row>
    <row r="3557" spans="1:4" ht="15" customHeight="1" x14ac:dyDescent="0.25">
      <c r="A3557" s="2" t="str">
        <f>"08900000580"</f>
        <v>08900000580</v>
      </c>
      <c r="B3557" s="2" t="s">
        <v>3559</v>
      </c>
      <c r="C3557" s="2">
        <v>0.42</v>
      </c>
      <c r="D3557" s="2" t="s">
        <v>107</v>
      </c>
    </row>
    <row r="3558" spans="1:4" ht="15" customHeight="1" x14ac:dyDescent="0.25">
      <c r="A3558" s="2" t="str">
        <f>"08900000585"</f>
        <v>08900000585</v>
      </c>
      <c r="B3558" s="2" t="s">
        <v>3560</v>
      </c>
      <c r="C3558" s="2">
        <v>0.69</v>
      </c>
      <c r="D3558" s="2" t="s">
        <v>107</v>
      </c>
    </row>
    <row r="3559" spans="1:4" ht="15" customHeight="1" x14ac:dyDescent="0.25">
      <c r="A3559" s="2" t="str">
        <f>"08900000590"</f>
        <v>08900000590</v>
      </c>
      <c r="B3559" s="2" t="s">
        <v>3561</v>
      </c>
      <c r="C3559" s="2">
        <v>1.07</v>
      </c>
      <c r="D3559" s="2" t="s">
        <v>107</v>
      </c>
    </row>
    <row r="3560" spans="1:4" ht="15" customHeight="1" x14ac:dyDescent="0.25">
      <c r="A3560" s="2" t="str">
        <f>"08900000595"</f>
        <v>08900000595</v>
      </c>
      <c r="B3560" s="2" t="s">
        <v>3562</v>
      </c>
      <c r="C3560" s="2">
        <v>2.5099999999999998</v>
      </c>
      <c r="D3560" s="2" t="s">
        <v>107</v>
      </c>
    </row>
    <row r="3561" spans="1:4" ht="15" customHeight="1" x14ac:dyDescent="0.25">
      <c r="A3561" s="2" t="str">
        <f>"08900000600"</f>
        <v>08900000600</v>
      </c>
      <c r="B3561" s="2" t="s">
        <v>3563</v>
      </c>
      <c r="C3561" s="2">
        <v>3</v>
      </c>
      <c r="D3561" s="2" t="s">
        <v>107</v>
      </c>
    </row>
    <row r="3562" spans="1:4" ht="15" customHeight="1" x14ac:dyDescent="0.25">
      <c r="A3562" s="2" t="str">
        <f>"08900000605"</f>
        <v>08900000605</v>
      </c>
      <c r="B3562" s="2" t="s">
        <v>3564</v>
      </c>
      <c r="C3562" s="2">
        <v>5.3</v>
      </c>
      <c r="D3562" s="2" t="s">
        <v>107</v>
      </c>
    </row>
    <row r="3563" spans="1:4" ht="15" customHeight="1" x14ac:dyDescent="0.25">
      <c r="A3563" s="2" t="str">
        <f>"08900000615"</f>
        <v>08900000615</v>
      </c>
      <c r="B3563" s="2" t="s">
        <v>3565</v>
      </c>
      <c r="C3563" s="2">
        <v>0.45</v>
      </c>
      <c r="D3563" s="2" t="s">
        <v>107</v>
      </c>
    </row>
    <row r="3564" spans="1:4" ht="15" customHeight="1" x14ac:dyDescent="0.25">
      <c r="A3564" s="2" t="str">
        <f>"08900000660"</f>
        <v>08900000660</v>
      </c>
      <c r="B3564" s="2" t="s">
        <v>3566</v>
      </c>
      <c r="C3564" s="2">
        <v>0.47</v>
      </c>
      <c r="D3564" s="2" t="s">
        <v>107</v>
      </c>
    </row>
    <row r="3565" spans="1:4" ht="15" customHeight="1" x14ac:dyDescent="0.25">
      <c r="A3565" s="2" t="str">
        <f>"08900000620"</f>
        <v>08900000620</v>
      </c>
      <c r="B3565" s="2" t="s">
        <v>3567</v>
      </c>
      <c r="C3565" s="2">
        <v>0.71</v>
      </c>
      <c r="D3565" s="2" t="s">
        <v>107</v>
      </c>
    </row>
    <row r="3566" spans="1:4" ht="15" customHeight="1" x14ac:dyDescent="0.25">
      <c r="A3566" s="2" t="str">
        <f>"08900000665"</f>
        <v>08900000665</v>
      </c>
      <c r="B3566" s="2" t="s">
        <v>3568</v>
      </c>
      <c r="C3566" s="2">
        <v>0.65</v>
      </c>
      <c r="D3566" s="2" t="s">
        <v>107</v>
      </c>
    </row>
    <row r="3567" spans="1:4" ht="15" customHeight="1" x14ac:dyDescent="0.25">
      <c r="A3567" s="2" t="str">
        <f>"08900000670"</f>
        <v>08900000670</v>
      </c>
      <c r="B3567" s="2" t="s">
        <v>3569</v>
      </c>
      <c r="C3567" s="2">
        <v>0.83</v>
      </c>
      <c r="D3567" s="2" t="s">
        <v>107</v>
      </c>
    </row>
    <row r="3568" spans="1:4" ht="15" customHeight="1" x14ac:dyDescent="0.25">
      <c r="A3568" s="2" t="str">
        <f>"08900000625"</f>
        <v>08900000625</v>
      </c>
      <c r="B3568" s="2" t="s">
        <v>3570</v>
      </c>
      <c r="C3568" s="2">
        <v>1.2</v>
      </c>
      <c r="D3568" s="2" t="s">
        <v>107</v>
      </c>
    </row>
    <row r="3569" spans="1:4" ht="15" customHeight="1" x14ac:dyDescent="0.25">
      <c r="A3569" s="2" t="str">
        <f>"08900000630"</f>
        <v>08900000630</v>
      </c>
      <c r="B3569" s="2" t="s">
        <v>3571</v>
      </c>
      <c r="C3569" s="2">
        <v>2.4300000000000002</v>
      </c>
      <c r="D3569" s="2" t="s">
        <v>107</v>
      </c>
    </row>
    <row r="3570" spans="1:4" ht="15" customHeight="1" x14ac:dyDescent="0.25">
      <c r="A3570" s="2" t="str">
        <f>"08900002008"</f>
        <v>08900002008</v>
      </c>
      <c r="B3570" s="2" t="s">
        <v>3572</v>
      </c>
      <c r="C3570" s="2">
        <v>1161.5999999999999</v>
      </c>
      <c r="D3570" s="2" t="s">
        <v>5</v>
      </c>
    </row>
    <row r="3571" spans="1:4" ht="15" customHeight="1" x14ac:dyDescent="0.25">
      <c r="A3571" s="2" t="str">
        <f>"08900000635"</f>
        <v>08900000635</v>
      </c>
      <c r="B3571" s="2" t="s">
        <v>3573</v>
      </c>
      <c r="C3571" s="2">
        <v>3.59</v>
      </c>
      <c r="D3571" s="2" t="s">
        <v>107</v>
      </c>
    </row>
    <row r="3572" spans="1:4" ht="15" customHeight="1" x14ac:dyDescent="0.25">
      <c r="A3572" s="2" t="str">
        <f>"08900000640"</f>
        <v>08900000640</v>
      </c>
      <c r="B3572" s="2" t="s">
        <v>3574</v>
      </c>
      <c r="C3572" s="2">
        <v>5.6</v>
      </c>
      <c r="D3572" s="2" t="s">
        <v>107</v>
      </c>
    </row>
    <row r="3573" spans="1:4" ht="15" customHeight="1" x14ac:dyDescent="0.25">
      <c r="A3573" s="2" t="str">
        <f>"08900000645"</f>
        <v>08900000645</v>
      </c>
      <c r="B3573" s="2" t="s">
        <v>3575</v>
      </c>
      <c r="C3573" s="2">
        <v>10.23</v>
      </c>
      <c r="D3573" s="2" t="s">
        <v>107</v>
      </c>
    </row>
    <row r="3574" spans="1:4" ht="15" customHeight="1" x14ac:dyDescent="0.25">
      <c r="A3574" s="2" t="str">
        <f>"08900000650"</f>
        <v>08900000650</v>
      </c>
      <c r="B3574" s="2" t="s">
        <v>3576</v>
      </c>
      <c r="C3574" s="2">
        <v>12.45</v>
      </c>
      <c r="D3574" s="2" t="s">
        <v>107</v>
      </c>
    </row>
    <row r="3575" spans="1:4" ht="15" customHeight="1" x14ac:dyDescent="0.25">
      <c r="A3575" s="2" t="str">
        <f>"08900000275"</f>
        <v>08900000275</v>
      </c>
      <c r="B3575" s="2" t="s">
        <v>3577</v>
      </c>
      <c r="C3575" s="2">
        <v>95.16</v>
      </c>
      <c r="D3575" s="2" t="s">
        <v>107</v>
      </c>
    </row>
    <row r="3576" spans="1:4" ht="15" customHeight="1" x14ac:dyDescent="0.25">
      <c r="A3576" s="2" t="str">
        <f>"08900000175"</f>
        <v>08900000175</v>
      </c>
      <c r="B3576" s="2" t="s">
        <v>3578</v>
      </c>
      <c r="C3576" s="2">
        <v>43.64</v>
      </c>
      <c r="D3576" s="2" t="s">
        <v>107</v>
      </c>
    </row>
    <row r="3577" spans="1:4" ht="15" customHeight="1" x14ac:dyDescent="0.25">
      <c r="A3577" s="2" t="str">
        <f>"08900000225"</f>
        <v>08900000225</v>
      </c>
      <c r="B3577" s="2" t="s">
        <v>3579</v>
      </c>
      <c r="C3577" s="2">
        <v>59.73</v>
      </c>
      <c r="D3577" s="2" t="s">
        <v>107</v>
      </c>
    </row>
    <row r="3578" spans="1:4" ht="15" customHeight="1" x14ac:dyDescent="0.25">
      <c r="A3578" s="2" t="str">
        <f>"08900000280"</f>
        <v>08900000280</v>
      </c>
      <c r="B3578" s="2" t="s">
        <v>3580</v>
      </c>
      <c r="C3578" s="2">
        <v>137.78</v>
      </c>
      <c r="D3578" s="2" t="s">
        <v>107</v>
      </c>
    </row>
    <row r="3579" spans="1:4" ht="15" customHeight="1" x14ac:dyDescent="0.25">
      <c r="A3579" s="2" t="str">
        <f>"08900000180"</f>
        <v>08900000180</v>
      </c>
      <c r="B3579" s="2" t="s">
        <v>3581</v>
      </c>
      <c r="C3579" s="2">
        <v>61.23</v>
      </c>
      <c r="D3579" s="2" t="s">
        <v>107</v>
      </c>
    </row>
    <row r="3580" spans="1:4" ht="15" customHeight="1" x14ac:dyDescent="0.25">
      <c r="A3580" s="2" t="str">
        <f>"08900000230"</f>
        <v>08900000230</v>
      </c>
      <c r="B3580" s="2" t="s">
        <v>3582</v>
      </c>
      <c r="C3580" s="2">
        <v>81.06</v>
      </c>
      <c r="D3580" s="2" t="s">
        <v>107</v>
      </c>
    </row>
    <row r="3581" spans="1:4" ht="15" customHeight="1" x14ac:dyDescent="0.25">
      <c r="A3581" s="2" t="str">
        <f>"08900000285"</f>
        <v>08900000285</v>
      </c>
      <c r="B3581" s="2" t="s">
        <v>3583</v>
      </c>
      <c r="C3581" s="2">
        <v>167.15</v>
      </c>
      <c r="D3581" s="2" t="s">
        <v>107</v>
      </c>
    </row>
    <row r="3582" spans="1:4" ht="15" customHeight="1" x14ac:dyDescent="0.25">
      <c r="A3582" s="2" t="str">
        <f>"08900000185"</f>
        <v>08900000185</v>
      </c>
      <c r="B3582" s="2" t="s">
        <v>3584</v>
      </c>
      <c r="C3582" s="2">
        <v>73.11</v>
      </c>
      <c r="D3582" s="2" t="s">
        <v>107</v>
      </c>
    </row>
    <row r="3583" spans="1:4" ht="15" customHeight="1" x14ac:dyDescent="0.25">
      <c r="A3583" s="2" t="str">
        <f>"08900000235"</f>
        <v>08900000235</v>
      </c>
      <c r="B3583" s="2" t="s">
        <v>3585</v>
      </c>
      <c r="C3583" s="2">
        <v>96.51</v>
      </c>
      <c r="D3583" s="2" t="s">
        <v>107</v>
      </c>
    </row>
    <row r="3584" spans="1:4" ht="15" customHeight="1" x14ac:dyDescent="0.25">
      <c r="A3584" s="2" t="str">
        <f>"08900000290"</f>
        <v>08900000290</v>
      </c>
      <c r="B3584" s="2" t="s">
        <v>3586</v>
      </c>
      <c r="C3584" s="2">
        <v>214.43</v>
      </c>
      <c r="D3584" s="2" t="s">
        <v>107</v>
      </c>
    </row>
    <row r="3585" spans="1:4" ht="15" customHeight="1" x14ac:dyDescent="0.25">
      <c r="A3585" s="2" t="str">
        <f>"08900000190"</f>
        <v>08900000190</v>
      </c>
      <c r="B3585" s="2" t="s">
        <v>3587</v>
      </c>
      <c r="C3585" s="2">
        <v>93.66</v>
      </c>
      <c r="D3585" s="2" t="s">
        <v>107</v>
      </c>
    </row>
    <row r="3586" spans="1:4" ht="15" customHeight="1" x14ac:dyDescent="0.25">
      <c r="A3586" s="2" t="str">
        <f>"08900000240"</f>
        <v>08900000240</v>
      </c>
      <c r="B3586" s="2" t="s">
        <v>3588</v>
      </c>
      <c r="C3586" s="2">
        <v>122.79</v>
      </c>
      <c r="D3586" s="2" t="s">
        <v>107</v>
      </c>
    </row>
    <row r="3587" spans="1:4" ht="15" customHeight="1" x14ac:dyDescent="0.25">
      <c r="A3587" s="2" t="str">
        <f>"08900000295"</f>
        <v>08900000295</v>
      </c>
      <c r="B3587" s="2" t="s">
        <v>3589</v>
      </c>
      <c r="C3587" s="2">
        <v>332.7</v>
      </c>
      <c r="D3587" s="2" t="s">
        <v>107</v>
      </c>
    </row>
    <row r="3588" spans="1:4" ht="15" customHeight="1" x14ac:dyDescent="0.25">
      <c r="A3588" s="2" t="str">
        <f>"08900000195"</f>
        <v>08900000195</v>
      </c>
      <c r="B3588" s="2" t="s">
        <v>3590</v>
      </c>
      <c r="C3588" s="2">
        <v>144.32</v>
      </c>
      <c r="D3588" s="2" t="s">
        <v>107</v>
      </c>
    </row>
    <row r="3589" spans="1:4" ht="15" customHeight="1" x14ac:dyDescent="0.25">
      <c r="A3589" s="2" t="str">
        <f>"08900000245"</f>
        <v>08900000245</v>
      </c>
      <c r="B3589" s="2" t="s">
        <v>3591</v>
      </c>
      <c r="C3589" s="2">
        <v>187.71</v>
      </c>
      <c r="D3589" s="2" t="s">
        <v>107</v>
      </c>
    </row>
    <row r="3590" spans="1:4" ht="15" customHeight="1" x14ac:dyDescent="0.25">
      <c r="A3590" s="2" t="str">
        <f>"08900000300"</f>
        <v>08900000300</v>
      </c>
      <c r="B3590" s="2" t="s">
        <v>3592</v>
      </c>
      <c r="C3590" s="2">
        <v>421.64</v>
      </c>
      <c r="D3590" s="2" t="s">
        <v>107</v>
      </c>
    </row>
    <row r="3591" spans="1:4" ht="15" customHeight="1" x14ac:dyDescent="0.25">
      <c r="A3591" s="2" t="str">
        <f>"08900000250"</f>
        <v>08900000250</v>
      </c>
      <c r="B3591" s="2" t="s">
        <v>3593</v>
      </c>
      <c r="C3591" s="2">
        <v>231.89</v>
      </c>
      <c r="D3591" s="2" t="s">
        <v>107</v>
      </c>
    </row>
    <row r="3592" spans="1:4" ht="15" customHeight="1" x14ac:dyDescent="0.25">
      <c r="A3592" s="2" t="str">
        <f>"08900000305"</f>
        <v>08900000305</v>
      </c>
      <c r="B3592" s="2" t="s">
        <v>3594</v>
      </c>
      <c r="C3592" s="2">
        <v>518.58000000000004</v>
      </c>
      <c r="D3592" s="2" t="s">
        <v>107</v>
      </c>
    </row>
    <row r="3593" spans="1:4" ht="15" customHeight="1" x14ac:dyDescent="0.25">
      <c r="A3593" s="2" t="str">
        <f>"08900000200"</f>
        <v>08900000200</v>
      </c>
      <c r="B3593" s="2" t="s">
        <v>3595</v>
      </c>
      <c r="C3593" s="2">
        <v>227.94</v>
      </c>
      <c r="D3593" s="2" t="s">
        <v>107</v>
      </c>
    </row>
    <row r="3594" spans="1:4" ht="15" customHeight="1" x14ac:dyDescent="0.25">
      <c r="A3594" s="2" t="str">
        <f>"08900000255"</f>
        <v>08900000255</v>
      </c>
      <c r="B3594" s="2" t="s">
        <v>3596</v>
      </c>
      <c r="C3594" s="2">
        <v>297.33</v>
      </c>
      <c r="D3594" s="2" t="s">
        <v>107</v>
      </c>
    </row>
    <row r="3595" spans="1:4" ht="15" customHeight="1" x14ac:dyDescent="0.25">
      <c r="A3595" s="2" t="str">
        <f>"08900000310"</f>
        <v>08900000310</v>
      </c>
      <c r="B3595" s="2" t="s">
        <v>3597</v>
      </c>
      <c r="C3595" s="2">
        <v>825.68</v>
      </c>
      <c r="D3595" s="2" t="s">
        <v>107</v>
      </c>
    </row>
    <row r="3596" spans="1:4" ht="15" customHeight="1" x14ac:dyDescent="0.25">
      <c r="A3596" s="2" t="str">
        <f>"08900000205"</f>
        <v>08900000205</v>
      </c>
      <c r="B3596" s="2" t="s">
        <v>3598</v>
      </c>
      <c r="C3596" s="2">
        <v>357.87</v>
      </c>
      <c r="D3596" s="2" t="s">
        <v>107</v>
      </c>
    </row>
    <row r="3597" spans="1:4" ht="15" customHeight="1" x14ac:dyDescent="0.25">
      <c r="A3597" s="2" t="str">
        <f>"08900000260"</f>
        <v>08900000260</v>
      </c>
      <c r="B3597" s="2" t="s">
        <v>3599</v>
      </c>
      <c r="C3597" s="2">
        <v>461.79</v>
      </c>
      <c r="D3597" s="2" t="s">
        <v>107</v>
      </c>
    </row>
    <row r="3598" spans="1:4" ht="15" customHeight="1" x14ac:dyDescent="0.25">
      <c r="A3598" s="2" t="str">
        <f>"08900000315"</f>
        <v>08900000315</v>
      </c>
      <c r="B3598" s="2" t="s">
        <v>3600</v>
      </c>
      <c r="C3598" s="2">
        <v>1056.3</v>
      </c>
      <c r="D3598" s="2" t="s">
        <v>107</v>
      </c>
    </row>
    <row r="3599" spans="1:4" ht="15" customHeight="1" x14ac:dyDescent="0.25">
      <c r="A3599" s="2" t="str">
        <f>"08900000210"</f>
        <v>08900000210</v>
      </c>
      <c r="B3599" s="2" t="s">
        <v>3601</v>
      </c>
      <c r="C3599" s="2">
        <v>436.4</v>
      </c>
      <c r="D3599" s="2" t="s">
        <v>107</v>
      </c>
    </row>
    <row r="3600" spans="1:4" ht="15" customHeight="1" x14ac:dyDescent="0.25">
      <c r="A3600" s="2" t="str">
        <f>"08900000265"</f>
        <v>08900000265</v>
      </c>
      <c r="B3600" s="2" t="s">
        <v>3602</v>
      </c>
      <c r="C3600" s="2">
        <v>589.52</v>
      </c>
      <c r="D3600" s="2" t="s">
        <v>107</v>
      </c>
    </row>
    <row r="3601" spans="1:4" ht="15" customHeight="1" x14ac:dyDescent="0.25">
      <c r="A3601" s="2" t="str">
        <f>"08900000320"</f>
        <v>08900000320</v>
      </c>
      <c r="B3601" s="2" t="s">
        <v>3603</v>
      </c>
      <c r="C3601" s="2">
        <v>1376.34</v>
      </c>
      <c r="D3601" s="2" t="s">
        <v>107</v>
      </c>
    </row>
    <row r="3602" spans="1:4" ht="15" customHeight="1" x14ac:dyDescent="0.25">
      <c r="A3602" s="2" t="str">
        <f>"08900000215"</f>
        <v>08900000215</v>
      </c>
      <c r="B3602" s="2" t="s">
        <v>3604</v>
      </c>
      <c r="C3602" s="2">
        <v>572.99</v>
      </c>
      <c r="D3602" s="2" t="s">
        <v>107</v>
      </c>
    </row>
    <row r="3603" spans="1:4" ht="15" customHeight="1" x14ac:dyDescent="0.25">
      <c r="A3603" s="2" t="str">
        <f>"08900000270"</f>
        <v>08900000270</v>
      </c>
      <c r="B3603" s="2" t="s">
        <v>3605</v>
      </c>
      <c r="C3603" s="2">
        <v>746.79</v>
      </c>
      <c r="D3603" s="2" t="s">
        <v>107</v>
      </c>
    </row>
    <row r="3604" spans="1:4" ht="15" customHeight="1" x14ac:dyDescent="0.25">
      <c r="A3604" s="2" t="str">
        <f>"08900000220"</f>
        <v>08900000220</v>
      </c>
      <c r="B3604" s="2" t="s">
        <v>3606</v>
      </c>
      <c r="C3604" s="2">
        <v>899.16</v>
      </c>
      <c r="D3604" s="2" t="s">
        <v>107</v>
      </c>
    </row>
    <row r="3605" spans="1:4" ht="15" customHeight="1" x14ac:dyDescent="0.25">
      <c r="A3605" s="2" t="str">
        <f>"08900000130"</f>
        <v>08900000130</v>
      </c>
      <c r="B3605" s="2" t="s">
        <v>3607</v>
      </c>
      <c r="C3605" s="2">
        <v>94.71</v>
      </c>
      <c r="D3605" s="2" t="s">
        <v>107</v>
      </c>
    </row>
    <row r="3606" spans="1:4" ht="15" customHeight="1" x14ac:dyDescent="0.25">
      <c r="A3606" s="2" t="str">
        <f>"08900000020"</f>
        <v>08900000020</v>
      </c>
      <c r="B3606" s="2" t="s">
        <v>3608</v>
      </c>
      <c r="C3606" s="2">
        <v>41.24</v>
      </c>
      <c r="D3606" s="2" t="s">
        <v>107</v>
      </c>
    </row>
    <row r="3607" spans="1:4" ht="15" customHeight="1" x14ac:dyDescent="0.25">
      <c r="A3607" s="2" t="str">
        <f>"08900000070"</f>
        <v>08900000070</v>
      </c>
      <c r="B3607" s="2" t="s">
        <v>3609</v>
      </c>
      <c r="C3607" s="2">
        <v>58.38</v>
      </c>
      <c r="D3607" s="2" t="s">
        <v>107</v>
      </c>
    </row>
    <row r="3608" spans="1:4" ht="15" customHeight="1" x14ac:dyDescent="0.25">
      <c r="A3608" s="2" t="str">
        <f>"08900000135"</f>
        <v>08900000135</v>
      </c>
      <c r="B3608" s="2" t="s">
        <v>3610</v>
      </c>
      <c r="C3608" s="2">
        <v>137.78</v>
      </c>
      <c r="D3608" s="2" t="s">
        <v>107</v>
      </c>
    </row>
    <row r="3609" spans="1:4" ht="15" customHeight="1" x14ac:dyDescent="0.25">
      <c r="A3609" s="2" t="str">
        <f>"08900000025"</f>
        <v>08900000025</v>
      </c>
      <c r="B3609" s="2" t="s">
        <v>3611</v>
      </c>
      <c r="C3609" s="2">
        <v>58.59</v>
      </c>
      <c r="D3609" s="2" t="s">
        <v>107</v>
      </c>
    </row>
    <row r="3610" spans="1:4" ht="15" customHeight="1" x14ac:dyDescent="0.25">
      <c r="A3610" s="2" t="str">
        <f>"08900000075"</f>
        <v>08900000075</v>
      </c>
      <c r="B3610" s="2" t="s">
        <v>3612</v>
      </c>
      <c r="C3610" s="2">
        <v>81.05</v>
      </c>
      <c r="D3610" s="2" t="s">
        <v>107</v>
      </c>
    </row>
    <row r="3611" spans="1:4" ht="15" customHeight="1" x14ac:dyDescent="0.25">
      <c r="A3611" s="2" t="str">
        <f>"08900000140"</f>
        <v>08900000140</v>
      </c>
      <c r="B3611" s="2" t="s">
        <v>3613</v>
      </c>
      <c r="C3611" s="2">
        <v>166.29</v>
      </c>
      <c r="D3611" s="2" t="s">
        <v>107</v>
      </c>
    </row>
    <row r="3612" spans="1:4" ht="15" customHeight="1" x14ac:dyDescent="0.25">
      <c r="A3612" s="2" t="str">
        <f>"08900000030"</f>
        <v>08900000030</v>
      </c>
      <c r="B3612" s="2" t="s">
        <v>3614</v>
      </c>
      <c r="C3612" s="2">
        <v>71.16</v>
      </c>
      <c r="D3612" s="2" t="s">
        <v>107</v>
      </c>
    </row>
    <row r="3613" spans="1:4" ht="15" customHeight="1" x14ac:dyDescent="0.25">
      <c r="A3613" s="2" t="str">
        <f>"08900000080"</f>
        <v>08900000080</v>
      </c>
      <c r="B3613" s="2" t="s">
        <v>3615</v>
      </c>
      <c r="C3613" s="2">
        <v>95.72</v>
      </c>
      <c r="D3613" s="2" t="s">
        <v>107</v>
      </c>
    </row>
    <row r="3614" spans="1:4" ht="15" customHeight="1" x14ac:dyDescent="0.25">
      <c r="A3614" s="2" t="str">
        <f>"08900000145"</f>
        <v>08900000145</v>
      </c>
      <c r="B3614" s="2" t="s">
        <v>3616</v>
      </c>
      <c r="C3614" s="2">
        <v>213.5</v>
      </c>
      <c r="D3614" s="2" t="s">
        <v>107</v>
      </c>
    </row>
    <row r="3615" spans="1:4" ht="15" customHeight="1" x14ac:dyDescent="0.25">
      <c r="A3615" s="2" t="str">
        <f>"08900000035"</f>
        <v>08900000035</v>
      </c>
      <c r="B3615" s="2" t="s">
        <v>3617</v>
      </c>
      <c r="C3615" s="2">
        <v>92.7</v>
      </c>
      <c r="D3615" s="2" t="s">
        <v>107</v>
      </c>
    </row>
    <row r="3616" spans="1:4" ht="15" customHeight="1" x14ac:dyDescent="0.25">
      <c r="A3616" s="2" t="str">
        <f>"08900000085"</f>
        <v>08900000085</v>
      </c>
      <c r="B3616" s="2" t="s">
        <v>3618</v>
      </c>
      <c r="C3616" s="2">
        <v>123.8</v>
      </c>
      <c r="D3616" s="2" t="s">
        <v>107</v>
      </c>
    </row>
    <row r="3617" spans="1:4" ht="15" customHeight="1" x14ac:dyDescent="0.25">
      <c r="A3617" s="2" t="str">
        <f>"08900000150"</f>
        <v>08900000150</v>
      </c>
      <c r="B3617" s="2" t="s">
        <v>3619</v>
      </c>
      <c r="C3617" s="2">
        <v>331.1</v>
      </c>
      <c r="D3617" s="2" t="s">
        <v>107</v>
      </c>
    </row>
    <row r="3618" spans="1:4" ht="15" customHeight="1" x14ac:dyDescent="0.25">
      <c r="A3618" s="2" t="str">
        <f>"08900000040"</f>
        <v>08900000040</v>
      </c>
      <c r="B3618" s="2" t="s">
        <v>3620</v>
      </c>
      <c r="C3618" s="2">
        <v>142.74</v>
      </c>
      <c r="D3618" s="2" t="s">
        <v>107</v>
      </c>
    </row>
    <row r="3619" spans="1:4" ht="15" customHeight="1" x14ac:dyDescent="0.25">
      <c r="A3619" s="2" t="str">
        <f>"08900000090"</f>
        <v>08900000090</v>
      </c>
      <c r="B3619" s="2" t="s">
        <v>3621</v>
      </c>
      <c r="C3619" s="2">
        <v>189</v>
      </c>
      <c r="D3619" s="2" t="s">
        <v>107</v>
      </c>
    </row>
    <row r="3620" spans="1:4" ht="15" customHeight="1" x14ac:dyDescent="0.25">
      <c r="A3620" s="2" t="str">
        <f>"08900000095"</f>
        <v>08900000095</v>
      </c>
      <c r="B3620" s="2" t="s">
        <v>3622</v>
      </c>
      <c r="C3620" s="2">
        <v>7.73</v>
      </c>
      <c r="D3620" s="2" t="s">
        <v>107</v>
      </c>
    </row>
    <row r="3621" spans="1:4" ht="15" customHeight="1" x14ac:dyDescent="0.25">
      <c r="A3621" s="2" t="str">
        <f>"08900000155"</f>
        <v>08900000155</v>
      </c>
      <c r="B3621" s="2" t="s">
        <v>3623</v>
      </c>
      <c r="C3621" s="2">
        <v>539.69000000000005</v>
      </c>
      <c r="D3621" s="2" t="s">
        <v>107</v>
      </c>
    </row>
    <row r="3622" spans="1:4" ht="15" customHeight="1" x14ac:dyDescent="0.25">
      <c r="A3622" s="2" t="str">
        <f>"08900000160"</f>
        <v>08900000160</v>
      </c>
      <c r="B3622" s="2" t="s">
        <v>3624</v>
      </c>
      <c r="C3622" s="2">
        <v>859.83</v>
      </c>
      <c r="D3622" s="2" t="s">
        <v>107</v>
      </c>
    </row>
    <row r="3623" spans="1:4" ht="15" customHeight="1" x14ac:dyDescent="0.25">
      <c r="A3623" s="2" t="str">
        <f>"08900000100"</f>
        <v>08900000100</v>
      </c>
      <c r="B3623" s="2" t="s">
        <v>3625</v>
      </c>
      <c r="C3623" s="2">
        <v>10.59</v>
      </c>
      <c r="D3623" s="2" t="s">
        <v>107</v>
      </c>
    </row>
    <row r="3624" spans="1:4" ht="15" customHeight="1" x14ac:dyDescent="0.25">
      <c r="A3624" s="2" t="str">
        <f>"08900000165"</f>
        <v>08900000165</v>
      </c>
      <c r="B3624" s="2" t="s">
        <v>3626</v>
      </c>
      <c r="C3624" s="2">
        <v>1097.43</v>
      </c>
      <c r="D3624" s="2" t="s">
        <v>107</v>
      </c>
    </row>
    <row r="3625" spans="1:4" ht="15" customHeight="1" x14ac:dyDescent="0.25">
      <c r="A3625" s="2" t="str">
        <f>"08900000105"</f>
        <v>08900000105</v>
      </c>
      <c r="B3625" s="2" t="s">
        <v>3627</v>
      </c>
      <c r="C3625" s="2">
        <v>12.98</v>
      </c>
      <c r="D3625" s="2" t="s">
        <v>107</v>
      </c>
    </row>
    <row r="3626" spans="1:4" ht="15" customHeight="1" x14ac:dyDescent="0.25">
      <c r="A3626" s="2" t="str">
        <f>"08900000045"</f>
        <v>08900000045</v>
      </c>
      <c r="B3626" s="2" t="s">
        <v>3628</v>
      </c>
      <c r="C3626" s="2">
        <v>10.19</v>
      </c>
      <c r="D3626" s="2" t="s">
        <v>107</v>
      </c>
    </row>
    <row r="3627" spans="1:4" ht="15" customHeight="1" x14ac:dyDescent="0.25">
      <c r="A3627" s="2" t="str">
        <f>"08900000170"</f>
        <v>08900000170</v>
      </c>
      <c r="B3627" s="2" t="s">
        <v>3629</v>
      </c>
      <c r="C3627" s="2">
        <v>1430.28</v>
      </c>
      <c r="D3627" s="2" t="s">
        <v>107</v>
      </c>
    </row>
    <row r="3628" spans="1:4" ht="15" customHeight="1" x14ac:dyDescent="0.25">
      <c r="A3628" s="2" t="str">
        <f>"08900000110"</f>
        <v>08900000110</v>
      </c>
      <c r="B3628" s="2" t="s">
        <v>3630</v>
      </c>
      <c r="C3628" s="2">
        <v>19.98</v>
      </c>
      <c r="D3628" s="2" t="s">
        <v>107</v>
      </c>
    </row>
    <row r="3629" spans="1:4" ht="15" customHeight="1" x14ac:dyDescent="0.25">
      <c r="A3629" s="2" t="str">
        <f>"08900000000"</f>
        <v>08900000000</v>
      </c>
      <c r="B3629" s="2" t="s">
        <v>3631</v>
      </c>
      <c r="C3629" s="2">
        <v>12.83</v>
      </c>
      <c r="D3629" s="2" t="s">
        <v>107</v>
      </c>
    </row>
    <row r="3630" spans="1:4" ht="15" customHeight="1" x14ac:dyDescent="0.25">
      <c r="A3630" s="2" t="str">
        <f>"08900000050"</f>
        <v>08900000050</v>
      </c>
      <c r="B3630" s="2" t="s">
        <v>3632</v>
      </c>
      <c r="C3630" s="2">
        <v>15.18</v>
      </c>
      <c r="D3630" s="2" t="s">
        <v>107</v>
      </c>
    </row>
    <row r="3631" spans="1:4" ht="15" customHeight="1" x14ac:dyDescent="0.25">
      <c r="A3631" s="2" t="str">
        <f>"08900000115"</f>
        <v>08900000115</v>
      </c>
      <c r="B3631" s="2" t="s">
        <v>3633</v>
      </c>
      <c r="C3631" s="2">
        <v>31.22</v>
      </c>
      <c r="D3631" s="2" t="s">
        <v>107</v>
      </c>
    </row>
    <row r="3632" spans="1:4" ht="15" customHeight="1" x14ac:dyDescent="0.25">
      <c r="A3632" s="2" t="str">
        <f>"08900000005"</f>
        <v>08900000005</v>
      </c>
      <c r="B3632" s="2" t="s">
        <v>3634</v>
      </c>
      <c r="C3632" s="2">
        <v>16.25</v>
      </c>
      <c r="D3632" s="2" t="s">
        <v>107</v>
      </c>
    </row>
    <row r="3633" spans="1:4" ht="15" customHeight="1" x14ac:dyDescent="0.25">
      <c r="A3633" s="2" t="str">
        <f>"08900000055"</f>
        <v>08900000055</v>
      </c>
      <c r="B3633" s="2" t="s">
        <v>3635</v>
      </c>
      <c r="C3633" s="2">
        <v>20.37</v>
      </c>
      <c r="D3633" s="2" t="s">
        <v>107</v>
      </c>
    </row>
    <row r="3634" spans="1:4" ht="15" customHeight="1" x14ac:dyDescent="0.25">
      <c r="A3634" s="2" t="str">
        <f>"08900000120"</f>
        <v>08900000120</v>
      </c>
      <c r="B3634" s="2" t="s">
        <v>3636</v>
      </c>
      <c r="C3634" s="2">
        <v>43.7</v>
      </c>
      <c r="D3634" s="2" t="s">
        <v>107</v>
      </c>
    </row>
    <row r="3635" spans="1:4" ht="15" customHeight="1" x14ac:dyDescent="0.25">
      <c r="A3635" s="2" t="str">
        <f>"08900000010"</f>
        <v>08900000010</v>
      </c>
      <c r="B3635" s="2" t="s">
        <v>3637</v>
      </c>
      <c r="C3635" s="2">
        <v>20.72</v>
      </c>
      <c r="D3635" s="2" t="s">
        <v>107</v>
      </c>
    </row>
    <row r="3636" spans="1:4" ht="15" customHeight="1" x14ac:dyDescent="0.25">
      <c r="A3636" s="2" t="str">
        <f>"08900000060"</f>
        <v>08900000060</v>
      </c>
      <c r="B3636" s="2" t="s">
        <v>3638</v>
      </c>
      <c r="C3636" s="2">
        <v>27.87</v>
      </c>
      <c r="D3636" s="2" t="s">
        <v>107</v>
      </c>
    </row>
    <row r="3637" spans="1:4" ht="15" customHeight="1" x14ac:dyDescent="0.25">
      <c r="A3637" s="2" t="str">
        <f>"08900000125"</f>
        <v>08900000125</v>
      </c>
      <c r="B3637" s="2" t="s">
        <v>3639</v>
      </c>
      <c r="C3637" s="2">
        <v>64.56</v>
      </c>
      <c r="D3637" s="2" t="s">
        <v>107</v>
      </c>
    </row>
    <row r="3638" spans="1:4" ht="15" customHeight="1" x14ac:dyDescent="0.25">
      <c r="A3638" s="2" t="str">
        <f>"08900000015"</f>
        <v>08900000015</v>
      </c>
      <c r="B3638" s="2" t="s">
        <v>3640</v>
      </c>
      <c r="C3638" s="2">
        <v>27.32</v>
      </c>
      <c r="D3638" s="2" t="s">
        <v>107</v>
      </c>
    </row>
    <row r="3639" spans="1:4" ht="15" customHeight="1" x14ac:dyDescent="0.25">
      <c r="A3639" s="2" t="str">
        <f>"08900000065"</f>
        <v>08900000065</v>
      </c>
      <c r="B3639" s="2" t="s">
        <v>3641</v>
      </c>
      <c r="C3639" s="2">
        <v>39.83</v>
      </c>
      <c r="D3639" s="2" t="s">
        <v>107</v>
      </c>
    </row>
    <row r="3640" spans="1:4" ht="15" customHeight="1" x14ac:dyDescent="0.25">
      <c r="A3640" s="2" t="str">
        <f>"08900000675"</f>
        <v>08900000675</v>
      </c>
      <c r="B3640" s="2" t="s">
        <v>3642</v>
      </c>
      <c r="C3640" s="2">
        <v>1.44</v>
      </c>
      <c r="D3640" s="2" t="s">
        <v>107</v>
      </c>
    </row>
    <row r="3641" spans="1:4" ht="15" customHeight="1" x14ac:dyDescent="0.25">
      <c r="A3641" s="2" t="str">
        <f>"08900000680"</f>
        <v>08900000680</v>
      </c>
      <c r="B3641" s="2" t="s">
        <v>3643</v>
      </c>
      <c r="C3641" s="2">
        <v>1.97</v>
      </c>
      <c r="D3641" s="2" t="s">
        <v>107</v>
      </c>
    </row>
    <row r="3642" spans="1:4" ht="15" customHeight="1" x14ac:dyDescent="0.25">
      <c r="A3642" s="2" t="str">
        <f>"08900000685"</f>
        <v>08900000685</v>
      </c>
      <c r="B3642" s="2" t="s">
        <v>3644</v>
      </c>
      <c r="C3642" s="2">
        <v>3.2</v>
      </c>
      <c r="D3642" s="2" t="s">
        <v>107</v>
      </c>
    </row>
    <row r="3643" spans="1:4" ht="15" customHeight="1" x14ac:dyDescent="0.25">
      <c r="A3643" s="2" t="str">
        <f>"08900000690"</f>
        <v>08900000690</v>
      </c>
      <c r="B3643" s="2" t="s">
        <v>3645</v>
      </c>
      <c r="C3643" s="2">
        <v>5.46</v>
      </c>
      <c r="D3643" s="2" t="s">
        <v>107</v>
      </c>
    </row>
    <row r="3644" spans="1:4" ht="15" customHeight="1" x14ac:dyDescent="0.25">
      <c r="A3644" s="2" t="str">
        <f>"08900000695"</f>
        <v>08900000695</v>
      </c>
      <c r="B3644" s="2" t="s">
        <v>3646</v>
      </c>
      <c r="C3644" s="2">
        <v>6.24</v>
      </c>
      <c r="D3644" s="2" t="s">
        <v>107</v>
      </c>
    </row>
    <row r="3645" spans="1:4" ht="15" customHeight="1" x14ac:dyDescent="0.25">
      <c r="A3645" s="2" t="str">
        <f>"08900000700"</f>
        <v>08900000700</v>
      </c>
      <c r="B3645" s="2" t="s">
        <v>3647</v>
      </c>
      <c r="C3645" s="2">
        <v>11.04</v>
      </c>
      <c r="D3645" s="2" t="s">
        <v>107</v>
      </c>
    </row>
    <row r="3646" spans="1:4" ht="15" customHeight="1" x14ac:dyDescent="0.25">
      <c r="A3646" s="2" t="str">
        <f>"08900000705"</f>
        <v>08900000705</v>
      </c>
      <c r="B3646" s="2" t="s">
        <v>3648</v>
      </c>
      <c r="C3646" s="2">
        <v>20.3</v>
      </c>
      <c r="D3646" s="2" t="s">
        <v>107</v>
      </c>
    </row>
    <row r="3647" spans="1:4" ht="15" customHeight="1" x14ac:dyDescent="0.25">
      <c r="A3647" s="2" t="str">
        <f>"08900000710"</f>
        <v>08900000710</v>
      </c>
      <c r="B3647" s="2" t="s">
        <v>3649</v>
      </c>
      <c r="C3647" s="2">
        <v>30.86</v>
      </c>
      <c r="D3647" s="2" t="s">
        <v>107</v>
      </c>
    </row>
    <row r="3648" spans="1:4" ht="15" customHeight="1" x14ac:dyDescent="0.25">
      <c r="A3648" s="2" t="str">
        <f>"08900000715"</f>
        <v>08900000715</v>
      </c>
      <c r="B3648" s="2" t="s">
        <v>3650</v>
      </c>
      <c r="C3648" s="2">
        <v>49.65</v>
      </c>
      <c r="D3648" s="2" t="s">
        <v>107</v>
      </c>
    </row>
    <row r="3649" spans="1:4" ht="15" customHeight="1" x14ac:dyDescent="0.25">
      <c r="A3649" s="2" t="str">
        <f>"08900000855"</f>
        <v>08900000855</v>
      </c>
      <c r="B3649" s="2" t="s">
        <v>3651</v>
      </c>
      <c r="C3649" s="2">
        <v>8.1199999999999992</v>
      </c>
      <c r="D3649" s="2" t="s">
        <v>107</v>
      </c>
    </row>
    <row r="3650" spans="1:4" ht="15" customHeight="1" x14ac:dyDescent="0.25">
      <c r="A3650" s="2" t="str">
        <f>"08900000865"</f>
        <v>08900000865</v>
      </c>
      <c r="B3650" s="2" t="s">
        <v>3652</v>
      </c>
      <c r="C3650" s="2">
        <v>16.23</v>
      </c>
      <c r="D3650" s="2" t="s">
        <v>107</v>
      </c>
    </row>
    <row r="3651" spans="1:4" ht="15" customHeight="1" x14ac:dyDescent="0.25">
      <c r="A3651" s="2" t="str">
        <f>"08900000860"</f>
        <v>08900000860</v>
      </c>
      <c r="B3651" s="2" t="s">
        <v>3653</v>
      </c>
      <c r="C3651" s="2">
        <v>10.83</v>
      </c>
      <c r="D3651" s="2" t="s">
        <v>107</v>
      </c>
    </row>
    <row r="3652" spans="1:4" ht="15" customHeight="1" x14ac:dyDescent="0.25">
      <c r="A3652" s="2" t="str">
        <f>"08900000845"</f>
        <v>08900000845</v>
      </c>
      <c r="B3652" s="2" t="s">
        <v>3654</v>
      </c>
      <c r="C3652" s="2">
        <v>3.54</v>
      </c>
      <c r="D3652" s="2" t="s">
        <v>107</v>
      </c>
    </row>
    <row r="3653" spans="1:4" ht="15" customHeight="1" x14ac:dyDescent="0.25">
      <c r="A3653" s="2" t="str">
        <f>"08900000930"</f>
        <v>08900000930</v>
      </c>
      <c r="B3653" s="2" t="s">
        <v>3655</v>
      </c>
      <c r="C3653" s="2">
        <v>157.68</v>
      </c>
      <c r="D3653" s="2" t="s">
        <v>107</v>
      </c>
    </row>
    <row r="3654" spans="1:4" ht="15" customHeight="1" x14ac:dyDescent="0.25">
      <c r="A3654" s="2" t="str">
        <f>"08900000870"</f>
        <v>08900000870</v>
      </c>
      <c r="B3654" s="2" t="s">
        <v>3656</v>
      </c>
      <c r="C3654" s="2">
        <v>27.03</v>
      </c>
      <c r="D3654" s="2" t="s">
        <v>107</v>
      </c>
    </row>
    <row r="3655" spans="1:4" ht="15" customHeight="1" x14ac:dyDescent="0.25">
      <c r="A3655" s="2" t="str">
        <f>"08900000875"</f>
        <v>08900000875</v>
      </c>
      <c r="B3655" s="2" t="s">
        <v>3657</v>
      </c>
      <c r="C3655" s="2">
        <v>44.75</v>
      </c>
      <c r="D3655" s="2" t="s">
        <v>107</v>
      </c>
    </row>
    <row r="3656" spans="1:4" ht="15" customHeight="1" x14ac:dyDescent="0.25">
      <c r="A3656" s="2" t="str">
        <f>"08900000890"</f>
        <v>08900000890</v>
      </c>
      <c r="B3656" s="2" t="s">
        <v>3658</v>
      </c>
      <c r="C3656" s="2">
        <v>3.54</v>
      </c>
      <c r="D3656" s="2" t="s">
        <v>107</v>
      </c>
    </row>
    <row r="3657" spans="1:4" ht="15" customHeight="1" x14ac:dyDescent="0.25">
      <c r="A3657" s="2" t="str">
        <f>"08900000895"</f>
        <v>08900000895</v>
      </c>
      <c r="B3657" s="2" t="s">
        <v>3659</v>
      </c>
      <c r="C3657" s="2">
        <v>5.94</v>
      </c>
      <c r="D3657" s="2" t="s">
        <v>107</v>
      </c>
    </row>
    <row r="3658" spans="1:4" ht="15" customHeight="1" x14ac:dyDescent="0.25">
      <c r="A3658" s="2" t="str">
        <f>"08900000880"</f>
        <v>08900000880</v>
      </c>
      <c r="B3658" s="2" t="s">
        <v>3660</v>
      </c>
      <c r="C3658" s="2">
        <v>101.97</v>
      </c>
      <c r="D3658" s="2" t="s">
        <v>107</v>
      </c>
    </row>
    <row r="3659" spans="1:4" ht="15" customHeight="1" x14ac:dyDescent="0.25">
      <c r="A3659" s="2" t="str">
        <f>"08900000850"</f>
        <v>08900000850</v>
      </c>
      <c r="B3659" s="2" t="s">
        <v>3661</v>
      </c>
      <c r="C3659" s="2">
        <v>5.94</v>
      </c>
      <c r="D3659" s="2" t="s">
        <v>107</v>
      </c>
    </row>
    <row r="3660" spans="1:4" ht="15" customHeight="1" x14ac:dyDescent="0.25">
      <c r="A3660" s="2" t="str">
        <f>"08900000900"</f>
        <v>08900000900</v>
      </c>
      <c r="B3660" s="2" t="s">
        <v>3662</v>
      </c>
      <c r="C3660" s="2">
        <v>8.1199999999999992</v>
      </c>
      <c r="D3660" s="2" t="s">
        <v>107</v>
      </c>
    </row>
    <row r="3661" spans="1:4" ht="15" customHeight="1" x14ac:dyDescent="0.25">
      <c r="A3661" s="2" t="str">
        <f>"08900000885"</f>
        <v>08900000885</v>
      </c>
      <c r="B3661" s="2" t="s">
        <v>3663</v>
      </c>
      <c r="C3661" s="2">
        <v>157.68</v>
      </c>
      <c r="D3661" s="2" t="s">
        <v>107</v>
      </c>
    </row>
    <row r="3662" spans="1:4" ht="15" customHeight="1" x14ac:dyDescent="0.25">
      <c r="A3662" s="2" t="str">
        <f>"08900000905"</f>
        <v>08900000905</v>
      </c>
      <c r="B3662" s="2" t="s">
        <v>3664</v>
      </c>
      <c r="C3662" s="2">
        <v>10.83</v>
      </c>
      <c r="D3662" s="2" t="s">
        <v>107</v>
      </c>
    </row>
    <row r="3663" spans="1:4" ht="15" customHeight="1" x14ac:dyDescent="0.25">
      <c r="A3663" s="2" t="str">
        <f>"08900000910"</f>
        <v>08900000910</v>
      </c>
      <c r="B3663" s="2" t="s">
        <v>3665</v>
      </c>
      <c r="C3663" s="2">
        <v>16.23</v>
      </c>
      <c r="D3663" s="2" t="s">
        <v>107</v>
      </c>
    </row>
    <row r="3664" spans="1:4" ht="15" customHeight="1" x14ac:dyDescent="0.25">
      <c r="A3664" s="2" t="str">
        <f>"08900000915"</f>
        <v>08900000915</v>
      </c>
      <c r="B3664" s="2" t="s">
        <v>3666</v>
      </c>
      <c r="C3664" s="2">
        <v>30.72</v>
      </c>
      <c r="D3664" s="2" t="s">
        <v>107</v>
      </c>
    </row>
    <row r="3665" spans="1:4" ht="15" customHeight="1" x14ac:dyDescent="0.25">
      <c r="A3665" s="2" t="str">
        <f>"08900000920"</f>
        <v>08900000920</v>
      </c>
      <c r="B3665" s="2" t="s">
        <v>3667</v>
      </c>
      <c r="C3665" s="2">
        <v>44.75</v>
      </c>
      <c r="D3665" s="2" t="s">
        <v>107</v>
      </c>
    </row>
    <row r="3666" spans="1:4" ht="15" customHeight="1" x14ac:dyDescent="0.25">
      <c r="A3666" s="2" t="str">
        <f>"08900000925"</f>
        <v>08900000925</v>
      </c>
      <c r="B3666" s="2" t="s">
        <v>3668</v>
      </c>
      <c r="C3666" s="2">
        <v>101.97</v>
      </c>
      <c r="D3666" s="2" t="s">
        <v>107</v>
      </c>
    </row>
    <row r="3667" spans="1:4" ht="15" customHeight="1" x14ac:dyDescent="0.25">
      <c r="A3667" s="2" t="str">
        <f>"08200002070"</f>
        <v>08200002070</v>
      </c>
      <c r="B3667" s="2" t="s">
        <v>3669</v>
      </c>
      <c r="C3667" s="2">
        <v>771.54</v>
      </c>
      <c r="D3667" s="2" t="s">
        <v>5</v>
      </c>
    </row>
    <row r="3668" spans="1:4" ht="15" customHeight="1" x14ac:dyDescent="0.25">
      <c r="A3668" s="2" t="str">
        <f>"08200002075"</f>
        <v>08200002075</v>
      </c>
      <c r="B3668" s="2" t="s">
        <v>3670</v>
      </c>
      <c r="C3668" s="2">
        <v>1127.5999999999999</v>
      </c>
      <c r="D3668" s="2" t="s">
        <v>5</v>
      </c>
    </row>
    <row r="3669" spans="1:4" ht="15" customHeight="1" x14ac:dyDescent="0.25">
      <c r="A3669" s="2" t="str">
        <f>"05010000310"</f>
        <v>05010000310</v>
      </c>
      <c r="B3669" s="2" t="s">
        <v>3671</v>
      </c>
      <c r="C3669" s="2">
        <v>6357</v>
      </c>
      <c r="D3669" s="2" t="s">
        <v>5</v>
      </c>
    </row>
    <row r="3670" spans="1:4" ht="15" customHeight="1" x14ac:dyDescent="0.25">
      <c r="A3670" s="2" t="str">
        <f>"08200002045"</f>
        <v>08200002045</v>
      </c>
      <c r="B3670" s="2" t="s">
        <v>3672</v>
      </c>
      <c r="C3670" s="2">
        <v>1863.87</v>
      </c>
      <c r="D3670" s="2" t="s">
        <v>5</v>
      </c>
    </row>
    <row r="3671" spans="1:4" ht="15" customHeight="1" x14ac:dyDescent="0.25">
      <c r="A3671" s="2" t="str">
        <f>"05010000363"</f>
        <v>05010000363</v>
      </c>
      <c r="B3671" s="2" t="s">
        <v>3673</v>
      </c>
      <c r="C3671" s="2">
        <v>565.83000000000004</v>
      </c>
      <c r="D3671" s="2" t="s">
        <v>5</v>
      </c>
    </row>
    <row r="3672" spans="1:4" ht="15" customHeight="1" x14ac:dyDescent="0.25">
      <c r="A3672" s="2" t="str">
        <f>"05010000364"</f>
        <v>05010000364</v>
      </c>
      <c r="B3672" s="2" t="s">
        <v>3674</v>
      </c>
      <c r="C3672" s="2">
        <v>937.34</v>
      </c>
      <c r="D3672" s="2" t="s">
        <v>5</v>
      </c>
    </row>
    <row r="3673" spans="1:4" ht="15" customHeight="1" x14ac:dyDescent="0.25">
      <c r="A3673" s="2" t="str">
        <f>"05010000365"</f>
        <v>05010000365</v>
      </c>
      <c r="B3673" s="2" t="s">
        <v>3675</v>
      </c>
      <c r="C3673" s="2">
        <v>1276.56</v>
      </c>
      <c r="D3673" s="2" t="s">
        <v>5</v>
      </c>
    </row>
    <row r="3674" spans="1:4" ht="15" customHeight="1" x14ac:dyDescent="0.25">
      <c r="A3674" s="2" t="str">
        <f>"05010000311"</f>
        <v>05010000311</v>
      </c>
      <c r="B3674" s="2" t="s">
        <v>3676</v>
      </c>
      <c r="C3674" s="2">
        <v>11814.66</v>
      </c>
      <c r="D3674" s="2" t="s">
        <v>5</v>
      </c>
    </row>
    <row r="3675" spans="1:4" ht="15" customHeight="1" x14ac:dyDescent="0.25">
      <c r="A3675" s="2" t="str">
        <f>"05010000325"</f>
        <v>05010000325</v>
      </c>
      <c r="B3675" s="2" t="s">
        <v>3677</v>
      </c>
      <c r="C3675" s="2">
        <v>1589.96</v>
      </c>
      <c r="D3675" s="2" t="s">
        <v>5</v>
      </c>
    </row>
    <row r="3676" spans="1:4" ht="15" customHeight="1" x14ac:dyDescent="0.25">
      <c r="A3676" s="2" t="str">
        <f>"05020000520"</f>
        <v>05020000520</v>
      </c>
      <c r="B3676" s="2" t="s">
        <v>3678</v>
      </c>
      <c r="C3676" s="2">
        <v>1235.3699999999999</v>
      </c>
      <c r="D3676" s="2" t="s">
        <v>5</v>
      </c>
    </row>
    <row r="3677" spans="1:4" ht="15" customHeight="1" x14ac:dyDescent="0.25">
      <c r="A3677" s="2" t="str">
        <f>"05020000525"</f>
        <v>05020000525</v>
      </c>
      <c r="B3677" s="2" t="s">
        <v>3679</v>
      </c>
      <c r="C3677" s="2">
        <v>1361.06</v>
      </c>
      <c r="D3677" s="2" t="s">
        <v>5</v>
      </c>
    </row>
    <row r="3678" spans="1:4" ht="15" customHeight="1" x14ac:dyDescent="0.25">
      <c r="A3678" s="2" t="str">
        <f>"05020000500"</f>
        <v>05020000500</v>
      </c>
      <c r="B3678" s="2" t="s">
        <v>3680</v>
      </c>
      <c r="C3678" s="2">
        <v>384</v>
      </c>
      <c r="D3678" s="2" t="s">
        <v>5</v>
      </c>
    </row>
    <row r="3679" spans="1:4" ht="15" customHeight="1" x14ac:dyDescent="0.25">
      <c r="A3679" s="2" t="str">
        <f>"05020000505"</f>
        <v>05020000505</v>
      </c>
      <c r="B3679" s="2" t="s">
        <v>3681</v>
      </c>
      <c r="C3679" s="2">
        <v>455.54</v>
      </c>
      <c r="D3679" s="2" t="s">
        <v>5</v>
      </c>
    </row>
    <row r="3680" spans="1:4" ht="15" customHeight="1" x14ac:dyDescent="0.25">
      <c r="A3680" s="2" t="str">
        <f>"05020000510"</f>
        <v>05020000510</v>
      </c>
      <c r="B3680" s="2" t="s">
        <v>3682</v>
      </c>
      <c r="C3680" s="2">
        <v>546.27</v>
      </c>
      <c r="D3680" s="2" t="s">
        <v>5</v>
      </c>
    </row>
    <row r="3681" spans="1:4" ht="15" customHeight="1" x14ac:dyDescent="0.25">
      <c r="A3681" s="2" t="str">
        <f>"05020000515"</f>
        <v>05020000515</v>
      </c>
      <c r="B3681" s="2" t="s">
        <v>3683</v>
      </c>
      <c r="C3681" s="2">
        <v>673.92</v>
      </c>
      <c r="D3681" s="2" t="s">
        <v>5</v>
      </c>
    </row>
    <row r="3682" spans="1:4" ht="15" customHeight="1" x14ac:dyDescent="0.25">
      <c r="A3682" s="2" t="str">
        <f>"08200002210"</f>
        <v>08200002210</v>
      </c>
      <c r="B3682" s="2" t="s">
        <v>3684</v>
      </c>
      <c r="C3682" s="2">
        <v>7680.69</v>
      </c>
      <c r="D3682" s="2" t="s">
        <v>5</v>
      </c>
    </row>
    <row r="3683" spans="1:4" ht="15" customHeight="1" x14ac:dyDescent="0.25">
      <c r="A3683" s="2" t="str">
        <f>"08200002230"</f>
        <v>08200002230</v>
      </c>
      <c r="B3683" s="2" t="s">
        <v>3685</v>
      </c>
      <c r="C3683" s="2">
        <v>4754.22</v>
      </c>
      <c r="D3683" s="2" t="s">
        <v>5</v>
      </c>
    </row>
    <row r="3684" spans="1:4" ht="15" customHeight="1" x14ac:dyDescent="0.25">
      <c r="A3684" s="2" t="str">
        <f>"08200002225"</f>
        <v>08200002225</v>
      </c>
      <c r="B3684" s="2" t="s">
        <v>3686</v>
      </c>
      <c r="C3684" s="2">
        <v>8411.7900000000009</v>
      </c>
      <c r="D3684" s="2" t="s">
        <v>5</v>
      </c>
    </row>
    <row r="3685" spans="1:4" ht="15" customHeight="1" x14ac:dyDescent="0.25">
      <c r="A3685" s="2" t="str">
        <f>"08200002215"</f>
        <v>08200002215</v>
      </c>
      <c r="B3685" s="2" t="s">
        <v>3687</v>
      </c>
      <c r="C3685" s="2">
        <v>8411.7900000000009</v>
      </c>
      <c r="D3685" s="2" t="s">
        <v>5</v>
      </c>
    </row>
    <row r="3686" spans="1:4" ht="15" customHeight="1" x14ac:dyDescent="0.25">
      <c r="A3686" s="2" t="str">
        <f>"08200002220"</f>
        <v>08200002220</v>
      </c>
      <c r="B3686" s="2" t="s">
        <v>3688</v>
      </c>
      <c r="C3686" s="2">
        <v>5485.4</v>
      </c>
      <c r="D3686" s="2" t="s">
        <v>5</v>
      </c>
    </row>
    <row r="3687" spans="1:4" ht="15" customHeight="1" x14ac:dyDescent="0.25">
      <c r="A3687" s="2" t="str">
        <f>"08200002185"</f>
        <v>08200002185</v>
      </c>
      <c r="B3687" s="2" t="s">
        <v>3689</v>
      </c>
      <c r="C3687" s="2">
        <v>7315.91</v>
      </c>
      <c r="D3687" s="2" t="s">
        <v>5</v>
      </c>
    </row>
    <row r="3688" spans="1:4" ht="15" customHeight="1" x14ac:dyDescent="0.25">
      <c r="A3688" s="2" t="str">
        <f>"08200002180"</f>
        <v>08200002180</v>
      </c>
      <c r="B3688" s="2" t="s">
        <v>3690</v>
      </c>
      <c r="C3688" s="2">
        <v>5070.42</v>
      </c>
      <c r="D3688" s="2" t="s">
        <v>5</v>
      </c>
    </row>
    <row r="3689" spans="1:4" ht="15" customHeight="1" x14ac:dyDescent="0.25">
      <c r="A3689" s="2" t="str">
        <f>"05010000350"</f>
        <v>05010000350</v>
      </c>
      <c r="B3689" s="2" t="s">
        <v>3691</v>
      </c>
      <c r="C3689" s="2">
        <v>2652.09</v>
      </c>
      <c r="D3689" s="2" t="s">
        <v>5</v>
      </c>
    </row>
    <row r="3690" spans="1:4" ht="15" customHeight="1" x14ac:dyDescent="0.25">
      <c r="A3690" s="2" t="str">
        <f>"05010000355"</f>
        <v>05010000355</v>
      </c>
      <c r="B3690" s="2" t="s">
        <v>3692</v>
      </c>
      <c r="C3690" s="2">
        <v>3779.48</v>
      </c>
      <c r="D3690" s="2" t="s">
        <v>5</v>
      </c>
    </row>
    <row r="3691" spans="1:4" ht="15" customHeight="1" x14ac:dyDescent="0.25">
      <c r="A3691" s="2" t="str">
        <f>"05010000360"</f>
        <v>05010000360</v>
      </c>
      <c r="B3691" s="2" t="s">
        <v>3693</v>
      </c>
      <c r="C3691" s="2">
        <v>7214.01</v>
      </c>
      <c r="D3691" s="2" t="s">
        <v>5</v>
      </c>
    </row>
    <row r="3692" spans="1:4" ht="15" customHeight="1" x14ac:dyDescent="0.25">
      <c r="A3692" s="2" t="str">
        <f>"05010000362"</f>
        <v>05010000362</v>
      </c>
      <c r="B3692" s="2" t="s">
        <v>3694</v>
      </c>
      <c r="C3692" s="2">
        <v>9763.5499999999993</v>
      </c>
      <c r="D3692" s="2" t="s">
        <v>5</v>
      </c>
    </row>
    <row r="3693" spans="1:4" ht="15" customHeight="1" x14ac:dyDescent="0.25">
      <c r="A3693" s="2" t="str">
        <f>"07040000225"</f>
        <v>07040000225</v>
      </c>
      <c r="B3693" s="2" t="s">
        <v>3695</v>
      </c>
      <c r="C3693" s="2">
        <v>2777.48</v>
      </c>
      <c r="D3693" s="2" t="s">
        <v>5</v>
      </c>
    </row>
    <row r="3694" spans="1:4" ht="15" customHeight="1" x14ac:dyDescent="0.25">
      <c r="A3694" s="2" t="str">
        <f>"08900000340"</f>
        <v>08900000340</v>
      </c>
      <c r="B3694" s="2" t="s">
        <v>3696</v>
      </c>
      <c r="C3694" s="2">
        <v>72.59</v>
      </c>
      <c r="D3694" s="2" t="s">
        <v>107</v>
      </c>
    </row>
    <row r="3695" spans="1:4" ht="15" customHeight="1" x14ac:dyDescent="0.25">
      <c r="A3695" s="2" t="str">
        <f>"08900000325"</f>
        <v>08900000325</v>
      </c>
      <c r="B3695" s="2" t="s">
        <v>3697</v>
      </c>
      <c r="C3695" s="2">
        <v>77.97</v>
      </c>
      <c r="D3695" s="2" t="s">
        <v>107</v>
      </c>
    </row>
    <row r="3696" spans="1:4" ht="15" customHeight="1" x14ac:dyDescent="0.25">
      <c r="A3696" s="2" t="str">
        <f>"08900000335"</f>
        <v>08900000335</v>
      </c>
      <c r="B3696" s="2" t="s">
        <v>3698</v>
      </c>
      <c r="C3696" s="2">
        <v>144.16999999999999</v>
      </c>
      <c r="D3696" s="2" t="s">
        <v>107</v>
      </c>
    </row>
    <row r="3697" spans="1:4" ht="15" customHeight="1" x14ac:dyDescent="0.25">
      <c r="A3697" s="2" t="str">
        <f>"08900000345"</f>
        <v>08900000345</v>
      </c>
      <c r="B3697" s="2" t="s">
        <v>3699</v>
      </c>
      <c r="C3697" s="2">
        <v>74.64</v>
      </c>
      <c r="D3697" s="2" t="s">
        <v>107</v>
      </c>
    </row>
    <row r="3698" spans="1:4" ht="15" customHeight="1" x14ac:dyDescent="0.25">
      <c r="A3698" s="2" t="str">
        <f>"08900000330"</f>
        <v>08900000330</v>
      </c>
      <c r="B3698" s="2" t="s">
        <v>3700</v>
      </c>
      <c r="C3698" s="2">
        <v>80.760000000000005</v>
      </c>
      <c r="D3698" s="2" t="s">
        <v>107</v>
      </c>
    </row>
    <row r="3699" spans="1:4" ht="15" customHeight="1" x14ac:dyDescent="0.25">
      <c r="A3699" s="2" t="str">
        <f>"07030000045"</f>
        <v>07030000045</v>
      </c>
      <c r="B3699" s="2" t="s">
        <v>3701</v>
      </c>
      <c r="C3699" s="2">
        <v>53111.82</v>
      </c>
      <c r="D3699" s="2" t="s">
        <v>5</v>
      </c>
    </row>
    <row r="3700" spans="1:4" ht="15" customHeight="1" x14ac:dyDescent="0.25">
      <c r="A3700" s="2" t="str">
        <f>"08800000243"</f>
        <v>08800000243</v>
      </c>
      <c r="B3700" s="2" t="s">
        <v>3702</v>
      </c>
      <c r="C3700" s="2">
        <v>40.43</v>
      </c>
      <c r="D3700" s="2" t="s">
        <v>5</v>
      </c>
    </row>
    <row r="3701" spans="1:4" ht="15" customHeight="1" x14ac:dyDescent="0.25">
      <c r="A3701" s="2" t="str">
        <f>"03016500700"</f>
        <v>03016500700</v>
      </c>
      <c r="B3701" s="2" t="s">
        <v>3703</v>
      </c>
      <c r="C3701" s="2">
        <v>4070.04</v>
      </c>
      <c r="D3701" s="2" t="s">
        <v>5</v>
      </c>
    </row>
    <row r="3702" spans="1:4" ht="15" customHeight="1" x14ac:dyDescent="0.25">
      <c r="A3702" s="2" t="str">
        <f>"08200002490"</f>
        <v>08200002490</v>
      </c>
      <c r="B3702" s="2" t="s">
        <v>3704</v>
      </c>
      <c r="C3702" s="2">
        <v>1127.5999999999999</v>
      </c>
      <c r="D3702" s="2" t="s">
        <v>5</v>
      </c>
    </row>
    <row r="3703" spans="1:4" ht="15" customHeight="1" x14ac:dyDescent="0.25">
      <c r="A3703" s="2" t="str">
        <f>"08200001000"</f>
        <v>08200001000</v>
      </c>
      <c r="B3703" s="2" t="s">
        <v>3705</v>
      </c>
      <c r="C3703" s="2">
        <v>2668.17</v>
      </c>
      <c r="D3703" s="2" t="s">
        <v>5</v>
      </c>
    </row>
    <row r="3704" spans="1:4" ht="15" customHeight="1" x14ac:dyDescent="0.25">
      <c r="A3704" s="2" t="str">
        <f>"08200001030"</f>
        <v>08200001030</v>
      </c>
      <c r="B3704" s="2" t="s">
        <v>3706</v>
      </c>
      <c r="C3704" s="2">
        <v>3465.59</v>
      </c>
      <c r="D3704" s="2" t="s">
        <v>5</v>
      </c>
    </row>
    <row r="3705" spans="1:4" ht="15" customHeight="1" x14ac:dyDescent="0.25">
      <c r="A3705" s="2" t="str">
        <f>"07040000120"</f>
        <v>07040000120</v>
      </c>
      <c r="B3705" s="2" t="s">
        <v>3707</v>
      </c>
      <c r="C3705" s="2">
        <v>2063.2399999999998</v>
      </c>
      <c r="D3705" s="2" t="s">
        <v>5</v>
      </c>
    </row>
    <row r="3706" spans="1:4" ht="15" customHeight="1" x14ac:dyDescent="0.25">
      <c r="A3706" s="2" t="str">
        <f>"07040000095"</f>
        <v>07040000095</v>
      </c>
      <c r="B3706" s="2" t="s">
        <v>3708</v>
      </c>
      <c r="C3706" s="2">
        <v>1373.13</v>
      </c>
      <c r="D3706" s="2" t="s">
        <v>5</v>
      </c>
    </row>
    <row r="3707" spans="1:4" ht="15" customHeight="1" x14ac:dyDescent="0.25">
      <c r="A3707" s="2" t="str">
        <f>"07040000125"</f>
        <v>07040000125</v>
      </c>
      <c r="B3707" s="2" t="s">
        <v>3709</v>
      </c>
      <c r="C3707" s="2">
        <v>1314.33</v>
      </c>
      <c r="D3707" s="2" t="s">
        <v>5</v>
      </c>
    </row>
    <row r="3708" spans="1:4" ht="15" customHeight="1" x14ac:dyDescent="0.25">
      <c r="A3708" s="2" t="str">
        <f>"07040000100"</f>
        <v>07040000100</v>
      </c>
      <c r="B3708" s="2" t="s">
        <v>3710</v>
      </c>
      <c r="C3708" s="2">
        <v>1262.8699999999999</v>
      </c>
      <c r="D3708" s="2" t="s">
        <v>5</v>
      </c>
    </row>
    <row r="3709" spans="1:4" ht="15" customHeight="1" x14ac:dyDescent="0.25">
      <c r="A3709" s="2" t="str">
        <f>"08200000965"</f>
        <v>08200000965</v>
      </c>
      <c r="B3709" s="2" t="s">
        <v>3711</v>
      </c>
      <c r="C3709" s="2">
        <v>4685.01</v>
      </c>
      <c r="D3709" s="2" t="s">
        <v>5</v>
      </c>
    </row>
    <row r="3710" spans="1:4" ht="15" customHeight="1" x14ac:dyDescent="0.25">
      <c r="A3710" s="2" t="str">
        <f>"08200000915"</f>
        <v>08200000915</v>
      </c>
      <c r="B3710" s="2" t="s">
        <v>3712</v>
      </c>
      <c r="C3710" s="2">
        <v>3914.46</v>
      </c>
      <c r="D3710" s="2" t="s">
        <v>5</v>
      </c>
    </row>
    <row r="3711" spans="1:4" ht="15" customHeight="1" x14ac:dyDescent="0.25">
      <c r="A3711" s="2" t="str">
        <f>"07040000536"</f>
        <v>07040000536</v>
      </c>
      <c r="B3711" s="2" t="s">
        <v>3713</v>
      </c>
      <c r="C3711" s="2">
        <v>2906.34</v>
      </c>
      <c r="D3711" s="2" t="s">
        <v>5</v>
      </c>
    </row>
    <row r="3712" spans="1:4" ht="15" customHeight="1" x14ac:dyDescent="0.25">
      <c r="A3712" s="2" t="str">
        <f>"08200000815"</f>
        <v>08200000815</v>
      </c>
      <c r="B3712" s="2" t="s">
        <v>3714</v>
      </c>
      <c r="C3712" s="2">
        <v>3914.46</v>
      </c>
      <c r="D3712" s="2" t="s">
        <v>5</v>
      </c>
    </row>
    <row r="3713" spans="1:4" ht="15" customHeight="1" x14ac:dyDescent="0.25">
      <c r="A3713" s="2" t="str">
        <f>"08200000765"</f>
        <v>08200000765</v>
      </c>
      <c r="B3713" s="2" t="s">
        <v>3715</v>
      </c>
      <c r="C3713" s="2">
        <v>3258.92</v>
      </c>
      <c r="D3713" s="2" t="s">
        <v>5</v>
      </c>
    </row>
    <row r="3714" spans="1:4" ht="15" customHeight="1" x14ac:dyDescent="0.25">
      <c r="A3714" s="2" t="str">
        <f>"07040000505"</f>
        <v>07040000505</v>
      </c>
      <c r="B3714" s="2" t="s">
        <v>3716</v>
      </c>
      <c r="C3714" s="2">
        <v>2488.4699999999998</v>
      </c>
      <c r="D3714" s="2" t="s">
        <v>5</v>
      </c>
    </row>
    <row r="3715" spans="1:4" ht="15" customHeight="1" x14ac:dyDescent="0.25">
      <c r="A3715" s="2" t="str">
        <f>"07040000535"</f>
        <v>07040000535</v>
      </c>
      <c r="B3715" s="2" t="s">
        <v>3717</v>
      </c>
      <c r="C3715" s="2">
        <v>2039.16</v>
      </c>
      <c r="D3715" s="2" t="s">
        <v>5</v>
      </c>
    </row>
    <row r="3716" spans="1:4" ht="15" customHeight="1" x14ac:dyDescent="0.25">
      <c r="A3716" s="2" t="str">
        <f>"07040000510"</f>
        <v>07040000510</v>
      </c>
      <c r="B3716" s="2" t="s">
        <v>3718</v>
      </c>
      <c r="C3716" s="2">
        <v>1898.61</v>
      </c>
      <c r="D3716" s="2" t="s">
        <v>5</v>
      </c>
    </row>
    <row r="3717" spans="1:4" ht="15" customHeight="1" x14ac:dyDescent="0.25">
      <c r="A3717" s="2" t="str">
        <f>"08200000870"</f>
        <v>08200000870</v>
      </c>
      <c r="B3717" s="2" t="s">
        <v>3719</v>
      </c>
      <c r="C3717" s="2">
        <v>2902.23</v>
      </c>
      <c r="D3717" s="2" t="s">
        <v>5</v>
      </c>
    </row>
    <row r="3718" spans="1:4" ht="15" customHeight="1" x14ac:dyDescent="0.25">
      <c r="A3718" s="2" t="str">
        <f>"08200000850"</f>
        <v>08200000850</v>
      </c>
      <c r="B3718" s="2" t="s">
        <v>3720</v>
      </c>
      <c r="C3718" s="2">
        <v>2522.75</v>
      </c>
      <c r="D3718" s="2" t="s">
        <v>5</v>
      </c>
    </row>
    <row r="3719" spans="1:4" ht="15" customHeight="1" x14ac:dyDescent="0.25">
      <c r="A3719" s="2" t="str">
        <f>"07040000325"</f>
        <v>07040000325</v>
      </c>
      <c r="B3719" s="2" t="s">
        <v>3721</v>
      </c>
      <c r="C3719" s="2">
        <v>9496.5</v>
      </c>
      <c r="D3719" s="2" t="s">
        <v>5</v>
      </c>
    </row>
    <row r="3720" spans="1:4" ht="15" customHeight="1" x14ac:dyDescent="0.25">
      <c r="A3720" s="2" t="str">
        <f>"07040000315"</f>
        <v>07040000315</v>
      </c>
      <c r="B3720" s="2" t="s">
        <v>3722</v>
      </c>
      <c r="C3720" s="2">
        <v>9389.7199999999993</v>
      </c>
      <c r="D3720" s="2" t="s">
        <v>5</v>
      </c>
    </row>
    <row r="3721" spans="1:4" ht="15" customHeight="1" x14ac:dyDescent="0.25">
      <c r="A3721" s="2" t="str">
        <f>"07040000330"</f>
        <v>07040000330</v>
      </c>
      <c r="B3721" s="2" t="s">
        <v>3723</v>
      </c>
      <c r="C3721" s="2">
        <v>6793.32</v>
      </c>
      <c r="D3721" s="2" t="s">
        <v>5</v>
      </c>
    </row>
    <row r="3722" spans="1:4" ht="15" customHeight="1" x14ac:dyDescent="0.25">
      <c r="A3722" s="2" t="str">
        <f>"07040000320"</f>
        <v>07040000320</v>
      </c>
      <c r="B3722" s="2" t="s">
        <v>3724</v>
      </c>
      <c r="C3722" s="2">
        <v>6577.76</v>
      </c>
      <c r="D3722" s="2" t="s">
        <v>5</v>
      </c>
    </row>
    <row r="3723" spans="1:4" ht="15" customHeight="1" x14ac:dyDescent="0.25">
      <c r="A3723" s="2" t="str">
        <f>"08200000950"</f>
        <v>08200000950</v>
      </c>
      <c r="B3723" s="2" t="s">
        <v>3725</v>
      </c>
      <c r="C3723" s="2">
        <v>1245.77</v>
      </c>
      <c r="D3723" s="2" t="s">
        <v>5</v>
      </c>
    </row>
    <row r="3724" spans="1:4" ht="15" customHeight="1" x14ac:dyDescent="0.25">
      <c r="A3724" s="2" t="str">
        <f>"08200000900"</f>
        <v>08200000900</v>
      </c>
      <c r="B3724" s="2" t="s">
        <v>3726</v>
      </c>
      <c r="C3724" s="2">
        <v>964.23</v>
      </c>
      <c r="D3724" s="2" t="s">
        <v>5</v>
      </c>
    </row>
    <row r="3725" spans="1:4" ht="15" customHeight="1" x14ac:dyDescent="0.25">
      <c r="A3725" s="2" t="str">
        <f>"07040000105"</f>
        <v>07040000105</v>
      </c>
      <c r="B3725" s="2" t="s">
        <v>3727</v>
      </c>
      <c r="C3725" s="2">
        <v>713.52</v>
      </c>
      <c r="D3725" s="2" t="s">
        <v>5</v>
      </c>
    </row>
    <row r="3726" spans="1:4" ht="15" customHeight="1" x14ac:dyDescent="0.25">
      <c r="A3726" s="2" t="str">
        <f>"08200000800"</f>
        <v>08200000800</v>
      </c>
      <c r="B3726" s="2" t="s">
        <v>3728</v>
      </c>
      <c r="C3726" s="2">
        <v>1008.9</v>
      </c>
      <c r="D3726" s="2" t="s">
        <v>5</v>
      </c>
    </row>
    <row r="3727" spans="1:4" ht="15" customHeight="1" x14ac:dyDescent="0.25">
      <c r="A3727" s="2" t="str">
        <f>"07040000080"</f>
        <v>07040000080</v>
      </c>
      <c r="B3727" s="2" t="s">
        <v>3729</v>
      </c>
      <c r="C3727" s="2">
        <v>508.01</v>
      </c>
      <c r="D3727" s="2" t="s">
        <v>5</v>
      </c>
    </row>
    <row r="3728" spans="1:4" ht="15" customHeight="1" x14ac:dyDescent="0.25">
      <c r="A3728" s="2" t="str">
        <f>"08200000750"</f>
        <v>08200000750</v>
      </c>
      <c r="B3728" s="2" t="s">
        <v>3730</v>
      </c>
      <c r="C3728" s="2">
        <v>902.46</v>
      </c>
      <c r="D3728" s="2" t="s">
        <v>5</v>
      </c>
    </row>
    <row r="3729" spans="1:4" ht="15" customHeight="1" x14ac:dyDescent="0.25">
      <c r="A3729" s="2" t="str">
        <f>"08200000955"</f>
        <v>08200000955</v>
      </c>
      <c r="B3729" s="2" t="s">
        <v>3731</v>
      </c>
      <c r="C3729" s="2">
        <v>1621.73</v>
      </c>
      <c r="D3729" s="2" t="s">
        <v>5</v>
      </c>
    </row>
    <row r="3730" spans="1:4" ht="15" customHeight="1" x14ac:dyDescent="0.25">
      <c r="A3730" s="2" t="str">
        <f>"08200000905"</f>
        <v>08200000905</v>
      </c>
      <c r="B3730" s="2" t="s">
        <v>3732</v>
      </c>
      <c r="C3730" s="2">
        <v>1332.15</v>
      </c>
      <c r="D3730" s="2" t="s">
        <v>5</v>
      </c>
    </row>
    <row r="3731" spans="1:4" ht="15" customHeight="1" x14ac:dyDescent="0.25">
      <c r="A3731" s="2" t="str">
        <f>"07040000110"</f>
        <v>07040000110</v>
      </c>
      <c r="B3731" s="2" t="s">
        <v>3733</v>
      </c>
      <c r="C3731" s="2">
        <v>939.72</v>
      </c>
      <c r="D3731" s="2" t="s">
        <v>5</v>
      </c>
    </row>
    <row r="3732" spans="1:4" ht="15" customHeight="1" x14ac:dyDescent="0.25">
      <c r="A3732" s="2" t="str">
        <f>"08200000805"</f>
        <v>08200000805</v>
      </c>
      <c r="B3732" s="2" t="s">
        <v>3734</v>
      </c>
      <c r="C3732" s="2">
        <v>1196.4000000000001</v>
      </c>
      <c r="D3732" s="2" t="s">
        <v>5</v>
      </c>
    </row>
    <row r="3733" spans="1:4" ht="15" customHeight="1" x14ac:dyDescent="0.25">
      <c r="A3733" s="2" t="str">
        <f>"07040000085"</f>
        <v>07040000085</v>
      </c>
      <c r="B3733" s="2" t="s">
        <v>3735</v>
      </c>
      <c r="C3733" s="2">
        <v>751.29</v>
      </c>
      <c r="D3733" s="2" t="s">
        <v>5</v>
      </c>
    </row>
    <row r="3734" spans="1:4" ht="15" customHeight="1" x14ac:dyDescent="0.25">
      <c r="A3734" s="2" t="str">
        <f>"08200000755"</f>
        <v>08200000755</v>
      </c>
      <c r="B3734" s="2" t="s">
        <v>3736</v>
      </c>
      <c r="C3734" s="2">
        <v>1131.8699999999999</v>
      </c>
      <c r="D3734" s="2" t="s">
        <v>5</v>
      </c>
    </row>
    <row r="3735" spans="1:4" ht="15" customHeight="1" x14ac:dyDescent="0.25">
      <c r="A3735" s="2" t="str">
        <f>"07040000089"</f>
        <v>07040000089</v>
      </c>
      <c r="B3735" s="2" t="s">
        <v>3737</v>
      </c>
      <c r="C3735" s="2">
        <v>751.29</v>
      </c>
      <c r="D3735" s="2" t="s">
        <v>5</v>
      </c>
    </row>
    <row r="3736" spans="1:4" ht="15" customHeight="1" x14ac:dyDescent="0.25">
      <c r="A3736" s="2" t="str">
        <f>"07040000115"</f>
        <v>07040000115</v>
      </c>
      <c r="B3736" s="2" t="s">
        <v>3738</v>
      </c>
      <c r="C3736" s="2">
        <v>989.51</v>
      </c>
      <c r="D3736" s="2" t="s">
        <v>5</v>
      </c>
    </row>
    <row r="3737" spans="1:4" ht="15" customHeight="1" x14ac:dyDescent="0.25">
      <c r="A3737" s="2" t="str">
        <f>"07040000090"</f>
        <v>07040000090</v>
      </c>
      <c r="B3737" s="2" t="s">
        <v>3739</v>
      </c>
      <c r="C3737" s="2">
        <v>1007.1</v>
      </c>
      <c r="D3737" s="2" t="s">
        <v>5</v>
      </c>
    </row>
    <row r="3738" spans="1:4" ht="15" customHeight="1" x14ac:dyDescent="0.25">
      <c r="A3738" s="2" t="str">
        <f>"08200000960"</f>
        <v>08200000960</v>
      </c>
      <c r="B3738" s="2" t="s">
        <v>3740</v>
      </c>
      <c r="C3738" s="2">
        <v>2195.6999999999998</v>
      </c>
      <c r="D3738" s="2" t="s">
        <v>5</v>
      </c>
    </row>
    <row r="3739" spans="1:4" ht="15" customHeight="1" x14ac:dyDescent="0.25">
      <c r="A3739" s="2" t="str">
        <f>"08200000910"</f>
        <v>08200000910</v>
      </c>
      <c r="B3739" s="2" t="s">
        <v>3741</v>
      </c>
      <c r="C3739" s="2">
        <v>1773.87</v>
      </c>
      <c r="D3739" s="2" t="s">
        <v>5</v>
      </c>
    </row>
    <row r="3740" spans="1:4" ht="15" customHeight="1" x14ac:dyDescent="0.25">
      <c r="A3740" s="2" t="str">
        <f>"08200000810"</f>
        <v>08200000810</v>
      </c>
      <c r="B3740" s="2" t="s">
        <v>3742</v>
      </c>
      <c r="C3740" s="2">
        <v>1897.95</v>
      </c>
      <c r="D3740" s="2" t="s">
        <v>5</v>
      </c>
    </row>
    <row r="3741" spans="1:4" ht="15" customHeight="1" x14ac:dyDescent="0.25">
      <c r="A3741" s="2" t="str">
        <f>"08200000760"</f>
        <v>08200000760</v>
      </c>
      <c r="B3741" s="2" t="s">
        <v>3743</v>
      </c>
      <c r="C3741" s="2">
        <v>1629.92</v>
      </c>
      <c r="D3741" s="2" t="s">
        <v>5</v>
      </c>
    </row>
    <row r="3742" spans="1:4" ht="15" customHeight="1" x14ac:dyDescent="0.25">
      <c r="A3742" s="2" t="str">
        <f>"08200001120"</f>
        <v>08200001120</v>
      </c>
      <c r="B3742" s="2" t="s">
        <v>3744</v>
      </c>
      <c r="C3742" s="2">
        <v>10749.24</v>
      </c>
      <c r="D3742" s="2" t="s">
        <v>5</v>
      </c>
    </row>
    <row r="3743" spans="1:4" ht="15" customHeight="1" x14ac:dyDescent="0.25">
      <c r="A3743" s="2" t="str">
        <f>"08200001090"</f>
        <v>08200001090</v>
      </c>
      <c r="B3743" s="2" t="s">
        <v>3745</v>
      </c>
      <c r="C3743" s="2">
        <v>4159.1400000000003</v>
      </c>
      <c r="D3743" s="2" t="s">
        <v>5</v>
      </c>
    </row>
    <row r="3744" spans="1:4" ht="15" customHeight="1" x14ac:dyDescent="0.25">
      <c r="A3744" s="2" t="str">
        <f>"08200001060"</f>
        <v>08200001060</v>
      </c>
      <c r="B3744" s="2" t="s">
        <v>3746</v>
      </c>
      <c r="C3744" s="2">
        <v>3823.19</v>
      </c>
      <c r="D3744" s="2" t="s">
        <v>5</v>
      </c>
    </row>
    <row r="3745" spans="1:4" ht="15" customHeight="1" x14ac:dyDescent="0.25">
      <c r="A3745" s="2" t="str">
        <f>"08200001150"</f>
        <v>08200001150</v>
      </c>
      <c r="B3745" s="2" t="s">
        <v>3747</v>
      </c>
      <c r="C3745" s="2">
        <v>10749.24</v>
      </c>
      <c r="D3745" s="2" t="s">
        <v>5</v>
      </c>
    </row>
    <row r="3746" spans="1:4" ht="15" customHeight="1" x14ac:dyDescent="0.25">
      <c r="A3746" s="2" t="str">
        <f>"08200001185"</f>
        <v>08200001185</v>
      </c>
      <c r="B3746" s="2" t="s">
        <v>3748</v>
      </c>
      <c r="C3746" s="2">
        <v>49.89</v>
      </c>
      <c r="D3746" s="2" t="s">
        <v>107</v>
      </c>
    </row>
    <row r="3747" spans="1:4" ht="15" customHeight="1" x14ac:dyDescent="0.25">
      <c r="A3747" s="2" t="str">
        <f>"07040000335"</f>
        <v>07040000335</v>
      </c>
      <c r="B3747" s="2" t="s">
        <v>3749</v>
      </c>
      <c r="C3747" s="2">
        <v>7834.17</v>
      </c>
      <c r="D3747" s="2" t="s">
        <v>5</v>
      </c>
    </row>
    <row r="3748" spans="1:4" ht="15" customHeight="1" x14ac:dyDescent="0.25">
      <c r="A3748" s="2" t="str">
        <f>"08200001560"</f>
        <v>08200001560</v>
      </c>
      <c r="B3748" s="2" t="s">
        <v>3750</v>
      </c>
      <c r="C3748" s="2">
        <v>1892.64</v>
      </c>
      <c r="D3748" s="2" t="s">
        <v>5</v>
      </c>
    </row>
    <row r="3749" spans="1:4" ht="15" customHeight="1" x14ac:dyDescent="0.25">
      <c r="A3749" s="2" t="str">
        <f>"05020000350"</f>
        <v>05020000350</v>
      </c>
      <c r="B3749" s="2" t="s">
        <v>3751</v>
      </c>
      <c r="C3749" s="2">
        <v>1129.1300000000001</v>
      </c>
      <c r="D3749" s="2" t="s">
        <v>5</v>
      </c>
    </row>
    <row r="3750" spans="1:4" ht="15" customHeight="1" x14ac:dyDescent="0.25">
      <c r="A3750" s="2" t="str">
        <f>"05020000470"</f>
        <v>05020000470</v>
      </c>
      <c r="B3750" s="2" t="s">
        <v>3752</v>
      </c>
      <c r="C3750" s="2">
        <v>1294.8</v>
      </c>
      <c r="D3750" s="2" t="s">
        <v>5</v>
      </c>
    </row>
    <row r="3751" spans="1:4" ht="15" customHeight="1" x14ac:dyDescent="0.25">
      <c r="A3751" s="2" t="str">
        <f>"05020000355"</f>
        <v>05020000355</v>
      </c>
      <c r="B3751" s="2" t="s">
        <v>3753</v>
      </c>
      <c r="C3751" s="2">
        <v>869.07</v>
      </c>
      <c r="D3751" s="2" t="s">
        <v>5</v>
      </c>
    </row>
    <row r="3752" spans="1:4" ht="15" customHeight="1" x14ac:dyDescent="0.25">
      <c r="A3752" s="2" t="str">
        <f>"05020000360"</f>
        <v>05020000360</v>
      </c>
      <c r="B3752" s="2" t="s">
        <v>3754</v>
      </c>
      <c r="C3752" s="2">
        <v>897.8</v>
      </c>
      <c r="D3752" s="2" t="s">
        <v>5</v>
      </c>
    </row>
    <row r="3753" spans="1:4" ht="15" customHeight="1" x14ac:dyDescent="0.25">
      <c r="A3753" s="2" t="str">
        <f>"05020000365"</f>
        <v>05020000365</v>
      </c>
      <c r="B3753" s="2" t="s">
        <v>3755</v>
      </c>
      <c r="C3753" s="2">
        <v>976.95</v>
      </c>
      <c r="D3753" s="2" t="s">
        <v>5</v>
      </c>
    </row>
    <row r="3754" spans="1:4" ht="15" customHeight="1" x14ac:dyDescent="0.25">
      <c r="A3754" s="2" t="str">
        <f>"05020000370"</f>
        <v>05020000370</v>
      </c>
      <c r="B3754" s="2" t="s">
        <v>3756</v>
      </c>
      <c r="C3754" s="2">
        <v>981.89</v>
      </c>
      <c r="D3754" s="2" t="s">
        <v>5</v>
      </c>
    </row>
    <row r="3755" spans="1:4" ht="15" customHeight="1" x14ac:dyDescent="0.25">
      <c r="A3755" s="2" t="str">
        <f>"05020000375"</f>
        <v>05020000375</v>
      </c>
      <c r="B3755" s="2" t="s">
        <v>3757</v>
      </c>
      <c r="C3755" s="2">
        <v>1225.5</v>
      </c>
      <c r="D3755" s="2" t="s">
        <v>5</v>
      </c>
    </row>
    <row r="3756" spans="1:4" ht="15" customHeight="1" x14ac:dyDescent="0.25">
      <c r="A3756" s="2" t="str">
        <f>"08200001380"</f>
        <v>08200001380</v>
      </c>
      <c r="B3756" s="2" t="s">
        <v>3758</v>
      </c>
      <c r="C3756" s="2">
        <v>13165.4</v>
      </c>
      <c r="D3756" s="2" t="s">
        <v>5</v>
      </c>
    </row>
    <row r="3757" spans="1:4" ht="15" customHeight="1" x14ac:dyDescent="0.25">
      <c r="A3757" s="2" t="str">
        <f>"05020000380"</f>
        <v>05020000380</v>
      </c>
      <c r="B3757" s="2" t="s">
        <v>3759</v>
      </c>
      <c r="C3757" s="2">
        <v>1388.33</v>
      </c>
      <c r="D3757" s="2" t="s">
        <v>5</v>
      </c>
    </row>
    <row r="3758" spans="1:4" ht="15" customHeight="1" x14ac:dyDescent="0.25">
      <c r="A3758" s="2" t="str">
        <f>"05020000385"</f>
        <v>05020000385</v>
      </c>
      <c r="B3758" s="2" t="s">
        <v>3760</v>
      </c>
      <c r="C3758" s="2">
        <v>3199.49</v>
      </c>
      <c r="D3758" s="2" t="s">
        <v>5</v>
      </c>
    </row>
    <row r="3759" spans="1:4" ht="15" customHeight="1" x14ac:dyDescent="0.25">
      <c r="A3759" s="2" t="str">
        <f>"05020000305"</f>
        <v>05020000305</v>
      </c>
      <c r="B3759" s="2" t="s">
        <v>3761</v>
      </c>
      <c r="C3759" s="2">
        <v>361.34</v>
      </c>
      <c r="D3759" s="2" t="s">
        <v>5</v>
      </c>
    </row>
    <row r="3760" spans="1:4" ht="15" customHeight="1" x14ac:dyDescent="0.25">
      <c r="A3760" s="2" t="str">
        <f>"05020000312"</f>
        <v>05020000312</v>
      </c>
      <c r="B3760" s="2" t="s">
        <v>3762</v>
      </c>
      <c r="C3760" s="2">
        <v>319.08</v>
      </c>
      <c r="D3760" s="2" t="s">
        <v>5</v>
      </c>
    </row>
    <row r="3761" spans="1:4" ht="15" customHeight="1" x14ac:dyDescent="0.25">
      <c r="A3761" s="2" t="str">
        <f>"05020000310"</f>
        <v>05020000310</v>
      </c>
      <c r="B3761" s="2" t="s">
        <v>3763</v>
      </c>
      <c r="C3761" s="2">
        <v>404.69</v>
      </c>
      <c r="D3761" s="2" t="s">
        <v>5</v>
      </c>
    </row>
    <row r="3762" spans="1:4" ht="15" customHeight="1" x14ac:dyDescent="0.25">
      <c r="A3762" s="2" t="str">
        <f>"05020000315"</f>
        <v>05020000315</v>
      </c>
      <c r="B3762" s="2" t="s">
        <v>3764</v>
      </c>
      <c r="C3762" s="2">
        <v>319.08</v>
      </c>
      <c r="D3762" s="2" t="s">
        <v>5</v>
      </c>
    </row>
    <row r="3763" spans="1:4" ht="15" customHeight="1" x14ac:dyDescent="0.25">
      <c r="A3763" s="2" t="str">
        <f>"05020000317"</f>
        <v>05020000317</v>
      </c>
      <c r="B3763" s="2" t="s">
        <v>3765</v>
      </c>
      <c r="C3763" s="2">
        <v>405.17</v>
      </c>
      <c r="D3763" s="2" t="s">
        <v>5</v>
      </c>
    </row>
    <row r="3764" spans="1:4" ht="15" customHeight="1" x14ac:dyDescent="0.25">
      <c r="A3764" s="2" t="str">
        <f>"05020000320"</f>
        <v>05020000320</v>
      </c>
      <c r="B3764" s="2" t="s">
        <v>3766</v>
      </c>
      <c r="C3764" s="2">
        <v>405.17</v>
      </c>
      <c r="D3764" s="2" t="s">
        <v>5</v>
      </c>
    </row>
    <row r="3765" spans="1:4" ht="15" customHeight="1" x14ac:dyDescent="0.25">
      <c r="A3765" s="2" t="str">
        <f>"05020000323"</f>
        <v>05020000323</v>
      </c>
      <c r="B3765" s="2" t="s">
        <v>3767</v>
      </c>
      <c r="C3765" s="2">
        <v>512.48</v>
      </c>
      <c r="D3765" s="2" t="s">
        <v>5</v>
      </c>
    </row>
    <row r="3766" spans="1:4" ht="15" customHeight="1" x14ac:dyDescent="0.25">
      <c r="A3766" s="2" t="str">
        <f>"05020000325"</f>
        <v>05020000325</v>
      </c>
      <c r="B3766" s="2" t="s">
        <v>3768</v>
      </c>
      <c r="C3766" s="2">
        <v>628.53</v>
      </c>
      <c r="D3766" s="2" t="s">
        <v>5</v>
      </c>
    </row>
    <row r="3767" spans="1:4" ht="15" customHeight="1" x14ac:dyDescent="0.25">
      <c r="A3767" s="2" t="str">
        <f>"05020000322"</f>
        <v>05020000322</v>
      </c>
      <c r="B3767" s="2" t="s">
        <v>3769</v>
      </c>
      <c r="C3767" s="2">
        <v>901.31</v>
      </c>
      <c r="D3767" s="2" t="s">
        <v>5</v>
      </c>
    </row>
    <row r="3768" spans="1:4" ht="15" customHeight="1" x14ac:dyDescent="0.25">
      <c r="A3768" s="2" t="str">
        <f>"07040000170"</f>
        <v>07040000170</v>
      </c>
      <c r="B3768" s="2" t="s">
        <v>3770</v>
      </c>
      <c r="C3768" s="2">
        <v>736.4</v>
      </c>
      <c r="D3768" s="2" t="s">
        <v>5</v>
      </c>
    </row>
    <row r="3769" spans="1:4" ht="15" customHeight="1" x14ac:dyDescent="0.25">
      <c r="A3769" s="2" t="str">
        <f>"07040000585"</f>
        <v>07040000585</v>
      </c>
      <c r="B3769" s="2" t="s">
        <v>3771</v>
      </c>
      <c r="C3769" s="2">
        <v>1299.47</v>
      </c>
      <c r="D3769" s="2" t="s">
        <v>5</v>
      </c>
    </row>
    <row r="3770" spans="1:4" ht="15" customHeight="1" x14ac:dyDescent="0.25">
      <c r="A3770" s="2" t="str">
        <f>"08200001280"</f>
        <v>08200001280</v>
      </c>
      <c r="B3770" s="2" t="s">
        <v>3772</v>
      </c>
      <c r="C3770" s="2">
        <v>1387.52</v>
      </c>
      <c r="D3770" s="2" t="s">
        <v>5</v>
      </c>
    </row>
    <row r="3771" spans="1:4" ht="15" customHeight="1" x14ac:dyDescent="0.25">
      <c r="A3771" s="2" t="str">
        <f>"07040000580"</f>
        <v>07040000580</v>
      </c>
      <c r="B3771" s="2" t="s">
        <v>3773</v>
      </c>
      <c r="C3771" s="2">
        <v>1072.8</v>
      </c>
      <c r="D3771" s="2" t="s">
        <v>5</v>
      </c>
    </row>
    <row r="3772" spans="1:4" ht="15" customHeight="1" x14ac:dyDescent="0.25">
      <c r="A3772" s="2" t="str">
        <f>"07040000345"</f>
        <v>07040000345</v>
      </c>
      <c r="B3772" s="2" t="s">
        <v>3774</v>
      </c>
      <c r="C3772" s="2">
        <v>3143.09</v>
      </c>
      <c r="D3772" s="2" t="s">
        <v>5</v>
      </c>
    </row>
    <row r="3773" spans="1:4" ht="15" customHeight="1" x14ac:dyDescent="0.25">
      <c r="A3773" s="2" t="str">
        <f>"08200001270"</f>
        <v>08200001270</v>
      </c>
      <c r="B3773" s="2" t="s">
        <v>3775</v>
      </c>
      <c r="C3773" s="2">
        <v>409.92</v>
      </c>
      <c r="D3773" s="2" t="s">
        <v>5</v>
      </c>
    </row>
    <row r="3774" spans="1:4" ht="15" customHeight="1" x14ac:dyDescent="0.25">
      <c r="A3774" s="2" t="str">
        <f>"07040000155"</f>
        <v>07040000155</v>
      </c>
      <c r="B3774" s="2" t="s">
        <v>3776</v>
      </c>
      <c r="C3774" s="2">
        <v>169.68</v>
      </c>
      <c r="D3774" s="2" t="s">
        <v>5</v>
      </c>
    </row>
    <row r="3775" spans="1:4" ht="15" customHeight="1" x14ac:dyDescent="0.25">
      <c r="A3775" s="2" t="str">
        <f>"07040000160"</f>
        <v>07040000160</v>
      </c>
      <c r="B3775" s="2" t="s">
        <v>3777</v>
      </c>
      <c r="C3775" s="2">
        <v>363.03</v>
      </c>
      <c r="D3775" s="2" t="s">
        <v>5</v>
      </c>
    </row>
    <row r="3776" spans="1:4" ht="15" customHeight="1" x14ac:dyDescent="0.25">
      <c r="A3776" s="2" t="str">
        <f>"07040000165"</f>
        <v>07040000165</v>
      </c>
      <c r="B3776" s="2" t="s">
        <v>3778</v>
      </c>
      <c r="C3776" s="2">
        <v>265.89</v>
      </c>
      <c r="D3776" s="2" t="s">
        <v>5</v>
      </c>
    </row>
    <row r="3777" spans="1:4" ht="15" customHeight="1" x14ac:dyDescent="0.25">
      <c r="A3777" s="2" t="str">
        <f>"08200001275"</f>
        <v>08200001275</v>
      </c>
      <c r="B3777" s="2" t="s">
        <v>3779</v>
      </c>
      <c r="C3777" s="2">
        <v>596.99</v>
      </c>
      <c r="D3777" s="2" t="s">
        <v>5</v>
      </c>
    </row>
    <row r="3778" spans="1:4" ht="15" customHeight="1" x14ac:dyDescent="0.25">
      <c r="A3778" s="2" t="str">
        <f>"07040000575"</f>
        <v>07040000575</v>
      </c>
      <c r="B3778" s="2" t="s">
        <v>3780</v>
      </c>
      <c r="C3778" s="2">
        <v>302.82</v>
      </c>
      <c r="D3778" s="2" t="s">
        <v>5</v>
      </c>
    </row>
    <row r="3779" spans="1:4" ht="15" customHeight="1" x14ac:dyDescent="0.25">
      <c r="A3779" s="2" t="str">
        <f>"08200001330"</f>
        <v>08200001330</v>
      </c>
      <c r="B3779" s="2" t="s">
        <v>3781</v>
      </c>
      <c r="C3779" s="2">
        <v>1390.43</v>
      </c>
      <c r="D3779" s="2" t="s">
        <v>5</v>
      </c>
    </row>
    <row r="3780" spans="1:4" ht="15" customHeight="1" x14ac:dyDescent="0.25">
      <c r="A3780" s="2" t="str">
        <f>"08200001320"</f>
        <v>08200001320</v>
      </c>
      <c r="B3780" s="2" t="s">
        <v>3782</v>
      </c>
      <c r="C3780" s="2">
        <v>433.35</v>
      </c>
      <c r="D3780" s="2" t="s">
        <v>5</v>
      </c>
    </row>
    <row r="3781" spans="1:4" ht="15" customHeight="1" x14ac:dyDescent="0.25">
      <c r="A3781" s="2" t="str">
        <f>"08200001300"</f>
        <v>08200001300</v>
      </c>
      <c r="B3781" s="2" t="s">
        <v>3783</v>
      </c>
      <c r="C3781" s="2">
        <v>872.66</v>
      </c>
      <c r="D3781" s="2" t="s">
        <v>5</v>
      </c>
    </row>
    <row r="3782" spans="1:4" ht="15" customHeight="1" x14ac:dyDescent="0.25">
      <c r="A3782" s="2" t="str">
        <f>"08200001325"</f>
        <v>08200001325</v>
      </c>
      <c r="B3782" s="2" t="s">
        <v>3784</v>
      </c>
      <c r="C3782" s="2">
        <v>653.54</v>
      </c>
      <c r="D3782" s="2" t="s">
        <v>5</v>
      </c>
    </row>
    <row r="3783" spans="1:4" ht="15" customHeight="1" x14ac:dyDescent="0.25">
      <c r="A3783" s="2" t="str">
        <f>"03016500761"</f>
        <v>03016500761</v>
      </c>
      <c r="B3783" s="2" t="s">
        <v>3785</v>
      </c>
      <c r="C3783" s="2">
        <v>1232.55</v>
      </c>
      <c r="D3783" s="2" t="s">
        <v>5</v>
      </c>
    </row>
    <row r="3784" spans="1:4" ht="15" customHeight="1" x14ac:dyDescent="0.25">
      <c r="A3784" s="2" t="str">
        <f>"03016500750"</f>
        <v>03016500750</v>
      </c>
      <c r="B3784" s="2" t="s">
        <v>3786</v>
      </c>
      <c r="C3784" s="2">
        <v>705.84</v>
      </c>
      <c r="D3784" s="2" t="s">
        <v>5</v>
      </c>
    </row>
    <row r="3785" spans="1:4" ht="15" customHeight="1" x14ac:dyDescent="0.25">
      <c r="A3785" s="2" t="str">
        <f>"03016500755"</f>
        <v>03016500755</v>
      </c>
      <c r="B3785" s="2" t="s">
        <v>3787</v>
      </c>
      <c r="C3785" s="2">
        <v>1303.2</v>
      </c>
      <c r="D3785" s="2" t="s">
        <v>5</v>
      </c>
    </row>
    <row r="3786" spans="1:4" ht="15" customHeight="1" x14ac:dyDescent="0.25">
      <c r="A3786" s="2" t="str">
        <f>"03016500760"</f>
        <v>03016500760</v>
      </c>
      <c r="B3786" s="2" t="s">
        <v>3788</v>
      </c>
      <c r="C3786" s="2">
        <v>2034.99</v>
      </c>
      <c r="D3786" s="2" t="s">
        <v>5</v>
      </c>
    </row>
    <row r="3787" spans="1:4" ht="15" customHeight="1" x14ac:dyDescent="0.25">
      <c r="A3787" s="2" t="str">
        <f>"08800000248"</f>
        <v>08800000248</v>
      </c>
      <c r="B3787" s="2" t="s">
        <v>3789</v>
      </c>
      <c r="C3787" s="2">
        <v>33.24</v>
      </c>
      <c r="D3787" s="2" t="s">
        <v>5</v>
      </c>
    </row>
    <row r="3788" spans="1:4" ht="15" customHeight="1" x14ac:dyDescent="0.25">
      <c r="A3788" s="2" t="str">
        <f>"07040000885"</f>
        <v>07040000885</v>
      </c>
      <c r="B3788" s="2" t="s">
        <v>3790</v>
      </c>
      <c r="C3788" s="2">
        <v>396.87</v>
      </c>
      <c r="D3788" s="2" t="s">
        <v>5</v>
      </c>
    </row>
    <row r="3789" spans="1:4" ht="15" customHeight="1" x14ac:dyDescent="0.25">
      <c r="A3789" s="2" t="str">
        <f>"08200002100"</f>
        <v>08200002100</v>
      </c>
      <c r="B3789" s="2" t="s">
        <v>3791</v>
      </c>
      <c r="C3789" s="2">
        <v>2820.23</v>
      </c>
      <c r="D3789" s="2" t="s">
        <v>5</v>
      </c>
    </row>
    <row r="3790" spans="1:4" ht="15" customHeight="1" x14ac:dyDescent="0.25">
      <c r="A3790" s="2" t="str">
        <f>"08200002105"</f>
        <v>08200002105</v>
      </c>
      <c r="B3790" s="2" t="s">
        <v>3792</v>
      </c>
      <c r="C3790" s="2">
        <v>3795.75</v>
      </c>
      <c r="D3790" s="2" t="s">
        <v>5</v>
      </c>
    </row>
    <row r="3791" spans="1:4" ht="15" customHeight="1" x14ac:dyDescent="0.25">
      <c r="A3791" s="2" t="str">
        <f>"05010000369"</f>
        <v>05010000369</v>
      </c>
      <c r="B3791" s="2" t="s">
        <v>3793</v>
      </c>
      <c r="C3791" s="2">
        <v>937.34</v>
      </c>
      <c r="D3791" s="2" t="s">
        <v>5</v>
      </c>
    </row>
    <row r="3792" spans="1:4" ht="15" customHeight="1" x14ac:dyDescent="0.25">
      <c r="A3792" s="2" t="str">
        <f>"05010000367"</f>
        <v>05010000367</v>
      </c>
      <c r="B3792" s="2" t="s">
        <v>3794</v>
      </c>
      <c r="C3792" s="2">
        <v>651.17999999999995</v>
      </c>
      <c r="D3792" s="2" t="s">
        <v>5</v>
      </c>
    </row>
    <row r="3793" spans="1:4" ht="15" customHeight="1" x14ac:dyDescent="0.25">
      <c r="A3793" s="2" t="str">
        <f>"05010000368"</f>
        <v>05010000368</v>
      </c>
      <c r="B3793" s="2" t="s">
        <v>3795</v>
      </c>
      <c r="C3793" s="2">
        <v>565.83000000000004</v>
      </c>
      <c r="D3793" s="2" t="s">
        <v>5</v>
      </c>
    </row>
    <row r="3794" spans="1:4" ht="15" customHeight="1" x14ac:dyDescent="0.25">
      <c r="A3794" s="2" t="str">
        <f>"08200002110"</f>
        <v>08200002110</v>
      </c>
      <c r="B3794" s="2" t="s">
        <v>3796</v>
      </c>
      <c r="C3794" s="2">
        <v>593.75</v>
      </c>
      <c r="D3794" s="2" t="s">
        <v>5</v>
      </c>
    </row>
    <row r="3795" spans="1:4" ht="15" customHeight="1" x14ac:dyDescent="0.25">
      <c r="A3795" s="2" t="str">
        <f>"08200002115"</f>
        <v>08200002115</v>
      </c>
      <c r="B3795" s="2" t="s">
        <v>3797</v>
      </c>
      <c r="C3795" s="2">
        <v>919.47</v>
      </c>
      <c r="D3795" s="2" t="s">
        <v>5</v>
      </c>
    </row>
    <row r="3796" spans="1:4" ht="15" customHeight="1" x14ac:dyDescent="0.25">
      <c r="A3796" s="2" t="str">
        <f>"08200002255"</f>
        <v>08200002255</v>
      </c>
      <c r="B3796" s="2" t="s">
        <v>3798</v>
      </c>
      <c r="C3796" s="2">
        <v>1008.9</v>
      </c>
      <c r="D3796" s="2" t="s">
        <v>5</v>
      </c>
    </row>
    <row r="3797" spans="1:4" ht="15" customHeight="1" x14ac:dyDescent="0.25">
      <c r="A3797" s="2" t="str">
        <f>"08200002250"</f>
        <v>08200002250</v>
      </c>
      <c r="B3797" s="2" t="s">
        <v>3799</v>
      </c>
      <c r="C3797" s="2">
        <v>1156.4100000000001</v>
      </c>
      <c r="D3797" s="2" t="s">
        <v>5</v>
      </c>
    </row>
    <row r="3798" spans="1:4" ht="15" customHeight="1" x14ac:dyDescent="0.25">
      <c r="A3798" s="2" t="str">
        <f>"08200002235"</f>
        <v>08200002235</v>
      </c>
      <c r="B3798" s="2" t="s">
        <v>3800</v>
      </c>
      <c r="C3798" s="2">
        <v>977.1</v>
      </c>
      <c r="D3798" s="2" t="s">
        <v>5</v>
      </c>
    </row>
    <row r="3799" spans="1:4" ht="15" customHeight="1" x14ac:dyDescent="0.25">
      <c r="A3799" s="2" t="str">
        <f>"08200002190"</f>
        <v>08200002190</v>
      </c>
      <c r="B3799" s="2" t="s">
        <v>3801</v>
      </c>
      <c r="C3799" s="2">
        <v>857.54</v>
      </c>
      <c r="D3799" s="2" t="s">
        <v>5</v>
      </c>
    </row>
    <row r="3800" spans="1:4" ht="15" customHeight="1" x14ac:dyDescent="0.25">
      <c r="A3800" s="2" t="str">
        <f>"05010000370"</f>
        <v>05010000370</v>
      </c>
      <c r="B3800" s="2" t="s">
        <v>3802</v>
      </c>
      <c r="C3800" s="2">
        <v>387.98</v>
      </c>
      <c r="D3800" s="2" t="s">
        <v>5</v>
      </c>
    </row>
    <row r="3801" spans="1:4" ht="15" customHeight="1" x14ac:dyDescent="0.25">
      <c r="A3801" s="2" t="str">
        <f>"05010000372"</f>
        <v>05010000372</v>
      </c>
      <c r="B3801" s="2" t="s">
        <v>3803</v>
      </c>
      <c r="C3801" s="2">
        <v>387.98</v>
      </c>
      <c r="D3801" s="2" t="s">
        <v>5</v>
      </c>
    </row>
    <row r="3802" spans="1:4" ht="15" customHeight="1" x14ac:dyDescent="0.25">
      <c r="A3802" s="2" t="str">
        <f>"05010000375"</f>
        <v>05010000375</v>
      </c>
      <c r="B3802" s="2" t="s">
        <v>3804</v>
      </c>
      <c r="C3802" s="2">
        <v>565.83000000000004</v>
      </c>
      <c r="D3802" s="2" t="s">
        <v>5</v>
      </c>
    </row>
    <row r="3803" spans="1:4" ht="15" customHeight="1" x14ac:dyDescent="0.25">
      <c r="A3803" s="2" t="str">
        <f>"07040000195"</f>
        <v>07040000195</v>
      </c>
      <c r="B3803" s="2" t="s">
        <v>3805</v>
      </c>
      <c r="C3803" s="2">
        <v>848.7</v>
      </c>
      <c r="D3803" s="2" t="s">
        <v>5</v>
      </c>
    </row>
    <row r="3804" spans="1:4" ht="15" customHeight="1" x14ac:dyDescent="0.25">
      <c r="A3804" s="2" t="str">
        <f>"07040000200"</f>
        <v>07040000200</v>
      </c>
      <c r="B3804" s="2" t="s">
        <v>3806</v>
      </c>
      <c r="C3804" s="2">
        <v>1244.9100000000001</v>
      </c>
      <c r="D3804" s="2" t="s">
        <v>5</v>
      </c>
    </row>
    <row r="3805" spans="1:4" ht="15" customHeight="1" x14ac:dyDescent="0.25">
      <c r="A3805" s="2" t="str">
        <f>"08200002465"</f>
        <v>08200002465</v>
      </c>
      <c r="B3805" s="2" t="s">
        <v>3807</v>
      </c>
      <c r="C3805" s="2">
        <v>2245.17</v>
      </c>
      <c r="D3805" s="2" t="s">
        <v>5</v>
      </c>
    </row>
    <row r="3806" spans="1:4" ht="15" customHeight="1" x14ac:dyDescent="0.25">
      <c r="A3806" s="2" t="str">
        <f>"08200002460"</f>
        <v>08200002460</v>
      </c>
      <c r="B3806" s="2" t="s">
        <v>3808</v>
      </c>
      <c r="C3806" s="2">
        <v>1305.1099999999999</v>
      </c>
      <c r="D3806" s="2" t="s">
        <v>5</v>
      </c>
    </row>
    <row r="3807" spans="1:4" ht="15" customHeight="1" x14ac:dyDescent="0.25">
      <c r="A3807" s="2" t="str">
        <f>"07040000190"</f>
        <v>07040000190</v>
      </c>
      <c r="B3807" s="2" t="s">
        <v>3809</v>
      </c>
      <c r="C3807" s="2">
        <v>348.21</v>
      </c>
      <c r="D3807" s="2" t="s">
        <v>5</v>
      </c>
    </row>
    <row r="3808" spans="1:4" ht="15" customHeight="1" x14ac:dyDescent="0.25">
      <c r="A3808" s="2" t="str">
        <f>"08200001215"</f>
        <v>08200001215</v>
      </c>
      <c r="B3808" s="2" t="s">
        <v>3810</v>
      </c>
      <c r="C3808" s="2">
        <v>1021.28</v>
      </c>
      <c r="D3808" s="2" t="s">
        <v>5</v>
      </c>
    </row>
    <row r="3809" spans="1:4" ht="15" customHeight="1" x14ac:dyDescent="0.25">
      <c r="A3809" s="2" t="str">
        <f>"07040000605"</f>
        <v>07040000605</v>
      </c>
      <c r="B3809" s="2" t="s">
        <v>3811</v>
      </c>
      <c r="C3809" s="2">
        <v>479.96</v>
      </c>
      <c r="D3809" s="2" t="s">
        <v>5</v>
      </c>
    </row>
    <row r="3810" spans="1:4" ht="15" customHeight="1" x14ac:dyDescent="0.25">
      <c r="A3810" s="2" t="str">
        <f>"08200001220"</f>
        <v>08200001220</v>
      </c>
      <c r="B3810" s="2" t="s">
        <v>3812</v>
      </c>
      <c r="C3810" s="2">
        <v>13.86</v>
      </c>
      <c r="D3810" s="2" t="s">
        <v>107</v>
      </c>
    </row>
    <row r="3811" spans="1:4" ht="15" customHeight="1" x14ac:dyDescent="0.25">
      <c r="A3811" s="2" t="str">
        <f>"08400000130"</f>
        <v>08400000130</v>
      </c>
      <c r="B3811" s="2" t="s">
        <v>3813</v>
      </c>
      <c r="C3811" s="2">
        <v>34.64</v>
      </c>
      <c r="D3811" s="2" t="s">
        <v>5</v>
      </c>
    </row>
    <row r="3812" spans="1:4" ht="15" customHeight="1" x14ac:dyDescent="0.25">
      <c r="A3812" s="2" t="str">
        <f>"07040000350"</f>
        <v>07040000350</v>
      </c>
      <c r="B3812" s="2" t="s">
        <v>3814</v>
      </c>
      <c r="C3812" s="2">
        <v>1530.93</v>
      </c>
      <c r="D3812" s="2" t="s">
        <v>5</v>
      </c>
    </row>
    <row r="3813" spans="1:4" ht="15" customHeight="1" x14ac:dyDescent="0.25">
      <c r="A3813" s="2" t="str">
        <f>"08200001200"</f>
        <v>08200001200</v>
      </c>
      <c r="B3813" s="2" t="s">
        <v>3815</v>
      </c>
      <c r="C3813" s="2">
        <v>297.63</v>
      </c>
      <c r="D3813" s="2" t="s">
        <v>5</v>
      </c>
    </row>
    <row r="3814" spans="1:4" ht="15" customHeight="1" x14ac:dyDescent="0.25">
      <c r="A3814" s="2" t="str">
        <f>"07040000175"</f>
        <v>07040000175</v>
      </c>
      <c r="B3814" s="2" t="s">
        <v>3816</v>
      </c>
      <c r="C3814" s="2">
        <v>150.05000000000001</v>
      </c>
      <c r="D3814" s="2" t="s">
        <v>5</v>
      </c>
    </row>
    <row r="3815" spans="1:4" ht="15" customHeight="1" x14ac:dyDescent="0.25">
      <c r="A3815" s="2" t="str">
        <f>"08200001205"</f>
        <v>08200001205</v>
      </c>
      <c r="B3815" s="2" t="s">
        <v>3817</v>
      </c>
      <c r="C3815" s="2">
        <v>309.41000000000003</v>
      </c>
      <c r="D3815" s="2" t="s">
        <v>5</v>
      </c>
    </row>
    <row r="3816" spans="1:4" ht="15" customHeight="1" x14ac:dyDescent="0.25">
      <c r="A3816" s="2" t="str">
        <f>"07040000180"</f>
        <v>07040000180</v>
      </c>
      <c r="B3816" s="2" t="s">
        <v>3818</v>
      </c>
      <c r="C3816" s="2">
        <v>225.39</v>
      </c>
      <c r="D3816" s="2" t="s">
        <v>5</v>
      </c>
    </row>
    <row r="3817" spans="1:4" ht="15" customHeight="1" x14ac:dyDescent="0.25">
      <c r="A3817" s="2" t="str">
        <f>"07040000185"</f>
        <v>07040000185</v>
      </c>
      <c r="B3817" s="2" t="s">
        <v>3819</v>
      </c>
      <c r="C3817" s="2">
        <v>230.54</v>
      </c>
      <c r="D3817" s="2" t="s">
        <v>5</v>
      </c>
    </row>
    <row r="3818" spans="1:4" ht="15" customHeight="1" x14ac:dyDescent="0.25">
      <c r="A3818" s="2" t="str">
        <f>"08200001210"</f>
        <v>08200001210</v>
      </c>
      <c r="B3818" s="2" t="s">
        <v>3820</v>
      </c>
      <c r="C3818" s="2">
        <v>379.73</v>
      </c>
      <c r="D3818" s="2" t="s">
        <v>5</v>
      </c>
    </row>
    <row r="3819" spans="1:4" ht="15" customHeight="1" x14ac:dyDescent="0.25">
      <c r="A3819" s="2" t="str">
        <f>"08800000221"</f>
        <v>08800000221</v>
      </c>
      <c r="B3819" s="2" t="s">
        <v>3821</v>
      </c>
      <c r="C3819" s="2">
        <v>467.22</v>
      </c>
      <c r="D3819" s="2" t="s">
        <v>5</v>
      </c>
    </row>
    <row r="3820" spans="1:4" ht="15" customHeight="1" x14ac:dyDescent="0.25">
      <c r="A3820" s="2" t="str">
        <f>"05010000315"</f>
        <v>05010000315</v>
      </c>
      <c r="B3820" s="2" t="s">
        <v>3822</v>
      </c>
      <c r="C3820" s="2">
        <v>7548.93</v>
      </c>
      <c r="D3820" s="2" t="s">
        <v>5</v>
      </c>
    </row>
    <row r="3821" spans="1:4" ht="15" customHeight="1" x14ac:dyDescent="0.25">
      <c r="A3821" s="2" t="str">
        <f>"09010000212"</f>
        <v>09010000212</v>
      </c>
      <c r="B3821" s="2" t="s">
        <v>3823</v>
      </c>
      <c r="C3821" s="2">
        <v>314.75</v>
      </c>
      <c r="D3821" s="2" t="s">
        <v>5</v>
      </c>
    </row>
    <row r="3822" spans="1:4" ht="15" customHeight="1" x14ac:dyDescent="0.25">
      <c r="A3822" s="2" t="str">
        <f>"09010000214"</f>
        <v>09010000214</v>
      </c>
      <c r="B3822" s="2" t="s">
        <v>3824</v>
      </c>
      <c r="C3822" s="2">
        <v>2127.48</v>
      </c>
      <c r="D3822" s="2" t="s">
        <v>5</v>
      </c>
    </row>
    <row r="3823" spans="1:4" ht="15" customHeight="1" x14ac:dyDescent="0.25">
      <c r="A3823" s="2" t="str">
        <f>"08200002155"</f>
        <v>08200002155</v>
      </c>
      <c r="B3823" s="2" t="s">
        <v>3825</v>
      </c>
      <c r="C3823" s="2">
        <v>771.54</v>
      </c>
      <c r="D3823" s="2" t="s">
        <v>5</v>
      </c>
    </row>
    <row r="3824" spans="1:4" ht="15" customHeight="1" x14ac:dyDescent="0.25">
      <c r="A3824" s="2" t="str">
        <f>"08200001250"</f>
        <v>08200001250</v>
      </c>
      <c r="B3824" s="2" t="s">
        <v>3826</v>
      </c>
      <c r="C3824" s="2">
        <v>1874.22</v>
      </c>
      <c r="D3824" s="2" t="s">
        <v>5</v>
      </c>
    </row>
    <row r="3825" spans="1:4" ht="15" customHeight="1" x14ac:dyDescent="0.25">
      <c r="A3825" s="2" t="str">
        <f>"08200001350"</f>
        <v>08200001350</v>
      </c>
      <c r="B3825" s="2" t="s">
        <v>3827</v>
      </c>
      <c r="C3825" s="2">
        <v>3994.76</v>
      </c>
      <c r="D3825" s="2" t="s">
        <v>5</v>
      </c>
    </row>
    <row r="3826" spans="1:4" ht="15" customHeight="1" x14ac:dyDescent="0.25">
      <c r="A3826" s="2" t="str">
        <f>"08200001355"</f>
        <v>08200001355</v>
      </c>
      <c r="B3826" s="2" t="s">
        <v>3828</v>
      </c>
      <c r="C3826" s="2">
        <v>7991.12</v>
      </c>
      <c r="D3826" s="2" t="s">
        <v>5</v>
      </c>
    </row>
    <row r="3827" spans="1:4" ht="15" customHeight="1" x14ac:dyDescent="0.25">
      <c r="A3827" s="2" t="str">
        <f>"08200001440"</f>
        <v>08200001440</v>
      </c>
      <c r="B3827" s="2" t="s">
        <v>3829</v>
      </c>
      <c r="C3827" s="2">
        <v>9192.2099999999991</v>
      </c>
      <c r="D3827" s="2" t="s">
        <v>5</v>
      </c>
    </row>
    <row r="3828" spans="1:4" ht="15" customHeight="1" x14ac:dyDescent="0.25">
      <c r="A3828" s="2" t="str">
        <f>"08200001500"</f>
        <v>08200001500</v>
      </c>
      <c r="B3828" s="2" t="s">
        <v>3830</v>
      </c>
      <c r="C3828" s="2">
        <v>9192.2099999999991</v>
      </c>
      <c r="D3828" s="2" t="s">
        <v>5</v>
      </c>
    </row>
    <row r="3829" spans="1:4" ht="15" customHeight="1" x14ac:dyDescent="0.25">
      <c r="A3829" s="2" t="str">
        <f>"08200001410"</f>
        <v>08200001410</v>
      </c>
      <c r="B3829" s="2" t="s">
        <v>3831</v>
      </c>
      <c r="C3829" s="2">
        <v>9192.2099999999991</v>
      </c>
      <c r="D3829" s="2" t="s">
        <v>5</v>
      </c>
    </row>
    <row r="3830" spans="1:4" ht="15" customHeight="1" x14ac:dyDescent="0.25">
      <c r="A3830" s="2" t="str">
        <f>"08200001385"</f>
        <v>08200001385</v>
      </c>
      <c r="B3830" s="2" t="s">
        <v>3832</v>
      </c>
      <c r="C3830" s="2">
        <v>3123.05</v>
      </c>
      <c r="D3830" s="2" t="s">
        <v>5</v>
      </c>
    </row>
    <row r="3831" spans="1:4" ht="15" customHeight="1" x14ac:dyDescent="0.25">
      <c r="A3831" s="2" t="str">
        <f>"05020001040"</f>
        <v>05020001040</v>
      </c>
      <c r="B3831" s="2" t="s">
        <v>3833</v>
      </c>
      <c r="C3831" s="2">
        <v>1825.83</v>
      </c>
      <c r="D3831" s="2" t="s">
        <v>5</v>
      </c>
    </row>
    <row r="3832" spans="1:4" ht="15" customHeight="1" x14ac:dyDescent="0.25">
      <c r="A3832" s="2" t="str">
        <f>"05020001045"</f>
        <v>05020001045</v>
      </c>
      <c r="B3832" s="2" t="s">
        <v>3834</v>
      </c>
      <c r="C3832" s="2">
        <v>2223.7800000000002</v>
      </c>
      <c r="D3832" s="2" t="s">
        <v>5</v>
      </c>
    </row>
    <row r="3833" spans="1:4" ht="15" customHeight="1" x14ac:dyDescent="0.25">
      <c r="A3833" s="2" t="str">
        <f>"05020001050"</f>
        <v>05020001050</v>
      </c>
      <c r="B3833" s="2" t="s">
        <v>3835</v>
      </c>
      <c r="C3833" s="2">
        <v>2492.8200000000002</v>
      </c>
      <c r="D3833" s="2" t="s">
        <v>5</v>
      </c>
    </row>
    <row r="3834" spans="1:4" ht="15" customHeight="1" x14ac:dyDescent="0.25">
      <c r="A3834" s="2" t="str">
        <f>"05020001055"</f>
        <v>05020001055</v>
      </c>
      <c r="B3834" s="2" t="s">
        <v>3836</v>
      </c>
      <c r="C3834" s="2">
        <v>2620.71</v>
      </c>
      <c r="D3834" s="2" t="s">
        <v>5</v>
      </c>
    </row>
    <row r="3835" spans="1:4" ht="15" customHeight="1" x14ac:dyDescent="0.25">
      <c r="A3835" s="2" t="str">
        <f>"05020000100"</f>
        <v>05020000100</v>
      </c>
      <c r="B3835" s="2" t="s">
        <v>3837</v>
      </c>
      <c r="C3835" s="2">
        <v>776.48</v>
      </c>
      <c r="D3835" s="2" t="s">
        <v>5</v>
      </c>
    </row>
    <row r="3836" spans="1:4" ht="15" customHeight="1" x14ac:dyDescent="0.25">
      <c r="A3836" s="2" t="str">
        <f>"05020000105"</f>
        <v>05020000105</v>
      </c>
      <c r="B3836" s="2" t="s">
        <v>3838</v>
      </c>
      <c r="C3836" s="2">
        <v>884</v>
      </c>
      <c r="D3836" s="2" t="s">
        <v>5</v>
      </c>
    </row>
    <row r="3837" spans="1:4" ht="15" customHeight="1" x14ac:dyDescent="0.25">
      <c r="A3837" s="2" t="str">
        <f>"05020000110"</f>
        <v>05020000110</v>
      </c>
      <c r="B3837" s="2" t="s">
        <v>3839</v>
      </c>
      <c r="C3837" s="2">
        <v>1160.52</v>
      </c>
      <c r="D3837" s="2" t="s">
        <v>5</v>
      </c>
    </row>
    <row r="3838" spans="1:4" ht="15" customHeight="1" x14ac:dyDescent="0.25">
      <c r="A3838" s="2" t="str">
        <f>"08200000005"</f>
        <v>08200000005</v>
      </c>
      <c r="B3838" s="2" t="s">
        <v>3840</v>
      </c>
      <c r="C3838" s="2">
        <v>8626.67</v>
      </c>
      <c r="D3838" s="2" t="s">
        <v>5</v>
      </c>
    </row>
    <row r="3839" spans="1:4" ht="15" customHeight="1" x14ac:dyDescent="0.25">
      <c r="A3839" s="2" t="str">
        <f>"08200000010"</f>
        <v>08200000010</v>
      </c>
      <c r="B3839" s="2" t="s">
        <v>3841</v>
      </c>
      <c r="C3839" s="2">
        <v>10974.44</v>
      </c>
      <c r="D3839" s="2" t="s">
        <v>5</v>
      </c>
    </row>
    <row r="3840" spans="1:4" ht="15" customHeight="1" x14ac:dyDescent="0.25">
      <c r="A3840" s="2" t="str">
        <f>"08200000015"</f>
        <v>08200000015</v>
      </c>
      <c r="B3840" s="2" t="s">
        <v>3842</v>
      </c>
      <c r="C3840" s="2">
        <v>14024.81</v>
      </c>
      <c r="D3840" s="2" t="s">
        <v>5</v>
      </c>
    </row>
    <row r="3841" spans="1:4" ht="15" customHeight="1" x14ac:dyDescent="0.25">
      <c r="A3841" s="2" t="str">
        <f>"08200000020"</f>
        <v>08200000020</v>
      </c>
      <c r="B3841" s="2" t="s">
        <v>3843</v>
      </c>
      <c r="C3841" s="2">
        <v>21703.439999999999</v>
      </c>
      <c r="D3841" s="2" t="s">
        <v>5</v>
      </c>
    </row>
    <row r="3842" spans="1:4" ht="15" customHeight="1" x14ac:dyDescent="0.25">
      <c r="A3842" s="2" t="str">
        <f>"08200000025"</f>
        <v>08200000025</v>
      </c>
      <c r="B3842" s="2" t="s">
        <v>3844</v>
      </c>
      <c r="C3842" s="2">
        <v>34391.93</v>
      </c>
      <c r="D3842" s="2" t="s">
        <v>5</v>
      </c>
    </row>
    <row r="3843" spans="1:4" ht="15" customHeight="1" x14ac:dyDescent="0.25">
      <c r="A3843" s="2" t="str">
        <f>"08200000030"</f>
        <v>08200000030</v>
      </c>
      <c r="B3843" s="2" t="s">
        <v>3845</v>
      </c>
      <c r="C3843" s="2">
        <v>54000.74</v>
      </c>
      <c r="D3843" s="2" t="s">
        <v>5</v>
      </c>
    </row>
    <row r="3844" spans="1:4" ht="15" customHeight="1" x14ac:dyDescent="0.25">
      <c r="A3844" s="2" t="str">
        <f>"08200000100"</f>
        <v>08200000100</v>
      </c>
      <c r="B3844" s="2" t="s">
        <v>3846</v>
      </c>
      <c r="C3844" s="2">
        <v>6833.21</v>
      </c>
      <c r="D3844" s="2" t="s">
        <v>5</v>
      </c>
    </row>
    <row r="3845" spans="1:4" ht="15" customHeight="1" x14ac:dyDescent="0.25">
      <c r="A3845" s="2" t="str">
        <f>"08200000105"</f>
        <v>08200000105</v>
      </c>
      <c r="B3845" s="2" t="s">
        <v>3847</v>
      </c>
      <c r="C3845" s="2">
        <v>8652.42</v>
      </c>
      <c r="D3845" s="2" t="s">
        <v>5</v>
      </c>
    </row>
    <row r="3846" spans="1:4" ht="15" customHeight="1" x14ac:dyDescent="0.25">
      <c r="A3846" s="2" t="str">
        <f>"08200000110"</f>
        <v>08200000110</v>
      </c>
      <c r="B3846" s="2" t="s">
        <v>3848</v>
      </c>
      <c r="C3846" s="2">
        <v>11022.35</v>
      </c>
      <c r="D3846" s="2" t="s">
        <v>5</v>
      </c>
    </row>
    <row r="3847" spans="1:4" ht="15" customHeight="1" x14ac:dyDescent="0.25">
      <c r="A3847" s="2" t="str">
        <f>"08200000115"</f>
        <v>08200000115</v>
      </c>
      <c r="B3847" s="2" t="s">
        <v>3849</v>
      </c>
      <c r="C3847" s="2">
        <v>17278.189999999999</v>
      </c>
      <c r="D3847" s="2" t="s">
        <v>5</v>
      </c>
    </row>
    <row r="3848" spans="1:4" ht="15" customHeight="1" x14ac:dyDescent="0.25">
      <c r="A3848" s="2" t="str">
        <f>"08200000050"</f>
        <v>08200000050</v>
      </c>
      <c r="B3848" s="2" t="s">
        <v>3850</v>
      </c>
      <c r="C3848" s="2">
        <v>5072.45</v>
      </c>
      <c r="D3848" s="2" t="s">
        <v>5</v>
      </c>
    </row>
    <row r="3849" spans="1:4" ht="15" customHeight="1" x14ac:dyDescent="0.25">
      <c r="A3849" s="2" t="str">
        <f>"08200000055"</f>
        <v>08200000055</v>
      </c>
      <c r="B3849" s="2" t="s">
        <v>3851</v>
      </c>
      <c r="C3849" s="2">
        <v>6403.83</v>
      </c>
      <c r="D3849" s="2" t="s">
        <v>5</v>
      </c>
    </row>
    <row r="3850" spans="1:4" ht="15" customHeight="1" x14ac:dyDescent="0.25">
      <c r="A3850" s="2" t="str">
        <f>"08200000060"</f>
        <v>08200000060</v>
      </c>
      <c r="B3850" s="2" t="s">
        <v>3852</v>
      </c>
      <c r="C3850" s="2">
        <v>8135.42</v>
      </c>
      <c r="D3850" s="2" t="s">
        <v>5</v>
      </c>
    </row>
    <row r="3851" spans="1:4" ht="15" customHeight="1" x14ac:dyDescent="0.25">
      <c r="A3851" s="2" t="str">
        <f>"08200000065"</f>
        <v>08200000065</v>
      </c>
      <c r="B3851" s="2" t="s">
        <v>3853</v>
      </c>
      <c r="C3851" s="2">
        <v>13356.42</v>
      </c>
      <c r="D3851" s="2" t="s">
        <v>5</v>
      </c>
    </row>
    <row r="3852" spans="1:4" ht="15" customHeight="1" x14ac:dyDescent="0.25">
      <c r="A3852" s="2" t="str">
        <f>"08200000070"</f>
        <v>08200000070</v>
      </c>
      <c r="B3852" s="2" t="s">
        <v>3854</v>
      </c>
      <c r="C3852" s="2">
        <v>28757.57</v>
      </c>
      <c r="D3852" s="2" t="s">
        <v>5</v>
      </c>
    </row>
    <row r="3853" spans="1:4" ht="15" customHeight="1" x14ac:dyDescent="0.25">
      <c r="A3853" s="2" t="str">
        <f>"08200000075"</f>
        <v>08200000075</v>
      </c>
      <c r="B3853" s="2" t="s">
        <v>3855</v>
      </c>
      <c r="C3853" s="2">
        <v>43174.5</v>
      </c>
      <c r="D3853" s="2" t="s">
        <v>5</v>
      </c>
    </row>
    <row r="3854" spans="1:4" ht="15" customHeight="1" x14ac:dyDescent="0.25">
      <c r="A3854" s="2" t="str">
        <f>"08200000067"</f>
        <v>08200000067</v>
      </c>
      <c r="B3854" s="2" t="s">
        <v>3856</v>
      </c>
      <c r="C3854" s="2">
        <v>12242.21</v>
      </c>
      <c r="D3854" s="2" t="s">
        <v>5</v>
      </c>
    </row>
    <row r="3855" spans="1:4" ht="15" customHeight="1" x14ac:dyDescent="0.25">
      <c r="A3855" s="2" t="str">
        <f>"07030000025"</f>
        <v>07030000025</v>
      </c>
      <c r="B3855" s="2" t="s">
        <v>3857</v>
      </c>
      <c r="C3855" s="2">
        <v>12487.71</v>
      </c>
      <c r="D3855" s="2" t="s">
        <v>5</v>
      </c>
    </row>
    <row r="3856" spans="1:4" ht="15" customHeight="1" x14ac:dyDescent="0.25">
      <c r="A3856" s="2" t="str">
        <f>"07030000030"</f>
        <v>07030000030</v>
      </c>
      <c r="B3856" s="2" t="s">
        <v>3858</v>
      </c>
      <c r="C3856" s="2">
        <v>8204</v>
      </c>
      <c r="D3856" s="2" t="s">
        <v>5</v>
      </c>
    </row>
    <row r="3857" spans="1:4" ht="15" customHeight="1" x14ac:dyDescent="0.25">
      <c r="A3857" s="2" t="str">
        <f>"07030000020"</f>
        <v>07030000020</v>
      </c>
      <c r="B3857" s="2" t="s">
        <v>3859</v>
      </c>
      <c r="C3857" s="2">
        <v>10169.6</v>
      </c>
      <c r="D3857" s="2" t="s">
        <v>5</v>
      </c>
    </row>
    <row r="3858" spans="1:4" ht="15" customHeight="1" x14ac:dyDescent="0.25">
      <c r="A3858" s="2" t="str">
        <f>"07030000005"</f>
        <v>07030000005</v>
      </c>
      <c r="B3858" s="2" t="s">
        <v>3860</v>
      </c>
      <c r="C3858" s="2">
        <v>4049.64</v>
      </c>
      <c r="D3858" s="2" t="s">
        <v>5</v>
      </c>
    </row>
    <row r="3859" spans="1:4" ht="15" customHeight="1" x14ac:dyDescent="0.25">
      <c r="A3859" s="2" t="str">
        <f>"07030000010"</f>
        <v>07030000010</v>
      </c>
      <c r="B3859" s="2" t="s">
        <v>3861</v>
      </c>
      <c r="C3859" s="2">
        <v>5228.6099999999997</v>
      </c>
      <c r="D3859" s="2" t="s">
        <v>5</v>
      </c>
    </row>
    <row r="3860" spans="1:4" ht="15" customHeight="1" x14ac:dyDescent="0.25">
      <c r="A3860" s="2" t="str">
        <f>"07030000015"</f>
        <v>07030000015</v>
      </c>
      <c r="B3860" s="2" t="s">
        <v>3862</v>
      </c>
      <c r="C3860" s="2">
        <v>5699.63</v>
      </c>
      <c r="D3860" s="2" t="s">
        <v>5</v>
      </c>
    </row>
    <row r="3861" spans="1:4" ht="15" customHeight="1" x14ac:dyDescent="0.25">
      <c r="A3861" s="2" t="str">
        <f>"07030000035"</f>
        <v>07030000035</v>
      </c>
      <c r="B3861" s="2" t="s">
        <v>3863</v>
      </c>
      <c r="C3861" s="2">
        <v>11797.8</v>
      </c>
      <c r="D3861" s="2" t="s">
        <v>5</v>
      </c>
    </row>
    <row r="3862" spans="1:4" ht="15" customHeight="1" x14ac:dyDescent="0.25">
      <c r="A3862" s="2" t="str">
        <f>"07030000040"</f>
        <v>07030000040</v>
      </c>
      <c r="B3862" s="2" t="s">
        <v>3864</v>
      </c>
      <c r="C3862" s="2">
        <v>16638.3</v>
      </c>
      <c r="D3862" s="2" t="s">
        <v>5</v>
      </c>
    </row>
    <row r="3863" spans="1:4" ht="15" customHeight="1" x14ac:dyDescent="0.25">
      <c r="A3863" s="2" t="str">
        <f>"05010000400"</f>
        <v>05010000400</v>
      </c>
      <c r="B3863" s="2" t="s">
        <v>3865</v>
      </c>
      <c r="C3863" s="2">
        <v>19205.810000000001</v>
      </c>
      <c r="D3863" s="2" t="s">
        <v>5</v>
      </c>
    </row>
    <row r="3864" spans="1:4" ht="15" customHeight="1" x14ac:dyDescent="0.25">
      <c r="A3864" s="2" t="str">
        <f>"08200002580"</f>
        <v>08200002580</v>
      </c>
      <c r="B3864" s="2" t="s">
        <v>3866</v>
      </c>
      <c r="C3864" s="2">
        <v>38401.769999999997</v>
      </c>
      <c r="D3864" s="2" t="s">
        <v>5</v>
      </c>
    </row>
    <row r="3865" spans="1:4" ht="15" customHeight="1" x14ac:dyDescent="0.25">
      <c r="A3865" s="2" t="str">
        <f>"03019200015"</f>
        <v>03019200015</v>
      </c>
      <c r="B3865" s="2" t="s">
        <v>3867</v>
      </c>
      <c r="C3865" s="2">
        <v>1756.08</v>
      </c>
      <c r="D3865" s="2" t="s">
        <v>5</v>
      </c>
    </row>
    <row r="3866" spans="1:4" ht="15" customHeight="1" x14ac:dyDescent="0.25">
      <c r="A3866" s="2" t="str">
        <f>"03019200040"</f>
        <v>03019200040</v>
      </c>
      <c r="B3866" s="2" t="s">
        <v>3868</v>
      </c>
      <c r="C3866" s="2">
        <v>2563.79</v>
      </c>
      <c r="D3866" s="2" t="s">
        <v>5</v>
      </c>
    </row>
    <row r="3867" spans="1:4" ht="15" customHeight="1" x14ac:dyDescent="0.25">
      <c r="A3867" s="2" t="str">
        <f>"03019200030"</f>
        <v>03019200030</v>
      </c>
      <c r="B3867" s="2" t="s">
        <v>3869</v>
      </c>
      <c r="C3867" s="2">
        <v>13954.68</v>
      </c>
      <c r="D3867" s="2" t="s">
        <v>5</v>
      </c>
    </row>
    <row r="3868" spans="1:4" ht="15" customHeight="1" x14ac:dyDescent="0.25">
      <c r="A3868" s="2" t="str">
        <f>"03019200055"</f>
        <v>03019200055</v>
      </c>
      <c r="B3868" s="2" t="s">
        <v>3870</v>
      </c>
      <c r="C3868" s="2">
        <v>19753.189999999999</v>
      </c>
      <c r="D3868" s="2" t="s">
        <v>5</v>
      </c>
    </row>
    <row r="3869" spans="1:4" ht="15" customHeight="1" x14ac:dyDescent="0.25">
      <c r="A3869" s="2" t="str">
        <f>"03019200020"</f>
        <v>03019200020</v>
      </c>
      <c r="B3869" s="2" t="s">
        <v>3871</v>
      </c>
      <c r="C3869" s="2">
        <v>3915.54</v>
      </c>
      <c r="D3869" s="2" t="s">
        <v>5</v>
      </c>
    </row>
    <row r="3870" spans="1:4" ht="15" customHeight="1" x14ac:dyDescent="0.25">
      <c r="A3870" s="2" t="str">
        <f>"03019200045"</f>
        <v>03019200045</v>
      </c>
      <c r="B3870" s="2" t="s">
        <v>3872</v>
      </c>
      <c r="C3870" s="2">
        <v>5711.19</v>
      </c>
      <c r="D3870" s="2" t="s">
        <v>5</v>
      </c>
    </row>
    <row r="3871" spans="1:4" ht="15" customHeight="1" x14ac:dyDescent="0.25">
      <c r="A3871" s="2" t="str">
        <f>"03019200025"</f>
        <v>03019200025</v>
      </c>
      <c r="B3871" s="2" t="s">
        <v>3873</v>
      </c>
      <c r="C3871" s="2">
        <v>7048.62</v>
      </c>
      <c r="D3871" s="2" t="s">
        <v>5</v>
      </c>
    </row>
    <row r="3872" spans="1:4" ht="15" customHeight="1" x14ac:dyDescent="0.25">
      <c r="A3872" s="2" t="str">
        <f>"03019200050"</f>
        <v>03019200050</v>
      </c>
      <c r="B3872" s="2" t="s">
        <v>3874</v>
      </c>
      <c r="C3872" s="2">
        <v>10778.45</v>
      </c>
      <c r="D3872" s="2" t="s">
        <v>5</v>
      </c>
    </row>
    <row r="3873" spans="1:4" ht="15" customHeight="1" x14ac:dyDescent="0.25">
      <c r="A3873" s="2" t="str">
        <f>"03019200010"</f>
        <v>03019200010</v>
      </c>
      <c r="B3873" s="2" t="s">
        <v>3875</v>
      </c>
      <c r="C3873" s="2">
        <v>1176.1199999999999</v>
      </c>
      <c r="D3873" s="2" t="s">
        <v>5</v>
      </c>
    </row>
    <row r="3874" spans="1:4" ht="15" customHeight="1" x14ac:dyDescent="0.25">
      <c r="A3874" s="2" t="str">
        <f>"03019200035"</f>
        <v>03019200035</v>
      </c>
      <c r="B3874" s="2" t="s">
        <v>3876</v>
      </c>
      <c r="C3874" s="2">
        <v>1906.74</v>
      </c>
      <c r="D3874" s="2" t="s">
        <v>5</v>
      </c>
    </row>
    <row r="3875" spans="1:4" ht="15" customHeight="1" x14ac:dyDescent="0.25">
      <c r="A3875" s="2" t="str">
        <f>"03019200075"</f>
        <v>03019200075</v>
      </c>
      <c r="B3875" s="2" t="s">
        <v>3877</v>
      </c>
      <c r="C3875" s="2">
        <v>5129.57</v>
      </c>
      <c r="D3875" s="2" t="s">
        <v>5</v>
      </c>
    </row>
    <row r="3876" spans="1:4" ht="15" customHeight="1" x14ac:dyDescent="0.25">
      <c r="A3876" s="2" t="str">
        <f>"03019200080"</f>
        <v>03019200080</v>
      </c>
      <c r="B3876" s="2" t="s">
        <v>3878</v>
      </c>
      <c r="C3876" s="2">
        <v>6926.73</v>
      </c>
      <c r="D3876" s="2" t="s">
        <v>5</v>
      </c>
    </row>
    <row r="3877" spans="1:4" ht="15" customHeight="1" x14ac:dyDescent="0.25">
      <c r="A3877" s="2" t="str">
        <f>"03019200081"</f>
        <v>03019200081</v>
      </c>
      <c r="B3877" s="2" t="s">
        <v>3879</v>
      </c>
      <c r="C3877" s="2">
        <v>11446.53</v>
      </c>
      <c r="D3877" s="2" t="s">
        <v>5</v>
      </c>
    </row>
    <row r="3878" spans="1:4" ht="15" customHeight="1" x14ac:dyDescent="0.25">
      <c r="A3878" s="2" t="str">
        <f>"03019202505"</f>
        <v>03019202505</v>
      </c>
      <c r="B3878" s="2" t="s">
        <v>3880</v>
      </c>
      <c r="C3878" s="2">
        <v>3344.48</v>
      </c>
      <c r="D3878" s="2" t="s">
        <v>5</v>
      </c>
    </row>
    <row r="3879" spans="1:4" ht="15" customHeight="1" x14ac:dyDescent="0.25">
      <c r="A3879" s="2" t="str">
        <f>"03019202450"</f>
        <v>03019202450</v>
      </c>
      <c r="B3879" s="2" t="s">
        <v>3881</v>
      </c>
      <c r="C3879" s="2">
        <v>3026.16</v>
      </c>
      <c r="D3879" s="2" t="s">
        <v>5</v>
      </c>
    </row>
    <row r="3880" spans="1:4" ht="15" customHeight="1" x14ac:dyDescent="0.25">
      <c r="A3880" s="2" t="str">
        <f>"03019202500"</f>
        <v>03019202500</v>
      </c>
      <c r="B3880" s="2" t="s">
        <v>3882</v>
      </c>
      <c r="C3880" s="2">
        <v>4228.2</v>
      </c>
      <c r="D3880" s="2" t="s">
        <v>5</v>
      </c>
    </row>
    <row r="3881" spans="1:4" ht="15" customHeight="1" x14ac:dyDescent="0.25">
      <c r="A3881" s="2" t="str">
        <f>"03019200210"</f>
        <v>03019200210</v>
      </c>
      <c r="B3881" s="2" t="s">
        <v>3883</v>
      </c>
      <c r="C3881" s="2">
        <v>2822.04</v>
      </c>
      <c r="D3881" s="2" t="s">
        <v>5</v>
      </c>
    </row>
    <row r="3882" spans="1:4" ht="15" customHeight="1" x14ac:dyDescent="0.25">
      <c r="A3882" s="2" t="str">
        <f>"03019200221"</f>
        <v>03019200221</v>
      </c>
      <c r="B3882" s="2" t="s">
        <v>3884</v>
      </c>
      <c r="C3882" s="2">
        <v>26409.24</v>
      </c>
      <c r="D3882" s="2" t="s">
        <v>5</v>
      </c>
    </row>
    <row r="3883" spans="1:4" ht="15" customHeight="1" x14ac:dyDescent="0.25">
      <c r="A3883" s="2" t="str">
        <f>"03019200200"</f>
        <v>03019200200</v>
      </c>
      <c r="B3883" s="2" t="s">
        <v>3885</v>
      </c>
      <c r="C3883" s="2">
        <v>670.68</v>
      </c>
      <c r="D3883" s="2" t="s">
        <v>5</v>
      </c>
    </row>
    <row r="3884" spans="1:4" ht="15" customHeight="1" x14ac:dyDescent="0.25">
      <c r="A3884" s="2" t="str">
        <f>"03019200205"</f>
        <v>03019200205</v>
      </c>
      <c r="B3884" s="2" t="s">
        <v>3886</v>
      </c>
      <c r="C3884" s="2">
        <v>1472.58</v>
      </c>
      <c r="D3884" s="2" t="s">
        <v>5</v>
      </c>
    </row>
    <row r="3885" spans="1:4" ht="15" customHeight="1" x14ac:dyDescent="0.25">
      <c r="A3885" s="2" t="str">
        <f>"03019200300"</f>
        <v>03019200300</v>
      </c>
      <c r="B3885" s="2" t="s">
        <v>3887</v>
      </c>
      <c r="C3885" s="2">
        <v>571.53</v>
      </c>
      <c r="D3885" s="2" t="s">
        <v>5</v>
      </c>
    </row>
    <row r="3886" spans="1:4" ht="15" customHeight="1" x14ac:dyDescent="0.25">
      <c r="A3886" s="2" t="str">
        <f>"03019200405"</f>
        <v>03019200405</v>
      </c>
      <c r="B3886" s="2" t="s">
        <v>3888</v>
      </c>
      <c r="C3886" s="2">
        <v>991.44</v>
      </c>
      <c r="D3886" s="2" t="s">
        <v>5</v>
      </c>
    </row>
    <row r="3887" spans="1:4" ht="15" customHeight="1" x14ac:dyDescent="0.25">
      <c r="A3887" s="2" t="str">
        <f>"03019200410"</f>
        <v>03019200410</v>
      </c>
      <c r="B3887" s="2" t="s">
        <v>3889</v>
      </c>
      <c r="C3887" s="2">
        <v>1997.46</v>
      </c>
      <c r="D3887" s="2" t="s">
        <v>5</v>
      </c>
    </row>
    <row r="3888" spans="1:4" ht="15" customHeight="1" x14ac:dyDescent="0.25">
      <c r="A3888" s="2" t="str">
        <f>"03019200400"</f>
        <v>03019200400</v>
      </c>
      <c r="B3888" s="2" t="s">
        <v>3890</v>
      </c>
      <c r="C3888" s="2">
        <v>720.9</v>
      </c>
      <c r="D3888" s="2" t="s">
        <v>5</v>
      </c>
    </row>
    <row r="3889" spans="1:4" ht="15" customHeight="1" x14ac:dyDescent="0.25">
      <c r="A3889" s="2" t="str">
        <f>"03019200500"</f>
        <v>03019200500</v>
      </c>
      <c r="B3889" s="2" t="s">
        <v>3891</v>
      </c>
      <c r="C3889" s="2">
        <v>4649.3999999999996</v>
      </c>
      <c r="D3889" s="2" t="s">
        <v>5</v>
      </c>
    </row>
    <row r="3890" spans="1:4" ht="15" customHeight="1" x14ac:dyDescent="0.25">
      <c r="A3890" s="2" t="str">
        <f>"03019200425"</f>
        <v>03019200425</v>
      </c>
      <c r="B3890" s="2" t="s">
        <v>3892</v>
      </c>
      <c r="C3890" s="2">
        <v>3645.48</v>
      </c>
      <c r="D3890" s="2" t="s">
        <v>5</v>
      </c>
    </row>
    <row r="3891" spans="1:4" ht="15" customHeight="1" x14ac:dyDescent="0.25">
      <c r="A3891" s="2" t="str">
        <f>"03019200600"</f>
        <v>03019200600</v>
      </c>
      <c r="B3891" s="2" t="s">
        <v>3893</v>
      </c>
      <c r="C3891" s="2">
        <v>609.12</v>
      </c>
      <c r="D3891" s="2" t="s">
        <v>5</v>
      </c>
    </row>
    <row r="3892" spans="1:4" ht="15" customHeight="1" x14ac:dyDescent="0.25">
      <c r="A3892" s="2" t="str">
        <f>"03019200615"</f>
        <v>03019200615</v>
      </c>
      <c r="B3892" s="2" t="s">
        <v>3894</v>
      </c>
      <c r="C3892" s="2">
        <v>2225.88</v>
      </c>
      <c r="D3892" s="2" t="s">
        <v>5</v>
      </c>
    </row>
    <row r="3893" spans="1:4" ht="15" customHeight="1" x14ac:dyDescent="0.25">
      <c r="A3893" s="2" t="str">
        <f>"03019200605"</f>
        <v>03019200605</v>
      </c>
      <c r="B3893" s="2" t="s">
        <v>3895</v>
      </c>
      <c r="C3893" s="2">
        <v>850.5</v>
      </c>
      <c r="D3893" s="2" t="s">
        <v>5</v>
      </c>
    </row>
    <row r="3894" spans="1:4" ht="15" customHeight="1" x14ac:dyDescent="0.25">
      <c r="A3894" s="2" t="str">
        <f>"03019200610"</f>
        <v>03019200610</v>
      </c>
      <c r="B3894" s="2" t="s">
        <v>3896</v>
      </c>
      <c r="C3894" s="2">
        <v>1650.78</v>
      </c>
      <c r="D3894" s="2" t="s">
        <v>5</v>
      </c>
    </row>
    <row r="3895" spans="1:4" ht="15" customHeight="1" x14ac:dyDescent="0.25">
      <c r="A3895" s="2" t="str">
        <f>"03019200700"</f>
        <v>03019200700</v>
      </c>
      <c r="B3895" s="2" t="s">
        <v>3897</v>
      </c>
      <c r="C3895" s="2">
        <v>1027.08</v>
      </c>
      <c r="D3895" s="2" t="s">
        <v>5</v>
      </c>
    </row>
    <row r="3896" spans="1:4" ht="15" customHeight="1" x14ac:dyDescent="0.25">
      <c r="A3896" s="2" t="str">
        <f>"03019200705"</f>
        <v>03019200705</v>
      </c>
      <c r="B3896" s="2" t="s">
        <v>3898</v>
      </c>
      <c r="C3896" s="2">
        <v>1514.7</v>
      </c>
      <c r="D3896" s="2" t="s">
        <v>5</v>
      </c>
    </row>
    <row r="3897" spans="1:4" ht="15" customHeight="1" x14ac:dyDescent="0.25">
      <c r="A3897" s="2" t="str">
        <f>"03019200710"</f>
        <v>03019200710</v>
      </c>
      <c r="B3897" s="2" t="s">
        <v>3899</v>
      </c>
      <c r="C3897" s="2">
        <v>2634.12</v>
      </c>
      <c r="D3897" s="2" t="s">
        <v>5</v>
      </c>
    </row>
    <row r="3898" spans="1:4" ht="15" customHeight="1" x14ac:dyDescent="0.25">
      <c r="A3898" s="2" t="str">
        <f>"03019200805"</f>
        <v>03019200805</v>
      </c>
      <c r="B3898" s="2" t="s">
        <v>3900</v>
      </c>
      <c r="C3898" s="2">
        <v>1155.06</v>
      </c>
      <c r="D3898" s="2" t="s">
        <v>5</v>
      </c>
    </row>
    <row r="3899" spans="1:4" ht="15" customHeight="1" x14ac:dyDescent="0.25">
      <c r="A3899" s="2" t="str">
        <f>"03019200800"</f>
        <v>03019200800</v>
      </c>
      <c r="B3899" s="2" t="s">
        <v>3901</v>
      </c>
      <c r="C3899" s="2">
        <v>657.72</v>
      </c>
      <c r="D3899" s="2" t="s">
        <v>5</v>
      </c>
    </row>
    <row r="3900" spans="1:4" ht="15" customHeight="1" x14ac:dyDescent="0.25">
      <c r="A3900" s="2" t="str">
        <f>"03019200810"</f>
        <v>03019200810</v>
      </c>
      <c r="B3900" s="2" t="s">
        <v>3902</v>
      </c>
      <c r="C3900" s="2">
        <v>3766.5</v>
      </c>
      <c r="D3900" s="2" t="s">
        <v>5</v>
      </c>
    </row>
    <row r="3901" spans="1:4" ht="15" customHeight="1" x14ac:dyDescent="0.25">
      <c r="A3901" s="2" t="str">
        <f>"03019200665"</f>
        <v>03019200665</v>
      </c>
      <c r="B3901" s="2" t="s">
        <v>3903</v>
      </c>
      <c r="C3901" s="2">
        <v>4608.8999999999996</v>
      </c>
      <c r="D3901" s="2" t="s">
        <v>5</v>
      </c>
    </row>
    <row r="3902" spans="1:4" ht="15" customHeight="1" x14ac:dyDescent="0.25">
      <c r="A3902" s="2" t="str">
        <f>"03019200650"</f>
        <v>03019200650</v>
      </c>
      <c r="B3902" s="2" t="s">
        <v>3904</v>
      </c>
      <c r="C3902" s="2">
        <v>1061.0999999999999</v>
      </c>
      <c r="D3902" s="2" t="s">
        <v>5</v>
      </c>
    </row>
    <row r="3903" spans="1:4" ht="15" customHeight="1" x14ac:dyDescent="0.25">
      <c r="A3903" s="2" t="str">
        <f>"03019200655"</f>
        <v>03019200655</v>
      </c>
      <c r="B3903" s="2" t="s">
        <v>3905</v>
      </c>
      <c r="C3903" s="2">
        <v>1564.92</v>
      </c>
      <c r="D3903" s="2" t="s">
        <v>5</v>
      </c>
    </row>
    <row r="3904" spans="1:4" ht="15" customHeight="1" x14ac:dyDescent="0.25">
      <c r="A3904" s="2" t="str">
        <f>"03019200660"</f>
        <v>03019200660</v>
      </c>
      <c r="B3904" s="2" t="s">
        <v>3906</v>
      </c>
      <c r="C3904" s="2">
        <v>2721.6</v>
      </c>
      <c r="D3904" s="2" t="s">
        <v>5</v>
      </c>
    </row>
    <row r="3905" spans="1:4" ht="15" customHeight="1" x14ac:dyDescent="0.25">
      <c r="A3905" s="2" t="str">
        <f>"03019201000"</f>
        <v>03019201000</v>
      </c>
      <c r="B3905" s="2" t="s">
        <v>3907</v>
      </c>
      <c r="C3905" s="2">
        <v>678.78</v>
      </c>
      <c r="D3905" s="2" t="s">
        <v>5</v>
      </c>
    </row>
    <row r="3906" spans="1:4" ht="15" customHeight="1" x14ac:dyDescent="0.25">
      <c r="A3906" s="2" t="str">
        <f>"03019201050"</f>
        <v>03019201050</v>
      </c>
      <c r="B3906" s="2" t="s">
        <v>3908</v>
      </c>
      <c r="C3906" s="2">
        <v>521.64</v>
      </c>
      <c r="D3906" s="2" t="s">
        <v>5</v>
      </c>
    </row>
    <row r="3907" spans="1:4" ht="15" customHeight="1" x14ac:dyDescent="0.25">
      <c r="A3907" s="2" t="str">
        <f>"03019210031"</f>
        <v>03019210031</v>
      </c>
      <c r="B3907" s="2" t="s">
        <v>3909</v>
      </c>
      <c r="C3907" s="2">
        <v>4759.5600000000004</v>
      </c>
      <c r="D3907" s="2" t="s">
        <v>5</v>
      </c>
    </row>
    <row r="3908" spans="1:4" ht="15" customHeight="1" x14ac:dyDescent="0.25">
      <c r="A3908" s="2" t="str">
        <f>"03019201100"</f>
        <v>03019201100</v>
      </c>
      <c r="B3908" s="2" t="s">
        <v>3910</v>
      </c>
      <c r="C3908" s="2">
        <v>1490.4</v>
      </c>
      <c r="D3908" s="2" t="s">
        <v>5</v>
      </c>
    </row>
    <row r="3909" spans="1:4" ht="15" customHeight="1" x14ac:dyDescent="0.25">
      <c r="A3909" s="2" t="str">
        <f>"03019201115"</f>
        <v>03019201115</v>
      </c>
      <c r="B3909" s="2" t="s">
        <v>3911</v>
      </c>
      <c r="C3909" s="2">
        <v>11352.96</v>
      </c>
      <c r="D3909" s="2" t="s">
        <v>5</v>
      </c>
    </row>
    <row r="3910" spans="1:4" ht="15" customHeight="1" x14ac:dyDescent="0.25">
      <c r="A3910" s="2" t="str">
        <f>"03019201105"</f>
        <v>03019201105</v>
      </c>
      <c r="B3910" s="2" t="s">
        <v>3912</v>
      </c>
      <c r="C3910" s="2">
        <v>2567.6999999999998</v>
      </c>
      <c r="D3910" s="2" t="s">
        <v>5</v>
      </c>
    </row>
    <row r="3911" spans="1:4" ht="15" customHeight="1" x14ac:dyDescent="0.25">
      <c r="A3911" s="2" t="str">
        <f>"03019201110"</f>
        <v>03019201110</v>
      </c>
      <c r="B3911" s="2" t="s">
        <v>3913</v>
      </c>
      <c r="C3911" s="2">
        <v>5853.06</v>
      </c>
      <c r="D3911" s="2" t="s">
        <v>5</v>
      </c>
    </row>
    <row r="3912" spans="1:4" ht="15" customHeight="1" x14ac:dyDescent="0.25">
      <c r="A3912" s="2" t="str">
        <f>"03019201255"</f>
        <v>03019201255</v>
      </c>
      <c r="B3912" s="2" t="s">
        <v>3914</v>
      </c>
      <c r="C3912" s="2">
        <v>1861.38</v>
      </c>
      <c r="D3912" s="2" t="s">
        <v>5</v>
      </c>
    </row>
    <row r="3913" spans="1:4" ht="15" customHeight="1" x14ac:dyDescent="0.25">
      <c r="A3913" s="2" t="str">
        <f>"03019201250"</f>
        <v>03019201250</v>
      </c>
      <c r="B3913" s="2" t="s">
        <v>3915</v>
      </c>
      <c r="C3913" s="2">
        <v>933.12</v>
      </c>
      <c r="D3913" s="2" t="s">
        <v>5</v>
      </c>
    </row>
    <row r="3914" spans="1:4" ht="15" customHeight="1" x14ac:dyDescent="0.25">
      <c r="A3914" s="2" t="str">
        <f>"03019201200"</f>
        <v>03019201200</v>
      </c>
      <c r="B3914" s="2" t="s">
        <v>3916</v>
      </c>
      <c r="C3914" s="2">
        <v>4772.5200000000004</v>
      </c>
      <c r="D3914" s="2" t="s">
        <v>5</v>
      </c>
    </row>
    <row r="3915" spans="1:4" ht="15" customHeight="1" x14ac:dyDescent="0.25">
      <c r="A3915" s="2" t="str">
        <f>"03019201280"</f>
        <v>03019201280</v>
      </c>
      <c r="B3915" s="2" t="s">
        <v>3917</v>
      </c>
      <c r="C3915" s="2">
        <v>453.6</v>
      </c>
      <c r="D3915" s="2" t="s">
        <v>5</v>
      </c>
    </row>
    <row r="3916" spans="1:4" ht="15" customHeight="1" x14ac:dyDescent="0.25">
      <c r="A3916" s="2" t="str">
        <f>"03019201290"</f>
        <v>03019201290</v>
      </c>
      <c r="B3916" s="2" t="s">
        <v>3918</v>
      </c>
      <c r="C3916" s="2">
        <v>338.58</v>
      </c>
      <c r="D3916" s="2" t="s">
        <v>5</v>
      </c>
    </row>
    <row r="3917" spans="1:4" ht="15" customHeight="1" x14ac:dyDescent="0.25">
      <c r="A3917" s="2" t="str">
        <f>"03019201300"</f>
        <v>03019201300</v>
      </c>
      <c r="B3917" s="2" t="s">
        <v>3919</v>
      </c>
      <c r="C3917" s="2">
        <v>829.44</v>
      </c>
      <c r="D3917" s="2" t="s">
        <v>5</v>
      </c>
    </row>
    <row r="3918" spans="1:4" ht="15" customHeight="1" x14ac:dyDescent="0.25">
      <c r="A3918" s="2" t="str">
        <f>"03019201400"</f>
        <v>03019201400</v>
      </c>
      <c r="B3918" s="2" t="s">
        <v>3920</v>
      </c>
      <c r="C3918" s="2">
        <v>4719.0600000000004</v>
      </c>
      <c r="D3918" s="2" t="s">
        <v>5</v>
      </c>
    </row>
    <row r="3919" spans="1:4" ht="15" customHeight="1" x14ac:dyDescent="0.25">
      <c r="A3919" s="2" t="str">
        <f>"03019201420"</f>
        <v>03019201420</v>
      </c>
      <c r="B3919" s="2" t="s">
        <v>3921</v>
      </c>
      <c r="C3919" s="2">
        <v>3538.97</v>
      </c>
      <c r="D3919" s="2" t="s">
        <v>5</v>
      </c>
    </row>
    <row r="3920" spans="1:4" ht="15" customHeight="1" x14ac:dyDescent="0.25">
      <c r="A3920" s="2" t="str">
        <f>"03019201428"</f>
        <v>03019201428</v>
      </c>
      <c r="B3920" s="2" t="s">
        <v>3922</v>
      </c>
      <c r="C3920" s="2">
        <v>1706.82</v>
      </c>
      <c r="D3920" s="2" t="s">
        <v>5</v>
      </c>
    </row>
    <row r="3921" spans="1:4" ht="15" customHeight="1" x14ac:dyDescent="0.25">
      <c r="A3921" s="2" t="str">
        <f>"03019201410"</f>
        <v>03019201410</v>
      </c>
      <c r="B3921" s="2" t="s">
        <v>3923</v>
      </c>
      <c r="C3921" s="2">
        <v>71349.66</v>
      </c>
      <c r="D3921" s="2" t="s">
        <v>5</v>
      </c>
    </row>
    <row r="3922" spans="1:4" ht="15" customHeight="1" x14ac:dyDescent="0.25">
      <c r="A3922" s="2" t="str">
        <f>"03019201424"</f>
        <v>03019201424</v>
      </c>
      <c r="B3922" s="2" t="s">
        <v>3924</v>
      </c>
      <c r="C3922" s="2">
        <v>37794.980000000003</v>
      </c>
      <c r="D3922" s="2" t="s">
        <v>5</v>
      </c>
    </row>
    <row r="3923" spans="1:4" ht="15" customHeight="1" x14ac:dyDescent="0.25">
      <c r="A3923" s="2" t="str">
        <f>"03019201426"</f>
        <v>03019201426</v>
      </c>
      <c r="B3923" s="2" t="s">
        <v>3925</v>
      </c>
      <c r="C3923" s="2">
        <v>20298.95</v>
      </c>
      <c r="D3923" s="2" t="s">
        <v>5</v>
      </c>
    </row>
    <row r="3924" spans="1:4" ht="15" customHeight="1" x14ac:dyDescent="0.25">
      <c r="A3924" s="2" t="str">
        <f>"03019201405"</f>
        <v>03019201405</v>
      </c>
      <c r="B3924" s="2" t="s">
        <v>3926</v>
      </c>
      <c r="C3924" s="2">
        <v>17828.099999999999</v>
      </c>
      <c r="D3924" s="2" t="s">
        <v>5</v>
      </c>
    </row>
    <row r="3925" spans="1:4" ht="15" customHeight="1" x14ac:dyDescent="0.25">
      <c r="A3925" s="2" t="str">
        <f>"03019201422"</f>
        <v>03019201422</v>
      </c>
      <c r="B3925" s="2" t="s">
        <v>3927</v>
      </c>
      <c r="C3925" s="2">
        <v>7212.05</v>
      </c>
      <c r="D3925" s="2" t="s">
        <v>5</v>
      </c>
    </row>
    <row r="3926" spans="1:4" ht="15" customHeight="1" x14ac:dyDescent="0.25">
      <c r="A3926" s="2" t="str">
        <f>"03019201430"</f>
        <v>03019201430</v>
      </c>
      <c r="B3926" s="2" t="s">
        <v>3928</v>
      </c>
      <c r="C3926" s="2">
        <v>5323.47</v>
      </c>
      <c r="D3926" s="2" t="s">
        <v>5</v>
      </c>
    </row>
    <row r="3927" spans="1:4" ht="15" customHeight="1" x14ac:dyDescent="0.25">
      <c r="A3927" s="2" t="str">
        <f>"03019201510"</f>
        <v>03019201510</v>
      </c>
      <c r="B3927" s="2" t="s">
        <v>3929</v>
      </c>
      <c r="C3927" s="2">
        <v>23038.02</v>
      </c>
      <c r="D3927" s="2" t="s">
        <v>5</v>
      </c>
    </row>
    <row r="3928" spans="1:4" ht="15" customHeight="1" x14ac:dyDescent="0.25">
      <c r="A3928" s="2" t="str">
        <f>"03019201500"</f>
        <v>03019201500</v>
      </c>
      <c r="B3928" s="2" t="s">
        <v>3930</v>
      </c>
      <c r="C3928" s="2">
        <v>6434.64</v>
      </c>
      <c r="D3928" s="2" t="s">
        <v>5</v>
      </c>
    </row>
    <row r="3929" spans="1:4" ht="15" customHeight="1" x14ac:dyDescent="0.25">
      <c r="A3929" s="2" t="str">
        <f>"03019201505"</f>
        <v>03019201505</v>
      </c>
      <c r="B3929" s="2" t="s">
        <v>3931</v>
      </c>
      <c r="C3929" s="2">
        <v>11866.5</v>
      </c>
      <c r="D3929" s="2" t="s">
        <v>5</v>
      </c>
    </row>
    <row r="3930" spans="1:4" ht="15" customHeight="1" x14ac:dyDescent="0.25">
      <c r="A3930" s="2" t="str">
        <f>"03019201499"</f>
        <v>03019201499</v>
      </c>
      <c r="B3930" s="2" t="s">
        <v>3932</v>
      </c>
      <c r="C3930" s="2">
        <v>2786.4</v>
      </c>
      <c r="D3930" s="2" t="s">
        <v>5</v>
      </c>
    </row>
    <row r="3931" spans="1:4" ht="15" customHeight="1" x14ac:dyDescent="0.25">
      <c r="A3931" s="2" t="str">
        <f>"03019201710"</f>
        <v>03019201710</v>
      </c>
      <c r="B3931" s="2" t="s">
        <v>3933</v>
      </c>
      <c r="C3931" s="2">
        <v>2604.96</v>
      </c>
      <c r="D3931" s="2" t="s">
        <v>5</v>
      </c>
    </row>
    <row r="3932" spans="1:4" ht="15" customHeight="1" x14ac:dyDescent="0.25">
      <c r="A3932" s="2" t="str">
        <f>"03019201700"</f>
        <v>03019201700</v>
      </c>
      <c r="B3932" s="2" t="s">
        <v>3934</v>
      </c>
      <c r="C3932" s="2">
        <v>824.58</v>
      </c>
      <c r="D3932" s="2" t="s">
        <v>5</v>
      </c>
    </row>
    <row r="3933" spans="1:4" ht="15" customHeight="1" x14ac:dyDescent="0.25">
      <c r="A3933" s="2" t="str">
        <f>"03019201705"</f>
        <v>03019201705</v>
      </c>
      <c r="B3933" s="2" t="s">
        <v>3935</v>
      </c>
      <c r="C3933" s="2">
        <v>1404.54</v>
      </c>
      <c r="D3933" s="2" t="s">
        <v>5</v>
      </c>
    </row>
    <row r="3934" spans="1:4" ht="15" customHeight="1" x14ac:dyDescent="0.25">
      <c r="A3934" s="2" t="str">
        <f>"03019202000"</f>
        <v>03019202000</v>
      </c>
      <c r="B3934" s="2" t="s">
        <v>3936</v>
      </c>
      <c r="C3934" s="2">
        <v>4432.8500000000004</v>
      </c>
      <c r="D3934" s="2" t="s">
        <v>5</v>
      </c>
    </row>
    <row r="3935" spans="1:4" ht="15" customHeight="1" x14ac:dyDescent="0.25">
      <c r="A3935" s="2" t="str">
        <f>"03019201990"</f>
        <v>03019201990</v>
      </c>
      <c r="B3935" s="2" t="s">
        <v>3937</v>
      </c>
      <c r="C3935" s="2">
        <v>2600.9699999999998</v>
      </c>
      <c r="D3935" s="2" t="s">
        <v>5</v>
      </c>
    </row>
    <row r="3936" spans="1:4" ht="15" customHeight="1" x14ac:dyDescent="0.25">
      <c r="A3936" s="2" t="str">
        <f>"03019201770"</f>
        <v>03019201770</v>
      </c>
      <c r="B3936" s="2" t="s">
        <v>3938</v>
      </c>
      <c r="C3936" s="2">
        <v>7285.14</v>
      </c>
      <c r="D3936" s="2" t="s">
        <v>5</v>
      </c>
    </row>
    <row r="3937" spans="1:4" ht="15" customHeight="1" x14ac:dyDescent="0.25">
      <c r="A3937" s="2" t="str">
        <f>"03019200098"</f>
        <v>03019200098</v>
      </c>
      <c r="B3937" s="2" t="s">
        <v>3939</v>
      </c>
      <c r="C3937" s="2">
        <v>3254.58</v>
      </c>
      <c r="D3937" s="2" t="s">
        <v>5</v>
      </c>
    </row>
    <row r="3938" spans="1:4" ht="15" customHeight="1" x14ac:dyDescent="0.25">
      <c r="A3938" s="2" t="str">
        <f>"03019200095"</f>
        <v>03019200095</v>
      </c>
      <c r="B3938" s="2" t="s">
        <v>3940</v>
      </c>
      <c r="C3938" s="2">
        <v>1678.32</v>
      </c>
      <c r="D3938" s="2" t="s">
        <v>5</v>
      </c>
    </row>
    <row r="3939" spans="1:4" ht="15" customHeight="1" x14ac:dyDescent="0.25">
      <c r="A3939" s="2" t="str">
        <f>"03019200096"</f>
        <v>03019200096</v>
      </c>
      <c r="B3939" s="2" t="s">
        <v>3941</v>
      </c>
      <c r="C3939" s="2">
        <v>1764.18</v>
      </c>
      <c r="D3939" s="2" t="s">
        <v>5</v>
      </c>
    </row>
    <row r="3940" spans="1:4" ht="15" customHeight="1" x14ac:dyDescent="0.25">
      <c r="A3940" s="2" t="str">
        <f>"03019201610"</f>
        <v>03019201610</v>
      </c>
      <c r="B3940" s="2" t="s">
        <v>3942</v>
      </c>
      <c r="C3940" s="2">
        <v>2365.1999999999998</v>
      </c>
      <c r="D3940" s="2" t="s">
        <v>5</v>
      </c>
    </row>
    <row r="3941" spans="1:4" ht="15" customHeight="1" x14ac:dyDescent="0.25">
      <c r="A3941" s="2" t="str">
        <f>"03019201600"</f>
        <v>03019201600</v>
      </c>
      <c r="B3941" s="2" t="s">
        <v>3943</v>
      </c>
      <c r="C3941" s="2">
        <v>599.4</v>
      </c>
      <c r="D3941" s="2" t="s">
        <v>5</v>
      </c>
    </row>
    <row r="3942" spans="1:4" ht="15" customHeight="1" x14ac:dyDescent="0.25">
      <c r="A3942" s="2" t="str">
        <f>"03019201605"</f>
        <v>03019201605</v>
      </c>
      <c r="B3942" s="2" t="s">
        <v>3944</v>
      </c>
      <c r="C3942" s="2">
        <v>955.8</v>
      </c>
      <c r="D3942" s="2" t="s">
        <v>5</v>
      </c>
    </row>
    <row r="3943" spans="1:4" ht="15" customHeight="1" x14ac:dyDescent="0.25">
      <c r="A3943" s="2" t="str">
        <f>"03019202510"</f>
        <v>03019202510</v>
      </c>
      <c r="B3943" s="2" t="s">
        <v>3945</v>
      </c>
      <c r="C3943" s="2">
        <v>10430.06</v>
      </c>
      <c r="D3943" s="2" t="s">
        <v>5</v>
      </c>
    </row>
    <row r="3944" spans="1:4" ht="15" customHeight="1" x14ac:dyDescent="0.25">
      <c r="A3944" s="2" t="str">
        <f>"03019202550"</f>
        <v>03019202550</v>
      </c>
      <c r="B3944" s="2" t="s">
        <v>3946</v>
      </c>
      <c r="C3944" s="2">
        <v>2159.46</v>
      </c>
      <c r="D3944" s="2" t="s">
        <v>5</v>
      </c>
    </row>
    <row r="3945" spans="1:4" ht="15" customHeight="1" x14ac:dyDescent="0.25">
      <c r="A3945" s="2" t="str">
        <f>"05015000516"</f>
        <v>05015000516</v>
      </c>
      <c r="B3945" s="2" t="s">
        <v>3947</v>
      </c>
      <c r="C3945" s="2">
        <v>391.91</v>
      </c>
      <c r="D3945" s="2" t="s">
        <v>5</v>
      </c>
    </row>
    <row r="3946" spans="1:4" ht="15" customHeight="1" x14ac:dyDescent="0.25">
      <c r="A3946" s="2" t="str">
        <f>"05015000518"</f>
        <v>05015000518</v>
      </c>
      <c r="B3946" s="2" t="s">
        <v>3948</v>
      </c>
      <c r="C3946" s="2">
        <v>410</v>
      </c>
      <c r="D3946" s="2" t="s">
        <v>5</v>
      </c>
    </row>
    <row r="3947" spans="1:4" ht="15" customHeight="1" x14ac:dyDescent="0.25">
      <c r="A3947" s="2" t="str">
        <f>"05015000512"</f>
        <v>05015000512</v>
      </c>
      <c r="B3947" s="2" t="s">
        <v>3949</v>
      </c>
      <c r="C3947" s="2">
        <v>974.52</v>
      </c>
      <c r="D3947" s="2" t="s">
        <v>5</v>
      </c>
    </row>
    <row r="3948" spans="1:4" ht="15" customHeight="1" x14ac:dyDescent="0.25">
      <c r="A3948" s="2" t="str">
        <f>"05015000514"</f>
        <v>05015000514</v>
      </c>
      <c r="B3948" s="2" t="s">
        <v>3950</v>
      </c>
      <c r="C3948" s="2">
        <v>1043.3399999999999</v>
      </c>
      <c r="D3948" s="2" t="s">
        <v>5</v>
      </c>
    </row>
    <row r="3949" spans="1:4" ht="15" customHeight="1" x14ac:dyDescent="0.25">
      <c r="A3949" s="2" t="str">
        <f>"03062000130"</f>
        <v>03062000130</v>
      </c>
      <c r="B3949" s="2" t="s">
        <v>3951</v>
      </c>
      <c r="C3949" s="2">
        <v>3644.25</v>
      </c>
      <c r="D3949" s="2" t="s">
        <v>5</v>
      </c>
    </row>
    <row r="3950" spans="1:4" ht="15" customHeight="1" x14ac:dyDescent="0.25">
      <c r="A3950" s="2" t="str">
        <f>"03062000120"</f>
        <v>03062000120</v>
      </c>
      <c r="B3950" s="2" t="s">
        <v>3952</v>
      </c>
      <c r="C3950" s="2">
        <v>3034.19</v>
      </c>
      <c r="D3950" s="2" t="s">
        <v>5</v>
      </c>
    </row>
    <row r="3951" spans="1:4" ht="15" customHeight="1" x14ac:dyDescent="0.25">
      <c r="A3951" s="2" t="str">
        <f>"03062000150"</f>
        <v>03062000150</v>
      </c>
      <c r="B3951" s="2" t="s">
        <v>3953</v>
      </c>
      <c r="C3951" s="2">
        <v>1149.83</v>
      </c>
      <c r="D3951" s="2" t="s">
        <v>5</v>
      </c>
    </row>
    <row r="3952" spans="1:4" ht="15" customHeight="1" x14ac:dyDescent="0.25">
      <c r="A3952" s="2" t="str">
        <f>"03062000140"</f>
        <v>03062000140</v>
      </c>
      <c r="B3952" s="2" t="s">
        <v>3954</v>
      </c>
      <c r="C3952" s="2">
        <v>1041.72</v>
      </c>
      <c r="D3952" s="2" t="s">
        <v>5</v>
      </c>
    </row>
    <row r="3953" spans="1:4" ht="15" customHeight="1" x14ac:dyDescent="0.25">
      <c r="A3953" s="2" t="str">
        <f>"03010000506"</f>
        <v>03010000506</v>
      </c>
      <c r="B3953" s="2" t="s">
        <v>3955</v>
      </c>
      <c r="C3953" s="2">
        <v>896.39</v>
      </c>
      <c r="D3953" s="2" t="s">
        <v>5</v>
      </c>
    </row>
    <row r="3954" spans="1:4" ht="15" customHeight="1" x14ac:dyDescent="0.25">
      <c r="A3954" s="2" t="str">
        <f>"03010000507"</f>
        <v>03010000507</v>
      </c>
      <c r="B3954" s="2" t="s">
        <v>3956</v>
      </c>
      <c r="C3954" s="2">
        <v>835.98</v>
      </c>
      <c r="D3954" s="2" t="s">
        <v>5</v>
      </c>
    </row>
    <row r="3955" spans="1:4" ht="15" customHeight="1" x14ac:dyDescent="0.25">
      <c r="A3955" s="2" t="str">
        <f>"06070000052"</f>
        <v>06070000052</v>
      </c>
      <c r="B3955" s="2" t="s">
        <v>3957</v>
      </c>
      <c r="C3955" s="2">
        <v>799.49</v>
      </c>
      <c r="D3955" s="2" t="s">
        <v>5</v>
      </c>
    </row>
    <row r="3956" spans="1:4" ht="15" customHeight="1" x14ac:dyDescent="0.25">
      <c r="A3956" s="2" t="str">
        <f>"06070000051"</f>
        <v>06070000051</v>
      </c>
      <c r="B3956" s="2" t="s">
        <v>3958</v>
      </c>
      <c r="C3956" s="2">
        <v>745.62</v>
      </c>
      <c r="D3956" s="2" t="s">
        <v>5</v>
      </c>
    </row>
    <row r="3957" spans="1:4" ht="15" customHeight="1" x14ac:dyDescent="0.25">
      <c r="A3957" s="2" t="str">
        <f>"03017400030"</f>
        <v>03017400030</v>
      </c>
      <c r="B3957" s="2" t="s">
        <v>3959</v>
      </c>
      <c r="C3957" s="2">
        <v>1032.93</v>
      </c>
      <c r="D3957" s="2" t="s">
        <v>5</v>
      </c>
    </row>
    <row r="3958" spans="1:4" ht="15" customHeight="1" x14ac:dyDescent="0.25">
      <c r="A3958" s="2" t="str">
        <f>"03017400010"</f>
        <v>03017400010</v>
      </c>
      <c r="B3958" s="2" t="s">
        <v>3960</v>
      </c>
      <c r="C3958" s="2">
        <v>2476.3200000000002</v>
      </c>
      <c r="D3958" s="2" t="s">
        <v>5</v>
      </c>
    </row>
    <row r="3959" spans="1:4" ht="15" customHeight="1" x14ac:dyDescent="0.25">
      <c r="A3959" s="2" t="str">
        <f>"03017400020"</f>
        <v>03017400020</v>
      </c>
      <c r="B3959" s="2" t="s">
        <v>3961</v>
      </c>
      <c r="C3959" s="2">
        <v>1775.9</v>
      </c>
      <c r="D3959" s="2" t="s">
        <v>5</v>
      </c>
    </row>
    <row r="3960" spans="1:4" ht="15" customHeight="1" x14ac:dyDescent="0.25">
      <c r="A3960" s="2" t="str">
        <f>"03017400005"</f>
        <v>03017400005</v>
      </c>
      <c r="B3960" s="2" t="s">
        <v>3962</v>
      </c>
      <c r="C3960" s="2">
        <v>3488.96</v>
      </c>
      <c r="D3960" s="2" t="s">
        <v>5</v>
      </c>
    </row>
    <row r="3961" spans="1:4" ht="15" customHeight="1" x14ac:dyDescent="0.25">
      <c r="A3961" s="2" t="str">
        <f>"03016003510"</f>
        <v>03016003510</v>
      </c>
      <c r="B3961" s="2" t="s">
        <v>3963</v>
      </c>
      <c r="C3961" s="2">
        <v>2000.7</v>
      </c>
      <c r="D3961" s="2" t="s">
        <v>5</v>
      </c>
    </row>
    <row r="3962" spans="1:4" ht="15" customHeight="1" x14ac:dyDescent="0.25">
      <c r="A3962" s="2" t="str">
        <f>"03016003520"</f>
        <v>03016003520</v>
      </c>
      <c r="B3962" s="2" t="s">
        <v>3964</v>
      </c>
      <c r="C3962" s="2">
        <v>2592</v>
      </c>
      <c r="D3962" s="2" t="s">
        <v>5</v>
      </c>
    </row>
    <row r="3963" spans="1:4" ht="15" customHeight="1" x14ac:dyDescent="0.25">
      <c r="A3963" s="2" t="str">
        <f>"03016003530"</f>
        <v>03016003530</v>
      </c>
      <c r="B3963" s="2" t="s">
        <v>3965</v>
      </c>
      <c r="C3963" s="2">
        <v>3369.6</v>
      </c>
      <c r="D3963" s="2" t="s">
        <v>5</v>
      </c>
    </row>
    <row r="3964" spans="1:4" ht="15" customHeight="1" x14ac:dyDescent="0.25">
      <c r="A3964" s="2" t="str">
        <f>"03016003540"</f>
        <v>03016003540</v>
      </c>
      <c r="B3964" s="2" t="s">
        <v>3966</v>
      </c>
      <c r="C3964" s="2">
        <v>5634.36</v>
      </c>
      <c r="D3964" s="2" t="s">
        <v>5</v>
      </c>
    </row>
    <row r="3965" spans="1:4" ht="15" customHeight="1" x14ac:dyDescent="0.25">
      <c r="A3965" s="2" t="str">
        <f>"03016003500"</f>
        <v>03016003500</v>
      </c>
      <c r="B3965" s="2" t="s">
        <v>3967</v>
      </c>
      <c r="C3965" s="2">
        <v>518.4</v>
      </c>
      <c r="D3965" s="2" t="s">
        <v>5</v>
      </c>
    </row>
    <row r="3966" spans="1:4" ht="15" customHeight="1" x14ac:dyDescent="0.25">
      <c r="A3966" s="2" t="str">
        <f>"03016510025"</f>
        <v>03016510025</v>
      </c>
      <c r="B3966" s="2" t="s">
        <v>3968</v>
      </c>
      <c r="C3966" s="2">
        <v>2991.15</v>
      </c>
      <c r="D3966" s="2" t="s">
        <v>5</v>
      </c>
    </row>
    <row r="3967" spans="1:4" ht="15" customHeight="1" x14ac:dyDescent="0.25">
      <c r="A3967" s="2" t="str">
        <f>"03016008000"</f>
        <v>03016008000</v>
      </c>
      <c r="B3967" s="2" t="s">
        <v>3969</v>
      </c>
      <c r="C3967" s="2">
        <v>5180.76</v>
      </c>
      <c r="D3967" s="2" t="s">
        <v>5</v>
      </c>
    </row>
    <row r="3968" spans="1:4" ht="15" customHeight="1" x14ac:dyDescent="0.25">
      <c r="A3968" s="2" t="str">
        <f>"03016510030"</f>
        <v>03016510030</v>
      </c>
      <c r="B3968" s="2" t="s">
        <v>3970</v>
      </c>
      <c r="C3968" s="2">
        <v>3196.64</v>
      </c>
      <c r="D3968" s="2" t="s">
        <v>5</v>
      </c>
    </row>
    <row r="3969" spans="1:4" ht="15" customHeight="1" x14ac:dyDescent="0.25">
      <c r="A3969" s="2" t="str">
        <f>"03016008010"</f>
        <v>03016008010</v>
      </c>
      <c r="B3969" s="2" t="s">
        <v>3971</v>
      </c>
      <c r="C3969" s="2">
        <v>6954.66</v>
      </c>
      <c r="D3969" s="2" t="s">
        <v>5</v>
      </c>
    </row>
    <row r="3970" spans="1:4" ht="15" customHeight="1" x14ac:dyDescent="0.25">
      <c r="A3970" s="2" t="str">
        <f>"03016008020"</f>
        <v>03016008020</v>
      </c>
      <c r="B3970" s="2" t="s">
        <v>3972</v>
      </c>
      <c r="C3970" s="2">
        <v>8487.18</v>
      </c>
      <c r="D3970" s="2" t="s">
        <v>5</v>
      </c>
    </row>
    <row r="3971" spans="1:4" ht="15" customHeight="1" x14ac:dyDescent="0.25">
      <c r="A3971" s="2" t="str">
        <f>"03016008030"</f>
        <v>03016008030</v>
      </c>
      <c r="B3971" s="2" t="s">
        <v>3973</v>
      </c>
      <c r="C3971" s="2">
        <v>14711.22</v>
      </c>
      <c r="D3971" s="2" t="s">
        <v>5</v>
      </c>
    </row>
    <row r="3972" spans="1:4" ht="15" customHeight="1" x14ac:dyDescent="0.25">
      <c r="A3972" s="2" t="str">
        <f>"03016510005"</f>
        <v>03016510005</v>
      </c>
      <c r="B3972" s="2" t="s">
        <v>3974</v>
      </c>
      <c r="C3972" s="2">
        <v>2384.1799999999998</v>
      </c>
      <c r="D3972" s="2" t="s">
        <v>5</v>
      </c>
    </row>
    <row r="3973" spans="1:4" ht="15" customHeight="1" x14ac:dyDescent="0.25">
      <c r="A3973" s="2" t="str">
        <f>"03016006000"</f>
        <v>03016006000</v>
      </c>
      <c r="B3973" s="2" t="s">
        <v>3975</v>
      </c>
      <c r="C3973" s="2">
        <v>4949.1000000000004</v>
      </c>
      <c r="D3973" s="2" t="s">
        <v>5</v>
      </c>
    </row>
    <row r="3974" spans="1:4" ht="15" customHeight="1" x14ac:dyDescent="0.25">
      <c r="A3974" s="2" t="str">
        <f>"03016510010"</f>
        <v>03016510010</v>
      </c>
      <c r="B3974" s="2" t="s">
        <v>3976</v>
      </c>
      <c r="C3974" s="2">
        <v>2711.43</v>
      </c>
      <c r="D3974" s="2" t="s">
        <v>5</v>
      </c>
    </row>
    <row r="3975" spans="1:4" ht="15" customHeight="1" x14ac:dyDescent="0.25">
      <c r="A3975" s="2" t="str">
        <f>"03016510015"</f>
        <v>03016510015</v>
      </c>
      <c r="B3975" s="2" t="s">
        <v>3977</v>
      </c>
      <c r="C3975" s="2">
        <v>2853.63</v>
      </c>
      <c r="D3975" s="2" t="s">
        <v>5</v>
      </c>
    </row>
    <row r="3976" spans="1:4" ht="15" customHeight="1" x14ac:dyDescent="0.25">
      <c r="A3976" s="2" t="str">
        <f>"03016510020"</f>
        <v>03016510020</v>
      </c>
      <c r="B3976" s="2" t="s">
        <v>3978</v>
      </c>
      <c r="C3976" s="2">
        <v>3329.57</v>
      </c>
      <c r="D3976" s="2" t="s">
        <v>5</v>
      </c>
    </row>
    <row r="3977" spans="1:4" ht="15" customHeight="1" x14ac:dyDescent="0.25">
      <c r="A3977" s="2" t="str">
        <f>"03010000015"</f>
        <v>03010000015</v>
      </c>
      <c r="B3977" s="2" t="s">
        <v>3979</v>
      </c>
      <c r="C3977" s="2">
        <v>1800.18</v>
      </c>
      <c r="D3977" s="2" t="s">
        <v>5</v>
      </c>
    </row>
    <row r="3978" spans="1:4" ht="15" customHeight="1" x14ac:dyDescent="0.25">
      <c r="A3978" s="2" t="str">
        <f>"03010000025"</f>
        <v>03010000025</v>
      </c>
      <c r="B3978" s="2" t="s">
        <v>3980</v>
      </c>
      <c r="C3978" s="2">
        <v>2059.85</v>
      </c>
      <c r="D3978" s="2" t="s">
        <v>5</v>
      </c>
    </row>
    <row r="3979" spans="1:4" ht="15" customHeight="1" x14ac:dyDescent="0.25">
      <c r="A3979" s="2" t="str">
        <f>"03010000026"</f>
        <v>03010000026</v>
      </c>
      <c r="B3979" s="2" t="s">
        <v>3981</v>
      </c>
      <c r="C3979" s="2">
        <v>2779.19</v>
      </c>
      <c r="D3979" s="2" t="s">
        <v>5</v>
      </c>
    </row>
    <row r="3980" spans="1:4" ht="15" customHeight="1" x14ac:dyDescent="0.25">
      <c r="A3980" s="2" t="str">
        <f>"03010000027"</f>
        <v>03010000027</v>
      </c>
      <c r="B3980" s="2" t="s">
        <v>3982</v>
      </c>
      <c r="C3980" s="2">
        <v>4299.2</v>
      </c>
      <c r="D3980" s="2" t="s">
        <v>5</v>
      </c>
    </row>
    <row r="3981" spans="1:4" ht="15" customHeight="1" x14ac:dyDescent="0.25">
      <c r="A3981" s="2" t="str">
        <f>"03010000005"</f>
        <v>03010000005</v>
      </c>
      <c r="B3981" s="2" t="s">
        <v>3983</v>
      </c>
      <c r="C3981" s="2">
        <v>1504.46</v>
      </c>
      <c r="D3981" s="2" t="s">
        <v>5</v>
      </c>
    </row>
    <row r="3982" spans="1:4" ht="15" customHeight="1" x14ac:dyDescent="0.25">
      <c r="A3982" s="2" t="str">
        <f>"03010000065"</f>
        <v>03010000065</v>
      </c>
      <c r="B3982" s="2" t="s">
        <v>3984</v>
      </c>
      <c r="C3982" s="2">
        <v>2252.9899999999998</v>
      </c>
      <c r="D3982" s="2" t="s">
        <v>5</v>
      </c>
    </row>
    <row r="3983" spans="1:4" ht="15" customHeight="1" x14ac:dyDescent="0.25">
      <c r="A3983" s="2" t="str">
        <f>"03010000066"</f>
        <v>03010000066</v>
      </c>
      <c r="B3983" s="2" t="s">
        <v>3985</v>
      </c>
      <c r="C3983" s="2">
        <v>2575.86</v>
      </c>
      <c r="D3983" s="2" t="s">
        <v>5</v>
      </c>
    </row>
    <row r="3984" spans="1:4" ht="15" customHeight="1" x14ac:dyDescent="0.25">
      <c r="A3984" s="2" t="str">
        <f>"03010000067"</f>
        <v>03010000067</v>
      </c>
      <c r="B3984" s="2" t="s">
        <v>3986</v>
      </c>
      <c r="C3984" s="2">
        <v>3863.33</v>
      </c>
      <c r="D3984" s="2" t="s">
        <v>5</v>
      </c>
    </row>
    <row r="3985" spans="1:4" ht="15" customHeight="1" x14ac:dyDescent="0.25">
      <c r="A3985" s="2" t="str">
        <f>"03010000063"</f>
        <v>03010000063</v>
      </c>
      <c r="B3985" s="2" t="s">
        <v>3987</v>
      </c>
      <c r="C3985" s="2">
        <v>5514.83</v>
      </c>
      <c r="D3985" s="2" t="s">
        <v>5</v>
      </c>
    </row>
    <row r="3986" spans="1:4" ht="15" customHeight="1" x14ac:dyDescent="0.25">
      <c r="A3986" s="2" t="str">
        <f>"03010000064"</f>
        <v>03010000064</v>
      </c>
      <c r="B3986" s="2" t="s">
        <v>3988</v>
      </c>
      <c r="C3986" s="2">
        <v>2149.62</v>
      </c>
      <c r="D3986" s="2" t="s">
        <v>5</v>
      </c>
    </row>
    <row r="3987" spans="1:4" ht="15" customHeight="1" x14ac:dyDescent="0.25">
      <c r="A3987" s="2" t="str">
        <f>"03010000035"</f>
        <v>03010000035</v>
      </c>
      <c r="B3987" s="2" t="s">
        <v>3989</v>
      </c>
      <c r="C3987" s="2">
        <v>3207.96</v>
      </c>
      <c r="D3987" s="2" t="s">
        <v>5</v>
      </c>
    </row>
    <row r="3988" spans="1:4" ht="15" customHeight="1" x14ac:dyDescent="0.25">
      <c r="A3988" s="2" t="str">
        <f>"03010000045"</f>
        <v>03010000045</v>
      </c>
      <c r="B3988" s="2" t="s">
        <v>3990</v>
      </c>
      <c r="C3988" s="2">
        <v>3742.62</v>
      </c>
      <c r="D3988" s="2" t="s">
        <v>5</v>
      </c>
    </row>
    <row r="3989" spans="1:4" ht="15" customHeight="1" x14ac:dyDescent="0.25">
      <c r="A3989" s="2" t="str">
        <f>"03010000055"</f>
        <v>03010000055</v>
      </c>
      <c r="B3989" s="2" t="s">
        <v>3991</v>
      </c>
      <c r="C3989" s="2">
        <v>5667.39</v>
      </c>
      <c r="D3989" s="2" t="s">
        <v>5</v>
      </c>
    </row>
    <row r="3990" spans="1:4" ht="15" customHeight="1" x14ac:dyDescent="0.25">
      <c r="A3990" s="2" t="str">
        <f>"03016410010"</f>
        <v>03016410010</v>
      </c>
      <c r="B3990" s="2" t="s">
        <v>3992</v>
      </c>
      <c r="C3990" s="2">
        <v>4617</v>
      </c>
      <c r="D3990" s="2" t="s">
        <v>5</v>
      </c>
    </row>
    <row r="3991" spans="1:4" ht="15" customHeight="1" x14ac:dyDescent="0.25">
      <c r="A3991" s="2" t="str">
        <f>"03010000029"</f>
        <v>03010000029</v>
      </c>
      <c r="B3991" s="2" t="s">
        <v>3993</v>
      </c>
      <c r="C3991" s="2">
        <v>6050.39</v>
      </c>
      <c r="D3991" s="2" t="s">
        <v>5</v>
      </c>
    </row>
    <row r="3992" spans="1:4" ht="15" customHeight="1" x14ac:dyDescent="0.25">
      <c r="A3992" s="2" t="str">
        <f>"03010000028"</f>
        <v>03010000028</v>
      </c>
      <c r="B3992" s="2" t="s">
        <v>3994</v>
      </c>
      <c r="C3992" s="2">
        <v>8068.49</v>
      </c>
      <c r="D3992" s="2" t="s">
        <v>5</v>
      </c>
    </row>
    <row r="3993" spans="1:4" ht="15" customHeight="1" x14ac:dyDescent="0.25">
      <c r="A3993" s="2" t="str">
        <f>"03016500762"</f>
        <v>03016500762</v>
      </c>
      <c r="B3993" s="2" t="s">
        <v>3995</v>
      </c>
      <c r="C3993" s="2">
        <v>3249.03</v>
      </c>
      <c r="D3993" s="2" t="s">
        <v>5</v>
      </c>
    </row>
    <row r="3994" spans="1:4" ht="15" customHeight="1" x14ac:dyDescent="0.25">
      <c r="A3994" s="2" t="str">
        <f>"08800000251"</f>
        <v>08800000251</v>
      </c>
      <c r="B3994" s="2" t="s">
        <v>3996</v>
      </c>
      <c r="C3994" s="2">
        <v>7290</v>
      </c>
      <c r="D3994" s="2" t="s">
        <v>5</v>
      </c>
    </row>
    <row r="3995" spans="1:4" ht="15" customHeight="1" x14ac:dyDescent="0.25">
      <c r="A3995" s="2" t="str">
        <f>"08800000249"</f>
        <v>08800000249</v>
      </c>
      <c r="B3995" s="2" t="s">
        <v>3997</v>
      </c>
      <c r="C3995" s="2">
        <v>7290</v>
      </c>
      <c r="D3995" s="2" t="s">
        <v>5</v>
      </c>
    </row>
    <row r="3996" spans="1:4" ht="15" customHeight="1" x14ac:dyDescent="0.25">
      <c r="A3996" s="2" t="str">
        <f>"08800000252"</f>
        <v>08800000252</v>
      </c>
      <c r="B3996" s="2" t="s">
        <v>3998</v>
      </c>
      <c r="C3996" s="2">
        <v>7290</v>
      </c>
      <c r="D3996" s="2" t="s">
        <v>5</v>
      </c>
    </row>
    <row r="3997" spans="1:4" ht="15" customHeight="1" x14ac:dyDescent="0.25">
      <c r="A3997" s="2" t="str">
        <f>"08800000250"</f>
        <v>08800000250</v>
      </c>
      <c r="B3997" s="2" t="s">
        <v>3999</v>
      </c>
      <c r="C3997" s="2">
        <v>7290</v>
      </c>
      <c r="D3997" s="2" t="s">
        <v>5</v>
      </c>
    </row>
    <row r="3998" spans="1:4" ht="15" customHeight="1" x14ac:dyDescent="0.25">
      <c r="A3998" s="2" t="str">
        <f>"08800000256"</f>
        <v>08800000256</v>
      </c>
      <c r="B3998" s="2" t="s">
        <v>4000</v>
      </c>
      <c r="C3998" s="2">
        <v>10264.32</v>
      </c>
      <c r="D3998" s="2" t="s">
        <v>5</v>
      </c>
    </row>
    <row r="3999" spans="1:4" ht="15" customHeight="1" x14ac:dyDescent="0.25">
      <c r="A3999" s="2" t="str">
        <f>"08800000255"</f>
        <v>08800000255</v>
      </c>
      <c r="B3999" s="2" t="s">
        <v>4001</v>
      </c>
      <c r="C3999" s="2">
        <v>10264.32</v>
      </c>
      <c r="D3999" s="2" t="s">
        <v>5</v>
      </c>
    </row>
    <row r="4000" spans="1:4" ht="15" customHeight="1" x14ac:dyDescent="0.25">
      <c r="A4000" s="2" t="str">
        <f>"08800000253"</f>
        <v>08800000253</v>
      </c>
      <c r="B4000" s="2" t="s">
        <v>4002</v>
      </c>
      <c r="C4000" s="2">
        <v>10264.32</v>
      </c>
      <c r="D4000" s="2" t="s">
        <v>5</v>
      </c>
    </row>
    <row r="4001" spans="1:4" ht="15" customHeight="1" x14ac:dyDescent="0.25">
      <c r="A4001" s="2" t="str">
        <f>"08800000254"</f>
        <v>08800000254</v>
      </c>
      <c r="B4001" s="2" t="s">
        <v>4003</v>
      </c>
      <c r="C4001" s="2">
        <v>10264.32</v>
      </c>
      <c r="D4001" s="2" t="s">
        <v>5</v>
      </c>
    </row>
    <row r="4002" spans="1:4" ht="15" customHeight="1" x14ac:dyDescent="0.25">
      <c r="A4002" s="2" t="str">
        <f>"08800000259"</f>
        <v>08800000259</v>
      </c>
      <c r="B4002" s="2" t="s">
        <v>4004</v>
      </c>
      <c r="C4002" s="2">
        <v>13355.28</v>
      </c>
      <c r="D4002" s="2" t="s">
        <v>5</v>
      </c>
    </row>
    <row r="4003" spans="1:4" ht="15" customHeight="1" x14ac:dyDescent="0.25">
      <c r="A4003" s="2" t="str">
        <f>"08800000257"</f>
        <v>08800000257</v>
      </c>
      <c r="B4003" s="2" t="s">
        <v>4005</v>
      </c>
      <c r="C4003" s="2">
        <v>13355.28</v>
      </c>
      <c r="D4003" s="2" t="s">
        <v>5</v>
      </c>
    </row>
    <row r="4004" spans="1:4" ht="15" customHeight="1" x14ac:dyDescent="0.25">
      <c r="A4004" s="2" t="str">
        <f>"08800000260"</f>
        <v>08800000260</v>
      </c>
      <c r="B4004" s="2" t="s">
        <v>4006</v>
      </c>
      <c r="C4004" s="2">
        <v>13355.28</v>
      </c>
      <c r="D4004" s="2" t="s">
        <v>5</v>
      </c>
    </row>
    <row r="4005" spans="1:4" ht="15" customHeight="1" x14ac:dyDescent="0.25">
      <c r="A4005" s="2" t="str">
        <f>"08800000258"</f>
        <v>08800000258</v>
      </c>
      <c r="B4005" s="2" t="s">
        <v>4007</v>
      </c>
      <c r="C4005" s="2">
        <v>13355.28</v>
      </c>
      <c r="D4005" s="2" t="s">
        <v>5</v>
      </c>
    </row>
    <row r="4006" spans="1:4" ht="15" customHeight="1" x14ac:dyDescent="0.25">
      <c r="A4006" s="2" t="str">
        <f>"08800000028"</f>
        <v>08800000028</v>
      </c>
      <c r="B4006" s="2" t="s">
        <v>4008</v>
      </c>
      <c r="C4006" s="2">
        <v>22099.919999999998</v>
      </c>
      <c r="D4006" s="2" t="s">
        <v>5</v>
      </c>
    </row>
    <row r="4007" spans="1:4" ht="15" customHeight="1" x14ac:dyDescent="0.25">
      <c r="A4007" s="2" t="str">
        <f>"03016500600"</f>
        <v>03016500600</v>
      </c>
      <c r="B4007" s="2" t="s">
        <v>4009</v>
      </c>
      <c r="C4007" s="2">
        <v>2058.02</v>
      </c>
      <c r="D4007" s="2" t="s">
        <v>5</v>
      </c>
    </row>
    <row r="4008" spans="1:4" ht="15" customHeight="1" x14ac:dyDescent="0.25">
      <c r="A4008" s="2" t="str">
        <f>"03016500300"</f>
        <v>03016500300</v>
      </c>
      <c r="B4008" s="2" t="s">
        <v>4010</v>
      </c>
      <c r="C4008" s="2">
        <v>790.56</v>
      </c>
      <c r="D4008" s="2" t="s">
        <v>5</v>
      </c>
    </row>
    <row r="4009" spans="1:4" ht="15" customHeight="1" x14ac:dyDescent="0.25">
      <c r="A4009" s="2" t="str">
        <f>"03010000076"</f>
        <v>03010000076</v>
      </c>
      <c r="B4009" s="2" t="s">
        <v>4011</v>
      </c>
      <c r="C4009" s="2">
        <v>749.97</v>
      </c>
      <c r="D4009" s="2" t="s">
        <v>5</v>
      </c>
    </row>
    <row r="4010" spans="1:4" ht="15" customHeight="1" x14ac:dyDescent="0.25">
      <c r="A4010" s="2" t="str">
        <f>"03016500405"</f>
        <v>03016500405</v>
      </c>
      <c r="B4010" s="2" t="s">
        <v>4012</v>
      </c>
      <c r="C4010" s="2">
        <v>1600.56</v>
      </c>
      <c r="D4010" s="2" t="s">
        <v>5</v>
      </c>
    </row>
    <row r="4011" spans="1:4" ht="15" customHeight="1" x14ac:dyDescent="0.25">
      <c r="A4011" s="2" t="str">
        <f>"03010000068"</f>
        <v>03010000068</v>
      </c>
      <c r="B4011" s="2" t="s">
        <v>4013</v>
      </c>
      <c r="C4011" s="2">
        <v>1743.06</v>
      </c>
      <c r="D4011" s="2" t="s">
        <v>5</v>
      </c>
    </row>
    <row r="4012" spans="1:4" ht="15" customHeight="1" x14ac:dyDescent="0.25">
      <c r="A4012" s="2" t="str">
        <f>"03010000070"</f>
        <v>03010000070</v>
      </c>
      <c r="B4012" s="2" t="s">
        <v>4014</v>
      </c>
      <c r="C4012" s="2">
        <v>1250.1500000000001</v>
      </c>
      <c r="D4012" s="2" t="s">
        <v>5</v>
      </c>
    </row>
    <row r="4013" spans="1:4" ht="15" customHeight="1" x14ac:dyDescent="0.25">
      <c r="A4013" s="2" t="str">
        <f>"03010000085"</f>
        <v>03010000085</v>
      </c>
      <c r="B4013" s="2" t="s">
        <v>4015</v>
      </c>
      <c r="C4013" s="2">
        <v>12242.13</v>
      </c>
      <c r="D4013" s="2" t="s">
        <v>5</v>
      </c>
    </row>
    <row r="4014" spans="1:4" ht="15" customHeight="1" x14ac:dyDescent="0.25">
      <c r="A4014" s="2" t="str">
        <f>"03010000075"</f>
        <v>03010000075</v>
      </c>
      <c r="B4014" s="2" t="s">
        <v>4016</v>
      </c>
      <c r="C4014" s="2">
        <v>2269.61</v>
      </c>
      <c r="D4014" s="2" t="s">
        <v>5</v>
      </c>
    </row>
    <row r="4015" spans="1:4" ht="15" customHeight="1" x14ac:dyDescent="0.25">
      <c r="A4015" s="2" t="str">
        <f>"05021000118"</f>
        <v>05021000118</v>
      </c>
      <c r="B4015" s="2" t="s">
        <v>4017</v>
      </c>
      <c r="C4015" s="2">
        <v>2127.02</v>
      </c>
      <c r="D4015" s="2" t="s">
        <v>5</v>
      </c>
    </row>
    <row r="4016" spans="1:4" ht="15" customHeight="1" x14ac:dyDescent="0.25">
      <c r="A4016" s="2" t="str">
        <f>"05022000100"</f>
        <v>05022000100</v>
      </c>
      <c r="B4016" s="2" t="s">
        <v>4018</v>
      </c>
      <c r="C4016" s="2">
        <v>1322.39</v>
      </c>
      <c r="D4016" s="2" t="s">
        <v>5</v>
      </c>
    </row>
    <row r="4017" spans="1:4" ht="15" customHeight="1" x14ac:dyDescent="0.25">
      <c r="A4017" s="2" t="str">
        <f>"05015000534"</f>
        <v>05015000534</v>
      </c>
      <c r="B4017" s="2" t="s">
        <v>4019</v>
      </c>
      <c r="C4017" s="2">
        <v>36.17</v>
      </c>
      <c r="D4017" s="2" t="s">
        <v>5</v>
      </c>
    </row>
    <row r="4018" spans="1:4" ht="15" customHeight="1" x14ac:dyDescent="0.25">
      <c r="A4018" s="2" t="str">
        <f>"05015000535"</f>
        <v>05015000535</v>
      </c>
      <c r="B4018" s="2" t="s">
        <v>4020</v>
      </c>
      <c r="C4018" s="2">
        <v>53.07</v>
      </c>
      <c r="D4018" s="2" t="s">
        <v>5</v>
      </c>
    </row>
    <row r="4019" spans="1:4" ht="15" customHeight="1" x14ac:dyDescent="0.25">
      <c r="A4019" s="2" t="str">
        <f>"05015000536"</f>
        <v>05015000536</v>
      </c>
      <c r="B4019" s="2" t="s">
        <v>4021</v>
      </c>
      <c r="C4019" s="2">
        <v>307.35000000000002</v>
      </c>
      <c r="D4019" s="2" t="s">
        <v>5</v>
      </c>
    </row>
    <row r="4020" spans="1:4" ht="15" customHeight="1" x14ac:dyDescent="0.25">
      <c r="A4020" s="2" t="str">
        <f>"05015000537"</f>
        <v>05015000537</v>
      </c>
      <c r="B4020" s="2" t="s">
        <v>4022</v>
      </c>
      <c r="C4020" s="2">
        <v>214.04</v>
      </c>
      <c r="D4020" s="2" t="s">
        <v>5</v>
      </c>
    </row>
    <row r="4021" spans="1:4" ht="15" customHeight="1" x14ac:dyDescent="0.25">
      <c r="A4021" s="2" t="str">
        <f>"05015000538"</f>
        <v>05015000538</v>
      </c>
      <c r="B4021" s="2" t="s">
        <v>4023</v>
      </c>
      <c r="C4021" s="2">
        <v>57.15</v>
      </c>
      <c r="D4021" s="2" t="s">
        <v>5</v>
      </c>
    </row>
    <row r="4022" spans="1:4" ht="15" customHeight="1" x14ac:dyDescent="0.25">
      <c r="A4022" s="2" t="str">
        <f>"03038000340"</f>
        <v>03038000340</v>
      </c>
      <c r="B4022" s="2" t="s">
        <v>4024</v>
      </c>
      <c r="C4022" s="2">
        <v>252.56</v>
      </c>
      <c r="D4022" s="2" t="s">
        <v>5</v>
      </c>
    </row>
    <row r="4023" spans="1:4" ht="15" customHeight="1" x14ac:dyDescent="0.25">
      <c r="A4023" s="2" t="str">
        <f>"03038000858"</f>
        <v>03038000858</v>
      </c>
      <c r="B4023" s="2" t="s">
        <v>4025</v>
      </c>
      <c r="C4023" s="2">
        <v>740.79</v>
      </c>
      <c r="D4023" s="2" t="s">
        <v>5</v>
      </c>
    </row>
    <row r="4024" spans="1:4" ht="15" customHeight="1" x14ac:dyDescent="0.25">
      <c r="A4024" s="2" t="str">
        <f>"03038000859"</f>
        <v>03038000859</v>
      </c>
      <c r="B4024" s="2" t="s">
        <v>4026</v>
      </c>
      <c r="C4024" s="2">
        <v>740.79</v>
      </c>
      <c r="D4024" s="2" t="s">
        <v>5</v>
      </c>
    </row>
    <row r="4025" spans="1:4" ht="15" customHeight="1" x14ac:dyDescent="0.25">
      <c r="A4025" s="2" t="str">
        <f>"06010000350"</f>
        <v>06010000350</v>
      </c>
      <c r="B4025" s="2" t="s">
        <v>4027</v>
      </c>
      <c r="C4025" s="2">
        <v>4137.6000000000004</v>
      </c>
      <c r="D4025" s="2" t="s">
        <v>5</v>
      </c>
    </row>
    <row r="4026" spans="1:4" ht="15" customHeight="1" x14ac:dyDescent="0.25">
      <c r="A4026" s="2" t="str">
        <f>"08410000061"</f>
        <v>08410000061</v>
      </c>
      <c r="B4026" s="2" t="s">
        <v>4028</v>
      </c>
      <c r="C4026" s="2">
        <v>2652.75</v>
      </c>
      <c r="D4026" s="2" t="s">
        <v>5</v>
      </c>
    </row>
    <row r="4027" spans="1:4" ht="15" customHeight="1" x14ac:dyDescent="0.25">
      <c r="A4027" s="2" t="str">
        <f>"03011000421"</f>
        <v>03011000421</v>
      </c>
      <c r="B4027" s="2" t="s">
        <v>4029</v>
      </c>
      <c r="C4027" s="2">
        <v>643.52</v>
      </c>
      <c r="D4027" s="2" t="s">
        <v>5</v>
      </c>
    </row>
    <row r="4028" spans="1:4" ht="15" customHeight="1" x14ac:dyDescent="0.25">
      <c r="A4028" s="2" t="str">
        <f>"03015305000"</f>
        <v>03015305000</v>
      </c>
      <c r="B4028" s="2" t="s">
        <v>4030</v>
      </c>
      <c r="C4028" s="2">
        <v>2185.35</v>
      </c>
      <c r="D4028" s="2" t="s">
        <v>5</v>
      </c>
    </row>
    <row r="4029" spans="1:4" ht="15" customHeight="1" x14ac:dyDescent="0.25">
      <c r="A4029" s="2" t="str">
        <f>"03015300005"</f>
        <v>03015300005</v>
      </c>
      <c r="B4029" s="2" t="s">
        <v>4031</v>
      </c>
      <c r="C4029" s="2">
        <v>5616</v>
      </c>
      <c r="D4029" s="2" t="s">
        <v>5</v>
      </c>
    </row>
    <row r="4030" spans="1:4" ht="15" customHeight="1" x14ac:dyDescent="0.25">
      <c r="A4030" s="2" t="str">
        <f>"03042000258"</f>
        <v>03042000258</v>
      </c>
      <c r="B4030" s="2" t="s">
        <v>4032</v>
      </c>
      <c r="C4030" s="2">
        <v>2194.91</v>
      </c>
      <c r="D4030" s="2" t="s">
        <v>5</v>
      </c>
    </row>
    <row r="4031" spans="1:4" ht="15" customHeight="1" x14ac:dyDescent="0.25">
      <c r="A4031" s="2" t="str">
        <f>"04010000023"</f>
        <v>04010000023</v>
      </c>
      <c r="B4031" s="2" t="s">
        <v>4033</v>
      </c>
      <c r="C4031" s="2">
        <v>33</v>
      </c>
      <c r="D4031" s="2" t="s">
        <v>107</v>
      </c>
    </row>
    <row r="4032" spans="1:4" ht="15" customHeight="1" x14ac:dyDescent="0.25">
      <c r="A4032" s="2" t="str">
        <f>"09500000195"</f>
        <v>09500000195</v>
      </c>
      <c r="B4032" s="2" t="s">
        <v>4034</v>
      </c>
      <c r="C4032" s="2">
        <v>5484.08</v>
      </c>
      <c r="D4032" s="2" t="s">
        <v>5</v>
      </c>
    </row>
    <row r="4033" spans="1:4" ht="15" customHeight="1" x14ac:dyDescent="0.25">
      <c r="A4033" s="2" t="str">
        <f>"09500000120"</f>
        <v>09500000120</v>
      </c>
      <c r="B4033" s="2" t="s">
        <v>4035</v>
      </c>
      <c r="C4033" s="2">
        <v>6362.28</v>
      </c>
      <c r="D4033" s="2" t="s">
        <v>5</v>
      </c>
    </row>
    <row r="4034" spans="1:4" ht="15" customHeight="1" x14ac:dyDescent="0.25">
      <c r="A4034" s="2" t="str">
        <f>"09500000285"</f>
        <v>09500000285</v>
      </c>
      <c r="B4034" s="2" t="s">
        <v>4036</v>
      </c>
      <c r="C4034" s="2">
        <v>20060.21</v>
      </c>
      <c r="D4034" s="2" t="s">
        <v>5</v>
      </c>
    </row>
    <row r="4035" spans="1:4" ht="15" customHeight="1" x14ac:dyDescent="0.25">
      <c r="A4035" s="2" t="str">
        <f>"03038000561"</f>
        <v>03038000561</v>
      </c>
      <c r="B4035" s="2" t="s">
        <v>4037</v>
      </c>
      <c r="C4035" s="2">
        <v>75.739999999999995</v>
      </c>
      <c r="D4035" s="2" t="s">
        <v>5</v>
      </c>
    </row>
    <row r="4036" spans="1:4" ht="15" customHeight="1" x14ac:dyDescent="0.25">
      <c r="A4036" s="2" t="str">
        <f>"03038000581"</f>
        <v>03038000581</v>
      </c>
      <c r="B4036" s="2" t="s">
        <v>4038</v>
      </c>
      <c r="C4036" s="2">
        <v>233.15</v>
      </c>
      <c r="D4036" s="2" t="s">
        <v>5</v>
      </c>
    </row>
    <row r="4037" spans="1:4" ht="15" customHeight="1" x14ac:dyDescent="0.25">
      <c r="A4037" s="2" t="str">
        <f>"03038000541"</f>
        <v>03038000541</v>
      </c>
      <c r="B4037" s="2" t="s">
        <v>4039</v>
      </c>
      <c r="C4037" s="2">
        <v>215.94</v>
      </c>
      <c r="D4037" s="2" t="s">
        <v>5</v>
      </c>
    </row>
    <row r="4038" spans="1:4" ht="15" customHeight="1" x14ac:dyDescent="0.25">
      <c r="A4038" s="2" t="str">
        <f>"03038000601"</f>
        <v>03038000601</v>
      </c>
      <c r="B4038" s="2" t="s">
        <v>4040</v>
      </c>
      <c r="C4038" s="2">
        <v>225.83</v>
      </c>
      <c r="D4038" s="2" t="s">
        <v>5</v>
      </c>
    </row>
    <row r="4039" spans="1:4" ht="15" customHeight="1" x14ac:dyDescent="0.25">
      <c r="A4039" s="2" t="str">
        <f>"06050000408"</f>
        <v>06050000408</v>
      </c>
      <c r="B4039" s="2" t="s">
        <v>4041</v>
      </c>
      <c r="C4039" s="2">
        <v>1357.31</v>
      </c>
      <c r="D4039" s="2" t="s">
        <v>5</v>
      </c>
    </row>
    <row r="4040" spans="1:4" ht="15" customHeight="1" x14ac:dyDescent="0.25">
      <c r="A4040" s="2" t="str">
        <f>"05015000520"</f>
        <v>05015000520</v>
      </c>
      <c r="B4040" s="2" t="s">
        <v>4042</v>
      </c>
      <c r="C4040" s="2">
        <v>498.06</v>
      </c>
      <c r="D4040" s="2" t="s">
        <v>5</v>
      </c>
    </row>
    <row r="4041" spans="1:4" ht="15" customHeight="1" x14ac:dyDescent="0.25">
      <c r="A4041" s="2" t="str">
        <f>"05015000502"</f>
        <v>05015000502</v>
      </c>
      <c r="B4041" s="2" t="s">
        <v>4043</v>
      </c>
      <c r="C4041" s="2">
        <v>564.54</v>
      </c>
      <c r="D4041" s="2" t="s">
        <v>5</v>
      </c>
    </row>
    <row r="4042" spans="1:4" ht="15" customHeight="1" x14ac:dyDescent="0.25">
      <c r="A4042" s="2" t="str">
        <f>"08400003540"</f>
        <v>08400003540</v>
      </c>
      <c r="B4042" s="2" t="s">
        <v>4044</v>
      </c>
      <c r="C4042" s="2">
        <v>338.52</v>
      </c>
      <c r="D4042" s="2" t="s">
        <v>5</v>
      </c>
    </row>
    <row r="4043" spans="1:4" ht="15" customHeight="1" x14ac:dyDescent="0.25">
      <c r="A4043" s="2" t="str">
        <f>"08900001490"</f>
        <v>08900001490</v>
      </c>
      <c r="B4043" s="2" t="s">
        <v>4045</v>
      </c>
      <c r="C4043" s="2">
        <v>9.5</v>
      </c>
      <c r="D4043" s="2" t="s">
        <v>107</v>
      </c>
    </row>
    <row r="4044" spans="1:4" ht="15" customHeight="1" x14ac:dyDescent="0.25">
      <c r="A4044" s="2" t="str">
        <f>"08900001480"</f>
        <v>08900001480</v>
      </c>
      <c r="B4044" s="2" t="s">
        <v>4046</v>
      </c>
      <c r="C4044" s="2">
        <v>9.02</v>
      </c>
      <c r="D4044" s="2" t="s">
        <v>107</v>
      </c>
    </row>
    <row r="4045" spans="1:4" ht="15" customHeight="1" x14ac:dyDescent="0.25">
      <c r="A4045" s="2" t="str">
        <f>"08900001495"</f>
        <v>08900001495</v>
      </c>
      <c r="B4045" s="2" t="s">
        <v>4047</v>
      </c>
      <c r="C4045" s="2">
        <v>10.039999999999999</v>
      </c>
      <c r="D4045" s="2" t="s">
        <v>107</v>
      </c>
    </row>
    <row r="4046" spans="1:4" ht="15" customHeight="1" x14ac:dyDescent="0.25">
      <c r="A4046" s="2" t="str">
        <f>"08900001485"</f>
        <v>08900001485</v>
      </c>
      <c r="B4046" s="2" t="s">
        <v>4048</v>
      </c>
      <c r="C4046" s="2">
        <v>9.09</v>
      </c>
      <c r="D4046" s="2" t="s">
        <v>107</v>
      </c>
    </row>
    <row r="4047" spans="1:4" ht="15" customHeight="1" x14ac:dyDescent="0.25">
      <c r="A4047" s="2" t="str">
        <f>"08900001500"</f>
        <v>08900001500</v>
      </c>
      <c r="B4047" s="2" t="s">
        <v>4049</v>
      </c>
      <c r="C4047" s="2">
        <v>24.6</v>
      </c>
      <c r="D4047" s="2" t="s">
        <v>107</v>
      </c>
    </row>
    <row r="4048" spans="1:4" ht="15" customHeight="1" x14ac:dyDescent="0.25">
      <c r="A4048" s="2" t="str">
        <f>"08900001505"</f>
        <v>08900001505</v>
      </c>
      <c r="B4048" s="2" t="s">
        <v>4050</v>
      </c>
      <c r="C4048" s="2">
        <v>39.99</v>
      </c>
      <c r="D4048" s="2" t="s">
        <v>107</v>
      </c>
    </row>
    <row r="4049" spans="1:4" ht="15" customHeight="1" x14ac:dyDescent="0.25">
      <c r="A4049" s="2" t="str">
        <f>"08900001400"</f>
        <v>08900001400</v>
      </c>
      <c r="B4049" s="2" t="s">
        <v>4051</v>
      </c>
      <c r="C4049" s="2">
        <v>1.88</v>
      </c>
      <c r="D4049" s="2" t="s">
        <v>107</v>
      </c>
    </row>
    <row r="4050" spans="1:4" ht="15" customHeight="1" x14ac:dyDescent="0.25">
      <c r="A4050" s="2" t="str">
        <f>"08900001405"</f>
        <v>08900001405</v>
      </c>
      <c r="B4050" s="2" t="s">
        <v>4052</v>
      </c>
      <c r="C4050" s="2">
        <v>2</v>
      </c>
      <c r="D4050" s="2" t="s">
        <v>107</v>
      </c>
    </row>
    <row r="4051" spans="1:4" ht="15" customHeight="1" x14ac:dyDescent="0.25">
      <c r="A4051" s="2" t="str">
        <f>"08900001410"</f>
        <v>08900001410</v>
      </c>
      <c r="B4051" s="2" t="s">
        <v>4053</v>
      </c>
      <c r="C4051" s="2">
        <v>2.1800000000000002</v>
      </c>
      <c r="D4051" s="2" t="s">
        <v>107</v>
      </c>
    </row>
    <row r="4052" spans="1:4" ht="15" customHeight="1" x14ac:dyDescent="0.25">
      <c r="A4052" s="2" t="str">
        <f>"08900001415"</f>
        <v>08900001415</v>
      </c>
      <c r="B4052" s="2" t="s">
        <v>4054</v>
      </c>
      <c r="C4052" s="2">
        <v>2.25</v>
      </c>
      <c r="D4052" s="2" t="s">
        <v>107</v>
      </c>
    </row>
    <row r="4053" spans="1:4" ht="15" customHeight="1" x14ac:dyDescent="0.25">
      <c r="A4053" s="2" t="str">
        <f>"08900001430"</f>
        <v>08900001430</v>
      </c>
      <c r="B4053" s="2" t="s">
        <v>4055</v>
      </c>
      <c r="C4053" s="2">
        <v>2.69</v>
      </c>
      <c r="D4053" s="2" t="s">
        <v>107</v>
      </c>
    </row>
    <row r="4054" spans="1:4" ht="15" customHeight="1" x14ac:dyDescent="0.25">
      <c r="A4054" s="2" t="str">
        <f>"08900001420"</f>
        <v>08900001420</v>
      </c>
      <c r="B4054" s="2" t="s">
        <v>4056</v>
      </c>
      <c r="C4054" s="2">
        <v>2.31</v>
      </c>
      <c r="D4054" s="2" t="s">
        <v>107</v>
      </c>
    </row>
    <row r="4055" spans="1:4" ht="15" customHeight="1" x14ac:dyDescent="0.25">
      <c r="A4055" s="2" t="str">
        <f>"08900001425"</f>
        <v>08900001425</v>
      </c>
      <c r="B4055" s="2" t="s">
        <v>4057</v>
      </c>
      <c r="C4055" s="2">
        <v>2.4</v>
      </c>
      <c r="D4055" s="2" t="s">
        <v>107</v>
      </c>
    </row>
    <row r="4056" spans="1:4" ht="15" customHeight="1" x14ac:dyDescent="0.25">
      <c r="A4056" s="2" t="str">
        <f>"08900001445"</f>
        <v>08900001445</v>
      </c>
      <c r="B4056" s="2" t="s">
        <v>4058</v>
      </c>
      <c r="C4056" s="2">
        <v>4.5199999999999996</v>
      </c>
      <c r="D4056" s="2" t="s">
        <v>107</v>
      </c>
    </row>
    <row r="4057" spans="1:4" ht="15" customHeight="1" x14ac:dyDescent="0.25">
      <c r="A4057" s="2" t="str">
        <f>"08900001435"</f>
        <v>08900001435</v>
      </c>
      <c r="B4057" s="2" t="s">
        <v>4059</v>
      </c>
      <c r="C4057" s="2">
        <v>4.01</v>
      </c>
      <c r="D4057" s="2" t="s">
        <v>107</v>
      </c>
    </row>
    <row r="4058" spans="1:4" ht="15" customHeight="1" x14ac:dyDescent="0.25">
      <c r="A4058" s="2" t="str">
        <f>"08900001440"</f>
        <v>08900001440</v>
      </c>
      <c r="B4058" s="2" t="s">
        <v>4060</v>
      </c>
      <c r="C4058" s="2">
        <v>4.1100000000000003</v>
      </c>
      <c r="D4058" s="2" t="s">
        <v>107</v>
      </c>
    </row>
    <row r="4059" spans="1:4" ht="15" customHeight="1" x14ac:dyDescent="0.25">
      <c r="A4059" s="2" t="str">
        <f>"08900001460"</f>
        <v>08900001460</v>
      </c>
      <c r="B4059" s="2" t="s">
        <v>4061</v>
      </c>
      <c r="C4059" s="2">
        <v>6.74</v>
      </c>
      <c r="D4059" s="2" t="s">
        <v>107</v>
      </c>
    </row>
    <row r="4060" spans="1:4" ht="15" customHeight="1" x14ac:dyDescent="0.25">
      <c r="A4060" s="2" t="str">
        <f>"08900001450"</f>
        <v>08900001450</v>
      </c>
      <c r="B4060" s="2" t="s">
        <v>4062</v>
      </c>
      <c r="C4060" s="2">
        <v>5.97</v>
      </c>
      <c r="D4060" s="2" t="s">
        <v>107</v>
      </c>
    </row>
    <row r="4061" spans="1:4" ht="15" customHeight="1" x14ac:dyDescent="0.25">
      <c r="A4061" s="2" t="str">
        <f>"08900001455"</f>
        <v>08900001455</v>
      </c>
      <c r="B4061" s="2" t="s">
        <v>4063</v>
      </c>
      <c r="C4061" s="2">
        <v>6.08</v>
      </c>
      <c r="D4061" s="2" t="s">
        <v>107</v>
      </c>
    </row>
    <row r="4062" spans="1:4" ht="15" customHeight="1" x14ac:dyDescent="0.25">
      <c r="A4062" s="2" t="str">
        <f>"08900001475"</f>
        <v>08900001475</v>
      </c>
      <c r="B4062" s="2" t="s">
        <v>4064</v>
      </c>
      <c r="C4062" s="2">
        <v>8.33</v>
      </c>
      <c r="D4062" s="2" t="s">
        <v>107</v>
      </c>
    </row>
    <row r="4063" spans="1:4" ht="15" customHeight="1" x14ac:dyDescent="0.25">
      <c r="A4063" s="2" t="str">
        <f>"08900001465"</f>
        <v>08900001465</v>
      </c>
      <c r="B4063" s="2" t="s">
        <v>4065</v>
      </c>
      <c r="C4063" s="2">
        <v>7.26</v>
      </c>
      <c r="D4063" s="2" t="s">
        <v>107</v>
      </c>
    </row>
    <row r="4064" spans="1:4" ht="15" customHeight="1" x14ac:dyDescent="0.25">
      <c r="A4064" s="2" t="str">
        <f>"08900001470"</f>
        <v>08900001470</v>
      </c>
      <c r="B4064" s="2" t="s">
        <v>4066</v>
      </c>
      <c r="C4064" s="2">
        <v>7.41</v>
      </c>
      <c r="D4064" s="2" t="s">
        <v>107</v>
      </c>
    </row>
    <row r="4065" spans="1:4" ht="15" customHeight="1" x14ac:dyDescent="0.25">
      <c r="A4065" s="2" t="str">
        <f>"03042000244"</f>
        <v>03042000244</v>
      </c>
      <c r="B4065" s="2" t="s">
        <v>4067</v>
      </c>
      <c r="C4065" s="2">
        <v>10822.31</v>
      </c>
      <c r="D4065" s="2" t="s">
        <v>5</v>
      </c>
    </row>
    <row r="4066" spans="1:4" ht="15" customHeight="1" x14ac:dyDescent="0.25">
      <c r="A4066" s="2" t="str">
        <f>"03062100144"</f>
        <v>03062100144</v>
      </c>
      <c r="B4066" s="2" t="s">
        <v>4068</v>
      </c>
      <c r="C4066" s="2">
        <v>324.69</v>
      </c>
      <c r="D4066" s="2" t="s">
        <v>5</v>
      </c>
    </row>
    <row r="4067" spans="1:4" ht="15" customHeight="1" x14ac:dyDescent="0.25">
      <c r="A4067" s="2" t="str">
        <f>"03050000265"</f>
        <v>03050000265</v>
      </c>
      <c r="B4067" s="2" t="s">
        <v>4069</v>
      </c>
      <c r="C4067" s="2">
        <v>886.49</v>
      </c>
      <c r="D4067" s="2" t="s">
        <v>5</v>
      </c>
    </row>
    <row r="4068" spans="1:4" ht="15" customHeight="1" x14ac:dyDescent="0.25">
      <c r="A4068" s="2" t="str">
        <f>"03018700021"</f>
        <v>03018700021</v>
      </c>
      <c r="B4068" s="2" t="s">
        <v>4070</v>
      </c>
      <c r="C4068" s="2">
        <v>363</v>
      </c>
      <c r="D4068" s="2" t="s">
        <v>5</v>
      </c>
    </row>
    <row r="4069" spans="1:4" ht="15" customHeight="1" x14ac:dyDescent="0.25">
      <c r="A4069" s="2" t="str">
        <f>"03018700020"</f>
        <v>03018700020</v>
      </c>
      <c r="B4069" s="2" t="s">
        <v>4071</v>
      </c>
      <c r="C4069" s="2">
        <v>228.23</v>
      </c>
      <c r="D4069" s="2" t="s">
        <v>5</v>
      </c>
    </row>
    <row r="4070" spans="1:4" ht="15" customHeight="1" x14ac:dyDescent="0.25">
      <c r="A4070" s="2" t="str">
        <f>"03018700031"</f>
        <v>03018700031</v>
      </c>
      <c r="B4070" s="2" t="s">
        <v>4072</v>
      </c>
      <c r="C4070" s="2">
        <v>401.12</v>
      </c>
      <c r="D4070" s="2" t="s">
        <v>5</v>
      </c>
    </row>
    <row r="4071" spans="1:4" ht="15" customHeight="1" x14ac:dyDescent="0.25">
      <c r="A4071" s="2" t="str">
        <f>"03018700030"</f>
        <v>03018700030</v>
      </c>
      <c r="B4071" s="2" t="s">
        <v>4073</v>
      </c>
      <c r="C4071" s="2">
        <v>593</v>
      </c>
      <c r="D4071" s="2" t="s">
        <v>5</v>
      </c>
    </row>
    <row r="4072" spans="1:4" ht="15" customHeight="1" x14ac:dyDescent="0.25">
      <c r="A4072" s="2" t="str">
        <f>"03018700045"</f>
        <v>03018700045</v>
      </c>
      <c r="B4072" s="2" t="s">
        <v>4074</v>
      </c>
      <c r="C4072" s="2">
        <v>187.77</v>
      </c>
      <c r="D4072" s="2" t="s">
        <v>5</v>
      </c>
    </row>
    <row r="4073" spans="1:4" ht="15" customHeight="1" x14ac:dyDescent="0.25">
      <c r="A4073" s="2" t="str">
        <f>"03050000260"</f>
        <v>03050000260</v>
      </c>
      <c r="B4073" s="2" t="s">
        <v>4075</v>
      </c>
      <c r="C4073" s="2">
        <v>864.27</v>
      </c>
      <c r="D4073" s="2" t="s">
        <v>5</v>
      </c>
    </row>
    <row r="4074" spans="1:4" ht="15" customHeight="1" x14ac:dyDescent="0.25">
      <c r="A4074" s="2" t="str">
        <f>"03018700046"</f>
        <v>03018700046</v>
      </c>
      <c r="B4074" s="2" t="s">
        <v>4076</v>
      </c>
      <c r="C4074" s="2">
        <v>1003.19</v>
      </c>
      <c r="D4074" s="2" t="s">
        <v>5</v>
      </c>
    </row>
    <row r="4075" spans="1:4" ht="15" customHeight="1" x14ac:dyDescent="0.25">
      <c r="A4075" s="2" t="str">
        <f>"03018700040"</f>
        <v>03018700040</v>
      </c>
      <c r="B4075" s="2" t="s">
        <v>4077</v>
      </c>
      <c r="C4075" s="2">
        <v>686.76</v>
      </c>
      <c r="D4075" s="2" t="s">
        <v>5</v>
      </c>
    </row>
    <row r="4076" spans="1:4" ht="15" customHeight="1" x14ac:dyDescent="0.25">
      <c r="A4076" s="2" t="str">
        <f>"04010000030"</f>
        <v>04010000030</v>
      </c>
      <c r="B4076" s="2" t="s">
        <v>4078</v>
      </c>
      <c r="C4076" s="2">
        <v>0.83</v>
      </c>
      <c r="D4076" s="2" t="s">
        <v>107</v>
      </c>
    </row>
    <row r="4077" spans="1:4" ht="15" customHeight="1" x14ac:dyDescent="0.25">
      <c r="A4077" s="2" t="str">
        <f>"01003000090"</f>
        <v>01003000090</v>
      </c>
      <c r="B4077" s="2" t="s">
        <v>4079</v>
      </c>
      <c r="C4077" s="2">
        <v>11.33</v>
      </c>
      <c r="D4077" s="2" t="s">
        <v>107</v>
      </c>
    </row>
    <row r="4078" spans="1:4" ht="15" customHeight="1" x14ac:dyDescent="0.25">
      <c r="A4078" s="2" t="str">
        <f>"01003000080"</f>
        <v>01003000080</v>
      </c>
      <c r="B4078" s="2" t="s">
        <v>4080</v>
      </c>
      <c r="C4078" s="2">
        <v>6.38</v>
      </c>
      <c r="D4078" s="2" t="s">
        <v>107</v>
      </c>
    </row>
    <row r="4079" spans="1:4" ht="15" customHeight="1" x14ac:dyDescent="0.25">
      <c r="A4079" s="2" t="str">
        <f>"01003000085"</f>
        <v>01003000085</v>
      </c>
      <c r="B4079" s="2" t="s">
        <v>4081</v>
      </c>
      <c r="C4079" s="2">
        <v>11.33</v>
      </c>
      <c r="D4079" s="2" t="s">
        <v>107</v>
      </c>
    </row>
    <row r="4080" spans="1:4" ht="15" customHeight="1" x14ac:dyDescent="0.25">
      <c r="A4080" s="2" t="str">
        <f>"08060000655"</f>
        <v>08060000655</v>
      </c>
      <c r="B4080" s="2" t="s">
        <v>4082</v>
      </c>
      <c r="C4080" s="2">
        <v>5769.21</v>
      </c>
      <c r="D4080" s="2" t="s">
        <v>5</v>
      </c>
    </row>
    <row r="4081" spans="1:4" ht="15" customHeight="1" x14ac:dyDescent="0.25">
      <c r="A4081" s="2" t="str">
        <f>"08060000650"</f>
        <v>08060000650</v>
      </c>
      <c r="B4081" s="2" t="s">
        <v>4083</v>
      </c>
      <c r="C4081" s="2">
        <v>5690.51</v>
      </c>
      <c r="D4081" s="2" t="s">
        <v>5</v>
      </c>
    </row>
    <row r="4082" spans="1:4" ht="15" customHeight="1" x14ac:dyDescent="0.25">
      <c r="A4082" s="2" t="str">
        <f>"08060000640"</f>
        <v>08060000640</v>
      </c>
      <c r="B4082" s="2" t="s">
        <v>4084</v>
      </c>
      <c r="C4082" s="2">
        <v>2040.18</v>
      </c>
      <c r="D4082" s="2" t="s">
        <v>5</v>
      </c>
    </row>
    <row r="4083" spans="1:4" ht="15" customHeight="1" x14ac:dyDescent="0.25">
      <c r="A4083" s="2" t="str">
        <f>"08060000645"</f>
        <v>08060000645</v>
      </c>
      <c r="B4083" s="2" t="s">
        <v>4085</v>
      </c>
      <c r="C4083" s="2">
        <v>3585.21</v>
      </c>
      <c r="D4083" s="2" t="s">
        <v>5</v>
      </c>
    </row>
    <row r="4084" spans="1:4" ht="15" customHeight="1" x14ac:dyDescent="0.25">
      <c r="A4084" s="2" t="str">
        <f>"02002000800"</f>
        <v>02002000800</v>
      </c>
      <c r="B4084" s="2" t="s">
        <v>4086</v>
      </c>
      <c r="C4084" s="2">
        <v>1183.47</v>
      </c>
      <c r="D4084" s="2" t="s">
        <v>5</v>
      </c>
    </row>
    <row r="4085" spans="1:4" ht="15" customHeight="1" x14ac:dyDescent="0.25">
      <c r="A4085" s="2" t="str">
        <f>"02002000805"</f>
        <v>02002000805</v>
      </c>
      <c r="B4085" s="2" t="s">
        <v>4087</v>
      </c>
      <c r="C4085" s="2">
        <v>1183.47</v>
      </c>
      <c r="D4085" s="2" t="s">
        <v>5</v>
      </c>
    </row>
    <row r="4086" spans="1:4" ht="15" customHeight="1" x14ac:dyDescent="0.25">
      <c r="A4086" s="2" t="str">
        <f>"01044000369"</f>
        <v>01044000369</v>
      </c>
      <c r="B4086" s="2" t="s">
        <v>4088</v>
      </c>
      <c r="C4086" s="2">
        <v>4.1900000000000004</v>
      </c>
      <c r="D4086" s="2" t="s">
        <v>107</v>
      </c>
    </row>
    <row r="4087" spans="1:4" ht="15" customHeight="1" x14ac:dyDescent="0.25">
      <c r="A4087" s="2" t="str">
        <f>"01044000370"</f>
        <v>01044000370</v>
      </c>
      <c r="B4087" s="2" t="s">
        <v>4089</v>
      </c>
      <c r="C4087" s="2">
        <v>5.66</v>
      </c>
      <c r="D4087" s="2" t="s">
        <v>107</v>
      </c>
    </row>
    <row r="4088" spans="1:4" ht="15" customHeight="1" x14ac:dyDescent="0.25">
      <c r="A4088" s="2" t="str">
        <f>"01044000371"</f>
        <v>01044000371</v>
      </c>
      <c r="B4088" s="2" t="s">
        <v>4090</v>
      </c>
      <c r="C4088" s="2">
        <v>8.57</v>
      </c>
      <c r="D4088" s="2" t="s">
        <v>107</v>
      </c>
    </row>
    <row r="4089" spans="1:4" ht="15" customHeight="1" x14ac:dyDescent="0.25">
      <c r="A4089" s="2" t="str">
        <f>"01044000372"</f>
        <v>01044000372</v>
      </c>
      <c r="B4089" s="2" t="s">
        <v>4091</v>
      </c>
      <c r="C4089" s="2">
        <v>9.81</v>
      </c>
      <c r="D4089" s="2" t="s">
        <v>107</v>
      </c>
    </row>
    <row r="4090" spans="1:4" ht="15" customHeight="1" x14ac:dyDescent="0.25">
      <c r="A4090" s="2" t="str">
        <f>"01044000375"</f>
        <v>01044000375</v>
      </c>
      <c r="B4090" s="2" t="s">
        <v>4092</v>
      </c>
      <c r="C4090" s="2">
        <v>10.34</v>
      </c>
      <c r="D4090" s="2" t="s">
        <v>107</v>
      </c>
    </row>
    <row r="4091" spans="1:4" ht="15" customHeight="1" x14ac:dyDescent="0.25">
      <c r="A4091" s="2" t="str">
        <f>"01044000376"</f>
        <v>01044000376</v>
      </c>
      <c r="B4091" s="2" t="s">
        <v>4093</v>
      </c>
      <c r="C4091" s="2">
        <v>10.32</v>
      </c>
      <c r="D4091" s="2" t="s">
        <v>107</v>
      </c>
    </row>
    <row r="4092" spans="1:4" ht="15" customHeight="1" x14ac:dyDescent="0.25">
      <c r="A4092" s="2" t="str">
        <f>"01044000377"</f>
        <v>01044000377</v>
      </c>
      <c r="B4092" s="2" t="s">
        <v>4094</v>
      </c>
      <c r="C4092" s="2">
        <v>10.32</v>
      </c>
      <c r="D4092" s="2" t="s">
        <v>107</v>
      </c>
    </row>
    <row r="4093" spans="1:4" ht="15" customHeight="1" x14ac:dyDescent="0.25">
      <c r="A4093" s="2" t="str">
        <f>"01044000379"</f>
        <v>01044000379</v>
      </c>
      <c r="B4093" s="2" t="s">
        <v>4095</v>
      </c>
      <c r="C4093" s="2">
        <v>16.190000000000001</v>
      </c>
      <c r="D4093" s="2" t="s">
        <v>107</v>
      </c>
    </row>
    <row r="4094" spans="1:4" ht="15" customHeight="1" x14ac:dyDescent="0.25">
      <c r="A4094" s="2" t="str">
        <f>"01044000382"</f>
        <v>01044000382</v>
      </c>
      <c r="B4094" s="2" t="s">
        <v>4096</v>
      </c>
      <c r="C4094" s="2">
        <v>16.190000000000001</v>
      </c>
      <c r="D4094" s="2" t="s">
        <v>107</v>
      </c>
    </row>
    <row r="4095" spans="1:4" ht="15" customHeight="1" x14ac:dyDescent="0.25">
      <c r="A4095" s="2" t="str">
        <f>"01044000380"</f>
        <v>01044000380</v>
      </c>
      <c r="B4095" s="2" t="s">
        <v>4097</v>
      </c>
      <c r="C4095" s="2">
        <v>16.2</v>
      </c>
      <c r="D4095" s="2" t="s">
        <v>107</v>
      </c>
    </row>
    <row r="4096" spans="1:4" ht="15" customHeight="1" x14ac:dyDescent="0.25">
      <c r="A4096" s="2" t="str">
        <f>"01044000384"</f>
        <v>01044000384</v>
      </c>
      <c r="B4096" s="2" t="s">
        <v>4098</v>
      </c>
      <c r="C4096" s="2">
        <v>9.8699999999999992</v>
      </c>
      <c r="D4096" s="2" t="s">
        <v>107</v>
      </c>
    </row>
    <row r="4097" spans="1:4" ht="15" customHeight="1" x14ac:dyDescent="0.25">
      <c r="A4097" s="2" t="str">
        <f>"01044000385"</f>
        <v>01044000385</v>
      </c>
      <c r="B4097" s="2" t="s">
        <v>4099</v>
      </c>
      <c r="C4097" s="2">
        <v>14.4</v>
      </c>
      <c r="D4097" s="2" t="s">
        <v>107</v>
      </c>
    </row>
    <row r="4098" spans="1:4" ht="15" customHeight="1" x14ac:dyDescent="0.25">
      <c r="A4098" s="2" t="str">
        <f>"01044000386"</f>
        <v>01044000386</v>
      </c>
      <c r="B4098" s="2" t="s">
        <v>4100</v>
      </c>
      <c r="C4098" s="2">
        <v>21.42</v>
      </c>
      <c r="D4098" s="2" t="s">
        <v>107</v>
      </c>
    </row>
    <row r="4099" spans="1:4" ht="15" customHeight="1" x14ac:dyDescent="0.25">
      <c r="A4099" s="2" t="str">
        <f>"01044000387"</f>
        <v>01044000387</v>
      </c>
      <c r="B4099" s="2" t="s">
        <v>4101</v>
      </c>
      <c r="C4099" s="2">
        <v>30.62</v>
      </c>
      <c r="D4099" s="2" t="s">
        <v>107</v>
      </c>
    </row>
    <row r="4100" spans="1:4" ht="15" customHeight="1" x14ac:dyDescent="0.25">
      <c r="A4100" s="2" t="str">
        <f>"01044000388"</f>
        <v>01044000388</v>
      </c>
      <c r="B4100" s="2" t="s">
        <v>4102</v>
      </c>
      <c r="C4100" s="2">
        <v>42.81</v>
      </c>
      <c r="D4100" s="2" t="s">
        <v>107</v>
      </c>
    </row>
    <row r="4101" spans="1:4" ht="15" customHeight="1" x14ac:dyDescent="0.25">
      <c r="A4101" s="2" t="str">
        <f>"01044000390"</f>
        <v>01044000390</v>
      </c>
      <c r="B4101" s="2" t="s">
        <v>4103</v>
      </c>
      <c r="C4101" s="2">
        <v>4.83</v>
      </c>
      <c r="D4101" s="2" t="s">
        <v>107</v>
      </c>
    </row>
    <row r="4102" spans="1:4" ht="15" customHeight="1" x14ac:dyDescent="0.25">
      <c r="A4102" s="2" t="str">
        <f>"01044000395"</f>
        <v>01044000395</v>
      </c>
      <c r="B4102" s="2" t="s">
        <v>4104</v>
      </c>
      <c r="C4102" s="2">
        <v>7.08</v>
      </c>
      <c r="D4102" s="2" t="s">
        <v>107</v>
      </c>
    </row>
    <row r="4103" spans="1:4" ht="15" customHeight="1" x14ac:dyDescent="0.25">
      <c r="A4103" s="2" t="str">
        <f>"01044000396"</f>
        <v>01044000396</v>
      </c>
      <c r="B4103" s="2" t="s">
        <v>4105</v>
      </c>
      <c r="C4103" s="2">
        <v>10.8</v>
      </c>
      <c r="D4103" s="2" t="s">
        <v>107</v>
      </c>
    </row>
    <row r="4104" spans="1:4" ht="15" customHeight="1" x14ac:dyDescent="0.25">
      <c r="A4104" s="2" t="str">
        <f>"01044000404"</f>
        <v>01044000404</v>
      </c>
      <c r="B4104" s="2" t="s">
        <v>4106</v>
      </c>
      <c r="C4104" s="2">
        <v>14.76</v>
      </c>
      <c r="D4104" s="2" t="s">
        <v>107</v>
      </c>
    </row>
    <row r="4105" spans="1:4" ht="15" customHeight="1" x14ac:dyDescent="0.25">
      <c r="A4105" s="2" t="str">
        <f>"01044000400"</f>
        <v>01044000400</v>
      </c>
      <c r="B4105" s="2" t="s">
        <v>4107</v>
      </c>
      <c r="C4105" s="2">
        <v>20.12</v>
      </c>
      <c r="D4105" s="2" t="s">
        <v>107</v>
      </c>
    </row>
    <row r="4106" spans="1:4" ht="15" customHeight="1" x14ac:dyDescent="0.25">
      <c r="A4106" s="2" t="str">
        <f>"01044000103"</f>
        <v>01044000103</v>
      </c>
      <c r="B4106" s="2" t="s">
        <v>4108</v>
      </c>
      <c r="C4106" s="2">
        <v>6.83</v>
      </c>
      <c r="D4106" s="2" t="s">
        <v>107</v>
      </c>
    </row>
    <row r="4107" spans="1:4" ht="15" customHeight="1" x14ac:dyDescent="0.25">
      <c r="A4107" s="2" t="str">
        <f>"01044000108"</f>
        <v>01044000108</v>
      </c>
      <c r="B4107" s="2" t="s">
        <v>4109</v>
      </c>
      <c r="C4107" s="2">
        <v>7.95</v>
      </c>
      <c r="D4107" s="2" t="s">
        <v>107</v>
      </c>
    </row>
    <row r="4108" spans="1:4" ht="15" customHeight="1" x14ac:dyDescent="0.25">
      <c r="A4108" s="2" t="str">
        <f>"01044000110"</f>
        <v>01044000110</v>
      </c>
      <c r="B4108" s="2" t="s">
        <v>4110</v>
      </c>
      <c r="C4108" s="2">
        <v>9.18</v>
      </c>
      <c r="D4108" s="2" t="s">
        <v>107</v>
      </c>
    </row>
    <row r="4109" spans="1:4" ht="15" customHeight="1" x14ac:dyDescent="0.25">
      <c r="A4109" s="2" t="str">
        <f>"01044000150"</f>
        <v>01044000150</v>
      </c>
      <c r="B4109" s="2" t="s">
        <v>4111</v>
      </c>
      <c r="C4109" s="2">
        <v>4.58</v>
      </c>
      <c r="D4109" s="2" t="s">
        <v>107</v>
      </c>
    </row>
    <row r="4110" spans="1:4" ht="15" customHeight="1" x14ac:dyDescent="0.25">
      <c r="A4110" s="2" t="str">
        <f>"01044000153"</f>
        <v>01044000153</v>
      </c>
      <c r="B4110" s="2" t="s">
        <v>4112</v>
      </c>
      <c r="C4110" s="2">
        <v>5.07</v>
      </c>
      <c r="D4110" s="2" t="s">
        <v>107</v>
      </c>
    </row>
    <row r="4111" spans="1:4" ht="15" customHeight="1" x14ac:dyDescent="0.25">
      <c r="A4111" s="2" t="str">
        <f>"01044000155"</f>
        <v>01044000155</v>
      </c>
      <c r="B4111" s="2" t="s">
        <v>4113</v>
      </c>
      <c r="C4111" s="2">
        <v>5.75</v>
      </c>
      <c r="D4111" s="2" t="s">
        <v>107</v>
      </c>
    </row>
    <row r="4112" spans="1:4" ht="15" customHeight="1" x14ac:dyDescent="0.25">
      <c r="A4112" s="2" t="str">
        <f>"01044000157"</f>
        <v>01044000157</v>
      </c>
      <c r="B4112" s="2" t="s">
        <v>4114</v>
      </c>
      <c r="C4112" s="2">
        <v>6.66</v>
      </c>
      <c r="D4112" s="2" t="s">
        <v>107</v>
      </c>
    </row>
    <row r="4113" spans="1:4" ht="15" customHeight="1" x14ac:dyDescent="0.25">
      <c r="A4113" s="2" t="str">
        <f>"01044000160"</f>
        <v>01044000160</v>
      </c>
      <c r="B4113" s="2" t="s">
        <v>4115</v>
      </c>
      <c r="C4113" s="2">
        <v>7.61</v>
      </c>
      <c r="D4113" s="2" t="s">
        <v>107</v>
      </c>
    </row>
    <row r="4114" spans="1:4" ht="15" customHeight="1" x14ac:dyDescent="0.25">
      <c r="A4114" s="2" t="str">
        <f>"01044000163"</f>
        <v>01044000163</v>
      </c>
      <c r="B4114" s="2" t="s">
        <v>4116</v>
      </c>
      <c r="C4114" s="2">
        <v>9.41</v>
      </c>
      <c r="D4114" s="2" t="s">
        <v>107</v>
      </c>
    </row>
    <row r="4115" spans="1:4" ht="15" customHeight="1" x14ac:dyDescent="0.25">
      <c r="A4115" s="2" t="str">
        <f>"01044000165"</f>
        <v>01044000165</v>
      </c>
      <c r="B4115" s="2" t="s">
        <v>4117</v>
      </c>
      <c r="C4115" s="2">
        <v>10.59</v>
      </c>
      <c r="D4115" s="2" t="s">
        <v>107</v>
      </c>
    </row>
    <row r="4116" spans="1:4" ht="15" customHeight="1" x14ac:dyDescent="0.25">
      <c r="A4116" s="2" t="str">
        <f>"01044000166"</f>
        <v>01044000166</v>
      </c>
      <c r="B4116" s="2" t="s">
        <v>4118</v>
      </c>
      <c r="C4116" s="2">
        <v>13.01</v>
      </c>
      <c r="D4116" s="2" t="s">
        <v>107</v>
      </c>
    </row>
    <row r="4117" spans="1:4" ht="15" customHeight="1" x14ac:dyDescent="0.25">
      <c r="A4117" s="2" t="str">
        <f>"01044000170"</f>
        <v>01044000170</v>
      </c>
      <c r="B4117" s="2" t="s">
        <v>4119</v>
      </c>
      <c r="C4117" s="2">
        <v>5.13</v>
      </c>
      <c r="D4117" s="2" t="s">
        <v>107</v>
      </c>
    </row>
    <row r="4118" spans="1:4" ht="15" customHeight="1" x14ac:dyDescent="0.25">
      <c r="A4118" s="2" t="str">
        <f>"01044000173"</f>
        <v>01044000173</v>
      </c>
      <c r="B4118" s="2" t="s">
        <v>4120</v>
      </c>
      <c r="C4118" s="2">
        <v>5.45</v>
      </c>
      <c r="D4118" s="2" t="s">
        <v>107</v>
      </c>
    </row>
    <row r="4119" spans="1:4" ht="15" customHeight="1" x14ac:dyDescent="0.25">
      <c r="A4119" s="2" t="str">
        <f>"01044000175"</f>
        <v>01044000175</v>
      </c>
      <c r="B4119" s="2" t="s">
        <v>4121</v>
      </c>
      <c r="C4119" s="2">
        <v>6.15</v>
      </c>
      <c r="D4119" s="2" t="s">
        <v>107</v>
      </c>
    </row>
    <row r="4120" spans="1:4" ht="15" customHeight="1" x14ac:dyDescent="0.25">
      <c r="A4120" s="2" t="str">
        <f>"01044000177"</f>
        <v>01044000177</v>
      </c>
      <c r="B4120" s="2" t="s">
        <v>4122</v>
      </c>
      <c r="C4120" s="2">
        <v>7.43</v>
      </c>
      <c r="D4120" s="2" t="s">
        <v>107</v>
      </c>
    </row>
    <row r="4121" spans="1:4" ht="15" customHeight="1" x14ac:dyDescent="0.25">
      <c r="A4121" s="2" t="str">
        <f>"01044000180"</f>
        <v>01044000180</v>
      </c>
      <c r="B4121" s="2" t="s">
        <v>4123</v>
      </c>
      <c r="C4121" s="2">
        <v>8.3699999999999992</v>
      </c>
      <c r="D4121" s="2" t="s">
        <v>107</v>
      </c>
    </row>
    <row r="4122" spans="1:4" ht="15" customHeight="1" x14ac:dyDescent="0.25">
      <c r="A4122" s="2" t="str">
        <f>"01044000183"</f>
        <v>01044000183</v>
      </c>
      <c r="B4122" s="2" t="s">
        <v>4124</v>
      </c>
      <c r="C4122" s="2">
        <v>10.199999999999999</v>
      </c>
      <c r="D4122" s="2" t="s">
        <v>107</v>
      </c>
    </row>
    <row r="4123" spans="1:4" ht="15" customHeight="1" x14ac:dyDescent="0.25">
      <c r="A4123" s="2" t="str">
        <f>"01044000200"</f>
        <v>01044000200</v>
      </c>
      <c r="B4123" s="2" t="s">
        <v>4125</v>
      </c>
      <c r="C4123" s="2">
        <v>12.29</v>
      </c>
      <c r="D4123" s="2" t="s">
        <v>107</v>
      </c>
    </row>
    <row r="4124" spans="1:4" ht="15" customHeight="1" x14ac:dyDescent="0.25">
      <c r="A4124" s="2" t="str">
        <f>"01044000210"</f>
        <v>01044000210</v>
      </c>
      <c r="B4124" s="2" t="s">
        <v>4126</v>
      </c>
      <c r="C4124" s="2">
        <v>6.83</v>
      </c>
      <c r="D4124" s="2" t="s">
        <v>107</v>
      </c>
    </row>
    <row r="4125" spans="1:4" ht="15" customHeight="1" x14ac:dyDescent="0.25">
      <c r="A4125" s="2" t="str">
        <f>"01044000215"</f>
        <v>01044000215</v>
      </c>
      <c r="B4125" s="2" t="s">
        <v>4127</v>
      </c>
      <c r="C4125" s="2">
        <v>7.25</v>
      </c>
      <c r="D4125" s="2" t="s">
        <v>107</v>
      </c>
    </row>
    <row r="4126" spans="1:4" ht="15" customHeight="1" x14ac:dyDescent="0.25">
      <c r="A4126" s="2" t="str">
        <f>"01044000220"</f>
        <v>01044000220</v>
      </c>
      <c r="B4126" s="2" t="s">
        <v>4128</v>
      </c>
      <c r="C4126" s="2">
        <v>7.95</v>
      </c>
      <c r="D4126" s="2" t="s">
        <v>107</v>
      </c>
    </row>
    <row r="4127" spans="1:4" ht="15" customHeight="1" x14ac:dyDescent="0.25">
      <c r="A4127" s="2" t="str">
        <f>"01044000223"</f>
        <v>01044000223</v>
      </c>
      <c r="B4127" s="2" t="s">
        <v>4129</v>
      </c>
      <c r="C4127" s="2">
        <v>9.15</v>
      </c>
      <c r="D4127" s="2" t="s">
        <v>107</v>
      </c>
    </row>
    <row r="4128" spans="1:4" ht="15" customHeight="1" x14ac:dyDescent="0.25">
      <c r="A4128" s="2" t="str">
        <f>"01044000225"</f>
        <v>01044000225</v>
      </c>
      <c r="B4128" s="2" t="s">
        <v>4130</v>
      </c>
      <c r="C4128" s="2">
        <v>10.98</v>
      </c>
      <c r="D4128" s="2" t="s">
        <v>107</v>
      </c>
    </row>
    <row r="4129" spans="1:4" ht="15" customHeight="1" x14ac:dyDescent="0.25">
      <c r="A4129" s="2" t="str">
        <f>"01044000230"</f>
        <v>01044000230</v>
      </c>
      <c r="B4129" s="2" t="s">
        <v>4131</v>
      </c>
      <c r="C4129" s="2">
        <v>12.81</v>
      </c>
      <c r="D4129" s="2" t="s">
        <v>107</v>
      </c>
    </row>
    <row r="4130" spans="1:4" ht="15" customHeight="1" x14ac:dyDescent="0.25">
      <c r="A4130" s="2" t="str">
        <f>"01044000235"</f>
        <v>01044000235</v>
      </c>
      <c r="B4130" s="2" t="s">
        <v>4132</v>
      </c>
      <c r="C4130" s="2">
        <v>15.45</v>
      </c>
      <c r="D4130" s="2" t="s">
        <v>107</v>
      </c>
    </row>
    <row r="4131" spans="1:4" ht="15" customHeight="1" x14ac:dyDescent="0.25">
      <c r="A4131" s="2" t="str">
        <f>"01044000240"</f>
        <v>01044000240</v>
      </c>
      <c r="B4131" s="2" t="s">
        <v>4133</v>
      </c>
      <c r="C4131" s="2">
        <v>17.66</v>
      </c>
      <c r="D4131" s="2" t="s">
        <v>107</v>
      </c>
    </row>
    <row r="4132" spans="1:4" ht="15" customHeight="1" x14ac:dyDescent="0.25">
      <c r="A4132" s="2" t="str">
        <f>"01044000112"</f>
        <v>01044000112</v>
      </c>
      <c r="B4132" s="2" t="s">
        <v>4134</v>
      </c>
      <c r="C4132" s="2">
        <v>8.42</v>
      </c>
      <c r="D4132" s="2" t="s">
        <v>107</v>
      </c>
    </row>
    <row r="4133" spans="1:4" ht="15" customHeight="1" x14ac:dyDescent="0.25">
      <c r="A4133" s="2" t="str">
        <f>"01044000115"</f>
        <v>01044000115</v>
      </c>
      <c r="B4133" s="2" t="s">
        <v>4135</v>
      </c>
      <c r="C4133" s="2">
        <v>9.36</v>
      </c>
      <c r="D4133" s="2" t="s">
        <v>107</v>
      </c>
    </row>
    <row r="4134" spans="1:4" ht="15" customHeight="1" x14ac:dyDescent="0.25">
      <c r="A4134" s="2" t="str">
        <f>"01044000125"</f>
        <v>01044000125</v>
      </c>
      <c r="B4134" s="2" t="s">
        <v>4136</v>
      </c>
      <c r="C4134" s="2">
        <v>12.54</v>
      </c>
      <c r="D4134" s="2" t="s">
        <v>107</v>
      </c>
    </row>
    <row r="4135" spans="1:4" ht="15" customHeight="1" x14ac:dyDescent="0.25">
      <c r="A4135" s="2" t="str">
        <f>"01044000250"</f>
        <v>01044000250</v>
      </c>
      <c r="B4135" s="2" t="s">
        <v>4137</v>
      </c>
      <c r="C4135" s="2">
        <v>10.199999999999999</v>
      </c>
      <c r="D4135" s="2" t="s">
        <v>107</v>
      </c>
    </row>
    <row r="4136" spans="1:4" ht="15" customHeight="1" x14ac:dyDescent="0.25">
      <c r="A4136" s="2" t="str">
        <f>"01044000320"</f>
        <v>01044000320</v>
      </c>
      <c r="B4136" s="2" t="s">
        <v>4138</v>
      </c>
      <c r="C4136" s="2">
        <v>6.26</v>
      </c>
      <c r="D4136" s="2" t="s">
        <v>107</v>
      </c>
    </row>
    <row r="4137" spans="1:4" ht="15" customHeight="1" x14ac:dyDescent="0.25">
      <c r="A4137" s="2" t="str">
        <f>"01044000330"</f>
        <v>01044000330</v>
      </c>
      <c r="B4137" s="2" t="s">
        <v>4139</v>
      </c>
      <c r="C4137" s="2">
        <v>9.08</v>
      </c>
      <c r="D4137" s="2" t="s">
        <v>107</v>
      </c>
    </row>
    <row r="4138" spans="1:4" ht="15" customHeight="1" x14ac:dyDescent="0.25">
      <c r="A4138" s="2" t="str">
        <f>"01044000333"</f>
        <v>01044000333</v>
      </c>
      <c r="B4138" s="2" t="s">
        <v>4140</v>
      </c>
      <c r="C4138" s="2">
        <v>11.7</v>
      </c>
      <c r="D4138" s="2" t="s">
        <v>107</v>
      </c>
    </row>
    <row r="4139" spans="1:4" ht="15" customHeight="1" x14ac:dyDescent="0.25">
      <c r="A4139" s="2" t="str">
        <f>"01044000335"</f>
        <v>01044000335</v>
      </c>
      <c r="B4139" s="2" t="s">
        <v>4141</v>
      </c>
      <c r="C4139" s="2">
        <v>14.03</v>
      </c>
      <c r="D4139" s="2" t="s">
        <v>107</v>
      </c>
    </row>
    <row r="4140" spans="1:4" ht="15" customHeight="1" x14ac:dyDescent="0.25">
      <c r="A4140" s="2" t="str">
        <f>"01044000337"</f>
        <v>01044000337</v>
      </c>
      <c r="B4140" s="2" t="s">
        <v>4142</v>
      </c>
      <c r="C4140" s="2">
        <v>23.72</v>
      </c>
      <c r="D4140" s="2" t="s">
        <v>107</v>
      </c>
    </row>
    <row r="4141" spans="1:4" ht="15" customHeight="1" x14ac:dyDescent="0.25">
      <c r="A4141" s="2" t="str">
        <f>"01044000300"</f>
        <v>01044000300</v>
      </c>
      <c r="B4141" s="2" t="s">
        <v>4143</v>
      </c>
      <c r="C4141" s="2">
        <v>12.21</v>
      </c>
      <c r="D4141" s="2" t="s">
        <v>107</v>
      </c>
    </row>
    <row r="4142" spans="1:4" ht="15" customHeight="1" x14ac:dyDescent="0.25">
      <c r="A4142" s="2" t="str">
        <f>"01044000310"</f>
        <v>01044000310</v>
      </c>
      <c r="B4142" s="2" t="s">
        <v>4144</v>
      </c>
      <c r="C4142" s="2">
        <v>18.48</v>
      </c>
      <c r="D4142" s="2" t="s">
        <v>107</v>
      </c>
    </row>
    <row r="4143" spans="1:4" ht="15" customHeight="1" x14ac:dyDescent="0.25">
      <c r="A4143" s="2" t="str">
        <f>"01044000313"</f>
        <v>01044000313</v>
      </c>
      <c r="B4143" s="2" t="s">
        <v>4145</v>
      </c>
      <c r="C4143" s="2">
        <v>27.56</v>
      </c>
      <c r="D4143" s="2" t="s">
        <v>107</v>
      </c>
    </row>
    <row r="4144" spans="1:4" ht="15" customHeight="1" x14ac:dyDescent="0.25">
      <c r="A4144" s="2" t="str">
        <f>"01044000315"</f>
        <v>01044000315</v>
      </c>
      <c r="B4144" s="2" t="s">
        <v>4146</v>
      </c>
      <c r="C4144" s="2">
        <v>37.979999999999997</v>
      </c>
      <c r="D4144" s="2" t="s">
        <v>107</v>
      </c>
    </row>
    <row r="4145" spans="1:4" ht="15" customHeight="1" x14ac:dyDescent="0.25">
      <c r="A4145" s="2" t="str">
        <f>"01044000316"</f>
        <v>01044000316</v>
      </c>
      <c r="B4145" s="2" t="s">
        <v>4147</v>
      </c>
      <c r="C4145" s="2">
        <v>56.51</v>
      </c>
      <c r="D4145" s="2" t="s">
        <v>107</v>
      </c>
    </row>
    <row r="4146" spans="1:4" ht="15" customHeight="1" x14ac:dyDescent="0.25">
      <c r="A4146" s="2" t="str">
        <f>"01044000340"</f>
        <v>01044000340</v>
      </c>
      <c r="B4146" s="2" t="s">
        <v>4148</v>
      </c>
      <c r="C4146" s="2">
        <v>19.79</v>
      </c>
      <c r="D4146" s="2" t="s">
        <v>107</v>
      </c>
    </row>
    <row r="4147" spans="1:4" ht="15" customHeight="1" x14ac:dyDescent="0.25">
      <c r="A4147" s="2" t="str">
        <f>"01044000350"</f>
        <v>01044000350</v>
      </c>
      <c r="B4147" s="2" t="s">
        <v>4149</v>
      </c>
      <c r="C4147" s="2">
        <v>20.91</v>
      </c>
      <c r="D4147" s="2" t="s">
        <v>107</v>
      </c>
    </row>
    <row r="4148" spans="1:4" ht="15" customHeight="1" x14ac:dyDescent="0.25">
      <c r="A4148" s="2" t="str">
        <f>"01044000355"</f>
        <v>01044000355</v>
      </c>
      <c r="B4148" s="2" t="s">
        <v>4150</v>
      </c>
      <c r="C4148" s="2">
        <v>32.01</v>
      </c>
      <c r="D4148" s="2" t="s">
        <v>107</v>
      </c>
    </row>
    <row r="4149" spans="1:4" ht="15" customHeight="1" x14ac:dyDescent="0.25">
      <c r="A4149" s="2" t="str">
        <f>"01044000360"</f>
        <v>01044000360</v>
      </c>
      <c r="B4149" s="2" t="s">
        <v>4151</v>
      </c>
      <c r="C4149" s="2">
        <v>39.869999999999997</v>
      </c>
      <c r="D4149" s="2" t="s">
        <v>107</v>
      </c>
    </row>
    <row r="4150" spans="1:4" ht="15" customHeight="1" x14ac:dyDescent="0.25">
      <c r="A4150" s="2" t="str">
        <f>"01044000365"</f>
        <v>01044000365</v>
      </c>
      <c r="B4150" s="2" t="s">
        <v>4152</v>
      </c>
      <c r="C4150" s="2">
        <v>55.49</v>
      </c>
      <c r="D4150" s="2" t="s">
        <v>107</v>
      </c>
    </row>
    <row r="4151" spans="1:4" ht="15" customHeight="1" x14ac:dyDescent="0.25">
      <c r="A4151" s="2" t="str">
        <f>"03042000058"</f>
        <v>03042000058</v>
      </c>
      <c r="B4151" s="2" t="s">
        <v>4153</v>
      </c>
      <c r="C4151" s="2">
        <v>1179.93</v>
      </c>
      <c r="D4151" s="2" t="s">
        <v>5</v>
      </c>
    </row>
    <row r="4152" spans="1:4" ht="15" customHeight="1" x14ac:dyDescent="0.25">
      <c r="A4152" s="2" t="str">
        <f>"03042000060"</f>
        <v>03042000060</v>
      </c>
      <c r="B4152" s="2" t="s">
        <v>4154</v>
      </c>
      <c r="C4152" s="2">
        <v>1420.98</v>
      </c>
      <c r="D4152" s="2" t="s">
        <v>5</v>
      </c>
    </row>
    <row r="4153" spans="1:4" ht="15" customHeight="1" x14ac:dyDescent="0.25">
      <c r="A4153" s="2" t="str">
        <f>"03035000038"</f>
        <v>03035000038</v>
      </c>
      <c r="B4153" s="2" t="s">
        <v>4155</v>
      </c>
      <c r="C4153" s="2">
        <v>29507.01</v>
      </c>
      <c r="D4153" s="2" t="s">
        <v>5</v>
      </c>
    </row>
    <row r="4154" spans="1:4" ht="15" customHeight="1" x14ac:dyDescent="0.25">
      <c r="A4154" s="2" t="str">
        <f>"03015000025"</f>
        <v>03015000025</v>
      </c>
      <c r="B4154" s="2" t="s">
        <v>4156</v>
      </c>
      <c r="C4154" s="2">
        <v>8653.02</v>
      </c>
      <c r="D4154" s="2" t="s">
        <v>5</v>
      </c>
    </row>
    <row r="4155" spans="1:4" ht="15" customHeight="1" x14ac:dyDescent="0.25">
      <c r="A4155" s="2" t="str">
        <f>"03015000020"</f>
        <v>03015000020</v>
      </c>
      <c r="B4155" s="2" t="s">
        <v>4157</v>
      </c>
      <c r="C4155" s="2">
        <v>7199.63</v>
      </c>
      <c r="D4155" s="2" t="s">
        <v>5</v>
      </c>
    </row>
    <row r="4156" spans="1:4" ht="15" customHeight="1" x14ac:dyDescent="0.25">
      <c r="A4156" s="2" t="str">
        <f>"03015000055"</f>
        <v>03015000055</v>
      </c>
      <c r="B4156" s="2" t="s">
        <v>4158</v>
      </c>
      <c r="C4156" s="2">
        <v>9630.81</v>
      </c>
      <c r="D4156" s="2" t="s">
        <v>5</v>
      </c>
    </row>
    <row r="4157" spans="1:4" ht="15" customHeight="1" x14ac:dyDescent="0.25">
      <c r="A4157" s="2" t="str">
        <f>"03015300105"</f>
        <v>03015300105</v>
      </c>
      <c r="B4157" s="2" t="s">
        <v>4159</v>
      </c>
      <c r="C4157" s="2">
        <v>4800.18</v>
      </c>
      <c r="D4157" s="2" t="s">
        <v>5</v>
      </c>
    </row>
    <row r="4158" spans="1:4" ht="15" customHeight="1" x14ac:dyDescent="0.25">
      <c r="A4158" s="2" t="str">
        <f>"03015200020"</f>
        <v>03015200020</v>
      </c>
      <c r="B4158" s="2" t="s">
        <v>4160</v>
      </c>
      <c r="C4158" s="2">
        <v>8116.25</v>
      </c>
      <c r="D4158" s="2" t="s">
        <v>5</v>
      </c>
    </row>
    <row r="4159" spans="1:4" ht="15" customHeight="1" x14ac:dyDescent="0.25">
      <c r="A4159" s="2" t="str">
        <f>"03015300001"</f>
        <v>03015300001</v>
      </c>
      <c r="B4159" s="2" t="s">
        <v>4161</v>
      </c>
      <c r="C4159" s="2">
        <v>8892</v>
      </c>
      <c r="D4159" s="2" t="s">
        <v>5</v>
      </c>
    </row>
    <row r="4160" spans="1:4" ht="15" customHeight="1" x14ac:dyDescent="0.25">
      <c r="A4160" s="2" t="str">
        <f>"08410000055"</f>
        <v>08410000055</v>
      </c>
      <c r="B4160" s="2" t="s">
        <v>4162</v>
      </c>
      <c r="C4160" s="2">
        <v>15242.61</v>
      </c>
      <c r="D4160" s="2" t="s">
        <v>5</v>
      </c>
    </row>
    <row r="4161" spans="1:4" ht="15" customHeight="1" x14ac:dyDescent="0.25">
      <c r="A4161" s="2" t="str">
        <f>"08300003505"</f>
        <v>08300003505</v>
      </c>
      <c r="B4161" s="2" t="s">
        <v>4163</v>
      </c>
      <c r="C4161" s="2">
        <v>8978.2800000000007</v>
      </c>
      <c r="D4161" s="2" t="s">
        <v>5</v>
      </c>
    </row>
    <row r="4162" spans="1:4" ht="15" customHeight="1" x14ac:dyDescent="0.25">
      <c r="A4162" s="2" t="str">
        <f>"06070100005"</f>
        <v>06070100005</v>
      </c>
      <c r="B4162" s="2" t="s">
        <v>4164</v>
      </c>
      <c r="C4162" s="2">
        <v>5994</v>
      </c>
      <c r="D4162" s="2" t="s">
        <v>5</v>
      </c>
    </row>
    <row r="4163" spans="1:4" ht="15" customHeight="1" x14ac:dyDescent="0.25">
      <c r="A4163" s="2" t="str">
        <f>"06070100010"</f>
        <v>06070100010</v>
      </c>
      <c r="B4163" s="2" t="s">
        <v>4165</v>
      </c>
      <c r="C4163" s="2">
        <v>8910</v>
      </c>
      <c r="D4163" s="2" t="s">
        <v>5</v>
      </c>
    </row>
    <row r="4164" spans="1:4" ht="15" customHeight="1" x14ac:dyDescent="0.25">
      <c r="A4164" s="2" t="str">
        <f>"08300003500"</f>
        <v>08300003500</v>
      </c>
      <c r="B4164" s="2" t="s">
        <v>4166</v>
      </c>
      <c r="C4164" s="2">
        <v>13290.32</v>
      </c>
      <c r="D4164" s="2" t="s">
        <v>5</v>
      </c>
    </row>
    <row r="4165" spans="1:4" ht="15" customHeight="1" x14ac:dyDescent="0.25">
      <c r="A4165" s="2" t="str">
        <f>"03015000015"</f>
        <v>03015000015</v>
      </c>
      <c r="B4165" s="2" t="s">
        <v>4167</v>
      </c>
      <c r="C4165" s="2">
        <v>4702.5200000000004</v>
      </c>
      <c r="D4165" s="2" t="s">
        <v>5</v>
      </c>
    </row>
    <row r="4166" spans="1:4" ht="15" customHeight="1" x14ac:dyDescent="0.25">
      <c r="A4166" s="2" t="str">
        <f>"03015000010"</f>
        <v>03015000010</v>
      </c>
      <c r="B4166" s="2" t="s">
        <v>4168</v>
      </c>
      <c r="C4166" s="2">
        <v>3215.67</v>
      </c>
      <c r="D4166" s="2" t="s">
        <v>5</v>
      </c>
    </row>
    <row r="4167" spans="1:4" ht="15" customHeight="1" x14ac:dyDescent="0.25">
      <c r="A4167" s="2" t="str">
        <f>"03015000050"</f>
        <v>03015000050</v>
      </c>
      <c r="B4167" s="2" t="s">
        <v>4169</v>
      </c>
      <c r="C4167" s="2">
        <v>5352.81</v>
      </c>
      <c r="D4167" s="2" t="s">
        <v>5</v>
      </c>
    </row>
    <row r="4168" spans="1:4" ht="15" customHeight="1" x14ac:dyDescent="0.25">
      <c r="A4168" s="2" t="str">
        <f>"03015300100"</f>
        <v>03015300100</v>
      </c>
      <c r="B4168" s="2" t="s">
        <v>4170</v>
      </c>
      <c r="C4168" s="2">
        <v>2185.35</v>
      </c>
      <c r="D4168" s="2" t="s">
        <v>5</v>
      </c>
    </row>
    <row r="4169" spans="1:4" ht="15" customHeight="1" x14ac:dyDescent="0.25">
      <c r="A4169" s="2" t="str">
        <f>"03015200010"</f>
        <v>03015200010</v>
      </c>
      <c r="B4169" s="2" t="s">
        <v>4171</v>
      </c>
      <c r="C4169" s="2">
        <v>4156.6499999999996</v>
      </c>
      <c r="D4169" s="2" t="s">
        <v>5</v>
      </c>
    </row>
    <row r="4170" spans="1:4" ht="15" customHeight="1" x14ac:dyDescent="0.25">
      <c r="A4170" s="2" t="str">
        <f>"03015300002"</f>
        <v>03015300002</v>
      </c>
      <c r="B4170" s="2" t="s">
        <v>4172</v>
      </c>
      <c r="C4170" s="2">
        <v>5616</v>
      </c>
      <c r="D4170" s="2" t="s">
        <v>5</v>
      </c>
    </row>
    <row r="4171" spans="1:4" ht="15" customHeight="1" x14ac:dyDescent="0.25">
      <c r="A4171" s="2" t="str">
        <f>"06070000045"</f>
        <v>06070000045</v>
      </c>
      <c r="B4171" s="2" t="s">
        <v>4173</v>
      </c>
      <c r="C4171" s="2">
        <v>3020.85</v>
      </c>
      <c r="D4171" s="2" t="s">
        <v>5</v>
      </c>
    </row>
    <row r="4172" spans="1:4" ht="15" customHeight="1" x14ac:dyDescent="0.25">
      <c r="A4172" s="2" t="str">
        <f>"03015000005"</f>
        <v>03015000005</v>
      </c>
      <c r="B4172" s="2" t="s">
        <v>4174</v>
      </c>
      <c r="C4172" s="2">
        <v>3328.7</v>
      </c>
      <c r="D4172" s="2" t="s">
        <v>5</v>
      </c>
    </row>
    <row r="4173" spans="1:4" ht="15" customHeight="1" x14ac:dyDescent="0.25">
      <c r="A4173" s="2" t="str">
        <f>"08410000060"</f>
        <v>08410000060</v>
      </c>
      <c r="B4173" s="2" t="s">
        <v>4175</v>
      </c>
      <c r="C4173" s="2">
        <v>11296.46</v>
      </c>
      <c r="D4173" s="2" t="s">
        <v>5</v>
      </c>
    </row>
    <row r="4174" spans="1:4" ht="15" customHeight="1" x14ac:dyDescent="0.25">
      <c r="A4174" s="2" t="str">
        <f>"03015000060"</f>
        <v>03015000060</v>
      </c>
      <c r="B4174" s="2" t="s">
        <v>4176</v>
      </c>
      <c r="C4174" s="2">
        <v>10914.62</v>
      </c>
      <c r="D4174" s="2" t="s">
        <v>5</v>
      </c>
    </row>
    <row r="4175" spans="1:4" ht="15" customHeight="1" x14ac:dyDescent="0.25">
      <c r="A4175" s="2" t="str">
        <f>"03038000621"</f>
        <v>03038000621</v>
      </c>
      <c r="B4175" s="2" t="s">
        <v>4177</v>
      </c>
      <c r="C4175" s="2">
        <v>829.88</v>
      </c>
      <c r="D4175" s="2" t="s">
        <v>5</v>
      </c>
    </row>
    <row r="4176" spans="1:4" ht="15" customHeight="1" x14ac:dyDescent="0.25">
      <c r="A4176" s="2" t="str">
        <f>"03038000641"</f>
        <v>03038000641</v>
      </c>
      <c r="B4176" s="2" t="s">
        <v>4178</v>
      </c>
      <c r="C4176" s="2">
        <v>904.88</v>
      </c>
      <c r="D4176" s="2" t="s">
        <v>5</v>
      </c>
    </row>
    <row r="4177" spans="1:4" ht="15" customHeight="1" x14ac:dyDescent="0.25">
      <c r="A4177" s="2" t="str">
        <f>"03038000645"</f>
        <v>03038000645</v>
      </c>
      <c r="B4177" s="2" t="s">
        <v>4179</v>
      </c>
      <c r="C4177" s="2">
        <v>728.07</v>
      </c>
      <c r="D4177" s="2" t="s">
        <v>5</v>
      </c>
    </row>
    <row r="4178" spans="1:4" ht="15" customHeight="1" x14ac:dyDescent="0.25">
      <c r="A4178" s="2" t="str">
        <f>"01010300100"</f>
        <v>01010300100</v>
      </c>
      <c r="B4178" s="2" t="s">
        <v>4180</v>
      </c>
      <c r="C4178" s="2">
        <v>40500</v>
      </c>
      <c r="D4178" s="2" t="s">
        <v>5</v>
      </c>
    </row>
    <row r="4179" spans="1:4" ht="15" customHeight="1" x14ac:dyDescent="0.25">
      <c r="A4179" s="2" t="str">
        <f>"01010300110"</f>
        <v>01010300110</v>
      </c>
      <c r="B4179" s="2" t="s">
        <v>4181</v>
      </c>
      <c r="C4179" s="2">
        <v>58320</v>
      </c>
      <c r="D4179" s="2" t="s">
        <v>5</v>
      </c>
    </row>
    <row r="4180" spans="1:4" ht="15" customHeight="1" x14ac:dyDescent="0.25">
      <c r="A4180" s="2" t="str">
        <f>"01010300150"</f>
        <v>01010300150</v>
      </c>
      <c r="B4180" s="2" t="s">
        <v>4182</v>
      </c>
      <c r="C4180" s="2">
        <v>231141.93</v>
      </c>
      <c r="D4180" s="2" t="s">
        <v>5</v>
      </c>
    </row>
    <row r="4181" spans="1:4" ht="15" customHeight="1" x14ac:dyDescent="0.25">
      <c r="A4181" s="2" t="str">
        <f>"08800000233"</f>
        <v>08800000233</v>
      </c>
      <c r="B4181" s="2" t="s">
        <v>4183</v>
      </c>
      <c r="C4181" s="2">
        <v>52.71</v>
      </c>
      <c r="D4181" s="2" t="s">
        <v>5</v>
      </c>
    </row>
    <row r="4182" spans="1:4" ht="15" customHeight="1" x14ac:dyDescent="0.25">
      <c r="A4182" s="2" t="str">
        <f>"08800000234"</f>
        <v>08800000234</v>
      </c>
      <c r="B4182" s="2" t="s">
        <v>4184</v>
      </c>
      <c r="C4182" s="2">
        <v>52.71</v>
      </c>
      <c r="D4182" s="2" t="s">
        <v>5</v>
      </c>
    </row>
    <row r="4183" spans="1:4" ht="15" customHeight="1" x14ac:dyDescent="0.25">
      <c r="A4183" s="2" t="str">
        <f>"03010000195"</f>
        <v>03010000195</v>
      </c>
      <c r="B4183" s="2" t="s">
        <v>4185</v>
      </c>
      <c r="C4183" s="2">
        <v>2367</v>
      </c>
      <c r="D4183" s="2" t="s">
        <v>5</v>
      </c>
    </row>
    <row r="4184" spans="1:4" ht="15" customHeight="1" x14ac:dyDescent="0.25">
      <c r="A4184" s="2" t="str">
        <f>"09500000180"</f>
        <v>09500000180</v>
      </c>
      <c r="B4184" s="2" t="s">
        <v>4186</v>
      </c>
      <c r="C4184" s="2">
        <v>4384.88</v>
      </c>
      <c r="D4184" s="2" t="s">
        <v>5</v>
      </c>
    </row>
    <row r="4185" spans="1:4" ht="15" customHeight="1" x14ac:dyDescent="0.25">
      <c r="A4185" s="2" t="str">
        <f>"03017700028"</f>
        <v>03017700028</v>
      </c>
      <c r="B4185" s="2" t="s">
        <v>4187</v>
      </c>
      <c r="C4185" s="2">
        <v>9705.7999999999993</v>
      </c>
      <c r="D4185" s="2" t="s">
        <v>5</v>
      </c>
    </row>
    <row r="4186" spans="1:4" ht="15" customHeight="1" x14ac:dyDescent="0.25">
      <c r="A4186" s="2" t="str">
        <f>"03017700027"</f>
        <v>03017700027</v>
      </c>
      <c r="B4186" s="2" t="s">
        <v>4188</v>
      </c>
      <c r="C4186" s="2">
        <v>9058.76</v>
      </c>
      <c r="D4186" s="2" t="s">
        <v>5</v>
      </c>
    </row>
    <row r="4187" spans="1:4" ht="15" customHeight="1" x14ac:dyDescent="0.25">
      <c r="A4187" s="2" t="str">
        <f>"08005000035"</f>
        <v>08005000035</v>
      </c>
      <c r="B4187" s="2" t="s">
        <v>4189</v>
      </c>
      <c r="C4187" s="2">
        <v>7700.7</v>
      </c>
      <c r="D4187" s="2" t="s">
        <v>5</v>
      </c>
    </row>
    <row r="4188" spans="1:4" ht="15" customHeight="1" x14ac:dyDescent="0.25">
      <c r="A4188" s="2" t="str">
        <f>"03017700030"</f>
        <v>03017700030</v>
      </c>
      <c r="B4188" s="2" t="s">
        <v>4190</v>
      </c>
      <c r="C4188" s="2">
        <v>3030.05</v>
      </c>
      <c r="D4188" s="2" t="s">
        <v>5</v>
      </c>
    </row>
    <row r="4189" spans="1:4" ht="15" customHeight="1" x14ac:dyDescent="0.25">
      <c r="A4189" s="2" t="str">
        <f>"03017700110"</f>
        <v>03017700110</v>
      </c>
      <c r="B4189" s="2" t="s">
        <v>4191</v>
      </c>
      <c r="C4189" s="2">
        <v>3329.18</v>
      </c>
      <c r="D4189" s="2" t="s">
        <v>5</v>
      </c>
    </row>
    <row r="4190" spans="1:4" ht="15" customHeight="1" x14ac:dyDescent="0.25">
      <c r="A4190" s="2" t="str">
        <f>"06010000700"</f>
        <v>06010000700</v>
      </c>
      <c r="B4190" s="2" t="s">
        <v>4192</v>
      </c>
      <c r="C4190" s="2">
        <v>2099.96</v>
      </c>
      <c r="D4190" s="2" t="s">
        <v>5</v>
      </c>
    </row>
    <row r="4191" spans="1:4" ht="15" customHeight="1" x14ac:dyDescent="0.25">
      <c r="A4191" s="2" t="str">
        <f>"03017700010"</f>
        <v>03017700010</v>
      </c>
      <c r="B4191" s="2" t="s">
        <v>4193</v>
      </c>
      <c r="C4191" s="2">
        <v>1759.28</v>
      </c>
      <c r="D4191" s="2" t="s">
        <v>5</v>
      </c>
    </row>
    <row r="4192" spans="1:4" ht="15" customHeight="1" x14ac:dyDescent="0.25">
      <c r="A4192" s="2" t="str">
        <f>"03017700025"</f>
        <v>03017700025</v>
      </c>
      <c r="B4192" s="2" t="s">
        <v>4194</v>
      </c>
      <c r="C4192" s="2">
        <v>1370.24</v>
      </c>
      <c r="D4192" s="2" t="s">
        <v>5</v>
      </c>
    </row>
    <row r="4193" spans="1:4" ht="15" customHeight="1" x14ac:dyDescent="0.25">
      <c r="A4193" s="2" t="str">
        <f>"03017700120"</f>
        <v>03017700120</v>
      </c>
      <c r="B4193" s="2" t="s">
        <v>4195</v>
      </c>
      <c r="C4193" s="2">
        <v>3644.69</v>
      </c>
      <c r="D4193" s="2" t="s">
        <v>5</v>
      </c>
    </row>
    <row r="4194" spans="1:4" ht="15" customHeight="1" x14ac:dyDescent="0.25">
      <c r="A4194" s="2" t="str">
        <f>"06010000705"</f>
        <v>06010000705</v>
      </c>
      <c r="B4194" s="2" t="s">
        <v>4196</v>
      </c>
      <c r="C4194" s="2">
        <v>2348.7199999999998</v>
      </c>
      <c r="D4194" s="2" t="s">
        <v>5</v>
      </c>
    </row>
    <row r="4195" spans="1:4" ht="15" customHeight="1" x14ac:dyDescent="0.25">
      <c r="A4195" s="2" t="str">
        <f>"03017700020"</f>
        <v>03017700020</v>
      </c>
      <c r="B4195" s="2" t="s">
        <v>4197</v>
      </c>
      <c r="C4195" s="2">
        <v>2119.9499999999998</v>
      </c>
      <c r="D4195" s="2" t="s">
        <v>5</v>
      </c>
    </row>
    <row r="4196" spans="1:4" ht="15" customHeight="1" x14ac:dyDescent="0.25">
      <c r="A4196" s="2" t="str">
        <f>"03017700026"</f>
        <v>03017700026</v>
      </c>
      <c r="B4196" s="2" t="s">
        <v>4198</v>
      </c>
      <c r="C4196" s="2">
        <v>1623.99</v>
      </c>
      <c r="D4196" s="2" t="s">
        <v>5</v>
      </c>
    </row>
    <row r="4197" spans="1:4" ht="15" customHeight="1" x14ac:dyDescent="0.25">
      <c r="A4197" s="2" t="str">
        <f>"03010000200"</f>
        <v>03010000200</v>
      </c>
      <c r="B4197" s="2" t="s">
        <v>4199</v>
      </c>
      <c r="C4197" s="2">
        <v>1686.33</v>
      </c>
      <c r="D4197" s="2" t="s">
        <v>5</v>
      </c>
    </row>
    <row r="4198" spans="1:4" ht="15" customHeight="1" x14ac:dyDescent="0.25">
      <c r="A4198" s="2" t="str">
        <f>"03017700023"</f>
        <v>03017700023</v>
      </c>
      <c r="B4198" s="2" t="s">
        <v>4200</v>
      </c>
      <c r="C4198" s="2">
        <v>1370.24</v>
      </c>
      <c r="D4198" s="2" t="s">
        <v>5</v>
      </c>
    </row>
    <row r="4199" spans="1:4" ht="15" customHeight="1" x14ac:dyDescent="0.25">
      <c r="A4199" s="2" t="str">
        <f>"09500000165"</f>
        <v>09500000165</v>
      </c>
      <c r="B4199" s="2" t="s">
        <v>4201</v>
      </c>
      <c r="C4199" s="2">
        <v>10680.02</v>
      </c>
      <c r="D4199" s="2" t="s">
        <v>5</v>
      </c>
    </row>
    <row r="4200" spans="1:4" ht="15" customHeight="1" x14ac:dyDescent="0.25">
      <c r="A4200" s="2" t="str">
        <f>"09500000155"</f>
        <v>09500000155</v>
      </c>
      <c r="B4200" s="2" t="s">
        <v>4202</v>
      </c>
      <c r="C4200" s="2">
        <v>7833.3</v>
      </c>
      <c r="D4200" s="2" t="s">
        <v>5</v>
      </c>
    </row>
    <row r="4201" spans="1:4" ht="15" customHeight="1" x14ac:dyDescent="0.25">
      <c r="A4201" s="2" t="str">
        <f>"09500000160"</f>
        <v>09500000160</v>
      </c>
      <c r="B4201" s="2" t="s">
        <v>4203</v>
      </c>
      <c r="C4201" s="2">
        <v>9632.9599999999991</v>
      </c>
      <c r="D4201" s="2" t="s">
        <v>5</v>
      </c>
    </row>
    <row r="4202" spans="1:4" ht="15" customHeight="1" x14ac:dyDescent="0.25">
      <c r="A4202" s="2" t="str">
        <f>"09500000162"</f>
        <v>09500000162</v>
      </c>
      <c r="B4202" s="2" t="s">
        <v>4204</v>
      </c>
      <c r="C4202" s="2">
        <v>10173.57</v>
      </c>
      <c r="D4202" s="2" t="s">
        <v>5</v>
      </c>
    </row>
    <row r="4203" spans="1:4" ht="15" customHeight="1" x14ac:dyDescent="0.25">
      <c r="A4203" s="2" t="str">
        <f>"09500000170"</f>
        <v>09500000170</v>
      </c>
      <c r="B4203" s="2" t="s">
        <v>4205</v>
      </c>
      <c r="C4203" s="2">
        <v>13696.86</v>
      </c>
      <c r="D4203" s="2" t="s">
        <v>5</v>
      </c>
    </row>
    <row r="4204" spans="1:4" ht="15" customHeight="1" x14ac:dyDescent="0.25">
      <c r="A4204" s="2" t="str">
        <f>"02010000005"</f>
        <v>02010000005</v>
      </c>
      <c r="B4204" s="2" t="s">
        <v>4206</v>
      </c>
      <c r="C4204" s="2">
        <v>12130.04</v>
      </c>
      <c r="D4204" s="2" t="s">
        <v>5</v>
      </c>
    </row>
    <row r="4205" spans="1:4" ht="15" customHeight="1" x14ac:dyDescent="0.25">
      <c r="A4205" s="2" t="str">
        <f>"02010000025"</f>
        <v>02010000025</v>
      </c>
      <c r="B4205" s="2" t="s">
        <v>4207</v>
      </c>
      <c r="C4205" s="2">
        <v>14036.04</v>
      </c>
      <c r="D4205" s="2" t="s">
        <v>5</v>
      </c>
    </row>
    <row r="4206" spans="1:4" ht="15" customHeight="1" x14ac:dyDescent="0.25">
      <c r="A4206" s="2" t="str">
        <f>"02010000105"</f>
        <v>02010000105</v>
      </c>
      <c r="B4206" s="2" t="s">
        <v>4208</v>
      </c>
      <c r="C4206" s="2">
        <v>12504.9</v>
      </c>
      <c r="D4206" s="2" t="s">
        <v>5</v>
      </c>
    </row>
    <row r="4207" spans="1:4" ht="15" customHeight="1" x14ac:dyDescent="0.25">
      <c r="A4207" s="2" t="str">
        <f>"02010000125"</f>
        <v>02010000125</v>
      </c>
      <c r="B4207" s="2" t="s">
        <v>4209</v>
      </c>
      <c r="C4207" s="2">
        <v>15325.95</v>
      </c>
      <c r="D4207" s="2" t="s">
        <v>5</v>
      </c>
    </row>
    <row r="4208" spans="1:4" ht="15" customHeight="1" x14ac:dyDescent="0.25">
      <c r="A4208" s="2" t="str">
        <f>"03032000206"</f>
        <v>03032000206</v>
      </c>
      <c r="B4208" s="2" t="s">
        <v>4210</v>
      </c>
      <c r="C4208" s="2">
        <v>600.57000000000005</v>
      </c>
      <c r="D4208" s="2" t="s">
        <v>5</v>
      </c>
    </row>
    <row r="4209" spans="1:4" ht="15" customHeight="1" x14ac:dyDescent="0.25">
      <c r="A4209" s="2" t="str">
        <f>"03038000857"</f>
        <v>03038000857</v>
      </c>
      <c r="B4209" s="2" t="s">
        <v>4211</v>
      </c>
      <c r="C4209" s="2">
        <v>611.42999999999995</v>
      </c>
      <c r="D4209" s="2" t="s">
        <v>5</v>
      </c>
    </row>
    <row r="4210" spans="1:4" ht="15" customHeight="1" x14ac:dyDescent="0.25">
      <c r="A4210" s="2" t="str">
        <f>"09008000005"</f>
        <v>09008000005</v>
      </c>
      <c r="B4210" s="2" t="s">
        <v>4212</v>
      </c>
      <c r="C4210" s="2">
        <v>18370.8</v>
      </c>
      <c r="D4210" s="2" t="s">
        <v>5</v>
      </c>
    </row>
    <row r="4211" spans="1:4" ht="15" customHeight="1" x14ac:dyDescent="0.25">
      <c r="A4211" s="2" t="str">
        <f>"09008000010"</f>
        <v>09008000010</v>
      </c>
      <c r="B4211" s="2" t="s">
        <v>4213</v>
      </c>
      <c r="C4211" s="2">
        <v>17520.3</v>
      </c>
      <c r="D4211" s="2" t="s">
        <v>5</v>
      </c>
    </row>
    <row r="4212" spans="1:4" ht="15" customHeight="1" x14ac:dyDescent="0.25">
      <c r="A4212" s="2" t="str">
        <f>"02010000050"</f>
        <v>02010000050</v>
      </c>
      <c r="B4212" s="2" t="s">
        <v>4214</v>
      </c>
      <c r="C4212" s="2">
        <v>11933.57</v>
      </c>
      <c r="D4212" s="2" t="s">
        <v>5</v>
      </c>
    </row>
    <row r="4213" spans="1:4" ht="15" customHeight="1" x14ac:dyDescent="0.25">
      <c r="A4213" s="2" t="str">
        <f>"01011000028"</f>
        <v>01011000028</v>
      </c>
      <c r="B4213" s="2" t="s">
        <v>4215</v>
      </c>
      <c r="C4213" s="2">
        <v>806.76</v>
      </c>
      <c r="D4213" s="2" t="s">
        <v>5</v>
      </c>
    </row>
    <row r="4214" spans="1:4" ht="15" customHeight="1" x14ac:dyDescent="0.25">
      <c r="A4214" s="2" t="str">
        <f>"01011000027"</f>
        <v>01011000027</v>
      </c>
      <c r="B4214" s="2" t="s">
        <v>4216</v>
      </c>
      <c r="C4214" s="2">
        <v>693.36</v>
      </c>
      <c r="D4214" s="2" t="s">
        <v>5</v>
      </c>
    </row>
    <row r="4215" spans="1:4" ht="15" customHeight="1" x14ac:dyDescent="0.25">
      <c r="A4215" s="2" t="str">
        <f>"01011000330"</f>
        <v>01011000330</v>
      </c>
      <c r="B4215" s="2" t="s">
        <v>4217</v>
      </c>
      <c r="C4215" s="2">
        <v>559.79999999999995</v>
      </c>
      <c r="D4215" s="2" t="s">
        <v>5</v>
      </c>
    </row>
    <row r="4216" spans="1:4" ht="15" customHeight="1" x14ac:dyDescent="0.25">
      <c r="A4216" s="2" t="str">
        <f>"01011000332"</f>
        <v>01011000332</v>
      </c>
      <c r="B4216" s="2" t="s">
        <v>4218</v>
      </c>
      <c r="C4216" s="2">
        <v>584.82000000000005</v>
      </c>
      <c r="D4216" s="2" t="s">
        <v>5</v>
      </c>
    </row>
    <row r="4217" spans="1:4" ht="15" customHeight="1" x14ac:dyDescent="0.25">
      <c r="A4217" s="2" t="str">
        <f>"01011000315"</f>
        <v>01011000315</v>
      </c>
      <c r="B4217" s="2" t="s">
        <v>4219</v>
      </c>
      <c r="C4217" s="2">
        <v>505.89</v>
      </c>
      <c r="D4217" s="2" t="s">
        <v>5</v>
      </c>
    </row>
    <row r="4218" spans="1:4" ht="15" customHeight="1" x14ac:dyDescent="0.25">
      <c r="A4218" s="2" t="str">
        <f>"01011000310"</f>
        <v>01011000310</v>
      </c>
      <c r="B4218" s="2" t="s">
        <v>4220</v>
      </c>
      <c r="C4218" s="2">
        <v>564.44000000000005</v>
      </c>
      <c r="D4218" s="2" t="s">
        <v>5</v>
      </c>
    </row>
    <row r="4219" spans="1:4" ht="15" customHeight="1" x14ac:dyDescent="0.25">
      <c r="A4219" s="2" t="str">
        <f>"01011000325"</f>
        <v>01011000325</v>
      </c>
      <c r="B4219" s="2" t="s">
        <v>4221</v>
      </c>
      <c r="C4219" s="2">
        <v>725.67</v>
      </c>
      <c r="D4219" s="2" t="s">
        <v>5</v>
      </c>
    </row>
    <row r="4220" spans="1:4" ht="15" customHeight="1" x14ac:dyDescent="0.25">
      <c r="A4220" s="2" t="str">
        <f>"01011000300"</f>
        <v>01011000300</v>
      </c>
      <c r="B4220" s="2" t="s">
        <v>4222</v>
      </c>
      <c r="C4220" s="2">
        <v>564.44000000000005</v>
      </c>
      <c r="D4220" s="2" t="s">
        <v>5</v>
      </c>
    </row>
    <row r="4221" spans="1:4" ht="15" customHeight="1" x14ac:dyDescent="0.25">
      <c r="A4221" s="2" t="str">
        <f>"01011000305"</f>
        <v>01011000305</v>
      </c>
      <c r="B4221" s="2" t="s">
        <v>4223</v>
      </c>
      <c r="C4221" s="2">
        <v>789.14</v>
      </c>
      <c r="D4221" s="2" t="s">
        <v>5</v>
      </c>
    </row>
    <row r="4222" spans="1:4" ht="15" customHeight="1" x14ac:dyDescent="0.25">
      <c r="A4222" s="2" t="str">
        <f>"09008000020"</f>
        <v>09008000020</v>
      </c>
      <c r="B4222" s="2" t="s">
        <v>4224</v>
      </c>
      <c r="C4222" s="2">
        <v>32053.65</v>
      </c>
      <c r="D4222" s="2" t="s">
        <v>5</v>
      </c>
    </row>
    <row r="4223" spans="1:4" ht="15" customHeight="1" x14ac:dyDescent="0.25">
      <c r="A4223" s="2" t="str">
        <f>"09008000015"</f>
        <v>09008000015</v>
      </c>
      <c r="B4223" s="2" t="s">
        <v>4225</v>
      </c>
      <c r="C4223" s="2">
        <v>32053.65</v>
      </c>
      <c r="D4223" s="2" t="s">
        <v>5</v>
      </c>
    </row>
    <row r="4224" spans="1:4" ht="15" customHeight="1" x14ac:dyDescent="0.25">
      <c r="A4224" s="2" t="str">
        <f>"05012000070"</f>
        <v>05012000070</v>
      </c>
      <c r="B4224" s="2" t="s">
        <v>4226</v>
      </c>
      <c r="C4224" s="2">
        <v>348592.76</v>
      </c>
      <c r="D4224" s="2" t="s">
        <v>5</v>
      </c>
    </row>
    <row r="4225" spans="1:4" ht="15" customHeight="1" x14ac:dyDescent="0.25">
      <c r="A4225" s="2" t="str">
        <f>"05012000067"</f>
        <v>05012000067</v>
      </c>
      <c r="B4225" s="2" t="s">
        <v>4227</v>
      </c>
      <c r="C4225" s="2">
        <v>248697.60000000001</v>
      </c>
      <c r="D4225" s="2" t="s">
        <v>5</v>
      </c>
    </row>
    <row r="4226" spans="1:4" ht="15" customHeight="1" x14ac:dyDescent="0.25">
      <c r="A4226" s="2" t="str">
        <f>"05012002121"</f>
        <v>05012002121</v>
      </c>
      <c r="B4226" s="2" t="s">
        <v>4228</v>
      </c>
      <c r="C4226" s="2">
        <v>101159.3</v>
      </c>
      <c r="D4226" s="2" t="s">
        <v>5</v>
      </c>
    </row>
    <row r="4227" spans="1:4" ht="15" customHeight="1" x14ac:dyDescent="0.25">
      <c r="A4227" s="2" t="str">
        <f>"05012002122"</f>
        <v>05012002122</v>
      </c>
      <c r="B4227" s="2" t="s">
        <v>4229</v>
      </c>
      <c r="C4227" s="2">
        <v>76358.960000000006</v>
      </c>
      <c r="D4227" s="2" t="s">
        <v>5</v>
      </c>
    </row>
    <row r="4228" spans="1:4" ht="15" customHeight="1" x14ac:dyDescent="0.25">
      <c r="A4228" s="2" t="str">
        <f>"05012002123"</f>
        <v>05012002123</v>
      </c>
      <c r="B4228" s="2" t="s">
        <v>4230</v>
      </c>
      <c r="C4228" s="2">
        <v>88106.49</v>
      </c>
      <c r="D4228" s="2" t="s">
        <v>5</v>
      </c>
    </row>
    <row r="4229" spans="1:4" ht="15" customHeight="1" x14ac:dyDescent="0.25">
      <c r="A4229" s="2" t="str">
        <f>"05012002110"</f>
        <v>05012002110</v>
      </c>
      <c r="B4229" s="2" t="s">
        <v>4231</v>
      </c>
      <c r="C4229" s="2">
        <v>303264</v>
      </c>
      <c r="D4229" s="2" t="s">
        <v>5</v>
      </c>
    </row>
    <row r="4230" spans="1:4" ht="15" customHeight="1" x14ac:dyDescent="0.25">
      <c r="A4230" s="2" t="str">
        <f>"05012002133"</f>
        <v>05012002133</v>
      </c>
      <c r="B4230" s="2" t="s">
        <v>4232</v>
      </c>
      <c r="C4230" s="2">
        <v>623924.44999999995</v>
      </c>
      <c r="D4230" s="2" t="s">
        <v>5</v>
      </c>
    </row>
    <row r="4231" spans="1:4" ht="15" customHeight="1" x14ac:dyDescent="0.25">
      <c r="A4231" s="2" t="str">
        <f>"05012000225"</f>
        <v>05012000225</v>
      </c>
      <c r="B4231" s="2" t="s">
        <v>4233</v>
      </c>
      <c r="C4231" s="2">
        <v>794040.36</v>
      </c>
      <c r="D4231" s="2" t="s">
        <v>5</v>
      </c>
    </row>
    <row r="4232" spans="1:4" ht="15" customHeight="1" x14ac:dyDescent="0.25">
      <c r="A4232" s="2" t="str">
        <f>"05012000210"</f>
        <v>05012000210</v>
      </c>
      <c r="B4232" s="2" t="s">
        <v>4234</v>
      </c>
      <c r="C4232" s="2">
        <v>311710.17</v>
      </c>
      <c r="D4232" s="2" t="s">
        <v>5</v>
      </c>
    </row>
    <row r="4233" spans="1:4" ht="15" customHeight="1" x14ac:dyDescent="0.25">
      <c r="A4233" s="2" t="str">
        <f>"05012002115"</f>
        <v>05012002115</v>
      </c>
      <c r="B4233" s="2" t="s">
        <v>4235</v>
      </c>
      <c r="C4233" s="2">
        <v>140400</v>
      </c>
      <c r="D4233" s="2" t="s">
        <v>5</v>
      </c>
    </row>
    <row r="4234" spans="1:4" ht="15" customHeight="1" x14ac:dyDescent="0.25">
      <c r="A4234" s="2" t="str">
        <f>"05012000215"</f>
        <v>05012000215</v>
      </c>
      <c r="B4234" s="2" t="s">
        <v>4236</v>
      </c>
      <c r="C4234" s="2">
        <v>389989.08</v>
      </c>
      <c r="D4234" s="2" t="s">
        <v>5</v>
      </c>
    </row>
    <row r="4235" spans="1:4" ht="15" customHeight="1" x14ac:dyDescent="0.25">
      <c r="A4235" s="2" t="str">
        <f>"05012000100"</f>
        <v>05012000100</v>
      </c>
      <c r="B4235" s="2" t="s">
        <v>4237</v>
      </c>
      <c r="C4235" s="2">
        <v>1308410.55</v>
      </c>
      <c r="D4235" s="2" t="s">
        <v>5</v>
      </c>
    </row>
    <row r="4236" spans="1:4" ht="15" customHeight="1" x14ac:dyDescent="0.25">
      <c r="A4236" s="2" t="str">
        <f>"05012000090"</f>
        <v>05012000090</v>
      </c>
      <c r="B4236" s="2" t="s">
        <v>4238</v>
      </c>
      <c r="C4236" s="2">
        <v>477013.62</v>
      </c>
      <c r="D4236" s="2" t="s">
        <v>5</v>
      </c>
    </row>
    <row r="4237" spans="1:4" ht="15" customHeight="1" x14ac:dyDescent="0.25">
      <c r="A4237" s="2" t="str">
        <f>"05012000045"</f>
        <v>05012000045</v>
      </c>
      <c r="B4237" s="2" t="s">
        <v>4239</v>
      </c>
      <c r="C4237" s="2">
        <v>246391.35</v>
      </c>
      <c r="D4237" s="2" t="s">
        <v>5</v>
      </c>
    </row>
    <row r="4238" spans="1:4" ht="15" customHeight="1" x14ac:dyDescent="0.25">
      <c r="A4238" s="2" t="str">
        <f>"05012000050"</f>
        <v>05012000050</v>
      </c>
      <c r="B4238" s="2" t="s">
        <v>4240</v>
      </c>
      <c r="C4238" s="2">
        <v>605302.25</v>
      </c>
      <c r="D4238" s="2" t="s">
        <v>5</v>
      </c>
    </row>
    <row r="4239" spans="1:4" ht="15" customHeight="1" x14ac:dyDescent="0.25">
      <c r="A4239" s="2" t="str">
        <f>"05012000030"</f>
        <v>05012000030</v>
      </c>
      <c r="B4239" s="2" t="s">
        <v>4241</v>
      </c>
      <c r="C4239" s="2">
        <v>152887.20000000001</v>
      </c>
      <c r="D4239" s="2" t="s">
        <v>5</v>
      </c>
    </row>
    <row r="4240" spans="1:4" ht="15" customHeight="1" x14ac:dyDescent="0.25">
      <c r="A4240" s="2" t="str">
        <f>"05012000035"</f>
        <v>05012000035</v>
      </c>
      <c r="B4240" s="2" t="s">
        <v>4242</v>
      </c>
      <c r="C4240" s="2">
        <v>157464.01999999999</v>
      </c>
      <c r="D4240" s="2" t="s">
        <v>5</v>
      </c>
    </row>
    <row r="4241" spans="1:4" ht="15" customHeight="1" x14ac:dyDescent="0.25">
      <c r="A4241" s="2" t="str">
        <f>"05012000037"</f>
        <v>05012000037</v>
      </c>
      <c r="B4241" s="2" t="s">
        <v>4243</v>
      </c>
      <c r="C4241" s="2">
        <v>228307.1</v>
      </c>
      <c r="D4241" s="2" t="s">
        <v>5</v>
      </c>
    </row>
    <row r="4242" spans="1:4" ht="15" customHeight="1" x14ac:dyDescent="0.25">
      <c r="A4242" s="2" t="str">
        <f>"05012000040"</f>
        <v>05012000040</v>
      </c>
      <c r="B4242" s="2" t="s">
        <v>4244</v>
      </c>
      <c r="C4242" s="2">
        <v>235285.43</v>
      </c>
      <c r="D4242" s="2" t="s">
        <v>5</v>
      </c>
    </row>
    <row r="4243" spans="1:4" ht="15" customHeight="1" x14ac:dyDescent="0.25">
      <c r="A4243" s="2" t="str">
        <f>"05012000060"</f>
        <v>05012000060</v>
      </c>
      <c r="B4243" s="2" t="s">
        <v>4245</v>
      </c>
      <c r="C4243" s="2">
        <v>300500.84000000003</v>
      </c>
      <c r="D4243" s="2" t="s">
        <v>5</v>
      </c>
    </row>
    <row r="4244" spans="1:4" ht="15" customHeight="1" x14ac:dyDescent="0.25">
      <c r="A4244" s="2" t="str">
        <f>"05012000055"</f>
        <v>05012000055</v>
      </c>
      <c r="B4244" s="2" t="s">
        <v>4246</v>
      </c>
      <c r="C4244" s="2">
        <v>201308.22</v>
      </c>
      <c r="D4244" s="2" t="s">
        <v>5</v>
      </c>
    </row>
    <row r="4245" spans="1:4" ht="15" customHeight="1" x14ac:dyDescent="0.25">
      <c r="A4245" s="2" t="str">
        <f>"05012000150"</f>
        <v>05012000150</v>
      </c>
      <c r="B4245" s="2" t="s">
        <v>4247</v>
      </c>
      <c r="C4245" s="2">
        <v>4817642.67</v>
      </c>
      <c r="D4245" s="2" t="s">
        <v>5</v>
      </c>
    </row>
    <row r="4246" spans="1:4" ht="15" customHeight="1" x14ac:dyDescent="0.25">
      <c r="A4246" s="2" t="str">
        <f>"05012000120"</f>
        <v>05012000120</v>
      </c>
      <c r="B4246" s="2" t="s">
        <v>4248</v>
      </c>
      <c r="C4246" s="2">
        <v>554996.64</v>
      </c>
      <c r="D4246" s="2" t="s">
        <v>5</v>
      </c>
    </row>
    <row r="4247" spans="1:4" ht="15" customHeight="1" x14ac:dyDescent="0.25">
      <c r="A4247" s="2" t="str">
        <f>"05012000130"</f>
        <v>05012000130</v>
      </c>
      <c r="B4247" s="2" t="s">
        <v>4249</v>
      </c>
      <c r="C4247" s="2">
        <v>883772.36</v>
      </c>
      <c r="D4247" s="2" t="s">
        <v>5</v>
      </c>
    </row>
    <row r="4248" spans="1:4" ht="15" customHeight="1" x14ac:dyDescent="0.25">
      <c r="A4248" s="2" t="str">
        <f>"05012000140"</f>
        <v>05012000140</v>
      </c>
      <c r="B4248" s="2" t="s">
        <v>4250</v>
      </c>
      <c r="C4248" s="2">
        <v>1893213.29</v>
      </c>
      <c r="D4248" s="2" t="s">
        <v>5</v>
      </c>
    </row>
    <row r="4249" spans="1:4" ht="15" customHeight="1" x14ac:dyDescent="0.25">
      <c r="A4249" s="2" t="str">
        <f>"05012002100"</f>
        <v>05012002100</v>
      </c>
      <c r="B4249" s="2" t="s">
        <v>4251</v>
      </c>
      <c r="C4249" s="2">
        <v>146718</v>
      </c>
      <c r="D4249" s="2" t="s">
        <v>5</v>
      </c>
    </row>
    <row r="4250" spans="1:4" ht="15" customHeight="1" x14ac:dyDescent="0.25">
      <c r="A4250" s="2" t="str">
        <f>"05012002075"</f>
        <v>05012002075</v>
      </c>
      <c r="B4250" s="2" t="s">
        <v>4252</v>
      </c>
      <c r="C4250" s="2">
        <v>91260</v>
      </c>
      <c r="D4250" s="2" t="s">
        <v>5</v>
      </c>
    </row>
    <row r="4251" spans="1:4" ht="15" customHeight="1" x14ac:dyDescent="0.25">
      <c r="A4251" s="2" t="str">
        <f>"05012002080"</f>
        <v>05012002080</v>
      </c>
      <c r="B4251" s="2" t="s">
        <v>4253</v>
      </c>
      <c r="C4251" s="2">
        <v>108810</v>
      </c>
      <c r="D4251" s="2" t="s">
        <v>5</v>
      </c>
    </row>
    <row r="4252" spans="1:4" ht="15" customHeight="1" x14ac:dyDescent="0.25">
      <c r="A4252" s="2" t="str">
        <f>"05012002090"</f>
        <v>05012002090</v>
      </c>
      <c r="B4252" s="2" t="s">
        <v>4254</v>
      </c>
      <c r="C4252" s="2">
        <v>123552</v>
      </c>
      <c r="D4252" s="2" t="s">
        <v>5</v>
      </c>
    </row>
    <row r="4253" spans="1:4" ht="15" customHeight="1" x14ac:dyDescent="0.25">
      <c r="A4253" s="2" t="str">
        <f>"05012002138"</f>
        <v>05012002138</v>
      </c>
      <c r="B4253" s="2" t="s">
        <v>4255</v>
      </c>
      <c r="C4253" s="2">
        <v>178497.21</v>
      </c>
      <c r="D4253" s="2" t="s">
        <v>5</v>
      </c>
    </row>
    <row r="4254" spans="1:4" ht="15" customHeight="1" x14ac:dyDescent="0.25">
      <c r="A4254" s="2" t="str">
        <f>"05012002139"</f>
        <v>05012002139</v>
      </c>
      <c r="B4254" s="2" t="s">
        <v>4256</v>
      </c>
      <c r="C4254" s="2">
        <v>120738.51</v>
      </c>
      <c r="D4254" s="2" t="s">
        <v>5</v>
      </c>
    </row>
    <row r="4255" spans="1:4" ht="15" customHeight="1" x14ac:dyDescent="0.25">
      <c r="A4255" s="2" t="str">
        <f>"05012002140"</f>
        <v>05012002140</v>
      </c>
      <c r="B4255" s="2" t="s">
        <v>4257</v>
      </c>
      <c r="C4255" s="2">
        <v>127591.23</v>
      </c>
      <c r="D4255" s="2" t="s">
        <v>5</v>
      </c>
    </row>
    <row r="4256" spans="1:4" ht="15" customHeight="1" x14ac:dyDescent="0.25">
      <c r="A4256" s="2" t="str">
        <f>"05012002141"</f>
        <v>05012002141</v>
      </c>
      <c r="B4256" s="2" t="s">
        <v>4258</v>
      </c>
      <c r="C4256" s="2">
        <v>147823.1</v>
      </c>
      <c r="D4256" s="2" t="s">
        <v>5</v>
      </c>
    </row>
    <row r="4257" spans="1:4" ht="15" customHeight="1" x14ac:dyDescent="0.25">
      <c r="A4257" s="2" t="str">
        <f>"05012002142"</f>
        <v>05012002142</v>
      </c>
      <c r="B4257" s="2" t="s">
        <v>4259</v>
      </c>
      <c r="C4257" s="2">
        <v>169033.92</v>
      </c>
      <c r="D4257" s="2" t="s">
        <v>5</v>
      </c>
    </row>
    <row r="4258" spans="1:4" ht="15" customHeight="1" x14ac:dyDescent="0.25">
      <c r="A4258" s="2" t="str">
        <f>"05012002125"</f>
        <v>05012002125</v>
      </c>
      <c r="B4258" s="2" t="s">
        <v>4260</v>
      </c>
      <c r="C4258" s="2">
        <v>132812.35999999999</v>
      </c>
      <c r="D4258" s="2" t="s">
        <v>5</v>
      </c>
    </row>
    <row r="4259" spans="1:4" ht="15" customHeight="1" x14ac:dyDescent="0.25">
      <c r="A4259" s="2" t="str">
        <f>"05012002124"</f>
        <v>05012002124</v>
      </c>
      <c r="B4259" s="2" t="s">
        <v>4261</v>
      </c>
      <c r="C4259" s="2">
        <v>186655.22</v>
      </c>
      <c r="D4259" s="2" t="s">
        <v>5</v>
      </c>
    </row>
    <row r="4260" spans="1:4" ht="15" customHeight="1" x14ac:dyDescent="0.25">
      <c r="A4260" s="2" t="str">
        <f>"05012002151"</f>
        <v>05012002151</v>
      </c>
      <c r="B4260" s="2" t="s">
        <v>4262</v>
      </c>
      <c r="C4260" s="2">
        <v>88106.49</v>
      </c>
      <c r="D4260" s="2" t="s">
        <v>5</v>
      </c>
    </row>
    <row r="4261" spans="1:4" ht="15" customHeight="1" x14ac:dyDescent="0.25">
      <c r="A4261" s="2" t="str">
        <f>"05012002152"</f>
        <v>05012002152</v>
      </c>
      <c r="B4261" s="2" t="s">
        <v>4263</v>
      </c>
      <c r="C4261" s="2">
        <v>91369.7</v>
      </c>
      <c r="D4261" s="2" t="s">
        <v>5</v>
      </c>
    </row>
    <row r="4262" spans="1:4" ht="15" customHeight="1" x14ac:dyDescent="0.25">
      <c r="A4262" s="2" t="str">
        <f>"05012002148"</f>
        <v>05012002148</v>
      </c>
      <c r="B4262" s="2" t="s">
        <v>4264</v>
      </c>
      <c r="C4262" s="2">
        <v>137054.54</v>
      </c>
      <c r="D4262" s="2" t="s">
        <v>5</v>
      </c>
    </row>
    <row r="4263" spans="1:4" ht="15" customHeight="1" x14ac:dyDescent="0.25">
      <c r="A4263" s="2" t="str">
        <f>"05012002149"</f>
        <v>05012002149</v>
      </c>
      <c r="B4263" s="2" t="s">
        <v>4265</v>
      </c>
      <c r="C4263" s="2">
        <v>156633.75</v>
      </c>
      <c r="D4263" s="2" t="s">
        <v>5</v>
      </c>
    </row>
    <row r="4264" spans="1:4" ht="15" customHeight="1" x14ac:dyDescent="0.25">
      <c r="A4264" s="2" t="str">
        <f>"05012002150"</f>
        <v>05012002150</v>
      </c>
      <c r="B4264" s="2" t="s">
        <v>4266</v>
      </c>
      <c r="C4264" s="2">
        <v>219287.25</v>
      </c>
      <c r="D4264" s="2" t="s">
        <v>5</v>
      </c>
    </row>
    <row r="4265" spans="1:4" ht="15" customHeight="1" x14ac:dyDescent="0.25">
      <c r="A4265" s="2" t="str">
        <f>"05012002143"</f>
        <v>05012002143</v>
      </c>
      <c r="B4265" s="2" t="s">
        <v>4267</v>
      </c>
      <c r="C4265" s="2">
        <v>65916.710000000006</v>
      </c>
      <c r="D4265" s="2" t="s">
        <v>5</v>
      </c>
    </row>
    <row r="4266" spans="1:4" ht="15" customHeight="1" x14ac:dyDescent="0.25">
      <c r="A4266" s="2" t="str">
        <f>"05012002144"</f>
        <v>05012002144</v>
      </c>
      <c r="B4266" s="2" t="s">
        <v>4268</v>
      </c>
      <c r="C4266" s="2">
        <v>78969.509999999995</v>
      </c>
      <c r="D4266" s="2" t="s">
        <v>5</v>
      </c>
    </row>
    <row r="4267" spans="1:4" ht="15" customHeight="1" x14ac:dyDescent="0.25">
      <c r="A4267" s="2" t="str">
        <f>"05012002145"</f>
        <v>05012002145</v>
      </c>
      <c r="B4267" s="2" t="s">
        <v>4269</v>
      </c>
      <c r="C4267" s="2">
        <v>94632.89</v>
      </c>
      <c r="D4267" s="2" t="s">
        <v>5</v>
      </c>
    </row>
    <row r="4268" spans="1:4" ht="15" customHeight="1" x14ac:dyDescent="0.25">
      <c r="A4268" s="2" t="str">
        <f>"05012002146"</f>
        <v>05012002146</v>
      </c>
      <c r="B4268" s="2" t="s">
        <v>4270</v>
      </c>
      <c r="C4268" s="2">
        <v>107685.71</v>
      </c>
      <c r="D4268" s="2" t="s">
        <v>5</v>
      </c>
    </row>
    <row r="4269" spans="1:4" ht="15" customHeight="1" x14ac:dyDescent="0.25">
      <c r="A4269" s="2" t="str">
        <f>"05012002147"</f>
        <v>05012002147</v>
      </c>
      <c r="B4269" s="2" t="s">
        <v>4271</v>
      </c>
      <c r="C4269" s="2">
        <v>112906.83</v>
      </c>
      <c r="D4269" s="2" t="s">
        <v>5</v>
      </c>
    </row>
    <row r="4270" spans="1:4" ht="15" customHeight="1" x14ac:dyDescent="0.25">
      <c r="A4270" s="2" t="str">
        <f>"05012000080"</f>
        <v>05012000080</v>
      </c>
      <c r="B4270" s="2" t="s">
        <v>4272</v>
      </c>
      <c r="C4270" s="2">
        <v>220762.04</v>
      </c>
      <c r="D4270" s="2" t="s">
        <v>5</v>
      </c>
    </row>
    <row r="4271" spans="1:4" ht="15" customHeight="1" x14ac:dyDescent="0.25">
      <c r="A4271" s="2" t="str">
        <f>"03062100145"</f>
        <v>03062100145</v>
      </c>
      <c r="B4271" s="2" t="s">
        <v>4273</v>
      </c>
      <c r="C4271" s="2">
        <v>2415.84</v>
      </c>
      <c r="D4271" s="2" t="s">
        <v>5</v>
      </c>
    </row>
    <row r="4272" spans="1:4" ht="15" customHeight="1" x14ac:dyDescent="0.25">
      <c r="A4272" s="2" t="str">
        <f>"03034000301"</f>
        <v>03034000301</v>
      </c>
      <c r="B4272" s="2" t="s">
        <v>4274</v>
      </c>
      <c r="C4272" s="2">
        <v>4855.1400000000003</v>
      </c>
      <c r="D4272" s="2" t="s">
        <v>5</v>
      </c>
    </row>
    <row r="4273" spans="1:4" ht="15" customHeight="1" x14ac:dyDescent="0.25">
      <c r="A4273" s="2" t="str">
        <f>"06070000015"</f>
        <v>06070000015</v>
      </c>
      <c r="B4273" s="2" t="s">
        <v>4275</v>
      </c>
      <c r="C4273" s="2">
        <v>855.36</v>
      </c>
      <c r="D4273" s="2" t="s">
        <v>5</v>
      </c>
    </row>
    <row r="4274" spans="1:4" ht="15" customHeight="1" x14ac:dyDescent="0.25">
      <c r="A4274" s="2" t="str">
        <f>"03036000050"</f>
        <v>03036000050</v>
      </c>
      <c r="B4274" s="2" t="s">
        <v>4276</v>
      </c>
      <c r="C4274" s="2">
        <v>1192.2</v>
      </c>
      <c r="D4274" s="2" t="s">
        <v>5</v>
      </c>
    </row>
    <row r="4275" spans="1:4" ht="15" customHeight="1" x14ac:dyDescent="0.25">
      <c r="A4275" s="2" t="str">
        <f>"06070000020"</f>
        <v>06070000020</v>
      </c>
      <c r="B4275" s="2" t="s">
        <v>4277</v>
      </c>
      <c r="C4275" s="2">
        <v>1913.7</v>
      </c>
      <c r="D4275" s="2" t="s">
        <v>5</v>
      </c>
    </row>
    <row r="4276" spans="1:4" ht="15" customHeight="1" x14ac:dyDescent="0.25">
      <c r="A4276" s="2" t="str">
        <f>"06070000025"</f>
        <v>06070000025</v>
      </c>
      <c r="B4276" s="2" t="s">
        <v>4278</v>
      </c>
      <c r="C4276" s="2">
        <v>3266.19</v>
      </c>
      <c r="D4276" s="2" t="s">
        <v>5</v>
      </c>
    </row>
    <row r="4277" spans="1:4" ht="15" customHeight="1" x14ac:dyDescent="0.25">
      <c r="A4277" s="2" t="str">
        <f>"03033000107"</f>
        <v>03033000107</v>
      </c>
      <c r="B4277" s="2" t="s">
        <v>4279</v>
      </c>
      <c r="C4277" s="2">
        <v>29808</v>
      </c>
      <c r="D4277" s="2" t="s">
        <v>5</v>
      </c>
    </row>
    <row r="4278" spans="1:4" ht="15" customHeight="1" x14ac:dyDescent="0.25">
      <c r="A4278" s="2" t="str">
        <f>"03016302510"</f>
        <v>03016302510</v>
      </c>
      <c r="B4278" s="2" t="s">
        <v>4280</v>
      </c>
      <c r="C4278" s="2">
        <v>2000.7</v>
      </c>
      <c r="D4278" s="2" t="s">
        <v>5</v>
      </c>
    </row>
    <row r="4279" spans="1:4" ht="15" customHeight="1" x14ac:dyDescent="0.25">
      <c r="A4279" s="2" t="str">
        <f>"03016302520"</f>
        <v>03016302520</v>
      </c>
      <c r="B4279" s="2" t="s">
        <v>4281</v>
      </c>
      <c r="C4279" s="2">
        <v>2592</v>
      </c>
      <c r="D4279" s="2" t="s">
        <v>5</v>
      </c>
    </row>
    <row r="4280" spans="1:4" ht="15" customHeight="1" x14ac:dyDescent="0.25">
      <c r="A4280" s="2" t="str">
        <f>"03016302530"</f>
        <v>03016302530</v>
      </c>
      <c r="B4280" s="2" t="s">
        <v>4282</v>
      </c>
      <c r="C4280" s="2">
        <v>3369.6</v>
      </c>
      <c r="D4280" s="2" t="s">
        <v>5</v>
      </c>
    </row>
    <row r="4281" spans="1:4" ht="15" customHeight="1" x14ac:dyDescent="0.25">
      <c r="A4281" s="2" t="str">
        <f>"03016302540"</f>
        <v>03016302540</v>
      </c>
      <c r="B4281" s="2" t="s">
        <v>4283</v>
      </c>
      <c r="C4281" s="2">
        <v>5634.36</v>
      </c>
      <c r="D4281" s="2" t="s">
        <v>5</v>
      </c>
    </row>
    <row r="4282" spans="1:4" ht="15" customHeight="1" x14ac:dyDescent="0.25">
      <c r="A4282" s="2" t="str">
        <f>"03016308000"</f>
        <v>03016308000</v>
      </c>
      <c r="B4282" s="2" t="s">
        <v>4284</v>
      </c>
      <c r="C4282" s="2">
        <v>5180.76</v>
      </c>
      <c r="D4282" s="2" t="s">
        <v>5</v>
      </c>
    </row>
    <row r="4283" spans="1:4" ht="15" customHeight="1" x14ac:dyDescent="0.25">
      <c r="A4283" s="2" t="str">
        <f>"03016308010"</f>
        <v>03016308010</v>
      </c>
      <c r="B4283" s="2" t="s">
        <v>4285</v>
      </c>
      <c r="C4283" s="2">
        <v>6954.66</v>
      </c>
      <c r="D4283" s="2" t="s">
        <v>5</v>
      </c>
    </row>
    <row r="4284" spans="1:4" ht="15" customHeight="1" x14ac:dyDescent="0.25">
      <c r="A4284" s="2" t="str">
        <f>"03016308020"</f>
        <v>03016308020</v>
      </c>
      <c r="B4284" s="2" t="s">
        <v>4286</v>
      </c>
      <c r="C4284" s="2">
        <v>3199.5</v>
      </c>
      <c r="D4284" s="2" t="s">
        <v>5</v>
      </c>
    </row>
    <row r="4285" spans="1:4" ht="15" customHeight="1" x14ac:dyDescent="0.25">
      <c r="A4285" s="2" t="str">
        <f>"03016308030"</f>
        <v>03016308030</v>
      </c>
      <c r="B4285" s="2" t="s">
        <v>4287</v>
      </c>
      <c r="C4285" s="2">
        <v>4629.96</v>
      </c>
      <c r="D4285" s="2" t="s">
        <v>5</v>
      </c>
    </row>
    <row r="4286" spans="1:4" ht="15" customHeight="1" x14ac:dyDescent="0.25">
      <c r="A4286" s="2" t="str">
        <f>"03010000098"</f>
        <v>03010000098</v>
      </c>
      <c r="B4286" s="2" t="s">
        <v>4288</v>
      </c>
      <c r="C4286" s="2">
        <v>1758.05</v>
      </c>
      <c r="D4286" s="2" t="s">
        <v>5</v>
      </c>
    </row>
    <row r="4287" spans="1:4" ht="15" customHeight="1" x14ac:dyDescent="0.25">
      <c r="A4287" s="2" t="str">
        <f>"03010000105"</f>
        <v>03010000105</v>
      </c>
      <c r="B4287" s="2" t="s">
        <v>4289</v>
      </c>
      <c r="C4287" s="2">
        <v>2012.39</v>
      </c>
      <c r="D4287" s="2" t="s">
        <v>5</v>
      </c>
    </row>
    <row r="4288" spans="1:4" ht="15" customHeight="1" x14ac:dyDescent="0.25">
      <c r="A4288" s="2" t="str">
        <f>"03010000115"</f>
        <v>03010000115</v>
      </c>
      <c r="B4288" s="2" t="s">
        <v>4290</v>
      </c>
      <c r="C4288" s="2">
        <v>2741.43</v>
      </c>
      <c r="D4288" s="2" t="s">
        <v>5</v>
      </c>
    </row>
    <row r="4289" spans="1:4" ht="15" customHeight="1" x14ac:dyDescent="0.25">
      <c r="A4289" s="2" t="str">
        <f>"03010000125"</f>
        <v>03010000125</v>
      </c>
      <c r="B4289" s="2" t="s">
        <v>4291</v>
      </c>
      <c r="C4289" s="2">
        <v>4217.91</v>
      </c>
      <c r="D4289" s="2" t="s">
        <v>5</v>
      </c>
    </row>
    <row r="4290" spans="1:4" ht="15" customHeight="1" x14ac:dyDescent="0.25">
      <c r="A4290" s="2" t="str">
        <f>"03010000095"</f>
        <v>03010000095</v>
      </c>
      <c r="B4290" s="2" t="s">
        <v>4292</v>
      </c>
      <c r="C4290" s="2">
        <v>1418.25</v>
      </c>
      <c r="D4290" s="2" t="s">
        <v>5</v>
      </c>
    </row>
    <row r="4291" spans="1:4" ht="15" customHeight="1" x14ac:dyDescent="0.25">
      <c r="A4291" s="2" t="str">
        <f>"03010000135"</f>
        <v>03010000135</v>
      </c>
      <c r="B4291" s="2" t="s">
        <v>4293</v>
      </c>
      <c r="C4291" s="2">
        <v>2175.08</v>
      </c>
      <c r="D4291" s="2" t="s">
        <v>5</v>
      </c>
    </row>
    <row r="4292" spans="1:4" ht="15" customHeight="1" x14ac:dyDescent="0.25">
      <c r="A4292" s="2" t="str">
        <f>"03010000137"</f>
        <v>03010000137</v>
      </c>
      <c r="B4292" s="2" t="s">
        <v>4294</v>
      </c>
      <c r="C4292" s="2">
        <v>2505.86</v>
      </c>
      <c r="D4292" s="2" t="s">
        <v>5</v>
      </c>
    </row>
    <row r="4293" spans="1:4" ht="15" customHeight="1" x14ac:dyDescent="0.25">
      <c r="A4293" s="2" t="str">
        <f>"03010000139"</f>
        <v>03010000139</v>
      </c>
      <c r="B4293" s="2" t="s">
        <v>4295</v>
      </c>
      <c r="C4293" s="2">
        <v>2759.96</v>
      </c>
      <c r="D4293" s="2" t="s">
        <v>5</v>
      </c>
    </row>
    <row r="4294" spans="1:4" ht="15" customHeight="1" x14ac:dyDescent="0.25">
      <c r="A4294" s="2" t="str">
        <f>"03010000141"</f>
        <v>03010000141</v>
      </c>
      <c r="B4294" s="2" t="s">
        <v>4296</v>
      </c>
      <c r="C4294" s="2">
        <v>4813.1000000000004</v>
      </c>
      <c r="D4294" s="2" t="s">
        <v>5</v>
      </c>
    </row>
    <row r="4295" spans="1:4" ht="15" customHeight="1" x14ac:dyDescent="0.25">
      <c r="A4295" s="2" t="str">
        <f>"03010000132"</f>
        <v>03010000132</v>
      </c>
      <c r="B4295" s="2" t="s">
        <v>4297</v>
      </c>
      <c r="C4295" s="2">
        <v>2073.12</v>
      </c>
      <c r="D4295" s="2" t="s">
        <v>5</v>
      </c>
    </row>
    <row r="4296" spans="1:4" ht="15" customHeight="1" x14ac:dyDescent="0.25">
      <c r="A4296" s="2" t="str">
        <f>"05012002120"</f>
        <v>05012002120</v>
      </c>
      <c r="B4296" s="2" t="s">
        <v>4298</v>
      </c>
      <c r="C4296" s="2">
        <v>9912.24</v>
      </c>
      <c r="D4296" s="2" t="s">
        <v>5</v>
      </c>
    </row>
    <row r="4297" spans="1:4" ht="15" customHeight="1" x14ac:dyDescent="0.25">
      <c r="A4297" s="2" t="str">
        <f>"05012000305"</f>
        <v>05012000305</v>
      </c>
      <c r="B4297" s="2" t="s">
        <v>4299</v>
      </c>
      <c r="C4297" s="2">
        <v>14570.03</v>
      </c>
      <c r="D4297" s="2" t="s">
        <v>5</v>
      </c>
    </row>
    <row r="4298" spans="1:4" ht="15" customHeight="1" x14ac:dyDescent="0.25">
      <c r="A4298" s="2" t="str">
        <f>"03034000321"</f>
        <v>03034000321</v>
      </c>
      <c r="B4298" s="2" t="s">
        <v>4300</v>
      </c>
      <c r="C4298" s="2">
        <v>1863.39</v>
      </c>
      <c r="D4298" s="2" t="s">
        <v>5</v>
      </c>
    </row>
    <row r="4299" spans="1:4" ht="15" customHeight="1" x14ac:dyDescent="0.25">
      <c r="A4299" s="2" t="str">
        <f>"05015000251"</f>
        <v>05015000251</v>
      </c>
      <c r="B4299" s="2" t="s">
        <v>4301</v>
      </c>
      <c r="C4299" s="2">
        <v>39.659999999999997</v>
      </c>
      <c r="D4299" s="2" t="s">
        <v>5</v>
      </c>
    </row>
    <row r="4300" spans="1:4" ht="15" customHeight="1" x14ac:dyDescent="0.25">
      <c r="A4300" s="2" t="str">
        <f>"05015000252"</f>
        <v>05015000252</v>
      </c>
      <c r="B4300" s="2" t="s">
        <v>4302</v>
      </c>
      <c r="C4300" s="2">
        <v>50.75</v>
      </c>
      <c r="D4300" s="2" t="s">
        <v>5</v>
      </c>
    </row>
    <row r="4301" spans="1:4" ht="15" customHeight="1" x14ac:dyDescent="0.25">
      <c r="A4301" s="2" t="str">
        <f>"03038000681"</f>
        <v>03038000681</v>
      </c>
      <c r="B4301" s="2" t="s">
        <v>4303</v>
      </c>
      <c r="C4301" s="2">
        <v>1729.67</v>
      </c>
      <c r="D4301" s="2" t="s">
        <v>5</v>
      </c>
    </row>
    <row r="4302" spans="1:4" ht="15" customHeight="1" x14ac:dyDescent="0.25">
      <c r="A4302" s="2" t="str">
        <f>"03038000661"</f>
        <v>03038000661</v>
      </c>
      <c r="B4302" s="2" t="s">
        <v>4304</v>
      </c>
      <c r="C4302" s="2">
        <v>13787.9</v>
      </c>
      <c r="D4302" s="2" t="s">
        <v>5</v>
      </c>
    </row>
    <row r="4303" spans="1:4" ht="15" customHeight="1" x14ac:dyDescent="0.25">
      <c r="A4303" s="2" t="str">
        <f>"03038000701"</f>
        <v>03038000701</v>
      </c>
      <c r="B4303" s="2" t="s">
        <v>4305</v>
      </c>
      <c r="C4303" s="2">
        <v>1825.7</v>
      </c>
      <c r="D4303" s="2" t="s">
        <v>5</v>
      </c>
    </row>
    <row r="4304" spans="1:4" ht="15" customHeight="1" x14ac:dyDescent="0.25">
      <c r="A4304" s="2" t="str">
        <f>"03015305005"</f>
        <v>03015305005</v>
      </c>
      <c r="B4304" s="2" t="s">
        <v>4306</v>
      </c>
      <c r="C4304" s="2">
        <v>648.05999999999995</v>
      </c>
      <c r="D4304" s="2" t="s">
        <v>5</v>
      </c>
    </row>
    <row r="4305" spans="1:4" ht="15" customHeight="1" x14ac:dyDescent="0.25">
      <c r="A4305" s="2" t="str">
        <f>"03017900500"</f>
        <v>03017900500</v>
      </c>
      <c r="B4305" s="2" t="s">
        <v>4307</v>
      </c>
      <c r="C4305" s="2">
        <v>419.75</v>
      </c>
      <c r="D4305" s="2" t="s">
        <v>5</v>
      </c>
    </row>
    <row r="4306" spans="1:4" ht="15" customHeight="1" x14ac:dyDescent="0.25">
      <c r="A4306" s="2" t="str">
        <f>"03017900520"</f>
        <v>03017900520</v>
      </c>
      <c r="B4306" s="2" t="s">
        <v>4308</v>
      </c>
      <c r="C4306" s="2">
        <v>475.92</v>
      </c>
      <c r="D4306" s="2" t="s">
        <v>5</v>
      </c>
    </row>
    <row r="4307" spans="1:4" ht="15" customHeight="1" x14ac:dyDescent="0.25">
      <c r="A4307" s="2" t="str">
        <f>"03037000462"</f>
        <v>03037000462</v>
      </c>
      <c r="B4307" s="2" t="s">
        <v>4309</v>
      </c>
      <c r="C4307" s="2">
        <v>12459.42</v>
      </c>
      <c r="D4307" s="2" t="s">
        <v>5</v>
      </c>
    </row>
    <row r="4308" spans="1:4" ht="15" customHeight="1" x14ac:dyDescent="0.25">
      <c r="A4308" s="2" t="str">
        <f>"03037000301"</f>
        <v>03037000301</v>
      </c>
      <c r="B4308" s="2" t="s">
        <v>4310</v>
      </c>
      <c r="C4308" s="2">
        <v>41275.949999999997</v>
      </c>
      <c r="D4308" s="2" t="s">
        <v>5</v>
      </c>
    </row>
    <row r="4309" spans="1:4" ht="15" customHeight="1" x14ac:dyDescent="0.25">
      <c r="A4309" s="2" t="str">
        <f>"03037000302"</f>
        <v>03037000302</v>
      </c>
      <c r="B4309" s="2" t="s">
        <v>4311</v>
      </c>
      <c r="C4309" s="2">
        <v>92430.5</v>
      </c>
      <c r="D4309" s="2" t="s">
        <v>5</v>
      </c>
    </row>
    <row r="4310" spans="1:4" ht="15" customHeight="1" x14ac:dyDescent="0.25">
      <c r="A4310" s="2" t="str">
        <f>"03037000461"</f>
        <v>03037000461</v>
      </c>
      <c r="B4310" s="2" t="s">
        <v>4312</v>
      </c>
      <c r="C4310" s="2">
        <v>15673.25</v>
      </c>
      <c r="D4310" s="2" t="s">
        <v>5</v>
      </c>
    </row>
    <row r="4311" spans="1:4" ht="15" customHeight="1" x14ac:dyDescent="0.25">
      <c r="A4311" s="2" t="str">
        <f>"03037000305"</f>
        <v>03037000305</v>
      </c>
      <c r="B4311" s="2" t="s">
        <v>4313</v>
      </c>
      <c r="C4311" s="2">
        <v>26169.200000000001</v>
      </c>
      <c r="D4311" s="2" t="s">
        <v>5</v>
      </c>
    </row>
    <row r="4312" spans="1:4" ht="15" customHeight="1" x14ac:dyDescent="0.25">
      <c r="A4312" s="2" t="str">
        <f>"04010000095"</f>
        <v>04010000095</v>
      </c>
      <c r="B4312" s="2" t="s">
        <v>4314</v>
      </c>
      <c r="C4312" s="2">
        <v>0</v>
      </c>
      <c r="D4312" s="2" t="s">
        <v>5</v>
      </c>
    </row>
    <row r="4313" spans="1:4" ht="15" customHeight="1" x14ac:dyDescent="0.25">
      <c r="A4313" s="2" t="str">
        <f>"01040000020"</f>
        <v>01040000020</v>
      </c>
      <c r="B4313" s="2" t="s">
        <v>4315</v>
      </c>
      <c r="C4313" s="2">
        <v>2493.7800000000002</v>
      </c>
      <c r="D4313" s="2" t="s">
        <v>5</v>
      </c>
    </row>
    <row r="4314" spans="1:4" ht="15" customHeight="1" x14ac:dyDescent="0.25">
      <c r="A4314" s="2" t="str">
        <f>"05023000025"</f>
        <v>05023000025</v>
      </c>
      <c r="B4314" s="2" t="s">
        <v>4316</v>
      </c>
      <c r="C4314" s="2">
        <v>139.97</v>
      </c>
      <c r="D4314" s="2" t="s">
        <v>5</v>
      </c>
    </row>
    <row r="4315" spans="1:4" ht="15" customHeight="1" x14ac:dyDescent="0.25">
      <c r="A4315" s="2" t="str">
        <f>"02002000660"</f>
        <v>02002000660</v>
      </c>
      <c r="B4315" s="2" t="s">
        <v>4317</v>
      </c>
      <c r="C4315" s="2">
        <v>20650.8</v>
      </c>
      <c r="D4315" s="2" t="s">
        <v>5</v>
      </c>
    </row>
    <row r="4316" spans="1:4" ht="15" customHeight="1" x14ac:dyDescent="0.25">
      <c r="A4316" s="2" t="str">
        <f>"02002000650"</f>
        <v>02002000650</v>
      </c>
      <c r="B4316" s="2" t="s">
        <v>4318</v>
      </c>
      <c r="C4316" s="2">
        <v>22606.89</v>
      </c>
      <c r="D4316" s="2" t="s">
        <v>5</v>
      </c>
    </row>
    <row r="4317" spans="1:4" ht="15" customHeight="1" x14ac:dyDescent="0.25">
      <c r="A4317" s="2" t="str">
        <f>"02002000620"</f>
        <v>02002000620</v>
      </c>
      <c r="B4317" s="2" t="s">
        <v>4319</v>
      </c>
      <c r="C4317" s="2">
        <v>2654.7</v>
      </c>
      <c r="D4317" s="2" t="s">
        <v>5</v>
      </c>
    </row>
    <row r="4318" spans="1:4" ht="15" customHeight="1" x14ac:dyDescent="0.25">
      <c r="A4318" s="2" t="str">
        <f>"02002000630"</f>
        <v>02002000630</v>
      </c>
      <c r="B4318" s="2" t="s">
        <v>4320</v>
      </c>
      <c r="C4318" s="2">
        <v>2618.4499999999998</v>
      </c>
      <c r="D4318" s="2" t="s">
        <v>5</v>
      </c>
    </row>
    <row r="4319" spans="1:4" ht="15" customHeight="1" x14ac:dyDescent="0.25">
      <c r="A4319" s="2" t="str">
        <f>"02002000520"</f>
        <v>02002000520</v>
      </c>
      <c r="B4319" s="2" t="s">
        <v>4321</v>
      </c>
      <c r="C4319" s="2">
        <v>20626.62</v>
      </c>
      <c r="D4319" s="2" t="s">
        <v>5</v>
      </c>
    </row>
    <row r="4320" spans="1:4" ht="15" customHeight="1" x14ac:dyDescent="0.25">
      <c r="A4320" s="2" t="str">
        <f>"02002000515"</f>
        <v>02002000515</v>
      </c>
      <c r="B4320" s="2" t="s">
        <v>4322</v>
      </c>
      <c r="C4320" s="2">
        <v>21240.65</v>
      </c>
      <c r="D4320" s="2" t="s">
        <v>5</v>
      </c>
    </row>
    <row r="4321" spans="1:4" ht="15" customHeight="1" x14ac:dyDescent="0.25">
      <c r="A4321" s="2" t="str">
        <f>"03019500030"</f>
        <v>03019500030</v>
      </c>
      <c r="B4321" s="2" t="s">
        <v>4323</v>
      </c>
      <c r="C4321" s="2">
        <v>21783.08</v>
      </c>
      <c r="D4321" s="2" t="s">
        <v>5</v>
      </c>
    </row>
    <row r="4322" spans="1:4" ht="15" customHeight="1" x14ac:dyDescent="0.25">
      <c r="A4322" s="2" t="str">
        <f>"03019500020"</f>
        <v>03019500020</v>
      </c>
      <c r="B4322" s="2" t="s">
        <v>4324</v>
      </c>
      <c r="C4322" s="2">
        <v>11090.58</v>
      </c>
      <c r="D4322" s="2" t="s">
        <v>5</v>
      </c>
    </row>
    <row r="4323" spans="1:4" ht="15" customHeight="1" x14ac:dyDescent="0.25">
      <c r="A4323" s="2" t="str">
        <f>"03019500010"</f>
        <v>03019500010</v>
      </c>
      <c r="B4323" s="2" t="s">
        <v>4325</v>
      </c>
      <c r="C4323" s="2">
        <v>5751.36</v>
      </c>
      <c r="D4323" s="2" t="s">
        <v>5</v>
      </c>
    </row>
    <row r="4324" spans="1:4" ht="15" customHeight="1" x14ac:dyDescent="0.25">
      <c r="A4324" s="2" t="str">
        <f>"03034000326"</f>
        <v>03034000326</v>
      </c>
      <c r="B4324" s="2" t="s">
        <v>4326</v>
      </c>
      <c r="C4324" s="2">
        <v>796.89</v>
      </c>
      <c r="D4324" s="2" t="s">
        <v>5</v>
      </c>
    </row>
    <row r="4325" spans="1:4" ht="15" customHeight="1" x14ac:dyDescent="0.25">
      <c r="A4325" s="2" t="str">
        <f>"03037000303"</f>
        <v>03037000303</v>
      </c>
      <c r="B4325" s="2" t="s">
        <v>4327</v>
      </c>
      <c r="C4325" s="2">
        <v>18846.18</v>
      </c>
      <c r="D4325" s="2" t="s">
        <v>5</v>
      </c>
    </row>
    <row r="4326" spans="1:4" ht="15" customHeight="1" x14ac:dyDescent="0.25">
      <c r="A4326" s="2" t="str">
        <f>"03037000306"</f>
        <v>03037000306</v>
      </c>
      <c r="B4326" s="2" t="s">
        <v>4328</v>
      </c>
      <c r="C4326" s="2">
        <v>39523.760000000002</v>
      </c>
      <c r="D4326" s="2" t="s">
        <v>5</v>
      </c>
    </row>
    <row r="4327" spans="1:4" ht="15" customHeight="1" x14ac:dyDescent="0.25">
      <c r="A4327" s="2" t="str">
        <f>"03005900010"</f>
        <v>03005900010</v>
      </c>
      <c r="B4327" s="2" t="s">
        <v>4329</v>
      </c>
      <c r="C4327" s="2">
        <v>3464.78</v>
      </c>
      <c r="D4327" s="2" t="s">
        <v>5</v>
      </c>
    </row>
    <row r="4328" spans="1:4" ht="15" customHeight="1" x14ac:dyDescent="0.25">
      <c r="A4328" s="2" t="str">
        <f>"03019000535"</f>
        <v>03019000535</v>
      </c>
      <c r="B4328" s="2" t="s">
        <v>4330</v>
      </c>
      <c r="C4328" s="2">
        <v>558.24</v>
      </c>
      <c r="D4328" s="2" t="s">
        <v>5</v>
      </c>
    </row>
    <row r="4329" spans="1:4" ht="15" customHeight="1" x14ac:dyDescent="0.25">
      <c r="A4329" s="2" t="str">
        <f>"01003000095"</f>
        <v>01003000095</v>
      </c>
      <c r="B4329" s="2" t="s">
        <v>4331</v>
      </c>
      <c r="C4329" s="2">
        <v>11.67</v>
      </c>
      <c r="D4329" s="2" t="s">
        <v>107</v>
      </c>
    </row>
    <row r="4330" spans="1:4" ht="15" customHeight="1" x14ac:dyDescent="0.25">
      <c r="A4330" s="2" t="str">
        <f>"03019000520"</f>
        <v>03019000520</v>
      </c>
      <c r="B4330" s="2" t="s">
        <v>4332</v>
      </c>
      <c r="C4330" s="2">
        <v>773.93</v>
      </c>
      <c r="D4330" s="2" t="s">
        <v>5</v>
      </c>
    </row>
    <row r="4331" spans="1:4" ht="15" customHeight="1" x14ac:dyDescent="0.25">
      <c r="A4331" s="2" t="str">
        <f>"03019000540"</f>
        <v>03019000540</v>
      </c>
      <c r="B4331" s="2" t="s">
        <v>4333</v>
      </c>
      <c r="C4331" s="2">
        <v>989.63</v>
      </c>
      <c r="D4331" s="2" t="s">
        <v>5</v>
      </c>
    </row>
    <row r="4332" spans="1:4" ht="15" customHeight="1" x14ac:dyDescent="0.25">
      <c r="A4332" s="2" t="str">
        <f>"03019000525"</f>
        <v>03019000525</v>
      </c>
      <c r="B4332" s="2" t="s">
        <v>4334</v>
      </c>
      <c r="C4332" s="2">
        <v>1281.42</v>
      </c>
      <c r="D4332" s="2" t="s">
        <v>5</v>
      </c>
    </row>
    <row r="4333" spans="1:4" ht="15" customHeight="1" x14ac:dyDescent="0.25">
      <c r="A4333" s="2" t="str">
        <f>"03019300065"</f>
        <v>03019300065</v>
      </c>
      <c r="B4333" s="2" t="s">
        <v>4335</v>
      </c>
      <c r="C4333" s="2">
        <v>3468.44</v>
      </c>
      <c r="D4333" s="2" t="s">
        <v>5</v>
      </c>
    </row>
    <row r="4334" spans="1:4" ht="15" customHeight="1" x14ac:dyDescent="0.25">
      <c r="A4334" s="2" t="str">
        <f>"03019000545"</f>
        <v>03019000545</v>
      </c>
      <c r="B4334" s="2" t="s">
        <v>4336</v>
      </c>
      <c r="C4334" s="2">
        <v>3768.14</v>
      </c>
      <c r="D4334" s="2" t="s">
        <v>5</v>
      </c>
    </row>
    <row r="4335" spans="1:4" ht="15" customHeight="1" x14ac:dyDescent="0.25">
      <c r="A4335" s="2" t="str">
        <f>"03019000530"</f>
        <v>03019000530</v>
      </c>
      <c r="B4335" s="2" t="s">
        <v>4337</v>
      </c>
      <c r="C4335" s="2">
        <v>4846.5600000000004</v>
      </c>
      <c r="D4335" s="2" t="s">
        <v>5</v>
      </c>
    </row>
    <row r="4336" spans="1:4" ht="15" customHeight="1" x14ac:dyDescent="0.25">
      <c r="A4336" s="2" t="str">
        <f>"03019000500"</f>
        <v>03019000500</v>
      </c>
      <c r="B4336" s="2" t="s">
        <v>4338</v>
      </c>
      <c r="C4336" s="2">
        <v>266.45</v>
      </c>
      <c r="D4336" s="2" t="s">
        <v>5</v>
      </c>
    </row>
    <row r="4337" spans="1:4" ht="15" customHeight="1" x14ac:dyDescent="0.25">
      <c r="A4337" s="2" t="str">
        <f>"03019000505"</f>
        <v>03019000505</v>
      </c>
      <c r="B4337" s="2" t="s">
        <v>4339</v>
      </c>
      <c r="C4337" s="2">
        <v>482.13</v>
      </c>
      <c r="D4337" s="2" t="s">
        <v>5</v>
      </c>
    </row>
    <row r="4338" spans="1:4" ht="15" customHeight="1" x14ac:dyDescent="0.25">
      <c r="A4338" s="2" t="str">
        <f>"03019000510"</f>
        <v>03019000510</v>
      </c>
      <c r="B4338" s="2" t="s">
        <v>4340</v>
      </c>
      <c r="C4338" s="2">
        <v>393.32</v>
      </c>
      <c r="D4338" s="2" t="s">
        <v>5</v>
      </c>
    </row>
    <row r="4339" spans="1:4" ht="15" customHeight="1" x14ac:dyDescent="0.25">
      <c r="A4339" s="2" t="str">
        <f>"03019000515"</f>
        <v>03019000515</v>
      </c>
      <c r="B4339" s="2" t="s">
        <v>4341</v>
      </c>
      <c r="C4339" s="2">
        <v>723.18</v>
      </c>
      <c r="D4339" s="2" t="s">
        <v>5</v>
      </c>
    </row>
    <row r="4340" spans="1:4" ht="15" customHeight="1" x14ac:dyDescent="0.25">
      <c r="A4340" s="2" t="str">
        <f>"03042000116"</f>
        <v>03042000116</v>
      </c>
      <c r="B4340" s="2" t="s">
        <v>4342</v>
      </c>
      <c r="C4340" s="2">
        <v>44101.17</v>
      </c>
      <c r="D4340" s="2" t="s">
        <v>5</v>
      </c>
    </row>
    <row r="4341" spans="1:4" ht="15" customHeight="1" x14ac:dyDescent="0.25">
      <c r="A4341" s="2" t="str">
        <f>"09500000255"</f>
        <v>09500000255</v>
      </c>
      <c r="B4341" s="2" t="s">
        <v>4343</v>
      </c>
      <c r="C4341" s="2">
        <v>8125.17</v>
      </c>
      <c r="D4341" s="2" t="s">
        <v>5</v>
      </c>
    </row>
    <row r="4342" spans="1:4" ht="15" customHeight="1" x14ac:dyDescent="0.25">
      <c r="A4342" s="2" t="str">
        <f>"03042000114"</f>
        <v>03042000114</v>
      </c>
      <c r="B4342" s="2" t="s">
        <v>4344</v>
      </c>
      <c r="C4342" s="2">
        <v>30513.03</v>
      </c>
      <c r="D4342" s="2" t="s">
        <v>5</v>
      </c>
    </row>
    <row r="4343" spans="1:4" ht="15" customHeight="1" x14ac:dyDescent="0.25">
      <c r="A4343" s="2" t="str">
        <f>"03042000119"</f>
        <v>03042000119</v>
      </c>
      <c r="B4343" s="2" t="s">
        <v>4345</v>
      </c>
      <c r="C4343" s="2">
        <v>44101.17</v>
      </c>
      <c r="D4343" s="2" t="s">
        <v>5</v>
      </c>
    </row>
    <row r="4344" spans="1:4" ht="15" customHeight="1" x14ac:dyDescent="0.25">
      <c r="A4344" s="2" t="str">
        <f>"01010902060"</f>
        <v>01010902060</v>
      </c>
      <c r="B4344" s="2" t="s">
        <v>4346</v>
      </c>
      <c r="C4344" s="2">
        <v>5.82</v>
      </c>
      <c r="D4344" s="2" t="s">
        <v>107</v>
      </c>
    </row>
    <row r="4345" spans="1:4" ht="15" customHeight="1" x14ac:dyDescent="0.25">
      <c r="A4345" s="2" t="str">
        <f>"01010900527"</f>
        <v>01010900527</v>
      </c>
      <c r="B4345" s="2" t="s">
        <v>4347</v>
      </c>
      <c r="C4345" s="2">
        <v>7.37</v>
      </c>
      <c r="D4345" s="2" t="s">
        <v>107</v>
      </c>
    </row>
    <row r="4346" spans="1:4" ht="15" customHeight="1" x14ac:dyDescent="0.25">
      <c r="A4346" s="2" t="str">
        <f>"01010900528"</f>
        <v>01010900528</v>
      </c>
      <c r="B4346" s="2" t="s">
        <v>4348</v>
      </c>
      <c r="C4346" s="2">
        <v>5.88</v>
      </c>
      <c r="D4346" s="2" t="s">
        <v>107</v>
      </c>
    </row>
    <row r="4347" spans="1:4" ht="15" customHeight="1" x14ac:dyDescent="0.25">
      <c r="A4347" s="2" t="str">
        <f>"01010900525"</f>
        <v>01010900525</v>
      </c>
      <c r="B4347" s="2" t="s">
        <v>4349</v>
      </c>
      <c r="C4347" s="2">
        <v>6.29</v>
      </c>
      <c r="D4347" s="2" t="s">
        <v>107</v>
      </c>
    </row>
    <row r="4348" spans="1:4" ht="15" customHeight="1" x14ac:dyDescent="0.25">
      <c r="A4348" s="2" t="str">
        <f>"01010900530"</f>
        <v>01010900530</v>
      </c>
      <c r="B4348" s="2" t="s">
        <v>4350</v>
      </c>
      <c r="C4348" s="2">
        <v>4.8899999999999997</v>
      </c>
      <c r="D4348" s="2" t="s">
        <v>107</v>
      </c>
    </row>
    <row r="4349" spans="1:4" ht="15" customHeight="1" x14ac:dyDescent="0.25">
      <c r="A4349" s="2" t="str">
        <f>"01010902070"</f>
        <v>01010902070</v>
      </c>
      <c r="B4349" s="2" t="s">
        <v>4351</v>
      </c>
      <c r="C4349" s="2">
        <v>7.86</v>
      </c>
      <c r="D4349" s="2" t="s">
        <v>107</v>
      </c>
    </row>
    <row r="4350" spans="1:4" ht="15" customHeight="1" x14ac:dyDescent="0.25">
      <c r="A4350" s="2" t="str">
        <f>"01011000014"</f>
        <v>01011000014</v>
      </c>
      <c r="B4350" s="2" t="s">
        <v>4352</v>
      </c>
      <c r="C4350" s="2">
        <v>5545.26</v>
      </c>
      <c r="D4350" s="2" t="s">
        <v>5</v>
      </c>
    </row>
    <row r="4351" spans="1:4" ht="15" customHeight="1" x14ac:dyDescent="0.25">
      <c r="A4351" s="2" t="str">
        <f>"01011000030"</f>
        <v>01011000030</v>
      </c>
      <c r="B4351" s="2" t="s">
        <v>4353</v>
      </c>
      <c r="C4351" s="2">
        <v>7.97</v>
      </c>
      <c r="D4351" s="2" t="s">
        <v>107</v>
      </c>
    </row>
    <row r="4352" spans="1:4" ht="15" customHeight="1" x14ac:dyDescent="0.25">
      <c r="A4352" s="2" t="str">
        <f>"01011000010"</f>
        <v>01011000010</v>
      </c>
      <c r="B4352" s="2" t="s">
        <v>4354</v>
      </c>
      <c r="C4352" s="2">
        <v>6779.7</v>
      </c>
      <c r="D4352" s="2" t="s">
        <v>5</v>
      </c>
    </row>
    <row r="4353" spans="1:4" ht="15" customHeight="1" x14ac:dyDescent="0.25">
      <c r="A4353" s="2" t="str">
        <f>"01011000031"</f>
        <v>01011000031</v>
      </c>
      <c r="B4353" s="2" t="s">
        <v>4355</v>
      </c>
      <c r="C4353" s="2">
        <v>3070.34</v>
      </c>
      <c r="D4353" s="2" t="s">
        <v>5</v>
      </c>
    </row>
    <row r="4354" spans="1:4" ht="15" customHeight="1" x14ac:dyDescent="0.25">
      <c r="A4354" s="2" t="str">
        <f>"01011000032"</f>
        <v>01011000032</v>
      </c>
      <c r="B4354" s="2" t="s">
        <v>4356</v>
      </c>
      <c r="C4354" s="2">
        <v>3298.71</v>
      </c>
      <c r="D4354" s="2" t="s">
        <v>5</v>
      </c>
    </row>
    <row r="4355" spans="1:4" ht="15" customHeight="1" x14ac:dyDescent="0.25">
      <c r="A4355" s="2" t="str">
        <f>"01011000034"</f>
        <v>01011000034</v>
      </c>
      <c r="B4355" s="2" t="s">
        <v>4357</v>
      </c>
      <c r="C4355" s="2">
        <v>3514.4</v>
      </c>
      <c r="D4355" s="2" t="s">
        <v>5</v>
      </c>
    </row>
    <row r="4356" spans="1:4" ht="15" customHeight="1" x14ac:dyDescent="0.25">
      <c r="A4356" s="2" t="str">
        <f>"01011000036"</f>
        <v>01011000036</v>
      </c>
      <c r="B4356" s="2" t="s">
        <v>4358</v>
      </c>
      <c r="C4356" s="2">
        <v>3692.03</v>
      </c>
      <c r="D4356" s="2" t="s">
        <v>5</v>
      </c>
    </row>
    <row r="4357" spans="1:4" ht="15" customHeight="1" x14ac:dyDescent="0.25">
      <c r="A4357" s="2" t="str">
        <f>"01011000038"</f>
        <v>01011000038</v>
      </c>
      <c r="B4357" s="2" t="s">
        <v>4359</v>
      </c>
      <c r="C4357" s="2">
        <v>3983.82</v>
      </c>
      <c r="D4357" s="2" t="s">
        <v>5</v>
      </c>
    </row>
    <row r="4358" spans="1:4" ht="15" customHeight="1" x14ac:dyDescent="0.25">
      <c r="A4358" s="2" t="str">
        <f>"01011000039"</f>
        <v>01011000039</v>
      </c>
      <c r="B4358" s="2" t="s">
        <v>4360</v>
      </c>
      <c r="C4358" s="2">
        <v>4364.45</v>
      </c>
      <c r="D4358" s="2" t="s">
        <v>5</v>
      </c>
    </row>
    <row r="4359" spans="1:4" ht="15" customHeight="1" x14ac:dyDescent="0.25">
      <c r="A4359" s="2" t="str">
        <f>"01011000040"</f>
        <v>01011000040</v>
      </c>
      <c r="B4359" s="2" t="s">
        <v>4361</v>
      </c>
      <c r="C4359" s="2">
        <v>4719.68</v>
      </c>
      <c r="D4359" s="2" t="s">
        <v>5</v>
      </c>
    </row>
    <row r="4360" spans="1:4" ht="15" customHeight="1" x14ac:dyDescent="0.25">
      <c r="A4360" s="2" t="str">
        <f>"01011000042"</f>
        <v>01011000042</v>
      </c>
      <c r="B4360" s="2" t="s">
        <v>4362</v>
      </c>
      <c r="C4360" s="2">
        <v>5392.11</v>
      </c>
      <c r="D4360" s="2" t="s">
        <v>5</v>
      </c>
    </row>
    <row r="4361" spans="1:4" ht="15" customHeight="1" x14ac:dyDescent="0.25">
      <c r="A4361" s="2" t="str">
        <f>"01011000044"</f>
        <v>01011000044</v>
      </c>
      <c r="B4361" s="2" t="s">
        <v>4363</v>
      </c>
      <c r="C4361" s="2">
        <v>6064.56</v>
      </c>
      <c r="D4361" s="2" t="s">
        <v>5</v>
      </c>
    </row>
    <row r="4362" spans="1:4" ht="15" customHeight="1" x14ac:dyDescent="0.25">
      <c r="A4362" s="2" t="str">
        <f>"01011000046"</f>
        <v>01011000046</v>
      </c>
      <c r="B4362" s="2" t="s">
        <v>4364</v>
      </c>
      <c r="C4362" s="2">
        <v>7269.84</v>
      </c>
      <c r="D4362" s="2" t="s">
        <v>5</v>
      </c>
    </row>
    <row r="4363" spans="1:4" ht="15" customHeight="1" x14ac:dyDescent="0.25">
      <c r="A4363" s="2" t="str">
        <f>"01011000005"</f>
        <v>01011000005</v>
      </c>
      <c r="B4363" s="2" t="s">
        <v>4365</v>
      </c>
      <c r="C4363" s="2">
        <v>4183.79</v>
      </c>
      <c r="D4363" s="2" t="s">
        <v>5</v>
      </c>
    </row>
    <row r="4364" spans="1:4" ht="15" customHeight="1" x14ac:dyDescent="0.25">
      <c r="A4364" s="2" t="str">
        <f>"01010900520"</f>
        <v>01010900520</v>
      </c>
      <c r="B4364" s="2" t="s">
        <v>4366</v>
      </c>
      <c r="C4364" s="2">
        <v>3.21</v>
      </c>
      <c r="D4364" s="2" t="s">
        <v>107</v>
      </c>
    </row>
    <row r="4365" spans="1:4" ht="15" customHeight="1" x14ac:dyDescent="0.25">
      <c r="A4365" s="2" t="str">
        <f>"01010900500"</f>
        <v>01010900500</v>
      </c>
      <c r="B4365" s="2" t="s">
        <v>4367</v>
      </c>
      <c r="C4365" s="2">
        <v>3.93</v>
      </c>
      <c r="D4365" s="2" t="s">
        <v>107</v>
      </c>
    </row>
    <row r="4366" spans="1:4" ht="15" customHeight="1" x14ac:dyDescent="0.25">
      <c r="A4366" s="2" t="str">
        <f>"01010902010"</f>
        <v>01010902010</v>
      </c>
      <c r="B4366" s="2" t="s">
        <v>4368</v>
      </c>
      <c r="C4366" s="2">
        <v>5.27</v>
      </c>
      <c r="D4366" s="2" t="s">
        <v>107</v>
      </c>
    </row>
    <row r="4367" spans="1:4" ht="15" customHeight="1" x14ac:dyDescent="0.25">
      <c r="A4367" s="2" t="str">
        <f>"01011000013"</f>
        <v>01011000013</v>
      </c>
      <c r="B4367" s="2" t="s">
        <v>4369</v>
      </c>
      <c r="C4367" s="2">
        <v>3068.28</v>
      </c>
      <c r="D4367" s="2" t="s">
        <v>5</v>
      </c>
    </row>
    <row r="4368" spans="1:4" ht="15" customHeight="1" x14ac:dyDescent="0.25">
      <c r="A4368" s="2" t="str">
        <f>"01011000012"</f>
        <v>01011000012</v>
      </c>
      <c r="B4368" s="2" t="s">
        <v>4370</v>
      </c>
      <c r="C4368" s="2">
        <v>3683.88</v>
      </c>
      <c r="D4368" s="2" t="s">
        <v>5</v>
      </c>
    </row>
    <row r="4369" spans="1:4" ht="15" customHeight="1" x14ac:dyDescent="0.25">
      <c r="A4369" s="2" t="str">
        <f>"01011001026"</f>
        <v>01011001026</v>
      </c>
      <c r="B4369" s="2" t="s">
        <v>4371</v>
      </c>
      <c r="C4369" s="2">
        <v>4301.1000000000004</v>
      </c>
      <c r="D4369" s="2" t="s">
        <v>5</v>
      </c>
    </row>
    <row r="4370" spans="1:4" ht="15" customHeight="1" x14ac:dyDescent="0.25">
      <c r="A4370" s="2" t="str">
        <f>"01011000015"</f>
        <v>01011000015</v>
      </c>
      <c r="B4370" s="2" t="s">
        <v>4372</v>
      </c>
      <c r="C4370" s="2">
        <v>4918.32</v>
      </c>
      <c r="D4370" s="2" t="s">
        <v>5</v>
      </c>
    </row>
    <row r="4371" spans="1:4" ht="15" customHeight="1" x14ac:dyDescent="0.25">
      <c r="A4371" s="2" t="str">
        <f>"01011000016"</f>
        <v>01011000016</v>
      </c>
      <c r="B4371" s="2" t="s">
        <v>4373</v>
      </c>
      <c r="C4371" s="2">
        <v>5535.54</v>
      </c>
      <c r="D4371" s="2" t="s">
        <v>5</v>
      </c>
    </row>
    <row r="4372" spans="1:4" ht="15" customHeight="1" x14ac:dyDescent="0.25">
      <c r="A4372" s="2" t="str">
        <f>"01011000017"</f>
        <v>01011000017</v>
      </c>
      <c r="B4372" s="2" t="s">
        <v>4374</v>
      </c>
      <c r="C4372" s="2">
        <v>6152.76</v>
      </c>
      <c r="D4372" s="2" t="s">
        <v>5</v>
      </c>
    </row>
    <row r="4373" spans="1:4" ht="15" customHeight="1" x14ac:dyDescent="0.25">
      <c r="A4373" s="2" t="str">
        <f>"01011000018"</f>
        <v>01011000018</v>
      </c>
      <c r="B4373" s="2" t="s">
        <v>4375</v>
      </c>
      <c r="C4373" s="2">
        <v>6769.98</v>
      </c>
      <c r="D4373" s="2" t="s">
        <v>5</v>
      </c>
    </row>
    <row r="4374" spans="1:4" ht="15" customHeight="1" x14ac:dyDescent="0.25">
      <c r="A4374" s="2" t="str">
        <f>"01011000003"</f>
        <v>01011000003</v>
      </c>
      <c r="B4374" s="2" t="s">
        <v>4376</v>
      </c>
      <c r="C4374" s="2">
        <v>7387.2</v>
      </c>
      <c r="D4374" s="2" t="s">
        <v>5</v>
      </c>
    </row>
    <row r="4375" spans="1:4" ht="15" customHeight="1" x14ac:dyDescent="0.25">
      <c r="A4375" s="2" t="str">
        <f>"01011000020"</f>
        <v>01011000020</v>
      </c>
      <c r="B4375" s="2" t="s">
        <v>4377</v>
      </c>
      <c r="C4375" s="2">
        <v>8019</v>
      </c>
      <c r="D4375" s="2" t="s">
        <v>5</v>
      </c>
    </row>
    <row r="4376" spans="1:4" ht="15" customHeight="1" x14ac:dyDescent="0.25">
      <c r="A4376" s="2" t="str">
        <f>"01011000025"</f>
        <v>01011000025</v>
      </c>
      <c r="B4376" s="2" t="s">
        <v>4378</v>
      </c>
      <c r="C4376" s="2">
        <v>8647.56</v>
      </c>
      <c r="D4376" s="2" t="s">
        <v>5</v>
      </c>
    </row>
    <row r="4377" spans="1:4" ht="15" customHeight="1" x14ac:dyDescent="0.25">
      <c r="A4377" s="2" t="str">
        <f>"03016000075"</f>
        <v>03016000075</v>
      </c>
      <c r="B4377" s="2" t="s">
        <v>4379</v>
      </c>
      <c r="C4377" s="2">
        <v>87439.5</v>
      </c>
      <c r="D4377" s="2" t="s">
        <v>5</v>
      </c>
    </row>
    <row r="4378" spans="1:4" ht="15" customHeight="1" x14ac:dyDescent="0.25">
      <c r="A4378" s="2" t="str">
        <f>"03016000070"</f>
        <v>03016000070</v>
      </c>
      <c r="B4378" s="2" t="s">
        <v>4380</v>
      </c>
      <c r="C4378" s="2">
        <v>80238.600000000006</v>
      </c>
      <c r="D4378" s="2" t="s">
        <v>5</v>
      </c>
    </row>
    <row r="4379" spans="1:4" ht="15" customHeight="1" x14ac:dyDescent="0.25">
      <c r="A4379" s="2" t="str">
        <f>"04010000300"</f>
        <v>04010000300</v>
      </c>
      <c r="B4379" s="2" t="s">
        <v>4381</v>
      </c>
      <c r="C4379" s="2">
        <v>7074.8</v>
      </c>
      <c r="D4379" s="2" t="s">
        <v>5</v>
      </c>
    </row>
    <row r="4380" spans="1:4" ht="15" customHeight="1" x14ac:dyDescent="0.25">
      <c r="A4380" s="2" t="str">
        <f>"09500000190"</f>
        <v>09500000190</v>
      </c>
      <c r="B4380" s="2" t="s">
        <v>4382</v>
      </c>
      <c r="C4380" s="2">
        <v>4856.88</v>
      </c>
      <c r="D4380" s="2" t="s">
        <v>5</v>
      </c>
    </row>
    <row r="4381" spans="1:4" ht="15" customHeight="1" x14ac:dyDescent="0.25">
      <c r="A4381" s="2" t="str">
        <f>"03028000040"</f>
        <v>03028000040</v>
      </c>
      <c r="B4381" s="2" t="s">
        <v>4383</v>
      </c>
      <c r="C4381" s="2">
        <v>21649.85</v>
      </c>
      <c r="D4381" s="2" t="s">
        <v>5</v>
      </c>
    </row>
    <row r="4382" spans="1:4" ht="15" customHeight="1" x14ac:dyDescent="0.25">
      <c r="A4382" s="2" t="str">
        <f>"03028000010"</f>
        <v>03028000010</v>
      </c>
      <c r="B4382" s="2" t="s">
        <v>4384</v>
      </c>
      <c r="C4382" s="2">
        <v>66890.13</v>
      </c>
      <c r="D4382" s="2" t="s">
        <v>5</v>
      </c>
    </row>
    <row r="4383" spans="1:4" ht="15" customHeight="1" x14ac:dyDescent="0.25">
      <c r="A4383" s="2" t="str">
        <f>"03028000020"</f>
        <v>03028000020</v>
      </c>
      <c r="B4383" s="2" t="s">
        <v>4385</v>
      </c>
      <c r="C4383" s="2">
        <v>107419.61</v>
      </c>
      <c r="D4383" s="2" t="s">
        <v>5</v>
      </c>
    </row>
    <row r="4384" spans="1:4" ht="15" customHeight="1" x14ac:dyDescent="0.25">
      <c r="A4384" s="2" t="str">
        <f>"03028000030"</f>
        <v>03028000030</v>
      </c>
      <c r="B4384" s="2" t="s">
        <v>4386</v>
      </c>
      <c r="C4384" s="2">
        <v>264067.13</v>
      </c>
      <c r="D4384" s="2" t="s">
        <v>5</v>
      </c>
    </row>
    <row r="4385" spans="1:4" ht="15" customHeight="1" x14ac:dyDescent="0.25">
      <c r="A4385" s="2" t="str">
        <f>"03028000060"</f>
        <v>03028000060</v>
      </c>
      <c r="B4385" s="2" t="s">
        <v>4387</v>
      </c>
      <c r="C4385" s="2">
        <v>28702.19</v>
      </c>
      <c r="D4385" s="2" t="s">
        <v>5</v>
      </c>
    </row>
    <row r="4386" spans="1:4" ht="15" customHeight="1" x14ac:dyDescent="0.25">
      <c r="A4386" s="2" t="str">
        <f>"03028000070"</f>
        <v>03028000070</v>
      </c>
      <c r="B4386" s="2" t="s">
        <v>4388</v>
      </c>
      <c r="C4386" s="2">
        <v>76983.86</v>
      </c>
      <c r="D4386" s="2" t="s">
        <v>5</v>
      </c>
    </row>
    <row r="4387" spans="1:4" ht="15" customHeight="1" x14ac:dyDescent="0.25">
      <c r="A4387" s="2" t="str">
        <f>"03028000080"</f>
        <v>03028000080</v>
      </c>
      <c r="B4387" s="2" t="s">
        <v>4389</v>
      </c>
      <c r="C4387" s="2">
        <v>309865.83</v>
      </c>
      <c r="D4387" s="2" t="s">
        <v>5</v>
      </c>
    </row>
    <row r="4388" spans="1:4" ht="15" customHeight="1" x14ac:dyDescent="0.25">
      <c r="A4388" s="2" t="str">
        <f>"03028000050"</f>
        <v>03028000050</v>
      </c>
      <c r="B4388" s="2" t="s">
        <v>4390</v>
      </c>
      <c r="C4388" s="2">
        <v>11604.23</v>
      </c>
      <c r="D4388" s="2" t="s">
        <v>5</v>
      </c>
    </row>
    <row r="4389" spans="1:4" ht="15" customHeight="1" x14ac:dyDescent="0.25">
      <c r="A4389" s="2" t="str">
        <f>"03028000140"</f>
        <v>03028000140</v>
      </c>
      <c r="B4389" s="2" t="s">
        <v>4391</v>
      </c>
      <c r="C4389" s="2">
        <v>5734.32</v>
      </c>
      <c r="D4389" s="2" t="s">
        <v>5</v>
      </c>
    </row>
    <row r="4390" spans="1:4" ht="15" customHeight="1" x14ac:dyDescent="0.25">
      <c r="A4390" s="2" t="str">
        <f>"03028000120"</f>
        <v>03028000120</v>
      </c>
      <c r="B4390" s="2" t="s">
        <v>4392</v>
      </c>
      <c r="C4390" s="2">
        <v>5734.32</v>
      </c>
      <c r="D4390" s="2" t="s">
        <v>5</v>
      </c>
    </row>
    <row r="4391" spans="1:4" ht="15" customHeight="1" x14ac:dyDescent="0.25">
      <c r="A4391" s="2" t="str">
        <f>"03028000130"</f>
        <v>03028000130</v>
      </c>
      <c r="B4391" s="2" t="s">
        <v>4393</v>
      </c>
      <c r="C4391" s="2">
        <v>5734.32</v>
      </c>
      <c r="D4391" s="2" t="s">
        <v>5</v>
      </c>
    </row>
    <row r="4392" spans="1:4" ht="15" customHeight="1" x14ac:dyDescent="0.25">
      <c r="A4392" s="2" t="str">
        <f>"03063000850"</f>
        <v>03063000850</v>
      </c>
      <c r="B4392" s="2" t="s">
        <v>4394</v>
      </c>
      <c r="C4392" s="2">
        <v>19.760000000000002</v>
      </c>
      <c r="D4392" s="2" t="s">
        <v>107</v>
      </c>
    </row>
    <row r="4393" spans="1:4" ht="15" customHeight="1" x14ac:dyDescent="0.25">
      <c r="A4393" s="2" t="str">
        <f>"09500000185"</f>
        <v>09500000185</v>
      </c>
      <c r="B4393" s="2" t="s">
        <v>4395</v>
      </c>
      <c r="C4393" s="2">
        <v>11662.82</v>
      </c>
      <c r="D4393" s="2" t="s">
        <v>5</v>
      </c>
    </row>
    <row r="4394" spans="1:4" ht="15" customHeight="1" x14ac:dyDescent="0.25">
      <c r="A4394" s="2" t="str">
        <f>"03030000020"</f>
        <v>03030000020</v>
      </c>
      <c r="B4394" s="2" t="s">
        <v>4396</v>
      </c>
      <c r="C4394" s="2">
        <v>27.6</v>
      </c>
      <c r="D4394" s="2" t="s">
        <v>5</v>
      </c>
    </row>
    <row r="4395" spans="1:4" ht="15" customHeight="1" x14ac:dyDescent="0.25">
      <c r="A4395" s="2" t="str">
        <f>"03030000025"</f>
        <v>03030000025</v>
      </c>
      <c r="B4395" s="2" t="s">
        <v>4397</v>
      </c>
      <c r="C4395" s="2">
        <v>84.42</v>
      </c>
      <c r="D4395" s="2" t="s">
        <v>5</v>
      </c>
    </row>
    <row r="4396" spans="1:4" ht="15" customHeight="1" x14ac:dyDescent="0.25">
      <c r="A4396" s="2" t="str">
        <f>"03030000030"</f>
        <v>03030000030</v>
      </c>
      <c r="B4396" s="2" t="s">
        <v>4398</v>
      </c>
      <c r="C4396" s="2">
        <v>316.58999999999997</v>
      </c>
      <c r="D4396" s="2" t="s">
        <v>5</v>
      </c>
    </row>
    <row r="4397" spans="1:4" ht="15" customHeight="1" x14ac:dyDescent="0.25">
      <c r="A4397" s="2" t="str">
        <f>"09500000270"</f>
        <v>09500000270</v>
      </c>
      <c r="B4397" s="2" t="s">
        <v>4399</v>
      </c>
      <c r="C4397" s="2">
        <v>21154.67</v>
      </c>
      <c r="D4397" s="2" t="s">
        <v>5</v>
      </c>
    </row>
    <row r="4398" spans="1:4" ht="15" customHeight="1" x14ac:dyDescent="0.25">
      <c r="A4398" s="2" t="str">
        <f>"09500000265"</f>
        <v>09500000265</v>
      </c>
      <c r="B4398" s="2" t="s">
        <v>4400</v>
      </c>
      <c r="C4398" s="2">
        <v>13736.78</v>
      </c>
      <c r="D4398" s="2" t="s">
        <v>5</v>
      </c>
    </row>
    <row r="4399" spans="1:4" ht="15" customHeight="1" x14ac:dyDescent="0.25">
      <c r="A4399" s="2" t="str">
        <f>"03034000029"</f>
        <v>03034000029</v>
      </c>
      <c r="B4399" s="2" t="s">
        <v>4401</v>
      </c>
      <c r="C4399" s="2">
        <v>1501.14</v>
      </c>
      <c r="D4399" s="2" t="s">
        <v>5</v>
      </c>
    </row>
    <row r="4400" spans="1:4" ht="15" customHeight="1" x14ac:dyDescent="0.25">
      <c r="A4400" s="2" t="str">
        <f>"06010000820"</f>
        <v>06010000820</v>
      </c>
      <c r="B4400" s="2" t="s">
        <v>4402</v>
      </c>
      <c r="C4400" s="2">
        <v>2352.0500000000002</v>
      </c>
      <c r="D4400" s="2" t="s">
        <v>5</v>
      </c>
    </row>
    <row r="4401" spans="1:4" ht="15" customHeight="1" x14ac:dyDescent="0.25">
      <c r="A4401" s="2" t="str">
        <f>"03005000026"</f>
        <v>03005000026</v>
      </c>
      <c r="B4401" s="2" t="s">
        <v>4403</v>
      </c>
      <c r="C4401" s="2">
        <v>12.42</v>
      </c>
      <c r="D4401" s="2" t="s">
        <v>5</v>
      </c>
    </row>
    <row r="4402" spans="1:4" ht="15" customHeight="1" x14ac:dyDescent="0.25">
      <c r="A4402" s="2" t="str">
        <f>"05015000102"</f>
        <v>05015000102</v>
      </c>
      <c r="B4402" s="2" t="s">
        <v>4404</v>
      </c>
      <c r="C4402" s="2">
        <v>90.39</v>
      </c>
      <c r="D4402" s="2" t="s">
        <v>5</v>
      </c>
    </row>
    <row r="4403" spans="1:4" ht="15" customHeight="1" x14ac:dyDescent="0.25">
      <c r="A4403" s="2" t="str">
        <f>"05015000103"</f>
        <v>05015000103</v>
      </c>
      <c r="B4403" s="2" t="s">
        <v>4405</v>
      </c>
      <c r="C4403" s="2">
        <v>107.9</v>
      </c>
      <c r="D4403" s="2" t="s">
        <v>5</v>
      </c>
    </row>
    <row r="4404" spans="1:4" ht="15" customHeight="1" x14ac:dyDescent="0.25">
      <c r="A4404" s="2" t="str">
        <f>"05015000104"</f>
        <v>05015000104</v>
      </c>
      <c r="B4404" s="2" t="s">
        <v>4406</v>
      </c>
      <c r="C4404" s="2">
        <v>169.13</v>
      </c>
      <c r="D4404" s="2" t="s">
        <v>5</v>
      </c>
    </row>
    <row r="4405" spans="1:4" ht="15" customHeight="1" x14ac:dyDescent="0.25">
      <c r="A4405" s="2" t="str">
        <f>"05015000100"</f>
        <v>05015000100</v>
      </c>
      <c r="B4405" s="2" t="s">
        <v>4407</v>
      </c>
      <c r="C4405" s="2">
        <v>236.78</v>
      </c>
      <c r="D4405" s="2" t="s">
        <v>5</v>
      </c>
    </row>
    <row r="4406" spans="1:4" ht="15" customHeight="1" x14ac:dyDescent="0.25">
      <c r="A4406" s="2" t="str">
        <f>"05015000090"</f>
        <v>05015000090</v>
      </c>
      <c r="B4406" s="2" t="s">
        <v>4408</v>
      </c>
      <c r="C4406" s="2">
        <v>92.15</v>
      </c>
      <c r="D4406" s="2" t="s">
        <v>5</v>
      </c>
    </row>
    <row r="4407" spans="1:4" ht="15" customHeight="1" x14ac:dyDescent="0.25">
      <c r="A4407" s="2" t="str">
        <f>"05015000099"</f>
        <v>05015000099</v>
      </c>
      <c r="B4407" s="2" t="s">
        <v>4409</v>
      </c>
      <c r="C4407" s="2">
        <v>131.81</v>
      </c>
      <c r="D4407" s="2" t="s">
        <v>5</v>
      </c>
    </row>
    <row r="4408" spans="1:4" ht="15" customHeight="1" x14ac:dyDescent="0.25">
      <c r="A4408" s="2" t="str">
        <f>"05015000101"</f>
        <v>05015000101</v>
      </c>
      <c r="B4408" s="2" t="s">
        <v>4410</v>
      </c>
      <c r="C4408" s="2">
        <v>163.88</v>
      </c>
      <c r="D4408" s="2" t="s">
        <v>5</v>
      </c>
    </row>
    <row r="4409" spans="1:4" ht="15" customHeight="1" x14ac:dyDescent="0.25">
      <c r="A4409" s="2" t="str">
        <f>"05015000155"</f>
        <v>05015000155</v>
      </c>
      <c r="B4409" s="2" t="s">
        <v>4411</v>
      </c>
      <c r="C4409" s="2">
        <v>25.08</v>
      </c>
      <c r="D4409" s="2" t="s">
        <v>5</v>
      </c>
    </row>
    <row r="4410" spans="1:4" ht="15" customHeight="1" x14ac:dyDescent="0.25">
      <c r="A4410" s="2" t="str">
        <f>"05015000156"</f>
        <v>05015000156</v>
      </c>
      <c r="B4410" s="2" t="s">
        <v>4412</v>
      </c>
      <c r="C4410" s="2">
        <v>29.75</v>
      </c>
      <c r="D4410" s="2" t="s">
        <v>5</v>
      </c>
    </row>
    <row r="4411" spans="1:4" ht="15" customHeight="1" x14ac:dyDescent="0.25">
      <c r="A4411" s="2" t="str">
        <f>"05015000157"</f>
        <v>05015000157</v>
      </c>
      <c r="B4411" s="2" t="s">
        <v>4413</v>
      </c>
      <c r="C4411" s="2">
        <v>32.659999999999997</v>
      </c>
      <c r="D4411" s="2" t="s">
        <v>5</v>
      </c>
    </row>
    <row r="4412" spans="1:4" ht="15" customHeight="1" x14ac:dyDescent="0.25">
      <c r="A4412" s="2" t="str">
        <f>"05015000154"</f>
        <v>05015000154</v>
      </c>
      <c r="B4412" s="2" t="s">
        <v>4414</v>
      </c>
      <c r="C4412" s="2">
        <v>23.91</v>
      </c>
      <c r="D4412" s="2" t="s">
        <v>5</v>
      </c>
    </row>
    <row r="4413" spans="1:4" ht="15" customHeight="1" x14ac:dyDescent="0.25">
      <c r="A4413" s="2" t="str">
        <f>"05015000061"</f>
        <v>05015000061</v>
      </c>
      <c r="B4413" s="2" t="s">
        <v>4415</v>
      </c>
      <c r="C4413" s="2">
        <v>130.05000000000001</v>
      </c>
      <c r="D4413" s="2" t="s">
        <v>5</v>
      </c>
    </row>
    <row r="4414" spans="1:4" ht="15" customHeight="1" x14ac:dyDescent="0.25">
      <c r="A4414" s="2" t="str">
        <f>"05015000060"</f>
        <v>05015000060</v>
      </c>
      <c r="B4414" s="2" t="s">
        <v>4416</v>
      </c>
      <c r="C4414" s="2">
        <v>102.65</v>
      </c>
      <c r="D4414" s="2" t="s">
        <v>5</v>
      </c>
    </row>
    <row r="4415" spans="1:4" ht="15" customHeight="1" x14ac:dyDescent="0.25">
      <c r="A4415" s="2" t="str">
        <f>"05015000059"</f>
        <v>05015000059</v>
      </c>
      <c r="B4415" s="2" t="s">
        <v>4417</v>
      </c>
      <c r="C4415" s="2">
        <v>78.739999999999995</v>
      </c>
      <c r="D4415" s="2" t="s">
        <v>5</v>
      </c>
    </row>
    <row r="4416" spans="1:4" ht="15" customHeight="1" x14ac:dyDescent="0.25">
      <c r="A4416" s="2" t="str">
        <f>"05015000057"</f>
        <v>05015000057</v>
      </c>
      <c r="B4416" s="2" t="s">
        <v>4418</v>
      </c>
      <c r="C4416" s="2">
        <v>49.58</v>
      </c>
      <c r="D4416" s="2" t="s">
        <v>5</v>
      </c>
    </row>
    <row r="4417" spans="1:4" ht="15" customHeight="1" x14ac:dyDescent="0.25">
      <c r="A4417" s="2" t="str">
        <f>"05015000062"</f>
        <v>05015000062</v>
      </c>
      <c r="B4417" s="2" t="s">
        <v>4419</v>
      </c>
      <c r="C4417" s="2">
        <v>198.87</v>
      </c>
      <c r="D4417" s="2" t="s">
        <v>5</v>
      </c>
    </row>
    <row r="4418" spans="1:4" ht="15" customHeight="1" x14ac:dyDescent="0.25">
      <c r="A4418" s="2" t="str">
        <f>"05015000058"</f>
        <v>05015000058</v>
      </c>
      <c r="B4418" s="2" t="s">
        <v>4420</v>
      </c>
      <c r="C4418" s="2">
        <v>65.900000000000006</v>
      </c>
      <c r="D4418" s="2" t="s">
        <v>5</v>
      </c>
    </row>
    <row r="4419" spans="1:4" ht="15" customHeight="1" x14ac:dyDescent="0.25">
      <c r="A4419" s="2" t="str">
        <f>"05015000077"</f>
        <v>05015000077</v>
      </c>
      <c r="B4419" s="2" t="s">
        <v>4421</v>
      </c>
      <c r="C4419" s="2">
        <v>54.24</v>
      </c>
      <c r="D4419" s="2" t="s">
        <v>5</v>
      </c>
    </row>
    <row r="4420" spans="1:4" ht="15" customHeight="1" x14ac:dyDescent="0.25">
      <c r="A4420" s="2" t="str">
        <f>"05015000078"</f>
        <v>05015000078</v>
      </c>
      <c r="B4420" s="2" t="s">
        <v>4422</v>
      </c>
      <c r="C4420" s="2">
        <v>76.98</v>
      </c>
      <c r="D4420" s="2" t="s">
        <v>5</v>
      </c>
    </row>
    <row r="4421" spans="1:4" ht="15" customHeight="1" x14ac:dyDescent="0.25">
      <c r="A4421" s="2" t="str">
        <f>"05015000168"</f>
        <v>05015000168</v>
      </c>
      <c r="B4421" s="2" t="s">
        <v>4423</v>
      </c>
      <c r="C4421" s="2">
        <v>76.98</v>
      </c>
      <c r="D4421" s="2" t="s">
        <v>5</v>
      </c>
    </row>
    <row r="4422" spans="1:4" ht="15" customHeight="1" x14ac:dyDescent="0.25">
      <c r="A4422" s="2" t="str">
        <f>"05015000167"</f>
        <v>05015000167</v>
      </c>
      <c r="B4422" s="2" t="s">
        <v>4424</v>
      </c>
      <c r="C4422" s="2">
        <v>74.069999999999993</v>
      </c>
      <c r="D4422" s="2" t="s">
        <v>5</v>
      </c>
    </row>
    <row r="4423" spans="1:4" ht="15" customHeight="1" x14ac:dyDescent="0.25">
      <c r="A4423" s="2" t="str">
        <f>"03010000484"</f>
        <v>03010000484</v>
      </c>
      <c r="B4423" s="2" t="s">
        <v>4425</v>
      </c>
      <c r="C4423" s="2">
        <v>71.930000000000007</v>
      </c>
      <c r="D4423" s="2" t="s">
        <v>5</v>
      </c>
    </row>
    <row r="4424" spans="1:4" ht="15" customHeight="1" x14ac:dyDescent="0.25">
      <c r="A4424" s="2" t="str">
        <f>"03010000486"</f>
        <v>03010000486</v>
      </c>
      <c r="B4424" s="2" t="s">
        <v>4426</v>
      </c>
      <c r="C4424" s="2">
        <v>60.27</v>
      </c>
      <c r="D4424" s="2" t="s">
        <v>5</v>
      </c>
    </row>
    <row r="4425" spans="1:4" ht="15" customHeight="1" x14ac:dyDescent="0.25">
      <c r="A4425" s="2" t="str">
        <f>"05015000169"</f>
        <v>05015000169</v>
      </c>
      <c r="B4425" s="2" t="s">
        <v>4427</v>
      </c>
      <c r="C4425" s="2">
        <v>17.97</v>
      </c>
      <c r="D4425" s="2" t="s">
        <v>5</v>
      </c>
    </row>
    <row r="4426" spans="1:4" ht="15" customHeight="1" x14ac:dyDescent="0.25">
      <c r="A4426" s="2" t="str">
        <f>"05015000171"</f>
        <v>05015000171</v>
      </c>
      <c r="B4426" s="2" t="s">
        <v>4428</v>
      </c>
      <c r="C4426" s="2">
        <v>20.52</v>
      </c>
      <c r="D4426" s="2" t="s">
        <v>5</v>
      </c>
    </row>
    <row r="4427" spans="1:4" ht="15" customHeight="1" x14ac:dyDescent="0.25">
      <c r="A4427" s="2" t="str">
        <f>"05015000170"</f>
        <v>05015000170</v>
      </c>
      <c r="B4427" s="2" t="s">
        <v>4429</v>
      </c>
      <c r="C4427" s="2">
        <v>13.14</v>
      </c>
      <c r="D4427" s="2" t="s">
        <v>5</v>
      </c>
    </row>
    <row r="4428" spans="1:4" ht="15" customHeight="1" x14ac:dyDescent="0.25">
      <c r="A4428" s="2" t="str">
        <f>"05022001001"</f>
        <v>05022001001</v>
      </c>
      <c r="B4428" s="2" t="s">
        <v>4430</v>
      </c>
      <c r="C4428" s="2">
        <v>484.61</v>
      </c>
      <c r="D4428" s="2" t="s">
        <v>5</v>
      </c>
    </row>
    <row r="4429" spans="1:4" ht="15" customHeight="1" x14ac:dyDescent="0.25">
      <c r="A4429" s="2" t="str">
        <f>"02013000005"</f>
        <v>02013000005</v>
      </c>
      <c r="B4429" s="2" t="s">
        <v>4431</v>
      </c>
      <c r="C4429" s="2">
        <v>562.07000000000005</v>
      </c>
      <c r="D4429" s="2" t="s">
        <v>5</v>
      </c>
    </row>
    <row r="4430" spans="1:4" ht="15" customHeight="1" x14ac:dyDescent="0.25">
      <c r="A4430" s="2" t="str">
        <f>"02013000010"</f>
        <v>02013000010</v>
      </c>
      <c r="B4430" s="2" t="s">
        <v>4432</v>
      </c>
      <c r="C4430" s="2">
        <v>538.61</v>
      </c>
      <c r="D4430" s="2" t="s">
        <v>5</v>
      </c>
    </row>
    <row r="4431" spans="1:4" ht="15" customHeight="1" x14ac:dyDescent="0.25">
      <c r="A4431" s="2" t="str">
        <f>"03010000500"</f>
        <v>03010000500</v>
      </c>
      <c r="B4431" s="2" t="s">
        <v>4433</v>
      </c>
      <c r="C4431" s="2">
        <v>611.12</v>
      </c>
      <c r="D4431" s="2" t="s">
        <v>5</v>
      </c>
    </row>
    <row r="4432" spans="1:4" ht="15" customHeight="1" x14ac:dyDescent="0.25">
      <c r="A4432" s="2" t="str">
        <f>"02013000015"</f>
        <v>02013000015</v>
      </c>
      <c r="B4432" s="2" t="s">
        <v>4434</v>
      </c>
      <c r="C4432" s="2">
        <v>587.49</v>
      </c>
      <c r="D4432" s="2" t="s">
        <v>5</v>
      </c>
    </row>
    <row r="4433" spans="1:4" ht="15" customHeight="1" x14ac:dyDescent="0.25">
      <c r="A4433" s="2" t="str">
        <f>"03010000505"</f>
        <v>03010000505</v>
      </c>
      <c r="B4433" s="2" t="s">
        <v>4435</v>
      </c>
      <c r="C4433" s="2">
        <v>654.66</v>
      </c>
      <c r="D4433" s="2" t="s">
        <v>5</v>
      </c>
    </row>
    <row r="4434" spans="1:4" ht="15" customHeight="1" x14ac:dyDescent="0.25">
      <c r="A4434" s="2" t="str">
        <f>"02013000030"</f>
        <v>02013000030</v>
      </c>
      <c r="B4434" s="2" t="s">
        <v>4436</v>
      </c>
      <c r="C4434" s="2">
        <v>460.41</v>
      </c>
      <c r="D4434" s="2" t="s">
        <v>5</v>
      </c>
    </row>
    <row r="4435" spans="1:4" ht="15" customHeight="1" x14ac:dyDescent="0.25">
      <c r="A4435" s="2" t="str">
        <f>"02013000035"</f>
        <v>02013000035</v>
      </c>
      <c r="B4435" s="2" t="s">
        <v>4437</v>
      </c>
      <c r="C4435" s="2">
        <v>0</v>
      </c>
      <c r="D4435" s="2" t="s">
        <v>5</v>
      </c>
    </row>
    <row r="4436" spans="1:4" ht="15" customHeight="1" x14ac:dyDescent="0.25">
      <c r="A4436" s="2" t="str">
        <f>"02013000040"</f>
        <v>02013000040</v>
      </c>
      <c r="B4436" s="2" t="s">
        <v>4438</v>
      </c>
      <c r="C4436" s="2">
        <v>738.41</v>
      </c>
      <c r="D4436" s="2" t="s">
        <v>5</v>
      </c>
    </row>
    <row r="4437" spans="1:4" ht="15" customHeight="1" x14ac:dyDescent="0.25">
      <c r="A4437" s="2" t="str">
        <f>"03010000480"</f>
        <v>03010000480</v>
      </c>
      <c r="B4437" s="2" t="s">
        <v>4439</v>
      </c>
      <c r="C4437" s="2">
        <v>1300.71</v>
      </c>
      <c r="D4437" s="2" t="s">
        <v>5</v>
      </c>
    </row>
    <row r="4438" spans="1:4" ht="15" customHeight="1" x14ac:dyDescent="0.25">
      <c r="A4438" s="2" t="str">
        <f>"03034000338"</f>
        <v>03034000338</v>
      </c>
      <c r="B4438" s="2" t="s">
        <v>4440</v>
      </c>
      <c r="C4438" s="2">
        <v>1501.14</v>
      </c>
      <c r="D4438" s="2" t="s">
        <v>5</v>
      </c>
    </row>
    <row r="4439" spans="1:4" ht="15" customHeight="1" x14ac:dyDescent="0.25">
      <c r="A4439" s="2" t="str">
        <f>"03017700123"</f>
        <v>03017700123</v>
      </c>
      <c r="B4439" s="2" t="s">
        <v>4441</v>
      </c>
      <c r="C4439" s="2">
        <v>539.01</v>
      </c>
      <c r="D4439" s="2" t="s">
        <v>5</v>
      </c>
    </row>
    <row r="4440" spans="1:4" ht="15" customHeight="1" x14ac:dyDescent="0.25">
      <c r="A4440" s="2" t="str">
        <f>"02014000030"</f>
        <v>02014000030</v>
      </c>
      <c r="B4440" s="2" t="s">
        <v>4442</v>
      </c>
      <c r="C4440" s="2">
        <v>16876.95</v>
      </c>
      <c r="D4440" s="2" t="s">
        <v>5</v>
      </c>
    </row>
    <row r="4441" spans="1:4" ht="15" customHeight="1" x14ac:dyDescent="0.25">
      <c r="A4441" s="2" t="str">
        <f>"02014000005"</f>
        <v>02014000005</v>
      </c>
      <c r="B4441" s="2" t="s">
        <v>4443</v>
      </c>
      <c r="C4441" s="2">
        <v>1349.48</v>
      </c>
      <c r="D4441" s="2" t="s">
        <v>5</v>
      </c>
    </row>
    <row r="4442" spans="1:4" ht="15" customHeight="1" x14ac:dyDescent="0.25">
      <c r="A4442" s="2" t="str">
        <f>"02014000010"</f>
        <v>02014000010</v>
      </c>
      <c r="B4442" s="2" t="s">
        <v>4444</v>
      </c>
      <c r="C4442" s="2">
        <v>1633.59</v>
      </c>
      <c r="D4442" s="2" t="s">
        <v>5</v>
      </c>
    </row>
    <row r="4443" spans="1:4" ht="15" customHeight="1" x14ac:dyDescent="0.25">
      <c r="A4443" s="2" t="str">
        <f>"02014000020"</f>
        <v>02014000020</v>
      </c>
      <c r="B4443" s="2" t="s">
        <v>4445</v>
      </c>
      <c r="C4443" s="2">
        <v>4136.6000000000004</v>
      </c>
      <c r="D4443" s="2" t="s">
        <v>5</v>
      </c>
    </row>
    <row r="4444" spans="1:4" ht="15" customHeight="1" x14ac:dyDescent="0.25">
      <c r="A4444" s="2" t="str">
        <f>"02014000015"</f>
        <v>02014000015</v>
      </c>
      <c r="B4444" s="2" t="s">
        <v>4446</v>
      </c>
      <c r="C4444" s="2">
        <v>2299.58</v>
      </c>
      <c r="D4444" s="2" t="s">
        <v>5</v>
      </c>
    </row>
    <row r="4445" spans="1:4" ht="15" customHeight="1" x14ac:dyDescent="0.25">
      <c r="A4445" s="2" t="str">
        <f>"02014000025"</f>
        <v>02014000025</v>
      </c>
      <c r="B4445" s="2" t="s">
        <v>4447</v>
      </c>
      <c r="C4445" s="2">
        <v>4968.09</v>
      </c>
      <c r="D4445" s="2" t="s">
        <v>5</v>
      </c>
    </row>
    <row r="4446" spans="1:4" ht="15" customHeight="1" x14ac:dyDescent="0.25">
      <c r="A4446" s="2" t="str">
        <f>"05021000300"</f>
        <v>05021000300</v>
      </c>
      <c r="B4446" s="2" t="s">
        <v>4448</v>
      </c>
      <c r="C4446" s="2">
        <v>3284.28</v>
      </c>
      <c r="D4446" s="2" t="s">
        <v>5</v>
      </c>
    </row>
    <row r="4447" spans="1:4" ht="15" customHeight="1" x14ac:dyDescent="0.25">
      <c r="A4447" s="2" t="str">
        <f>"08400002100"</f>
        <v>08400002100</v>
      </c>
      <c r="B4447" s="2" t="s">
        <v>4449</v>
      </c>
      <c r="C4447" s="2">
        <v>672.12</v>
      </c>
      <c r="D4447" s="2" t="s">
        <v>5</v>
      </c>
    </row>
    <row r="4448" spans="1:4" ht="15" customHeight="1" x14ac:dyDescent="0.25">
      <c r="A4448" s="2" t="str">
        <f>"08400002150"</f>
        <v>08400002150</v>
      </c>
      <c r="B4448" s="2" t="s">
        <v>4450</v>
      </c>
      <c r="C4448" s="2">
        <v>984.9</v>
      </c>
      <c r="D4448" s="2" t="s">
        <v>5</v>
      </c>
    </row>
    <row r="4449" spans="1:4" ht="15" customHeight="1" x14ac:dyDescent="0.25">
      <c r="A4449" s="2" t="str">
        <f>"08400002200"</f>
        <v>08400002200</v>
      </c>
      <c r="B4449" s="2" t="s">
        <v>4451</v>
      </c>
      <c r="C4449" s="2">
        <v>1893.9</v>
      </c>
      <c r="D4449" s="2" t="s">
        <v>5</v>
      </c>
    </row>
    <row r="4450" spans="1:4" ht="15" customHeight="1" x14ac:dyDescent="0.25">
      <c r="A4450" s="2" t="str">
        <f>"08400002300"</f>
        <v>08400002300</v>
      </c>
      <c r="B4450" s="2" t="s">
        <v>4452</v>
      </c>
      <c r="C4450" s="2">
        <v>1472</v>
      </c>
      <c r="D4450" s="2" t="s">
        <v>5</v>
      </c>
    </row>
    <row r="4451" spans="1:4" ht="15" customHeight="1" x14ac:dyDescent="0.25">
      <c r="A4451" s="2" t="str">
        <f>"08400002000"</f>
        <v>08400002000</v>
      </c>
      <c r="B4451" s="2" t="s">
        <v>4453</v>
      </c>
      <c r="C4451" s="2">
        <v>126</v>
      </c>
      <c r="D4451" s="2" t="s">
        <v>5</v>
      </c>
    </row>
    <row r="4452" spans="1:4" ht="15" customHeight="1" x14ac:dyDescent="0.25">
      <c r="A4452" s="2" t="str">
        <f>"08400001000"</f>
        <v>08400001000</v>
      </c>
      <c r="B4452" s="2" t="s">
        <v>4454</v>
      </c>
      <c r="C4452" s="2">
        <v>118.4</v>
      </c>
      <c r="D4452" s="2" t="s">
        <v>5</v>
      </c>
    </row>
    <row r="4453" spans="1:4" ht="15" customHeight="1" x14ac:dyDescent="0.25">
      <c r="A4453" s="2" t="str">
        <f>"08400002350"</f>
        <v>08400002350</v>
      </c>
      <c r="B4453" s="2" t="s">
        <v>4455</v>
      </c>
      <c r="C4453" s="2">
        <v>103.44</v>
      </c>
      <c r="D4453" s="2" t="s">
        <v>107</v>
      </c>
    </row>
    <row r="4454" spans="1:4" ht="15" customHeight="1" x14ac:dyDescent="0.25">
      <c r="A4454" s="2" t="str">
        <f>"08400002355"</f>
        <v>08400002355</v>
      </c>
      <c r="B4454" s="2" t="s">
        <v>4456</v>
      </c>
      <c r="C4454" s="2">
        <v>158.12</v>
      </c>
      <c r="D4454" s="2" t="s">
        <v>107</v>
      </c>
    </row>
    <row r="4455" spans="1:4" ht="15" customHeight="1" x14ac:dyDescent="0.25">
      <c r="A4455" s="2" t="str">
        <f>"08400002400"</f>
        <v>08400002400</v>
      </c>
      <c r="B4455" s="2" t="s">
        <v>4457</v>
      </c>
      <c r="C4455" s="2">
        <v>7934.45</v>
      </c>
      <c r="D4455" s="2" t="s">
        <v>5</v>
      </c>
    </row>
    <row r="4456" spans="1:4" ht="15" customHeight="1" x14ac:dyDescent="0.25">
      <c r="A4456" s="2" t="str">
        <f>"08400002010"</f>
        <v>08400002010</v>
      </c>
      <c r="B4456" s="2" t="s">
        <v>4458</v>
      </c>
      <c r="C4456" s="2">
        <v>1848</v>
      </c>
      <c r="D4456" s="2" t="s">
        <v>5</v>
      </c>
    </row>
    <row r="4457" spans="1:4" ht="15" customHeight="1" x14ac:dyDescent="0.25">
      <c r="A4457" s="2" t="str">
        <f>"08400002005"</f>
        <v>08400002005</v>
      </c>
      <c r="B4457" s="2" t="s">
        <v>4459</v>
      </c>
      <c r="C4457" s="2">
        <v>550.5</v>
      </c>
      <c r="D4457" s="2" t="s">
        <v>5</v>
      </c>
    </row>
    <row r="4458" spans="1:4" ht="15" customHeight="1" x14ac:dyDescent="0.25">
      <c r="A4458" s="2" t="str">
        <f>"08400002405"</f>
        <v>08400002405</v>
      </c>
      <c r="B4458" s="2" t="s">
        <v>4460</v>
      </c>
      <c r="C4458" s="2">
        <v>1844.37</v>
      </c>
      <c r="D4458" s="2" t="s">
        <v>5</v>
      </c>
    </row>
    <row r="4459" spans="1:4" ht="15" customHeight="1" x14ac:dyDescent="0.25">
      <c r="A4459" s="2" t="str">
        <f>"08400002004"</f>
        <v>08400002004</v>
      </c>
      <c r="B4459" s="2" t="s">
        <v>4461</v>
      </c>
      <c r="C4459" s="2">
        <v>493.97</v>
      </c>
      <c r="D4459" s="2" t="s">
        <v>5</v>
      </c>
    </row>
    <row r="4460" spans="1:4" ht="15" customHeight="1" x14ac:dyDescent="0.25">
      <c r="A4460" s="2" t="str">
        <f>"08400000300"</f>
        <v>08400000300</v>
      </c>
      <c r="B4460" s="2" t="s">
        <v>4462</v>
      </c>
      <c r="C4460" s="2">
        <v>54.6</v>
      </c>
      <c r="D4460" s="2" t="s">
        <v>107</v>
      </c>
    </row>
    <row r="4461" spans="1:4" ht="15" customHeight="1" x14ac:dyDescent="0.25">
      <c r="A4461" s="2" t="str">
        <f>"01001000398"</f>
        <v>01001000398</v>
      </c>
      <c r="B4461" s="2" t="s">
        <v>4463</v>
      </c>
      <c r="C4461" s="2">
        <v>1614.32</v>
      </c>
      <c r="D4461" s="2" t="s">
        <v>5</v>
      </c>
    </row>
    <row r="4462" spans="1:4" ht="15" customHeight="1" x14ac:dyDescent="0.25">
      <c r="A4462" s="2" t="str">
        <f>"05010000405"</f>
        <v>05010000405</v>
      </c>
      <c r="B4462" s="2" t="s">
        <v>4464</v>
      </c>
      <c r="C4462" s="2">
        <v>81.89</v>
      </c>
      <c r="D4462" s="2" t="s">
        <v>5</v>
      </c>
    </row>
    <row r="4463" spans="1:4" ht="15" customHeight="1" x14ac:dyDescent="0.25">
      <c r="A4463" s="2" t="str">
        <f>"05022000975"</f>
        <v>05022000975</v>
      </c>
      <c r="B4463" s="2" t="s">
        <v>4465</v>
      </c>
      <c r="C4463" s="2">
        <v>517.61</v>
      </c>
      <c r="D4463" s="2" t="s">
        <v>5</v>
      </c>
    </row>
    <row r="4464" spans="1:4" ht="15" customHeight="1" x14ac:dyDescent="0.25">
      <c r="A4464" s="2" t="str">
        <f>"05022000980"</f>
        <v>05022000980</v>
      </c>
      <c r="B4464" s="2" t="s">
        <v>4466</v>
      </c>
      <c r="C4464" s="2">
        <v>498.59</v>
      </c>
      <c r="D4464" s="2" t="s">
        <v>5</v>
      </c>
    </row>
    <row r="4465" spans="1:4" ht="15" customHeight="1" x14ac:dyDescent="0.25">
      <c r="A4465" s="2" t="str">
        <f>"05021000505"</f>
        <v>05021000505</v>
      </c>
      <c r="B4465" s="2" t="s">
        <v>4467</v>
      </c>
      <c r="C4465" s="2">
        <v>206.84</v>
      </c>
      <c r="D4465" s="2" t="s">
        <v>5</v>
      </c>
    </row>
    <row r="4466" spans="1:4" ht="15" customHeight="1" x14ac:dyDescent="0.25">
      <c r="A4466" s="2" t="str">
        <f>"05021000503"</f>
        <v>05021000503</v>
      </c>
      <c r="B4466" s="2" t="s">
        <v>4468</v>
      </c>
      <c r="C4466" s="2">
        <v>176.66</v>
      </c>
      <c r="D4466" s="2" t="s">
        <v>5</v>
      </c>
    </row>
    <row r="4467" spans="1:4" ht="15" customHeight="1" x14ac:dyDescent="0.25">
      <c r="A4467" s="2" t="str">
        <f>"01011000277"</f>
        <v>01011000277</v>
      </c>
      <c r="B4467" s="2" t="s">
        <v>4469</v>
      </c>
      <c r="C4467" s="2">
        <v>507.29</v>
      </c>
      <c r="D4467" s="2" t="s">
        <v>5</v>
      </c>
    </row>
    <row r="4468" spans="1:4" ht="15" customHeight="1" x14ac:dyDescent="0.25">
      <c r="A4468" s="2" t="str">
        <f>"01011000270"</f>
        <v>01011000270</v>
      </c>
      <c r="B4468" s="2" t="s">
        <v>4470</v>
      </c>
      <c r="C4468" s="2">
        <v>284.51</v>
      </c>
      <c r="D4468" s="2" t="s">
        <v>5</v>
      </c>
    </row>
    <row r="4469" spans="1:4" ht="15" customHeight="1" x14ac:dyDescent="0.25">
      <c r="A4469" s="2" t="str">
        <f>"01011000265"</f>
        <v>01011000265</v>
      </c>
      <c r="B4469" s="2" t="s">
        <v>4471</v>
      </c>
      <c r="C4469" s="2">
        <v>185.82</v>
      </c>
      <c r="D4469" s="2" t="s">
        <v>5</v>
      </c>
    </row>
    <row r="4470" spans="1:4" ht="15" customHeight="1" x14ac:dyDescent="0.25">
      <c r="A4470" s="2" t="str">
        <f>"01011000275"</f>
        <v>01011000275</v>
      </c>
      <c r="B4470" s="2" t="s">
        <v>4472</v>
      </c>
      <c r="C4470" s="2">
        <v>520.79</v>
      </c>
      <c r="D4470" s="2" t="s">
        <v>5</v>
      </c>
    </row>
    <row r="4471" spans="1:4" ht="15" customHeight="1" x14ac:dyDescent="0.25">
      <c r="A4471" s="2" t="str">
        <f>"01011000255"</f>
        <v>01011000255</v>
      </c>
      <c r="B4471" s="2" t="s">
        <v>4473</v>
      </c>
      <c r="C4471" s="2">
        <v>172.95</v>
      </c>
      <c r="D4471" s="2" t="s">
        <v>5</v>
      </c>
    </row>
    <row r="4472" spans="1:4" ht="15" customHeight="1" x14ac:dyDescent="0.25">
      <c r="A4472" s="2" t="str">
        <f>"01011000260"</f>
        <v>01011000260</v>
      </c>
      <c r="B4472" s="2" t="s">
        <v>4474</v>
      </c>
      <c r="C4472" s="2">
        <v>185.82</v>
      </c>
      <c r="D4472" s="2" t="s">
        <v>5</v>
      </c>
    </row>
    <row r="4473" spans="1:4" ht="15" customHeight="1" x14ac:dyDescent="0.25">
      <c r="A4473" s="2" t="str">
        <f>"05021000051"</f>
        <v>05021000051</v>
      </c>
      <c r="B4473" s="2" t="s">
        <v>4475</v>
      </c>
      <c r="C4473" s="2">
        <v>152.96</v>
      </c>
      <c r="D4473" s="2" t="s">
        <v>5</v>
      </c>
    </row>
    <row r="4474" spans="1:4" ht="15" customHeight="1" x14ac:dyDescent="0.25">
      <c r="A4474" s="2" t="str">
        <f>"05021000052"</f>
        <v>05021000052</v>
      </c>
      <c r="B4474" s="2" t="s">
        <v>4476</v>
      </c>
      <c r="C4474" s="2">
        <v>152.96</v>
      </c>
      <c r="D4474" s="2" t="s">
        <v>5</v>
      </c>
    </row>
    <row r="4475" spans="1:4" ht="15" customHeight="1" x14ac:dyDescent="0.25">
      <c r="A4475" s="2" t="str">
        <f>"05015000046"</f>
        <v>05015000046</v>
      </c>
      <c r="B4475" s="2" t="s">
        <v>4477</v>
      </c>
      <c r="C4475" s="2">
        <v>139.97</v>
      </c>
      <c r="D4475" s="2" t="s">
        <v>5</v>
      </c>
    </row>
    <row r="4476" spans="1:4" ht="15" customHeight="1" x14ac:dyDescent="0.25">
      <c r="A4476" s="2" t="str">
        <f>"05015000187"</f>
        <v>05015000187</v>
      </c>
      <c r="B4476" s="2" t="s">
        <v>4478</v>
      </c>
      <c r="C4476" s="2">
        <v>139.97</v>
      </c>
      <c r="D4476" s="2" t="s">
        <v>5</v>
      </c>
    </row>
    <row r="4477" spans="1:4" ht="15" customHeight="1" x14ac:dyDescent="0.25">
      <c r="A4477" s="2" t="str">
        <f>"05015000189"</f>
        <v>05015000189</v>
      </c>
      <c r="B4477" s="2" t="s">
        <v>4479</v>
      </c>
      <c r="C4477" s="2">
        <v>92.15</v>
      </c>
      <c r="D4477" s="2"/>
    </row>
    <row r="4478" spans="1:4" ht="15" customHeight="1" x14ac:dyDescent="0.25">
      <c r="A4478" s="2" t="str">
        <f>"05015000542"</f>
        <v>05015000542</v>
      </c>
      <c r="B4478" s="2" t="s">
        <v>4480</v>
      </c>
      <c r="C4478" s="2">
        <v>101.48</v>
      </c>
      <c r="D4478" s="2"/>
    </row>
    <row r="4479" spans="1:4" ht="15" customHeight="1" x14ac:dyDescent="0.25">
      <c r="A4479" s="2" t="str">
        <f>"05015000188"</f>
        <v>05015000188</v>
      </c>
      <c r="B4479" s="2" t="s">
        <v>4481</v>
      </c>
      <c r="C4479" s="2">
        <v>92.15</v>
      </c>
      <c r="D4479" s="2" t="s">
        <v>5</v>
      </c>
    </row>
    <row r="4480" spans="1:4" ht="15" customHeight="1" x14ac:dyDescent="0.25">
      <c r="A4480" s="2" t="str">
        <f>"01011000295"</f>
        <v>01011000295</v>
      </c>
      <c r="B4480" s="2" t="s">
        <v>4482</v>
      </c>
      <c r="C4480" s="2">
        <v>361.65</v>
      </c>
      <c r="D4480" s="2" t="s">
        <v>5</v>
      </c>
    </row>
    <row r="4481" spans="1:4" ht="15" customHeight="1" x14ac:dyDescent="0.25">
      <c r="A4481" s="2" t="str">
        <f>"01011000290"</f>
        <v>01011000290</v>
      </c>
      <c r="B4481" s="2" t="s">
        <v>4483</v>
      </c>
      <c r="C4481" s="2">
        <v>361.65</v>
      </c>
      <c r="D4481" s="2" t="s">
        <v>5</v>
      </c>
    </row>
    <row r="4482" spans="1:4" ht="15" customHeight="1" x14ac:dyDescent="0.25">
      <c r="A4482" s="2" t="str">
        <f>"01011000026"</f>
        <v>01011000026</v>
      </c>
      <c r="B4482" s="2" t="s">
        <v>4484</v>
      </c>
      <c r="C4482" s="2">
        <v>552.41999999999996</v>
      </c>
      <c r="D4482" s="2" t="s">
        <v>5</v>
      </c>
    </row>
    <row r="4483" spans="1:4" ht="15" customHeight="1" x14ac:dyDescent="0.25">
      <c r="A4483" s="2" t="str">
        <f>"01011000280"</f>
        <v>01011000280</v>
      </c>
      <c r="B4483" s="2" t="s">
        <v>4485</v>
      </c>
      <c r="C4483" s="2">
        <v>331.44</v>
      </c>
      <c r="D4483" s="2" t="s">
        <v>5</v>
      </c>
    </row>
    <row r="4484" spans="1:4" ht="15" customHeight="1" x14ac:dyDescent="0.25">
      <c r="A4484" s="2" t="str">
        <f>"01011000285"</f>
        <v>01011000285</v>
      </c>
      <c r="B4484" s="2" t="s">
        <v>4486</v>
      </c>
      <c r="C4484" s="2">
        <v>361.65</v>
      </c>
      <c r="D4484" s="2" t="s">
        <v>5</v>
      </c>
    </row>
    <row r="4485" spans="1:4" ht="15" customHeight="1" x14ac:dyDescent="0.25">
      <c r="A4485" s="2" t="str">
        <f>"01011000297"</f>
        <v>01011000297</v>
      </c>
      <c r="B4485" s="2" t="s">
        <v>4487</v>
      </c>
      <c r="C4485" s="2">
        <v>73.86</v>
      </c>
      <c r="D4485" s="2" t="s">
        <v>5</v>
      </c>
    </row>
    <row r="4486" spans="1:4" ht="15" customHeight="1" x14ac:dyDescent="0.25">
      <c r="A4486" s="2" t="str">
        <f>"03050000322"</f>
        <v>03050000322</v>
      </c>
      <c r="B4486" s="2" t="s">
        <v>4488</v>
      </c>
      <c r="C4486" s="2">
        <v>126.23</v>
      </c>
      <c r="D4486" s="2" t="s">
        <v>5</v>
      </c>
    </row>
    <row r="4487" spans="1:4" ht="15" customHeight="1" x14ac:dyDescent="0.25">
      <c r="A4487" s="2" t="str">
        <f>"03050000323"</f>
        <v>03050000323</v>
      </c>
      <c r="B4487" s="2" t="s">
        <v>4489</v>
      </c>
      <c r="C4487" s="2">
        <v>116.51</v>
      </c>
      <c r="D4487" s="2" t="s">
        <v>5</v>
      </c>
    </row>
    <row r="4488" spans="1:4" ht="15" customHeight="1" x14ac:dyDescent="0.25">
      <c r="A4488" s="2" t="str">
        <f>"03050000324"</f>
        <v>03050000324</v>
      </c>
      <c r="B4488" s="2" t="s">
        <v>4490</v>
      </c>
      <c r="C4488" s="2">
        <v>98.87</v>
      </c>
      <c r="D4488" s="2" t="s">
        <v>5</v>
      </c>
    </row>
    <row r="4489" spans="1:4" ht="15" customHeight="1" x14ac:dyDescent="0.25">
      <c r="A4489" s="2" t="str">
        <f>"03061000030"</f>
        <v>03061000030</v>
      </c>
      <c r="B4489" s="2" t="s">
        <v>4491</v>
      </c>
      <c r="C4489" s="2">
        <v>935.96</v>
      </c>
      <c r="D4489" s="2" t="s">
        <v>5</v>
      </c>
    </row>
    <row r="4490" spans="1:4" ht="15" customHeight="1" x14ac:dyDescent="0.25">
      <c r="A4490" s="2" t="str">
        <f>"03061000040"</f>
        <v>03061000040</v>
      </c>
      <c r="B4490" s="2" t="s">
        <v>4492</v>
      </c>
      <c r="C4490" s="2">
        <v>1564.5</v>
      </c>
      <c r="D4490" s="2" t="s">
        <v>5</v>
      </c>
    </row>
    <row r="4491" spans="1:4" ht="15" customHeight="1" x14ac:dyDescent="0.25">
      <c r="A4491" s="2" t="str">
        <f>"01013000015"</f>
        <v>01013000015</v>
      </c>
      <c r="B4491" s="2" t="s">
        <v>4493</v>
      </c>
      <c r="C4491" s="2">
        <v>3.75</v>
      </c>
      <c r="D4491" s="2" t="s">
        <v>107</v>
      </c>
    </row>
    <row r="4492" spans="1:4" ht="15" customHeight="1" x14ac:dyDescent="0.25">
      <c r="A4492" s="2" t="str">
        <f>"01013000035"</f>
        <v>01013000035</v>
      </c>
      <c r="B4492" s="2" t="s">
        <v>4494</v>
      </c>
      <c r="C4492" s="2">
        <v>3324.08</v>
      </c>
      <c r="D4492" s="2" t="s">
        <v>5</v>
      </c>
    </row>
    <row r="4493" spans="1:4" ht="15" customHeight="1" x14ac:dyDescent="0.25">
      <c r="A4493" s="2" t="str">
        <f>"01013000032"</f>
        <v>01013000032</v>
      </c>
      <c r="B4493" s="2" t="s">
        <v>4495</v>
      </c>
      <c r="C4493" s="2">
        <v>3983.82</v>
      </c>
      <c r="D4493" s="2" t="s">
        <v>5</v>
      </c>
    </row>
    <row r="4494" spans="1:4" ht="15" customHeight="1" x14ac:dyDescent="0.25">
      <c r="A4494" s="2" t="str">
        <f>"01013000025"</f>
        <v>01013000025</v>
      </c>
      <c r="B4494" s="2" t="s">
        <v>4496</v>
      </c>
      <c r="C4494" s="2">
        <v>3.48</v>
      </c>
      <c r="D4494" s="2" t="s">
        <v>107</v>
      </c>
    </row>
    <row r="4495" spans="1:4" ht="15" customHeight="1" x14ac:dyDescent="0.25">
      <c r="A4495" s="2" t="str">
        <f>"01013000020"</f>
        <v>01013000020</v>
      </c>
      <c r="B4495" s="2" t="s">
        <v>4497</v>
      </c>
      <c r="C4495" s="2">
        <v>3.53</v>
      </c>
      <c r="D4495" s="2" t="s">
        <v>107</v>
      </c>
    </row>
    <row r="4496" spans="1:4" ht="15" customHeight="1" x14ac:dyDescent="0.25">
      <c r="A4496" s="2" t="str">
        <f>"03032000160"</f>
        <v>03032000160</v>
      </c>
      <c r="B4496" s="2" t="s">
        <v>4498</v>
      </c>
      <c r="C4496" s="2">
        <v>522.04999999999995</v>
      </c>
      <c r="D4496" s="2" t="s">
        <v>5</v>
      </c>
    </row>
    <row r="4497" spans="1:4" ht="15" customHeight="1" x14ac:dyDescent="0.25">
      <c r="A4497" s="2" t="str">
        <f>"03061000050"</f>
        <v>03061000050</v>
      </c>
      <c r="B4497" s="2" t="s">
        <v>4499</v>
      </c>
      <c r="C4497" s="2">
        <v>2072.04</v>
      </c>
      <c r="D4497" s="2" t="s">
        <v>5</v>
      </c>
    </row>
    <row r="4498" spans="1:4" ht="15" customHeight="1" x14ac:dyDescent="0.25">
      <c r="A4498" s="2" t="str">
        <f>"03061000008"</f>
        <v>03061000008</v>
      </c>
      <c r="B4498" s="2" t="s">
        <v>4500</v>
      </c>
      <c r="C4498" s="2">
        <v>1912.2</v>
      </c>
      <c r="D4498" s="2" t="s">
        <v>5</v>
      </c>
    </row>
    <row r="4499" spans="1:4" ht="15" customHeight="1" x14ac:dyDescent="0.25">
      <c r="A4499" s="2" t="str">
        <f>"03061000010"</f>
        <v>03061000010</v>
      </c>
      <c r="B4499" s="2" t="s">
        <v>4501</v>
      </c>
      <c r="C4499" s="2">
        <v>1714.58</v>
      </c>
      <c r="D4499" s="2" t="s">
        <v>5</v>
      </c>
    </row>
    <row r="4500" spans="1:4" ht="15" customHeight="1" x14ac:dyDescent="0.25">
      <c r="A4500" s="2" t="str">
        <f>"03061000005"</f>
        <v>03061000005</v>
      </c>
      <c r="B4500" s="2" t="s">
        <v>4502</v>
      </c>
      <c r="C4500" s="2">
        <v>1852.55</v>
      </c>
      <c r="D4500" s="2" t="s">
        <v>5</v>
      </c>
    </row>
    <row r="4501" spans="1:4" ht="15" customHeight="1" x14ac:dyDescent="0.25">
      <c r="A4501" s="2" t="str">
        <f>"03061000021"</f>
        <v>03061000021</v>
      </c>
      <c r="B4501" s="2" t="s">
        <v>4503</v>
      </c>
      <c r="C4501" s="2">
        <v>2951.61</v>
      </c>
      <c r="D4501" s="2" t="s">
        <v>5</v>
      </c>
    </row>
    <row r="4502" spans="1:4" ht="15" customHeight="1" x14ac:dyDescent="0.25">
      <c r="A4502" s="2" t="str">
        <f>"03061000020"</f>
        <v>03061000020</v>
      </c>
      <c r="B4502" s="2" t="s">
        <v>4504</v>
      </c>
      <c r="C4502" s="2">
        <v>2402.48</v>
      </c>
      <c r="D4502" s="2" t="s">
        <v>5</v>
      </c>
    </row>
    <row r="4503" spans="1:4" ht="15" customHeight="1" x14ac:dyDescent="0.25">
      <c r="A4503" s="2" t="str">
        <f>"03061000025"</f>
        <v>03061000025</v>
      </c>
      <c r="B4503" s="2" t="s">
        <v>4505</v>
      </c>
      <c r="C4503" s="2">
        <v>4256.21</v>
      </c>
      <c r="D4503" s="2" t="s">
        <v>5</v>
      </c>
    </row>
    <row r="4504" spans="1:4" ht="15" customHeight="1" x14ac:dyDescent="0.25">
      <c r="A4504" s="2" t="str">
        <f>"03061000015"</f>
        <v>03061000015</v>
      </c>
      <c r="B4504" s="2" t="s">
        <v>4506</v>
      </c>
      <c r="C4504" s="2">
        <v>2552.37</v>
      </c>
      <c r="D4504" s="2" t="s">
        <v>5</v>
      </c>
    </row>
    <row r="4505" spans="1:4" ht="15" customHeight="1" x14ac:dyDescent="0.25">
      <c r="A4505" s="2" t="str">
        <f>"03061000022"</f>
        <v>03061000022</v>
      </c>
      <c r="B4505" s="2" t="s">
        <v>4507</v>
      </c>
      <c r="C4505" s="2">
        <v>4138.5200000000004</v>
      </c>
      <c r="D4505" s="2" t="s">
        <v>5</v>
      </c>
    </row>
    <row r="4506" spans="1:4" ht="15" customHeight="1" x14ac:dyDescent="0.25">
      <c r="A4506" s="2" t="str">
        <f>"03010000395"</f>
        <v>03010000395</v>
      </c>
      <c r="B4506" s="2" t="s">
        <v>4508</v>
      </c>
      <c r="C4506" s="2">
        <v>6999.17</v>
      </c>
      <c r="D4506" s="2" t="s">
        <v>5</v>
      </c>
    </row>
    <row r="4507" spans="1:4" ht="15" customHeight="1" x14ac:dyDescent="0.25">
      <c r="A4507" s="2" t="str">
        <f>"03010000155"</f>
        <v>03010000155</v>
      </c>
      <c r="B4507" s="2" t="s">
        <v>4509</v>
      </c>
      <c r="C4507" s="2">
        <v>1466.64</v>
      </c>
      <c r="D4507" s="2" t="s">
        <v>5</v>
      </c>
    </row>
    <row r="4508" spans="1:4" ht="15" customHeight="1" x14ac:dyDescent="0.25">
      <c r="A4508" s="2" t="str">
        <f>"01014000040"</f>
        <v>01014000040</v>
      </c>
      <c r="B4508" s="2" t="s">
        <v>4510</v>
      </c>
      <c r="C4508" s="2">
        <v>39.770000000000003</v>
      </c>
      <c r="D4508" s="2" t="s">
        <v>107</v>
      </c>
    </row>
    <row r="4509" spans="1:4" ht="15" customHeight="1" x14ac:dyDescent="0.25">
      <c r="A4509" s="2" t="str">
        <f>"01014000035"</f>
        <v>01014000035</v>
      </c>
      <c r="B4509" s="2" t="s">
        <v>4511</v>
      </c>
      <c r="C4509" s="2">
        <v>25.64</v>
      </c>
      <c r="D4509" s="2" t="s">
        <v>107</v>
      </c>
    </row>
    <row r="4510" spans="1:4" ht="15" customHeight="1" x14ac:dyDescent="0.25">
      <c r="A4510" s="2" t="str">
        <f>"01014000032"</f>
        <v>01014000032</v>
      </c>
      <c r="B4510" s="2" t="s">
        <v>4512</v>
      </c>
      <c r="C4510" s="2">
        <v>25.64</v>
      </c>
      <c r="D4510" s="2" t="s">
        <v>107</v>
      </c>
    </row>
    <row r="4511" spans="1:4" ht="15" customHeight="1" x14ac:dyDescent="0.25">
      <c r="A4511" s="2" t="str">
        <f>"01014000020"</f>
        <v>01014000020</v>
      </c>
      <c r="B4511" s="2" t="s">
        <v>4513</v>
      </c>
      <c r="C4511" s="2">
        <v>44.19</v>
      </c>
      <c r="D4511" s="2" t="s">
        <v>107</v>
      </c>
    </row>
    <row r="4512" spans="1:4" ht="15" customHeight="1" x14ac:dyDescent="0.25">
      <c r="A4512" s="2" t="str">
        <f>"01014000005"</f>
        <v>01014000005</v>
      </c>
      <c r="B4512" s="2" t="s">
        <v>4514</v>
      </c>
      <c r="C4512" s="2">
        <v>35.880000000000003</v>
      </c>
      <c r="D4512" s="2" t="s">
        <v>107</v>
      </c>
    </row>
    <row r="4513" spans="1:4" ht="15" customHeight="1" x14ac:dyDescent="0.25">
      <c r="A4513" s="2" t="str">
        <f>"01014000033"</f>
        <v>01014000033</v>
      </c>
      <c r="B4513" s="2" t="s">
        <v>4515</v>
      </c>
      <c r="C4513" s="2">
        <v>25.64</v>
      </c>
      <c r="D4513" s="2" t="s">
        <v>107</v>
      </c>
    </row>
    <row r="4514" spans="1:4" ht="15" customHeight="1" x14ac:dyDescent="0.25">
      <c r="A4514" s="2" t="str">
        <f>"01014000030"</f>
        <v>01014000030</v>
      </c>
      <c r="B4514" s="2" t="s">
        <v>4516</v>
      </c>
      <c r="C4514" s="2">
        <v>25.64</v>
      </c>
      <c r="D4514" s="2" t="s">
        <v>107</v>
      </c>
    </row>
    <row r="4515" spans="1:4" ht="15" customHeight="1" x14ac:dyDescent="0.25">
      <c r="A4515" s="2" t="str">
        <f>"01014000025"</f>
        <v>01014000025</v>
      </c>
      <c r="B4515" s="2" t="s">
        <v>4517</v>
      </c>
      <c r="C4515" s="2">
        <v>25.64</v>
      </c>
      <c r="D4515" s="2" t="s">
        <v>107</v>
      </c>
    </row>
    <row r="4516" spans="1:4" ht="15" customHeight="1" x14ac:dyDescent="0.25">
      <c r="A4516" s="2" t="str">
        <f>"01014000010"</f>
        <v>01014000010</v>
      </c>
      <c r="B4516" s="2" t="s">
        <v>4518</v>
      </c>
      <c r="C4516" s="2">
        <v>41.1</v>
      </c>
      <c r="D4516" s="2" t="s">
        <v>107</v>
      </c>
    </row>
    <row r="4517" spans="1:4" ht="15" customHeight="1" x14ac:dyDescent="0.25">
      <c r="A4517" s="2" t="str">
        <f>"01014000042"</f>
        <v>01014000042</v>
      </c>
      <c r="B4517" s="2" t="s">
        <v>4519</v>
      </c>
      <c r="C4517" s="2">
        <v>35.880000000000003</v>
      </c>
      <c r="D4517" s="2" t="s">
        <v>107</v>
      </c>
    </row>
    <row r="4518" spans="1:4" ht="15" customHeight="1" x14ac:dyDescent="0.25">
      <c r="A4518" s="2" t="str">
        <f>"01014000015"</f>
        <v>01014000015</v>
      </c>
      <c r="B4518" s="2" t="s">
        <v>4520</v>
      </c>
      <c r="C4518" s="2">
        <v>35.880000000000003</v>
      </c>
      <c r="D4518" s="2" t="s">
        <v>107</v>
      </c>
    </row>
    <row r="4519" spans="1:4" ht="15" customHeight="1" x14ac:dyDescent="0.25">
      <c r="A4519" s="2" t="str">
        <f>"03025000120"</f>
        <v>03025000120</v>
      </c>
      <c r="B4519" s="2" t="s">
        <v>4521</v>
      </c>
      <c r="C4519" s="2">
        <v>34875.360000000001</v>
      </c>
      <c r="D4519" s="2" t="s">
        <v>5</v>
      </c>
    </row>
    <row r="4520" spans="1:4" ht="15" customHeight="1" x14ac:dyDescent="0.25">
      <c r="A4520" s="2" t="str">
        <f>"03025000125"</f>
        <v>03025000125</v>
      </c>
      <c r="B4520" s="2" t="s">
        <v>4522</v>
      </c>
      <c r="C4520" s="2">
        <v>39407.480000000003</v>
      </c>
      <c r="D4520" s="2" t="s">
        <v>5</v>
      </c>
    </row>
    <row r="4521" spans="1:4" ht="15" customHeight="1" x14ac:dyDescent="0.25">
      <c r="A4521" s="2" t="str">
        <f>"04010000305"</f>
        <v>04010000305</v>
      </c>
      <c r="B4521" s="2" t="s">
        <v>4523</v>
      </c>
      <c r="C4521" s="2">
        <v>1623.17</v>
      </c>
      <c r="D4521" s="2" t="s">
        <v>5</v>
      </c>
    </row>
    <row r="4522" spans="1:4" ht="15" customHeight="1" x14ac:dyDescent="0.25">
      <c r="A4522" s="2" t="str">
        <f>"04010000310"</f>
        <v>04010000310</v>
      </c>
      <c r="B4522" s="2" t="s">
        <v>4524</v>
      </c>
      <c r="C4522" s="2">
        <v>1478.36</v>
      </c>
      <c r="D4522" s="2" t="s">
        <v>5</v>
      </c>
    </row>
    <row r="4523" spans="1:4" ht="15" customHeight="1" x14ac:dyDescent="0.25">
      <c r="A4523" s="2" t="str">
        <f>"03042000257"</f>
        <v>03042000257</v>
      </c>
      <c r="B4523" s="2" t="s">
        <v>4525</v>
      </c>
      <c r="C4523" s="2">
        <v>6521.3</v>
      </c>
      <c r="D4523" s="2" t="s">
        <v>5</v>
      </c>
    </row>
    <row r="4524" spans="1:4" ht="15" customHeight="1" x14ac:dyDescent="0.25">
      <c r="A4524" s="2" t="str">
        <f>"06010000070"</f>
        <v>06010000070</v>
      </c>
      <c r="B4524" s="2" t="s">
        <v>4526</v>
      </c>
      <c r="C4524" s="2">
        <v>2137.38</v>
      </c>
      <c r="D4524" s="2" t="s">
        <v>5</v>
      </c>
    </row>
    <row r="4525" spans="1:4" ht="15" customHeight="1" x14ac:dyDescent="0.25">
      <c r="A4525" s="2" t="str">
        <f>"06010000075"</f>
        <v>06010000075</v>
      </c>
      <c r="B4525" s="2" t="s">
        <v>4527</v>
      </c>
      <c r="C4525" s="2">
        <v>3130.19</v>
      </c>
      <c r="D4525" s="2" t="s">
        <v>5</v>
      </c>
    </row>
    <row r="4526" spans="1:4" ht="15" customHeight="1" x14ac:dyDescent="0.25">
      <c r="A4526" s="2" t="str">
        <f>"03018001040"</f>
        <v>03018001040</v>
      </c>
      <c r="B4526" s="2" t="s">
        <v>4528</v>
      </c>
      <c r="C4526" s="2">
        <v>647.05999999999995</v>
      </c>
      <c r="D4526" s="2" t="s">
        <v>5</v>
      </c>
    </row>
    <row r="4527" spans="1:4" ht="15" customHeight="1" x14ac:dyDescent="0.25">
      <c r="A4527" s="2" t="str">
        <f>"03018001045"</f>
        <v>03018001045</v>
      </c>
      <c r="B4527" s="2" t="s">
        <v>4529</v>
      </c>
      <c r="C4527" s="2">
        <v>888.11</v>
      </c>
      <c r="D4527" s="2" t="s">
        <v>5</v>
      </c>
    </row>
    <row r="4528" spans="1:4" ht="15" customHeight="1" x14ac:dyDescent="0.25">
      <c r="A4528" s="2" t="str">
        <f>"03018003010"</f>
        <v>03018003010</v>
      </c>
      <c r="B4528" s="2" t="s">
        <v>4530</v>
      </c>
      <c r="C4528" s="2">
        <v>2943.45</v>
      </c>
      <c r="D4528" s="2" t="s">
        <v>5</v>
      </c>
    </row>
    <row r="4529" spans="1:4" ht="15" customHeight="1" x14ac:dyDescent="0.25">
      <c r="A4529" s="2" t="str">
        <f>"03018003015"</f>
        <v>03018003015</v>
      </c>
      <c r="B4529" s="2" t="s">
        <v>4531</v>
      </c>
      <c r="C4529" s="2">
        <v>4059.95</v>
      </c>
      <c r="D4529" s="2" t="s">
        <v>5</v>
      </c>
    </row>
    <row r="4530" spans="1:4" ht="15" customHeight="1" x14ac:dyDescent="0.25">
      <c r="A4530" s="2" t="str">
        <f>"03018003020"</f>
        <v>03018003020</v>
      </c>
      <c r="B4530" s="2" t="s">
        <v>4532</v>
      </c>
      <c r="C4530" s="2">
        <v>6813.11</v>
      </c>
      <c r="D4530" s="2" t="s">
        <v>5</v>
      </c>
    </row>
    <row r="4531" spans="1:4" ht="15" customHeight="1" x14ac:dyDescent="0.25">
      <c r="A4531" s="2" t="str">
        <f>"03038000856"</f>
        <v>03038000856</v>
      </c>
      <c r="B4531" s="2" t="s">
        <v>4533</v>
      </c>
      <c r="C4531" s="2">
        <v>3007.92</v>
      </c>
      <c r="D4531" s="2" t="s">
        <v>5</v>
      </c>
    </row>
    <row r="4532" spans="1:4" ht="15" customHeight="1" x14ac:dyDescent="0.25">
      <c r="A4532" s="2" t="str">
        <f>"01014000050"</f>
        <v>01014000050</v>
      </c>
      <c r="B4532" s="2" t="s">
        <v>4534</v>
      </c>
      <c r="C4532" s="2">
        <v>25.79</v>
      </c>
      <c r="D4532" s="2" t="s">
        <v>107</v>
      </c>
    </row>
    <row r="4533" spans="1:4" ht="15" customHeight="1" x14ac:dyDescent="0.25">
      <c r="A4533" s="2" t="str">
        <f>"01014000057"</f>
        <v>01014000057</v>
      </c>
      <c r="B4533" s="2" t="s">
        <v>4535</v>
      </c>
      <c r="C4533" s="2">
        <v>29.67</v>
      </c>
      <c r="D4533" s="2" t="s">
        <v>107</v>
      </c>
    </row>
    <row r="4534" spans="1:4" ht="15" customHeight="1" x14ac:dyDescent="0.25">
      <c r="A4534" s="2" t="str">
        <f>"01014000055"</f>
        <v>01014000055</v>
      </c>
      <c r="B4534" s="2" t="s">
        <v>4536</v>
      </c>
      <c r="C4534" s="2">
        <v>25.79</v>
      </c>
      <c r="D4534" s="2" t="s">
        <v>107</v>
      </c>
    </row>
    <row r="4535" spans="1:4" ht="15" customHeight="1" x14ac:dyDescent="0.25">
      <c r="A4535" s="2" t="str">
        <f>"01014000056"</f>
        <v>01014000056</v>
      </c>
      <c r="B4535" s="2" t="s">
        <v>4537</v>
      </c>
      <c r="C4535" s="2">
        <v>29.67</v>
      </c>
      <c r="D4535" s="2" t="s">
        <v>107</v>
      </c>
    </row>
    <row r="4536" spans="1:4" ht="15" customHeight="1" x14ac:dyDescent="0.25">
      <c r="A4536" s="2" t="str">
        <f>"01014000043"</f>
        <v>01014000043</v>
      </c>
      <c r="B4536" s="2" t="s">
        <v>4538</v>
      </c>
      <c r="C4536" s="2">
        <v>23.67</v>
      </c>
      <c r="D4536" s="2" t="s">
        <v>107</v>
      </c>
    </row>
    <row r="4537" spans="1:4" ht="15" customHeight="1" x14ac:dyDescent="0.25">
      <c r="A4537" s="2" t="str">
        <f>"01014000047"</f>
        <v>01014000047</v>
      </c>
      <c r="B4537" s="2" t="s">
        <v>4539</v>
      </c>
      <c r="C4537" s="2">
        <v>30.72</v>
      </c>
      <c r="D4537" s="2" t="s">
        <v>107</v>
      </c>
    </row>
    <row r="4538" spans="1:4" ht="15" customHeight="1" x14ac:dyDescent="0.25">
      <c r="A4538" s="2" t="str">
        <f>"01014000045"</f>
        <v>01014000045</v>
      </c>
      <c r="B4538" s="2" t="s">
        <v>4540</v>
      </c>
      <c r="C4538" s="2">
        <v>23.67</v>
      </c>
      <c r="D4538" s="2" t="s">
        <v>107</v>
      </c>
    </row>
    <row r="4539" spans="1:4" ht="15" customHeight="1" x14ac:dyDescent="0.25">
      <c r="A4539" s="2" t="str">
        <f>"08500000085"</f>
        <v>08500000085</v>
      </c>
      <c r="B4539" s="2" t="s">
        <v>4541</v>
      </c>
      <c r="C4539" s="2">
        <v>32667.119999999999</v>
      </c>
      <c r="D4539" s="2" t="s">
        <v>5</v>
      </c>
    </row>
    <row r="4540" spans="1:4" ht="15" customHeight="1" x14ac:dyDescent="0.25">
      <c r="A4540" s="2" t="str">
        <f>"08500000080"</f>
        <v>08500000080</v>
      </c>
      <c r="B4540" s="2" t="s">
        <v>4542</v>
      </c>
      <c r="C4540" s="2">
        <v>20861.07</v>
      </c>
      <c r="D4540" s="2" t="s">
        <v>5</v>
      </c>
    </row>
    <row r="4541" spans="1:4" ht="15" customHeight="1" x14ac:dyDescent="0.25">
      <c r="A4541" s="2" t="str">
        <f>"08500000075"</f>
        <v>08500000075</v>
      </c>
      <c r="B4541" s="2" t="s">
        <v>4543</v>
      </c>
      <c r="C4541" s="2">
        <v>14097.44</v>
      </c>
      <c r="D4541" s="2" t="s">
        <v>5</v>
      </c>
    </row>
    <row r="4542" spans="1:4" ht="15" customHeight="1" x14ac:dyDescent="0.25">
      <c r="A4542" s="2" t="str">
        <f>"08500000065"</f>
        <v>08500000065</v>
      </c>
      <c r="B4542" s="2" t="s">
        <v>4544</v>
      </c>
      <c r="C4542" s="2">
        <v>6086.24</v>
      </c>
      <c r="D4542" s="2" t="s">
        <v>5</v>
      </c>
    </row>
    <row r="4543" spans="1:4" ht="15" customHeight="1" x14ac:dyDescent="0.25">
      <c r="A4543" s="2" t="str">
        <f>"08500000090"</f>
        <v>08500000090</v>
      </c>
      <c r="B4543" s="2" t="s">
        <v>4545</v>
      </c>
      <c r="C4543" s="2">
        <v>49454.720000000001</v>
      </c>
      <c r="D4543" s="2" t="s">
        <v>5</v>
      </c>
    </row>
    <row r="4544" spans="1:4" ht="15" customHeight="1" x14ac:dyDescent="0.25">
      <c r="A4544" s="2" t="str">
        <f>"08500000070"</f>
        <v>08500000070</v>
      </c>
      <c r="B4544" s="2" t="s">
        <v>4546</v>
      </c>
      <c r="C4544" s="2">
        <v>8530.3799999999992</v>
      </c>
      <c r="D4544" s="2" t="s">
        <v>5</v>
      </c>
    </row>
    <row r="4545" spans="1:4" ht="15" customHeight="1" x14ac:dyDescent="0.25">
      <c r="A4545" s="2" t="str">
        <f>"03018002000"</f>
        <v>03018002000</v>
      </c>
      <c r="B4545" s="2" t="s">
        <v>4547</v>
      </c>
      <c r="C4545" s="2">
        <v>4871.93</v>
      </c>
      <c r="D4545" s="2" t="s">
        <v>5</v>
      </c>
    </row>
    <row r="4546" spans="1:4" ht="15" customHeight="1" x14ac:dyDescent="0.25">
      <c r="A4546" s="2" t="str">
        <f>"03018002005"</f>
        <v>03018002005</v>
      </c>
      <c r="B4546" s="2" t="s">
        <v>4548</v>
      </c>
      <c r="C4546" s="2">
        <v>7079.54</v>
      </c>
      <c r="D4546" s="2" t="s">
        <v>5</v>
      </c>
    </row>
    <row r="4547" spans="1:4" ht="15" customHeight="1" x14ac:dyDescent="0.25">
      <c r="A4547" s="2" t="str">
        <f>"03018002010"</f>
        <v>03018002010</v>
      </c>
      <c r="B4547" s="2" t="s">
        <v>4549</v>
      </c>
      <c r="C4547" s="2">
        <v>11545.47</v>
      </c>
      <c r="D4547" s="2" t="s">
        <v>5</v>
      </c>
    </row>
    <row r="4548" spans="1:4" ht="15" customHeight="1" x14ac:dyDescent="0.25">
      <c r="A4548" s="2" t="str">
        <f>"03018002014"</f>
        <v>03018002014</v>
      </c>
      <c r="B4548" s="2" t="s">
        <v>4550</v>
      </c>
      <c r="C4548" s="2">
        <v>16353.96</v>
      </c>
      <c r="D4548" s="2" t="s">
        <v>5</v>
      </c>
    </row>
    <row r="4549" spans="1:4" ht="15" customHeight="1" x14ac:dyDescent="0.25">
      <c r="A4549" s="2" t="str">
        <f>"03018002015"</f>
        <v>03018002015</v>
      </c>
      <c r="B4549" s="2" t="s">
        <v>4551</v>
      </c>
      <c r="C4549" s="2">
        <v>25235.1</v>
      </c>
      <c r="D4549" s="2" t="s">
        <v>5</v>
      </c>
    </row>
    <row r="4550" spans="1:4" ht="15" customHeight="1" x14ac:dyDescent="0.25">
      <c r="A4550" s="2" t="str">
        <f>"03018002020"</f>
        <v>03018002020</v>
      </c>
      <c r="B4550" s="2" t="s">
        <v>4552</v>
      </c>
      <c r="C4550" s="2">
        <v>38670.99</v>
      </c>
      <c r="D4550" s="2" t="s">
        <v>5</v>
      </c>
    </row>
    <row r="4551" spans="1:4" ht="15" customHeight="1" x14ac:dyDescent="0.25">
      <c r="A4551" s="2" t="str">
        <f>"03018002022"</f>
        <v>03018002022</v>
      </c>
      <c r="B4551" s="2" t="s">
        <v>4553</v>
      </c>
      <c r="C4551" s="2">
        <v>95142.32</v>
      </c>
      <c r="D4551" s="2" t="s">
        <v>5</v>
      </c>
    </row>
    <row r="4552" spans="1:4" ht="15" customHeight="1" x14ac:dyDescent="0.25">
      <c r="A4552" s="2" t="str">
        <f>"03018002021"</f>
        <v>03018002021</v>
      </c>
      <c r="B4552" s="2" t="s">
        <v>4554</v>
      </c>
      <c r="C4552" s="2">
        <v>144635.60999999999</v>
      </c>
      <c r="D4552" s="2" t="s">
        <v>5</v>
      </c>
    </row>
    <row r="4553" spans="1:4" ht="15" customHeight="1" x14ac:dyDescent="0.25">
      <c r="A4553" s="2" t="str">
        <f>"08500000040"</f>
        <v>08500000040</v>
      </c>
      <c r="B4553" s="2" t="s">
        <v>4555</v>
      </c>
      <c r="C4553" s="2">
        <v>37199.64</v>
      </c>
      <c r="D4553" s="2" t="s">
        <v>5</v>
      </c>
    </row>
    <row r="4554" spans="1:4" ht="15" customHeight="1" x14ac:dyDescent="0.25">
      <c r="A4554" s="2" t="str">
        <f>"08500000035"</f>
        <v>08500000035</v>
      </c>
      <c r="B4554" s="2" t="s">
        <v>4556</v>
      </c>
      <c r="C4554" s="2">
        <v>23081.58</v>
      </c>
      <c r="D4554" s="2" t="s">
        <v>5</v>
      </c>
    </row>
    <row r="4555" spans="1:4" ht="15" customHeight="1" x14ac:dyDescent="0.25">
      <c r="A4555" s="2" t="str">
        <f>"08500000030"</f>
        <v>08500000030</v>
      </c>
      <c r="B4555" s="2" t="s">
        <v>4557</v>
      </c>
      <c r="C4555" s="2">
        <v>17095.43</v>
      </c>
      <c r="D4555" s="2" t="s">
        <v>5</v>
      </c>
    </row>
    <row r="4556" spans="1:4" ht="15" customHeight="1" x14ac:dyDescent="0.25">
      <c r="A4556" s="2" t="str">
        <f>"08500000020"</f>
        <v>08500000020</v>
      </c>
      <c r="B4556" s="2" t="s">
        <v>4558</v>
      </c>
      <c r="C4556" s="2">
        <v>7209</v>
      </c>
      <c r="D4556" s="2" t="s">
        <v>5</v>
      </c>
    </row>
    <row r="4557" spans="1:4" ht="15" customHeight="1" x14ac:dyDescent="0.25">
      <c r="A4557" s="2" t="str">
        <f>"08500000050"</f>
        <v>08500000050</v>
      </c>
      <c r="B4557" s="2" t="s">
        <v>4559</v>
      </c>
      <c r="C4557" s="2">
        <v>136761.62</v>
      </c>
      <c r="D4557" s="2" t="s">
        <v>5</v>
      </c>
    </row>
    <row r="4558" spans="1:4" ht="15" customHeight="1" x14ac:dyDescent="0.25">
      <c r="A4558" s="2" t="str">
        <f>"08500000045"</f>
        <v>08500000045</v>
      </c>
      <c r="B4558" s="2" t="s">
        <v>4560</v>
      </c>
      <c r="C4558" s="2">
        <v>55570.67</v>
      </c>
      <c r="D4558" s="2" t="s">
        <v>5</v>
      </c>
    </row>
    <row r="4559" spans="1:4" ht="15" customHeight="1" x14ac:dyDescent="0.25">
      <c r="A4559" s="2" t="str">
        <f>"08500000055"</f>
        <v>08500000055</v>
      </c>
      <c r="B4559" s="2" t="s">
        <v>4561</v>
      </c>
      <c r="C4559" s="2">
        <v>206247.77</v>
      </c>
      <c r="D4559" s="2" t="s">
        <v>5</v>
      </c>
    </row>
    <row r="4560" spans="1:4" ht="15" customHeight="1" x14ac:dyDescent="0.25">
      <c r="A4560" s="2" t="str">
        <f>"08500000025"</f>
        <v>08500000025</v>
      </c>
      <c r="B4560" s="2" t="s">
        <v>4562</v>
      </c>
      <c r="C4560" s="2">
        <v>10557.35</v>
      </c>
      <c r="D4560" s="2" t="s">
        <v>5</v>
      </c>
    </row>
    <row r="4561" spans="1:4" ht="15" customHeight="1" x14ac:dyDescent="0.25">
      <c r="A4561" s="2" t="str">
        <f>"08500000060"</f>
        <v>08500000060</v>
      </c>
      <c r="B4561" s="2" t="s">
        <v>4563</v>
      </c>
      <c r="C4561" s="2">
        <v>360815.03</v>
      </c>
      <c r="D4561" s="2" t="s">
        <v>5</v>
      </c>
    </row>
    <row r="4562" spans="1:4" ht="15" customHeight="1" x14ac:dyDescent="0.25">
      <c r="A4562" s="2" t="str">
        <f>"03018001000"</f>
        <v>03018001000</v>
      </c>
      <c r="B4562" s="2" t="s">
        <v>4564</v>
      </c>
      <c r="C4562" s="2">
        <v>888.11</v>
      </c>
      <c r="D4562" s="2" t="s">
        <v>5</v>
      </c>
    </row>
    <row r="4563" spans="1:4" ht="15" customHeight="1" x14ac:dyDescent="0.25">
      <c r="A4563" s="2" t="str">
        <f>"03018001005"</f>
        <v>03018001005</v>
      </c>
      <c r="B4563" s="2" t="s">
        <v>4565</v>
      </c>
      <c r="C4563" s="2">
        <v>1243.3699999999999</v>
      </c>
      <c r="D4563" s="2" t="s">
        <v>5</v>
      </c>
    </row>
    <row r="4564" spans="1:4" ht="15" customHeight="1" x14ac:dyDescent="0.25">
      <c r="A4564" s="2" t="str">
        <f>"03018001010"</f>
        <v>03018001010</v>
      </c>
      <c r="B4564" s="2" t="s">
        <v>4566</v>
      </c>
      <c r="C4564" s="2">
        <v>2144.16</v>
      </c>
      <c r="D4564" s="2" t="s">
        <v>5</v>
      </c>
    </row>
    <row r="4565" spans="1:4" ht="15" customHeight="1" x14ac:dyDescent="0.25">
      <c r="A4565" s="2" t="str">
        <f>"03018001015"</f>
        <v>03018001015</v>
      </c>
      <c r="B4565" s="2" t="s">
        <v>4567</v>
      </c>
      <c r="C4565" s="2">
        <v>4199.5200000000004</v>
      </c>
      <c r="D4565" s="2" t="s">
        <v>5</v>
      </c>
    </row>
    <row r="4566" spans="1:4" ht="15" customHeight="1" x14ac:dyDescent="0.25">
      <c r="A4566" s="2" t="str">
        <f>"03018001020"</f>
        <v>03018001020</v>
      </c>
      <c r="B4566" s="2" t="s">
        <v>4568</v>
      </c>
      <c r="C4566" s="2">
        <v>5493.62</v>
      </c>
      <c r="D4566" s="2" t="s">
        <v>5</v>
      </c>
    </row>
    <row r="4567" spans="1:4" ht="15" customHeight="1" x14ac:dyDescent="0.25">
      <c r="A4567" s="2" t="str">
        <f>"03018001025"</f>
        <v>03018001025</v>
      </c>
      <c r="B4567" s="2" t="s">
        <v>4569</v>
      </c>
      <c r="C4567" s="2">
        <v>8360.9599999999991</v>
      </c>
      <c r="D4567" s="2" t="s">
        <v>5</v>
      </c>
    </row>
    <row r="4568" spans="1:4" ht="15" customHeight="1" x14ac:dyDescent="0.25">
      <c r="A4568" s="2" t="str">
        <f>"03018001030"</f>
        <v>03018001030</v>
      </c>
      <c r="B4568" s="2" t="s">
        <v>4570</v>
      </c>
      <c r="C4568" s="2">
        <v>23979.06</v>
      </c>
      <c r="D4568" s="2" t="s">
        <v>5</v>
      </c>
    </row>
    <row r="4569" spans="1:4" ht="15" customHeight="1" x14ac:dyDescent="0.25">
      <c r="A4569" s="2" t="str">
        <f>"03018001032"</f>
        <v>03018001032</v>
      </c>
      <c r="B4569" s="2" t="s">
        <v>4571</v>
      </c>
      <c r="C4569" s="2">
        <v>33837.120000000003</v>
      </c>
      <c r="D4569" s="2" t="s">
        <v>5</v>
      </c>
    </row>
    <row r="4570" spans="1:4" ht="15" customHeight="1" x14ac:dyDescent="0.25">
      <c r="A4570" s="2" t="str">
        <f>"03018001034"</f>
        <v>03018001034</v>
      </c>
      <c r="B4570" s="2" t="s">
        <v>4572</v>
      </c>
      <c r="C4570" s="2">
        <v>80539.199999999997</v>
      </c>
      <c r="D4570" s="2" t="s">
        <v>5</v>
      </c>
    </row>
    <row r="4571" spans="1:4" ht="15" customHeight="1" x14ac:dyDescent="0.25">
      <c r="A4571" s="2" t="str">
        <f>"03025000140"</f>
        <v>03025000140</v>
      </c>
      <c r="B4571" s="2" t="s">
        <v>4573</v>
      </c>
      <c r="C4571" s="2">
        <v>186427.34</v>
      </c>
      <c r="D4571" s="2" t="s">
        <v>5</v>
      </c>
    </row>
    <row r="4572" spans="1:4" ht="15" customHeight="1" x14ac:dyDescent="0.25">
      <c r="A4572" s="2" t="str">
        <f>"03025000150"</f>
        <v>03025000150</v>
      </c>
      <c r="B4572" s="2" t="s">
        <v>4574</v>
      </c>
      <c r="C4572" s="2">
        <v>263769.14</v>
      </c>
      <c r="D4572" s="2" t="s">
        <v>5</v>
      </c>
    </row>
    <row r="4573" spans="1:4" ht="15" customHeight="1" x14ac:dyDescent="0.25">
      <c r="A4573" s="2" t="str">
        <f>"03025200252"</f>
        <v>03025200252</v>
      </c>
      <c r="B4573" s="2" t="s">
        <v>4575</v>
      </c>
      <c r="C4573" s="2">
        <v>4453.26</v>
      </c>
      <c r="D4573" s="2" t="s">
        <v>5</v>
      </c>
    </row>
    <row r="4574" spans="1:4" ht="15" customHeight="1" x14ac:dyDescent="0.25">
      <c r="A4574" s="2" t="str">
        <f>"03025200253"</f>
        <v>03025200253</v>
      </c>
      <c r="B4574" s="2" t="s">
        <v>4576</v>
      </c>
      <c r="C4574" s="2">
        <v>7257.15</v>
      </c>
      <c r="D4574" s="2" t="s">
        <v>5</v>
      </c>
    </row>
    <row r="4575" spans="1:4" ht="15" customHeight="1" x14ac:dyDescent="0.25">
      <c r="A4575" s="2" t="str">
        <f>"03025200254"</f>
        <v>03025200254</v>
      </c>
      <c r="B4575" s="2" t="s">
        <v>4577</v>
      </c>
      <c r="C4575" s="2">
        <v>8931.89</v>
      </c>
      <c r="D4575" s="2" t="s">
        <v>5</v>
      </c>
    </row>
    <row r="4576" spans="1:4" ht="15" customHeight="1" x14ac:dyDescent="0.25">
      <c r="A4576" s="2" t="str">
        <f>"03025200255"</f>
        <v>03025200255</v>
      </c>
      <c r="B4576" s="2" t="s">
        <v>4578</v>
      </c>
      <c r="C4576" s="2">
        <v>15123.29</v>
      </c>
      <c r="D4576" s="2" t="s">
        <v>5</v>
      </c>
    </row>
    <row r="4577" spans="1:4" ht="15" customHeight="1" x14ac:dyDescent="0.25">
      <c r="A4577" s="2" t="str">
        <f>"03025200256"</f>
        <v>03025200256</v>
      </c>
      <c r="B4577" s="2" t="s">
        <v>4579</v>
      </c>
      <c r="C4577" s="2">
        <v>21466.97</v>
      </c>
      <c r="D4577" s="2" t="s">
        <v>5</v>
      </c>
    </row>
    <row r="4578" spans="1:4" ht="15" customHeight="1" x14ac:dyDescent="0.25">
      <c r="A4578" s="2" t="str">
        <f>"03025200257"</f>
        <v>03025200257</v>
      </c>
      <c r="B4578" s="2" t="s">
        <v>4580</v>
      </c>
      <c r="C4578" s="2">
        <v>32568.39</v>
      </c>
      <c r="D4578" s="2" t="s">
        <v>5</v>
      </c>
    </row>
    <row r="4579" spans="1:4" ht="15" customHeight="1" x14ac:dyDescent="0.25">
      <c r="A4579" s="2" t="str">
        <f>"03025200260"</f>
        <v>03025200260</v>
      </c>
      <c r="B4579" s="2" t="s">
        <v>4581</v>
      </c>
      <c r="C4579" s="2">
        <v>152856.99</v>
      </c>
      <c r="D4579" s="2" t="s">
        <v>5</v>
      </c>
    </row>
    <row r="4580" spans="1:4" ht="15" customHeight="1" x14ac:dyDescent="0.25">
      <c r="A4580" s="2" t="str">
        <f>"03025200261"</f>
        <v>03025200261</v>
      </c>
      <c r="B4580" s="2" t="s">
        <v>4582</v>
      </c>
      <c r="C4580" s="2">
        <v>77.819999999999993</v>
      </c>
      <c r="D4580" s="2" t="s">
        <v>107</v>
      </c>
    </row>
    <row r="4581" spans="1:4" ht="15" customHeight="1" x14ac:dyDescent="0.25">
      <c r="A4581" s="2" t="str">
        <f>"03025200262"</f>
        <v>03025200262</v>
      </c>
      <c r="B4581" s="2" t="s">
        <v>4583</v>
      </c>
      <c r="C4581" s="2">
        <v>116.67</v>
      </c>
      <c r="D4581" s="2" t="s">
        <v>107</v>
      </c>
    </row>
    <row r="4582" spans="1:4" ht="15" customHeight="1" x14ac:dyDescent="0.25">
      <c r="A4582" s="2" t="str">
        <f>"05012000350"</f>
        <v>05012000350</v>
      </c>
      <c r="B4582" s="2" t="s">
        <v>4584</v>
      </c>
      <c r="C4582" s="2">
        <v>16396.669999999998</v>
      </c>
      <c r="D4582" s="2" t="s">
        <v>5</v>
      </c>
    </row>
    <row r="4583" spans="1:4" ht="15" customHeight="1" x14ac:dyDescent="0.25">
      <c r="A4583" s="2" t="str">
        <f>"05012000355"</f>
        <v>05012000355</v>
      </c>
      <c r="B4583" s="2" t="s">
        <v>4585</v>
      </c>
      <c r="C4583" s="2">
        <v>20300.72</v>
      </c>
      <c r="D4583" s="2" t="s">
        <v>5</v>
      </c>
    </row>
    <row r="4584" spans="1:4" ht="15" customHeight="1" x14ac:dyDescent="0.25">
      <c r="A4584" s="2" t="str">
        <f>"03010000265"</f>
        <v>03010000265</v>
      </c>
      <c r="B4584" s="2" t="s">
        <v>4586</v>
      </c>
      <c r="C4584" s="2">
        <v>165.8</v>
      </c>
      <c r="D4584" s="2" t="s">
        <v>5</v>
      </c>
    </row>
    <row r="4585" spans="1:4" ht="15" customHeight="1" x14ac:dyDescent="0.25">
      <c r="A4585" s="2" t="str">
        <f>"03047600005"</f>
        <v>03047600005</v>
      </c>
      <c r="B4585" s="2" t="s">
        <v>4587</v>
      </c>
      <c r="C4585" s="2">
        <v>283.22000000000003</v>
      </c>
      <c r="D4585" s="2" t="s">
        <v>5</v>
      </c>
    </row>
    <row r="4586" spans="1:4" ht="15" customHeight="1" x14ac:dyDescent="0.25">
      <c r="A4586" s="2" t="str">
        <f>"03047600050"</f>
        <v>03047600050</v>
      </c>
      <c r="B4586" s="2" t="s">
        <v>4588</v>
      </c>
      <c r="C4586" s="2">
        <v>495.63</v>
      </c>
      <c r="D4586" s="2" t="s">
        <v>5</v>
      </c>
    </row>
    <row r="4587" spans="1:4" ht="15" customHeight="1" x14ac:dyDescent="0.25">
      <c r="A4587" s="2" t="str">
        <f>"03047600010"</f>
        <v>03047600010</v>
      </c>
      <c r="B4587" s="2" t="s">
        <v>4589</v>
      </c>
      <c r="C4587" s="2">
        <v>289.89</v>
      </c>
      <c r="D4587" s="2" t="s">
        <v>5</v>
      </c>
    </row>
    <row r="4588" spans="1:4" ht="15" customHeight="1" x14ac:dyDescent="0.25">
      <c r="A4588" s="2" t="str">
        <f>"05015000541"</f>
        <v>05015000541</v>
      </c>
      <c r="B4588" s="2" t="s">
        <v>4590</v>
      </c>
      <c r="C4588" s="2">
        <v>302.10000000000002</v>
      </c>
      <c r="D4588" s="2" t="s">
        <v>5</v>
      </c>
    </row>
    <row r="4589" spans="1:4" ht="15" customHeight="1" x14ac:dyDescent="0.25">
      <c r="A4589" s="2" t="str">
        <f>"03047600020"</f>
        <v>03047600020</v>
      </c>
      <c r="B4589" s="2" t="s">
        <v>4591</v>
      </c>
      <c r="C4589" s="2">
        <v>601.04</v>
      </c>
      <c r="D4589" s="2" t="s">
        <v>5</v>
      </c>
    </row>
    <row r="4590" spans="1:4" ht="15" customHeight="1" x14ac:dyDescent="0.25">
      <c r="A4590" s="2" t="str">
        <f>"05015000072"</f>
        <v>05015000072</v>
      </c>
      <c r="B4590" s="2" t="s">
        <v>4592</v>
      </c>
      <c r="C4590" s="2">
        <v>275.27</v>
      </c>
      <c r="D4590" s="2" t="s">
        <v>5</v>
      </c>
    </row>
    <row r="4591" spans="1:4" ht="15" customHeight="1" x14ac:dyDescent="0.25">
      <c r="A4591" s="2" t="str">
        <f>"05015000026"</f>
        <v>05015000026</v>
      </c>
      <c r="B4591" s="2" t="s">
        <v>4593</v>
      </c>
      <c r="C4591" s="2">
        <v>274.68</v>
      </c>
      <c r="D4591" s="2" t="s">
        <v>5</v>
      </c>
    </row>
    <row r="4592" spans="1:4" ht="15" customHeight="1" x14ac:dyDescent="0.25">
      <c r="A4592" s="2" t="str">
        <f>"05015000262"</f>
        <v>05015000262</v>
      </c>
      <c r="B4592" s="2" t="s">
        <v>4594</v>
      </c>
      <c r="C4592" s="2">
        <v>322.04000000000002</v>
      </c>
      <c r="D4592" s="2" t="s">
        <v>5</v>
      </c>
    </row>
    <row r="4593" spans="1:4" ht="15" customHeight="1" x14ac:dyDescent="0.25">
      <c r="A4593" s="2" t="str">
        <f>"05015000024"</f>
        <v>05015000024</v>
      </c>
      <c r="B4593" s="2" t="s">
        <v>4595</v>
      </c>
      <c r="C4593" s="2">
        <v>314.33999999999997</v>
      </c>
      <c r="D4593" s="2" t="s">
        <v>5</v>
      </c>
    </row>
    <row r="4594" spans="1:4" ht="15" customHeight="1" x14ac:dyDescent="0.25">
      <c r="A4594" s="2" t="str">
        <f>"05015000025"</f>
        <v>05015000025</v>
      </c>
      <c r="B4594" s="2" t="s">
        <v>4596</v>
      </c>
      <c r="C4594" s="2">
        <v>350.87</v>
      </c>
      <c r="D4594" s="2" t="s">
        <v>5</v>
      </c>
    </row>
    <row r="4595" spans="1:4" ht="15" customHeight="1" x14ac:dyDescent="0.25">
      <c r="A4595" s="2" t="str">
        <f>"05015000023"</f>
        <v>05015000023</v>
      </c>
      <c r="B4595" s="2" t="s">
        <v>4597</v>
      </c>
      <c r="C4595" s="2">
        <v>126.68</v>
      </c>
      <c r="D4595" s="2" t="s">
        <v>5</v>
      </c>
    </row>
    <row r="4596" spans="1:4" ht="15" customHeight="1" x14ac:dyDescent="0.25">
      <c r="A4596" s="2" t="str">
        <f>"03010000255"</f>
        <v>03010000255</v>
      </c>
      <c r="B4596" s="2" t="s">
        <v>4598</v>
      </c>
      <c r="C4596" s="2">
        <v>132.47999999999999</v>
      </c>
      <c r="D4596" s="2" t="s">
        <v>5</v>
      </c>
    </row>
    <row r="4597" spans="1:4" ht="15" customHeight="1" x14ac:dyDescent="0.25">
      <c r="A4597" s="2" t="str">
        <f>"03010000245"</f>
        <v>03010000245</v>
      </c>
      <c r="B4597" s="2" t="s">
        <v>4599</v>
      </c>
      <c r="C4597" s="2">
        <v>116.6</v>
      </c>
      <c r="D4597" s="2" t="s">
        <v>5</v>
      </c>
    </row>
    <row r="4598" spans="1:4" ht="15" customHeight="1" x14ac:dyDescent="0.25">
      <c r="A4598" s="2" t="str">
        <f>"05015000037"</f>
        <v>05015000037</v>
      </c>
      <c r="B4598" s="2" t="s">
        <v>4600</v>
      </c>
      <c r="C4598" s="2">
        <v>259.13</v>
      </c>
      <c r="D4598" s="2" t="s">
        <v>5</v>
      </c>
    </row>
    <row r="4599" spans="1:4" ht="15" customHeight="1" x14ac:dyDescent="0.25">
      <c r="A4599" s="2" t="str">
        <f>"03047600045"</f>
        <v>03047600045</v>
      </c>
      <c r="B4599" s="2" t="s">
        <v>4601</v>
      </c>
      <c r="C4599" s="2">
        <v>556.20000000000005</v>
      </c>
      <c r="D4599" s="2" t="s">
        <v>5</v>
      </c>
    </row>
    <row r="4600" spans="1:4" ht="15" customHeight="1" x14ac:dyDescent="0.25">
      <c r="A4600" s="2" t="str">
        <f>"05015000039"</f>
        <v>05015000039</v>
      </c>
      <c r="B4600" s="2" t="s">
        <v>4602</v>
      </c>
      <c r="C4600" s="2">
        <v>1938.56</v>
      </c>
      <c r="D4600" s="2" t="s">
        <v>5</v>
      </c>
    </row>
    <row r="4601" spans="1:4" ht="15" customHeight="1" x14ac:dyDescent="0.25">
      <c r="A4601" s="2" t="str">
        <f>"05015000038"</f>
        <v>05015000038</v>
      </c>
      <c r="B4601" s="2" t="s">
        <v>4603</v>
      </c>
      <c r="C4601" s="2">
        <v>1543.73</v>
      </c>
      <c r="D4601" s="2" t="s">
        <v>5</v>
      </c>
    </row>
    <row r="4602" spans="1:4" ht="15" customHeight="1" x14ac:dyDescent="0.25">
      <c r="A4602" s="2" t="str">
        <f>"05015000540"</f>
        <v>05015000540</v>
      </c>
      <c r="B4602" s="2" t="s">
        <v>4604</v>
      </c>
      <c r="C4602" s="2">
        <v>266.52</v>
      </c>
      <c r="D4602" s="2" t="s">
        <v>5</v>
      </c>
    </row>
    <row r="4603" spans="1:4" ht="15" customHeight="1" x14ac:dyDescent="0.25">
      <c r="A4603" s="2" t="str">
        <f>"03047600030"</f>
        <v>03047600030</v>
      </c>
      <c r="B4603" s="2" t="s">
        <v>4605</v>
      </c>
      <c r="C4603" s="2">
        <v>294.62</v>
      </c>
      <c r="D4603" s="2" t="s">
        <v>5</v>
      </c>
    </row>
    <row r="4604" spans="1:4" ht="15" customHeight="1" x14ac:dyDescent="0.25">
      <c r="A4604" s="2" t="str">
        <f>"05015000035"</f>
        <v>05015000035</v>
      </c>
      <c r="B4604" s="2" t="s">
        <v>4606</v>
      </c>
      <c r="C4604" s="2">
        <v>341.76</v>
      </c>
      <c r="D4604" s="2" t="s">
        <v>5</v>
      </c>
    </row>
    <row r="4605" spans="1:4" ht="15" customHeight="1" x14ac:dyDescent="0.25">
      <c r="A4605" s="2" t="str">
        <f>"03047600040"</f>
        <v>03047600040</v>
      </c>
      <c r="B4605" s="2" t="s">
        <v>4607</v>
      </c>
      <c r="C4605" s="2">
        <v>389.42</v>
      </c>
      <c r="D4605" s="2" t="s">
        <v>5</v>
      </c>
    </row>
    <row r="4606" spans="1:4" ht="15" customHeight="1" x14ac:dyDescent="0.25">
      <c r="A4606" s="2" t="str">
        <f>"03047600039"</f>
        <v>03047600039</v>
      </c>
      <c r="B4606" s="2" t="s">
        <v>4608</v>
      </c>
      <c r="C4606" s="2">
        <v>286.74</v>
      </c>
      <c r="D4606" s="2" t="s">
        <v>5</v>
      </c>
    </row>
    <row r="4607" spans="1:4" ht="15" customHeight="1" x14ac:dyDescent="0.25">
      <c r="A4607" s="2" t="str">
        <f>"03047600008"</f>
        <v>03047600008</v>
      </c>
      <c r="B4607" s="2" t="s">
        <v>4609</v>
      </c>
      <c r="C4607" s="2">
        <v>389.81</v>
      </c>
      <c r="D4607" s="2" t="s">
        <v>5</v>
      </c>
    </row>
    <row r="4608" spans="1:4" ht="15" customHeight="1" x14ac:dyDescent="0.25">
      <c r="A4608" s="2" t="str">
        <f>"05015000011"</f>
        <v>05015000011</v>
      </c>
      <c r="B4608" s="2" t="s">
        <v>4610</v>
      </c>
      <c r="C4608" s="2">
        <v>192.18</v>
      </c>
      <c r="D4608" s="2" t="s">
        <v>5</v>
      </c>
    </row>
    <row r="4609" spans="1:4" ht="15" customHeight="1" x14ac:dyDescent="0.25">
      <c r="A4609" s="2" t="str">
        <f>"05015000034"</f>
        <v>05015000034</v>
      </c>
      <c r="B4609" s="2" t="s">
        <v>4611</v>
      </c>
      <c r="C4609" s="2">
        <v>319.01</v>
      </c>
      <c r="D4609" s="2" t="s">
        <v>5</v>
      </c>
    </row>
    <row r="4610" spans="1:4" ht="15" customHeight="1" x14ac:dyDescent="0.25">
      <c r="A4610" s="2" t="str">
        <f>"05015000036"</f>
        <v>05015000036</v>
      </c>
      <c r="B4610" s="2" t="s">
        <v>4612</v>
      </c>
      <c r="C4610" s="2">
        <v>551.13</v>
      </c>
      <c r="D4610" s="2" t="s">
        <v>5</v>
      </c>
    </row>
    <row r="4611" spans="1:4" ht="15" customHeight="1" x14ac:dyDescent="0.25">
      <c r="A4611" s="2" t="str">
        <f>"05015000033"</f>
        <v>05015000033</v>
      </c>
      <c r="B4611" s="2" t="s">
        <v>4613</v>
      </c>
      <c r="C4611" s="2">
        <v>268.86</v>
      </c>
      <c r="D4611" s="2" t="s">
        <v>5</v>
      </c>
    </row>
    <row r="4612" spans="1:4" ht="15" customHeight="1" x14ac:dyDescent="0.25">
      <c r="A4612" s="2" t="str">
        <f>"05015000009"</f>
        <v>05015000009</v>
      </c>
      <c r="B4612" s="2" t="s">
        <v>4614</v>
      </c>
      <c r="C4612" s="2">
        <v>354.59</v>
      </c>
      <c r="D4612" s="2" t="s">
        <v>5</v>
      </c>
    </row>
    <row r="4613" spans="1:4" ht="15" customHeight="1" x14ac:dyDescent="0.25">
      <c r="A4613" s="2" t="str">
        <f>"03010000248"</f>
        <v>03010000248</v>
      </c>
      <c r="B4613" s="2" t="s">
        <v>4615</v>
      </c>
      <c r="C4613" s="2">
        <v>108.71</v>
      </c>
      <c r="D4613" s="2" t="s">
        <v>5</v>
      </c>
    </row>
    <row r="4614" spans="1:4" ht="15" customHeight="1" x14ac:dyDescent="0.25">
      <c r="A4614" s="2" t="str">
        <f>"05015000028"</f>
        <v>05015000028</v>
      </c>
      <c r="B4614" s="2" t="s">
        <v>4616</v>
      </c>
      <c r="C4614" s="2">
        <v>364.07</v>
      </c>
      <c r="D4614" s="2" t="s">
        <v>5</v>
      </c>
    </row>
    <row r="4615" spans="1:4" ht="15" customHeight="1" x14ac:dyDescent="0.25">
      <c r="A4615" s="2" t="str">
        <f>"05015000067"</f>
        <v>05015000067</v>
      </c>
      <c r="B4615" s="2" t="s">
        <v>4617</v>
      </c>
      <c r="C4615" s="2">
        <v>271.77</v>
      </c>
      <c r="D4615" s="2" t="s">
        <v>5</v>
      </c>
    </row>
    <row r="4616" spans="1:4" ht="15" customHeight="1" x14ac:dyDescent="0.25">
      <c r="A4616" s="2" t="str">
        <f>"05015000068"</f>
        <v>05015000068</v>
      </c>
      <c r="B4616" s="2" t="s">
        <v>4618</v>
      </c>
      <c r="C4616" s="2">
        <v>311.37</v>
      </c>
      <c r="D4616" s="2" t="s">
        <v>5</v>
      </c>
    </row>
    <row r="4617" spans="1:4" ht="15" customHeight="1" x14ac:dyDescent="0.25">
      <c r="A4617" s="2" t="str">
        <f>"05015000010"</f>
        <v>05015000010</v>
      </c>
      <c r="B4617" s="2" t="s">
        <v>4619</v>
      </c>
      <c r="C4617" s="2">
        <v>163.46</v>
      </c>
      <c r="D4617" s="2" t="s">
        <v>5</v>
      </c>
    </row>
    <row r="4618" spans="1:4" ht="15" customHeight="1" x14ac:dyDescent="0.25">
      <c r="A4618" s="2" t="str">
        <f>"05015000012"</f>
        <v>05015000012</v>
      </c>
      <c r="B4618" s="2" t="s">
        <v>4620</v>
      </c>
      <c r="C4618" s="2">
        <v>150.88999999999999</v>
      </c>
      <c r="D4618" s="2" t="s">
        <v>5</v>
      </c>
    </row>
    <row r="4619" spans="1:4" ht="15" customHeight="1" x14ac:dyDescent="0.25">
      <c r="A4619" s="2" t="str">
        <f>"05015000013"</f>
        <v>05015000013</v>
      </c>
      <c r="B4619" s="2" t="s">
        <v>4621</v>
      </c>
      <c r="C4619" s="2">
        <v>160.97</v>
      </c>
      <c r="D4619" s="2" t="s">
        <v>5</v>
      </c>
    </row>
    <row r="4620" spans="1:4" ht="15" customHeight="1" x14ac:dyDescent="0.25">
      <c r="A4620" s="2" t="str">
        <f>"05015000123"</f>
        <v>05015000123</v>
      </c>
      <c r="B4620" s="2" t="s">
        <v>4622</v>
      </c>
      <c r="C4620" s="2">
        <v>65.33</v>
      </c>
      <c r="D4620" s="2" t="s">
        <v>5</v>
      </c>
    </row>
    <row r="4621" spans="1:4" ht="15" customHeight="1" x14ac:dyDescent="0.25">
      <c r="A4621" s="2" t="str">
        <f>"05015000113"</f>
        <v>05015000113</v>
      </c>
      <c r="B4621" s="2" t="s">
        <v>4623</v>
      </c>
      <c r="C4621" s="2">
        <v>31.4</v>
      </c>
      <c r="D4621" s="2" t="s">
        <v>5</v>
      </c>
    </row>
    <row r="4622" spans="1:4" ht="15" customHeight="1" x14ac:dyDescent="0.25">
      <c r="A4622" s="2" t="str">
        <f>"05015000115"</f>
        <v>05015000115</v>
      </c>
      <c r="B4622" s="2" t="s">
        <v>4624</v>
      </c>
      <c r="C4622" s="2">
        <v>33</v>
      </c>
      <c r="D4622" s="2" t="s">
        <v>5</v>
      </c>
    </row>
    <row r="4623" spans="1:4" ht="15" customHeight="1" x14ac:dyDescent="0.25">
      <c r="A4623" s="2" t="str">
        <f>"05015000114"</f>
        <v>05015000114</v>
      </c>
      <c r="B4623" s="2" t="s">
        <v>4625</v>
      </c>
      <c r="C4623" s="2">
        <v>31.92</v>
      </c>
      <c r="D4623" s="2" t="s">
        <v>5</v>
      </c>
    </row>
    <row r="4624" spans="1:4" ht="15" customHeight="1" x14ac:dyDescent="0.25">
      <c r="A4624" s="2" t="str">
        <f>"03011600140"</f>
        <v>03011600140</v>
      </c>
      <c r="B4624" s="2" t="s">
        <v>4626</v>
      </c>
      <c r="C4624" s="2">
        <v>5145.33</v>
      </c>
      <c r="D4624" s="2" t="s">
        <v>5</v>
      </c>
    </row>
    <row r="4625" spans="1:4" ht="15" customHeight="1" x14ac:dyDescent="0.25">
      <c r="A4625" s="2" t="str">
        <f>"03011600130"</f>
        <v>03011600130</v>
      </c>
      <c r="B4625" s="2" t="s">
        <v>4627</v>
      </c>
      <c r="C4625" s="2">
        <v>4401</v>
      </c>
      <c r="D4625" s="2" t="s">
        <v>5</v>
      </c>
    </row>
    <row r="4626" spans="1:4" ht="15" customHeight="1" x14ac:dyDescent="0.25">
      <c r="A4626" s="2" t="str">
        <f>"03011600135"</f>
        <v>03011600135</v>
      </c>
      <c r="B4626" s="2" t="s">
        <v>4628</v>
      </c>
      <c r="C4626" s="2">
        <v>5145.33</v>
      </c>
      <c r="D4626" s="2" t="s">
        <v>5</v>
      </c>
    </row>
    <row r="4627" spans="1:4" ht="15" customHeight="1" x14ac:dyDescent="0.25">
      <c r="A4627" s="2" t="str">
        <f>"01010300050"</f>
        <v>01010300050</v>
      </c>
      <c r="B4627" s="2" t="s">
        <v>4629</v>
      </c>
      <c r="C4627" s="2">
        <v>41.73</v>
      </c>
      <c r="D4627" s="2" t="s">
        <v>5</v>
      </c>
    </row>
    <row r="4628" spans="1:4" ht="15" customHeight="1" x14ac:dyDescent="0.25">
      <c r="A4628" s="2" t="str">
        <f>"03063000851"</f>
        <v>03063000851</v>
      </c>
      <c r="B4628" s="2" t="s">
        <v>4630</v>
      </c>
      <c r="C4628" s="2">
        <v>3.59</v>
      </c>
      <c r="D4628" s="2" t="s">
        <v>107</v>
      </c>
    </row>
    <row r="4629" spans="1:4" ht="15" customHeight="1" x14ac:dyDescent="0.25">
      <c r="A4629" s="2" t="str">
        <f>"06010000030"</f>
        <v>06010000030</v>
      </c>
      <c r="B4629" s="2" t="s">
        <v>4631</v>
      </c>
      <c r="C4629" s="2">
        <v>474.93</v>
      </c>
      <c r="D4629" s="2" t="s">
        <v>5</v>
      </c>
    </row>
    <row r="4630" spans="1:4" ht="15" customHeight="1" x14ac:dyDescent="0.25">
      <c r="A4630" s="2" t="str">
        <f>"03019503020"</f>
        <v>03019503020</v>
      </c>
      <c r="B4630" s="2" t="s">
        <v>4632</v>
      </c>
      <c r="C4630" s="2">
        <v>834.98</v>
      </c>
      <c r="D4630" s="2" t="s">
        <v>5</v>
      </c>
    </row>
    <row r="4631" spans="1:4" ht="15" customHeight="1" x14ac:dyDescent="0.25">
      <c r="A4631" s="2" t="str">
        <f>"06070000060"</f>
        <v>06070000060</v>
      </c>
      <c r="B4631" s="2" t="s">
        <v>4633</v>
      </c>
      <c r="C4631" s="2">
        <v>648.65</v>
      </c>
      <c r="D4631" s="2" t="s">
        <v>5</v>
      </c>
    </row>
    <row r="4632" spans="1:4" ht="15" customHeight="1" x14ac:dyDescent="0.25">
      <c r="A4632" s="2" t="str">
        <f>"06070000055"</f>
        <v>06070000055</v>
      </c>
      <c r="B4632" s="2" t="s">
        <v>4634</v>
      </c>
      <c r="C4632" s="2">
        <v>972.98</v>
      </c>
      <c r="D4632" s="2" t="s">
        <v>5</v>
      </c>
    </row>
    <row r="4633" spans="1:4" ht="15" customHeight="1" x14ac:dyDescent="0.25">
      <c r="A4633" s="2" t="str">
        <f>"02021000005"</f>
        <v>02021000005</v>
      </c>
      <c r="B4633" s="2" t="s">
        <v>4635</v>
      </c>
      <c r="C4633" s="2">
        <v>1978.71</v>
      </c>
      <c r="D4633" s="2" t="s">
        <v>5</v>
      </c>
    </row>
    <row r="4634" spans="1:4" ht="15" customHeight="1" x14ac:dyDescent="0.25">
      <c r="A4634" s="2" t="str">
        <f>"02021000015"</f>
        <v>02021000015</v>
      </c>
      <c r="B4634" s="2" t="s">
        <v>4636</v>
      </c>
      <c r="C4634" s="2">
        <v>1978.71</v>
      </c>
      <c r="D4634" s="2" t="s">
        <v>5</v>
      </c>
    </row>
    <row r="4635" spans="1:4" ht="15" customHeight="1" x14ac:dyDescent="0.25">
      <c r="A4635" s="2" t="str">
        <f>"02021000010"</f>
        <v>02021000010</v>
      </c>
      <c r="B4635" s="2" t="s">
        <v>4637</v>
      </c>
      <c r="C4635" s="2">
        <v>1978.71</v>
      </c>
      <c r="D4635" s="2" t="s">
        <v>5</v>
      </c>
    </row>
    <row r="4636" spans="1:4" ht="15" customHeight="1" x14ac:dyDescent="0.25">
      <c r="A4636" s="2" t="str">
        <f>"03062100242"</f>
        <v>03062100242</v>
      </c>
      <c r="B4636" s="2" t="s">
        <v>4638</v>
      </c>
      <c r="C4636" s="2">
        <v>3142.74</v>
      </c>
      <c r="D4636" s="2" t="s">
        <v>5</v>
      </c>
    </row>
    <row r="4637" spans="1:4" ht="15" customHeight="1" x14ac:dyDescent="0.25">
      <c r="A4637" s="2" t="str">
        <f>"03062100220"</f>
        <v>03062100220</v>
      </c>
      <c r="B4637" s="2" t="s">
        <v>4639</v>
      </c>
      <c r="C4637" s="2">
        <v>4934.79</v>
      </c>
      <c r="D4637" s="2" t="s">
        <v>5</v>
      </c>
    </row>
    <row r="4638" spans="1:4" ht="15" customHeight="1" x14ac:dyDescent="0.25">
      <c r="A4638" s="2" t="str">
        <f>"03062100240"</f>
        <v>03062100240</v>
      </c>
      <c r="B4638" s="2" t="s">
        <v>4640</v>
      </c>
      <c r="C4638" s="2">
        <v>4745.07</v>
      </c>
      <c r="D4638" s="2" t="s">
        <v>5</v>
      </c>
    </row>
    <row r="4639" spans="1:4" ht="15" customHeight="1" x14ac:dyDescent="0.25">
      <c r="A4639" s="2" t="str">
        <f>"03062100200"</f>
        <v>03062100200</v>
      </c>
      <c r="B4639" s="2" t="s">
        <v>4641</v>
      </c>
      <c r="C4639" s="2">
        <v>1148.6099999999999</v>
      </c>
      <c r="D4639" s="2" t="s">
        <v>5</v>
      </c>
    </row>
    <row r="4640" spans="1:4" ht="15" customHeight="1" x14ac:dyDescent="0.25">
      <c r="A4640" s="2" t="str">
        <f>"03062100222"</f>
        <v>03062100222</v>
      </c>
      <c r="B4640" s="2" t="s">
        <v>4642</v>
      </c>
      <c r="C4640" s="2">
        <v>643.5</v>
      </c>
      <c r="D4640" s="2" t="s">
        <v>5</v>
      </c>
    </row>
    <row r="4641" spans="1:4" ht="15" customHeight="1" x14ac:dyDescent="0.25">
      <c r="A4641" s="2" t="str">
        <f>"03062100219"</f>
        <v>03062100219</v>
      </c>
      <c r="B4641" s="2" t="s">
        <v>4643</v>
      </c>
      <c r="C4641" s="2">
        <v>1954.49</v>
      </c>
      <c r="D4641" s="2" t="s">
        <v>5</v>
      </c>
    </row>
    <row r="4642" spans="1:4" ht="15" customHeight="1" x14ac:dyDescent="0.25">
      <c r="A4642" s="2" t="str">
        <f>"03062100217"</f>
        <v>03062100217</v>
      </c>
      <c r="B4642" s="2" t="s">
        <v>4644</v>
      </c>
      <c r="C4642" s="2">
        <v>1688.28</v>
      </c>
      <c r="D4642" s="2" t="s">
        <v>5</v>
      </c>
    </row>
    <row r="4643" spans="1:4" ht="15" customHeight="1" x14ac:dyDescent="0.25">
      <c r="A4643" s="2" t="str">
        <f>"03062100205"</f>
        <v>03062100205</v>
      </c>
      <c r="B4643" s="2" t="s">
        <v>4645</v>
      </c>
      <c r="C4643" s="2">
        <v>1019.21</v>
      </c>
      <c r="D4643" s="2" t="s">
        <v>5</v>
      </c>
    </row>
    <row r="4644" spans="1:4" ht="15" customHeight="1" x14ac:dyDescent="0.25">
      <c r="A4644" s="2" t="str">
        <f>"03062100210"</f>
        <v>03062100210</v>
      </c>
      <c r="B4644" s="2" t="s">
        <v>4646</v>
      </c>
      <c r="C4644" s="2">
        <v>532.32000000000005</v>
      </c>
      <c r="D4644" s="2" t="s">
        <v>5</v>
      </c>
    </row>
    <row r="4645" spans="1:4" ht="15" customHeight="1" x14ac:dyDescent="0.25">
      <c r="A4645" s="2" t="str">
        <f>"03062100212"</f>
        <v>03062100212</v>
      </c>
      <c r="B4645" s="2" t="s">
        <v>4647</v>
      </c>
      <c r="C4645" s="2">
        <v>403.98</v>
      </c>
      <c r="D4645" s="2" t="s">
        <v>5</v>
      </c>
    </row>
    <row r="4646" spans="1:4" ht="15" customHeight="1" x14ac:dyDescent="0.25">
      <c r="A4646" s="2" t="str">
        <f>"03062100207"</f>
        <v>03062100207</v>
      </c>
      <c r="B4646" s="2" t="s">
        <v>4648</v>
      </c>
      <c r="C4646" s="2">
        <v>551.49</v>
      </c>
      <c r="D4646" s="2" t="s">
        <v>5</v>
      </c>
    </row>
    <row r="4647" spans="1:4" ht="15" customHeight="1" x14ac:dyDescent="0.25">
      <c r="A4647" s="2" t="str">
        <f>"03062100215"</f>
        <v>03062100215</v>
      </c>
      <c r="B4647" s="2" t="s">
        <v>4649</v>
      </c>
      <c r="C4647" s="2">
        <v>1170.6500000000001</v>
      </c>
      <c r="D4647" s="2" t="s">
        <v>5</v>
      </c>
    </row>
    <row r="4648" spans="1:4" ht="15" customHeight="1" x14ac:dyDescent="0.25">
      <c r="A4648" s="2" t="str">
        <f>"03062100230"</f>
        <v>03062100230</v>
      </c>
      <c r="B4648" s="2" t="s">
        <v>4650</v>
      </c>
      <c r="C4648" s="2">
        <v>1368.32</v>
      </c>
      <c r="D4648" s="2" t="s">
        <v>5</v>
      </c>
    </row>
    <row r="4649" spans="1:4" ht="15" customHeight="1" x14ac:dyDescent="0.25">
      <c r="A4649" s="2" t="str">
        <f>"03062100225"</f>
        <v>03062100225</v>
      </c>
      <c r="B4649" s="2" t="s">
        <v>4651</v>
      </c>
      <c r="C4649" s="2">
        <v>996.66</v>
      </c>
      <c r="D4649" s="2" t="s">
        <v>5</v>
      </c>
    </row>
    <row r="4650" spans="1:4" ht="15" customHeight="1" x14ac:dyDescent="0.25">
      <c r="A4650" s="2" t="str">
        <f>"05022000994"</f>
        <v>05022000994</v>
      </c>
      <c r="B4650" s="2" t="s">
        <v>4652</v>
      </c>
      <c r="C4650" s="2">
        <v>2068.6999999999998</v>
      </c>
      <c r="D4650" s="2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0"/>
  <sheetViews>
    <sheetView tabSelected="1" topLeftCell="A796" workbookViewId="0">
      <selection activeCell="H13" sqref="H13"/>
    </sheetView>
  </sheetViews>
  <sheetFormatPr baseColWidth="10" defaultRowHeight="15" x14ac:dyDescent="0.25"/>
  <cols>
    <col min="1" max="1" width="20.42578125" style="4" customWidth="1"/>
    <col min="2" max="2" width="69.5703125" style="3" customWidth="1"/>
    <col min="3" max="3" width="17.7109375" style="14" customWidth="1"/>
    <col min="4" max="4" width="8.42578125" style="11" customWidth="1"/>
  </cols>
  <sheetData>
    <row r="1" spans="1:4" ht="15.75" thickBot="1" x14ac:dyDescent="0.3">
      <c r="A1" s="7" t="s">
        <v>0</v>
      </c>
      <c r="B1" s="8" t="s">
        <v>1</v>
      </c>
      <c r="C1" s="12" t="s">
        <v>2</v>
      </c>
      <c r="D1" s="9" t="s">
        <v>9302</v>
      </c>
    </row>
    <row r="2" spans="1:4" x14ac:dyDescent="0.25">
      <c r="A2" s="5" t="s">
        <v>4653</v>
      </c>
      <c r="B2" s="6" t="s">
        <v>4</v>
      </c>
      <c r="C2" s="13">
        <v>363</v>
      </c>
      <c r="D2" s="10" t="s">
        <v>5</v>
      </c>
    </row>
    <row r="3" spans="1:4" x14ac:dyDescent="0.25">
      <c r="A3" s="4" t="s">
        <v>4654</v>
      </c>
      <c r="B3" s="3" t="s">
        <v>6</v>
      </c>
      <c r="C3" s="14">
        <v>387.92</v>
      </c>
      <c r="D3" s="11" t="s">
        <v>5</v>
      </c>
    </row>
    <row r="4" spans="1:4" x14ac:dyDescent="0.25">
      <c r="A4" s="4" t="s">
        <v>4655</v>
      </c>
      <c r="B4" s="3" t="s">
        <v>7</v>
      </c>
      <c r="C4" s="14">
        <v>387.92</v>
      </c>
      <c r="D4" s="11" t="s">
        <v>5</v>
      </c>
    </row>
    <row r="5" spans="1:4" x14ac:dyDescent="0.25">
      <c r="A5" s="4" t="s">
        <v>4656</v>
      </c>
      <c r="B5" s="3" t="s">
        <v>8</v>
      </c>
      <c r="C5" s="14">
        <v>394.28</v>
      </c>
      <c r="D5" s="11" t="s">
        <v>5</v>
      </c>
    </row>
    <row r="6" spans="1:4" x14ac:dyDescent="0.25">
      <c r="A6" s="4" t="s">
        <v>4657</v>
      </c>
      <c r="B6" s="3" t="s">
        <v>9</v>
      </c>
      <c r="C6" s="14">
        <v>403.32</v>
      </c>
      <c r="D6" s="11" t="s">
        <v>5</v>
      </c>
    </row>
    <row r="7" spans="1:4" x14ac:dyDescent="0.25">
      <c r="A7" s="4" t="s">
        <v>4658</v>
      </c>
      <c r="B7" s="3" t="s">
        <v>10</v>
      </c>
      <c r="C7" s="14">
        <v>430.89</v>
      </c>
      <c r="D7" s="11" t="s">
        <v>5</v>
      </c>
    </row>
    <row r="8" spans="1:4" x14ac:dyDescent="0.25">
      <c r="A8" s="4" t="s">
        <v>4659</v>
      </c>
      <c r="B8" s="3" t="s">
        <v>11</v>
      </c>
      <c r="C8" s="14">
        <v>463.82</v>
      </c>
      <c r="D8" s="11" t="s">
        <v>5</v>
      </c>
    </row>
    <row r="9" spans="1:4" x14ac:dyDescent="0.25">
      <c r="A9" s="4" t="s">
        <v>4660</v>
      </c>
      <c r="B9" s="3" t="s">
        <v>12</v>
      </c>
      <c r="C9" s="14">
        <v>496.67</v>
      </c>
      <c r="D9" s="11" t="s">
        <v>5</v>
      </c>
    </row>
    <row r="10" spans="1:4" x14ac:dyDescent="0.25">
      <c r="A10" s="4" t="s">
        <v>4661</v>
      </c>
      <c r="B10" s="3" t="s">
        <v>13</v>
      </c>
      <c r="C10" s="14">
        <v>540.17999999999995</v>
      </c>
      <c r="D10" s="11" t="s">
        <v>5</v>
      </c>
    </row>
    <row r="11" spans="1:4" x14ac:dyDescent="0.25">
      <c r="A11" s="4" t="s">
        <v>4662</v>
      </c>
      <c r="B11" s="3" t="s">
        <v>14</v>
      </c>
      <c r="C11" s="14">
        <v>564.69000000000005</v>
      </c>
      <c r="D11" s="11" t="s">
        <v>5</v>
      </c>
    </row>
    <row r="12" spans="1:4" x14ac:dyDescent="0.25">
      <c r="A12" s="4" t="s">
        <v>4663</v>
      </c>
      <c r="B12" s="3" t="s">
        <v>15</v>
      </c>
      <c r="C12" s="14">
        <v>355.26</v>
      </c>
      <c r="D12" s="11" t="s">
        <v>5</v>
      </c>
    </row>
    <row r="13" spans="1:4" x14ac:dyDescent="0.25">
      <c r="A13" s="4" t="s">
        <v>4664</v>
      </c>
      <c r="B13" s="3" t="s">
        <v>16</v>
      </c>
      <c r="C13" s="14">
        <v>367.94</v>
      </c>
      <c r="D13" s="11" t="s">
        <v>5</v>
      </c>
    </row>
    <row r="14" spans="1:4" x14ac:dyDescent="0.25">
      <c r="A14" s="4" t="s">
        <v>4665</v>
      </c>
      <c r="B14" s="3" t="s">
        <v>17</v>
      </c>
      <c r="C14" s="14">
        <v>380.61</v>
      </c>
      <c r="D14" s="11" t="s">
        <v>5</v>
      </c>
    </row>
    <row r="15" spans="1:4" x14ac:dyDescent="0.25">
      <c r="A15" s="4" t="s">
        <v>4666</v>
      </c>
      <c r="B15" s="3" t="s">
        <v>18</v>
      </c>
      <c r="C15" s="14">
        <v>393.32</v>
      </c>
      <c r="D15" s="11" t="s">
        <v>5</v>
      </c>
    </row>
    <row r="16" spans="1:4" x14ac:dyDescent="0.25">
      <c r="A16" s="4" t="s">
        <v>4667</v>
      </c>
      <c r="B16" s="3" t="s">
        <v>19</v>
      </c>
      <c r="C16" s="14">
        <v>405.99</v>
      </c>
      <c r="D16" s="11" t="s">
        <v>5</v>
      </c>
    </row>
    <row r="17" spans="1:4" x14ac:dyDescent="0.25">
      <c r="A17" s="4" t="s">
        <v>4668</v>
      </c>
      <c r="B17" s="3" t="s">
        <v>20</v>
      </c>
      <c r="C17" s="14">
        <v>418.68</v>
      </c>
      <c r="D17" s="11" t="s">
        <v>5</v>
      </c>
    </row>
    <row r="18" spans="1:4" x14ac:dyDescent="0.25">
      <c r="A18" s="4" t="s">
        <v>4669</v>
      </c>
      <c r="B18" s="3" t="s">
        <v>21</v>
      </c>
      <c r="C18" s="14">
        <v>431.37</v>
      </c>
      <c r="D18" s="11" t="s">
        <v>5</v>
      </c>
    </row>
    <row r="19" spans="1:4" x14ac:dyDescent="0.25">
      <c r="A19" s="4" t="s">
        <v>4670</v>
      </c>
      <c r="B19" s="3" t="s">
        <v>22</v>
      </c>
      <c r="C19" s="14">
        <v>469.43</v>
      </c>
      <c r="D19" s="11" t="s">
        <v>5</v>
      </c>
    </row>
    <row r="20" spans="1:4" x14ac:dyDescent="0.25">
      <c r="A20" s="4" t="s">
        <v>4671</v>
      </c>
      <c r="B20" s="3" t="s">
        <v>23</v>
      </c>
      <c r="C20" s="14">
        <v>166.22</v>
      </c>
      <c r="D20" s="11" t="s">
        <v>5</v>
      </c>
    </row>
    <row r="21" spans="1:4" x14ac:dyDescent="0.25">
      <c r="A21" s="4" t="s">
        <v>4672</v>
      </c>
      <c r="B21" s="3" t="s">
        <v>24</v>
      </c>
      <c r="C21" s="14">
        <v>166.22</v>
      </c>
      <c r="D21" s="11" t="s">
        <v>5</v>
      </c>
    </row>
    <row r="22" spans="1:4" x14ac:dyDescent="0.25">
      <c r="A22" s="4" t="s">
        <v>4673</v>
      </c>
      <c r="B22" s="3" t="s">
        <v>25</v>
      </c>
      <c r="C22" s="14">
        <v>166.22</v>
      </c>
      <c r="D22" s="11" t="s">
        <v>5</v>
      </c>
    </row>
    <row r="23" spans="1:4" x14ac:dyDescent="0.25">
      <c r="A23" s="4" t="s">
        <v>4674</v>
      </c>
      <c r="B23" s="3" t="s">
        <v>26</v>
      </c>
      <c r="C23" s="14">
        <v>166.22</v>
      </c>
      <c r="D23" s="11" t="s">
        <v>5</v>
      </c>
    </row>
    <row r="24" spans="1:4" x14ac:dyDescent="0.25">
      <c r="A24" s="4" t="s">
        <v>4675</v>
      </c>
      <c r="B24" s="3" t="s">
        <v>27</v>
      </c>
      <c r="C24" s="14">
        <v>166.22</v>
      </c>
      <c r="D24" s="11" t="s">
        <v>5</v>
      </c>
    </row>
    <row r="25" spans="1:4" x14ac:dyDescent="0.25">
      <c r="A25" s="4" t="s">
        <v>4676</v>
      </c>
      <c r="B25" s="3" t="s">
        <v>28</v>
      </c>
      <c r="C25" s="14">
        <v>166.22</v>
      </c>
      <c r="D25" s="11" t="s">
        <v>5</v>
      </c>
    </row>
    <row r="26" spans="1:4" x14ac:dyDescent="0.25">
      <c r="A26" s="4" t="s">
        <v>4677</v>
      </c>
      <c r="B26" s="3" t="s">
        <v>29</v>
      </c>
      <c r="C26" s="14">
        <v>191</v>
      </c>
      <c r="D26" s="11" t="s">
        <v>5</v>
      </c>
    </row>
    <row r="27" spans="1:4" x14ac:dyDescent="0.25">
      <c r="A27" s="4" t="s">
        <v>4678</v>
      </c>
      <c r="B27" s="3" t="s">
        <v>30</v>
      </c>
      <c r="C27" s="14">
        <v>191</v>
      </c>
      <c r="D27" s="11" t="s">
        <v>5</v>
      </c>
    </row>
    <row r="28" spans="1:4" x14ac:dyDescent="0.25">
      <c r="A28" s="4" t="s">
        <v>4679</v>
      </c>
      <c r="B28" s="3" t="s">
        <v>31</v>
      </c>
      <c r="C28" s="14">
        <v>191</v>
      </c>
      <c r="D28" s="11" t="s">
        <v>5</v>
      </c>
    </row>
    <row r="29" spans="1:4" x14ac:dyDescent="0.25">
      <c r="A29" s="4" t="s">
        <v>4680</v>
      </c>
      <c r="B29" s="3" t="s">
        <v>32</v>
      </c>
      <c r="C29" s="14">
        <v>191</v>
      </c>
      <c r="D29" s="11" t="s">
        <v>5</v>
      </c>
    </row>
    <row r="30" spans="1:4" x14ac:dyDescent="0.25">
      <c r="A30" s="4" t="s">
        <v>4681</v>
      </c>
      <c r="B30" s="3" t="s">
        <v>33</v>
      </c>
      <c r="C30" s="14">
        <v>221.33</v>
      </c>
      <c r="D30" s="11" t="s">
        <v>5</v>
      </c>
    </row>
    <row r="31" spans="1:4" x14ac:dyDescent="0.25">
      <c r="A31" s="4" t="s">
        <v>4682</v>
      </c>
      <c r="B31" s="3" t="s">
        <v>34</v>
      </c>
      <c r="C31" s="14">
        <v>221.33</v>
      </c>
      <c r="D31" s="11" t="s">
        <v>5</v>
      </c>
    </row>
    <row r="32" spans="1:4" x14ac:dyDescent="0.25">
      <c r="A32" s="4" t="s">
        <v>4683</v>
      </c>
      <c r="B32" s="3" t="s">
        <v>35</v>
      </c>
      <c r="C32" s="14">
        <v>221.33</v>
      </c>
      <c r="D32" s="11" t="s">
        <v>5</v>
      </c>
    </row>
    <row r="33" spans="1:4" x14ac:dyDescent="0.25">
      <c r="A33" s="4" t="s">
        <v>4684</v>
      </c>
      <c r="B33" s="3" t="s">
        <v>36</v>
      </c>
      <c r="C33" s="14">
        <v>262.16000000000003</v>
      </c>
      <c r="D33" s="11" t="s">
        <v>5</v>
      </c>
    </row>
    <row r="34" spans="1:4" x14ac:dyDescent="0.25">
      <c r="A34" s="4" t="s">
        <v>4685</v>
      </c>
      <c r="B34" s="3" t="s">
        <v>37</v>
      </c>
      <c r="C34" s="14">
        <v>262.16000000000003</v>
      </c>
      <c r="D34" s="11" t="s">
        <v>5</v>
      </c>
    </row>
    <row r="35" spans="1:4" x14ac:dyDescent="0.25">
      <c r="A35" s="4" t="s">
        <v>4686</v>
      </c>
      <c r="B35" s="3" t="s">
        <v>38</v>
      </c>
      <c r="C35" s="14">
        <v>262.16000000000003</v>
      </c>
      <c r="D35" s="11" t="s">
        <v>5</v>
      </c>
    </row>
    <row r="36" spans="1:4" x14ac:dyDescent="0.25">
      <c r="A36" s="4" t="s">
        <v>4687</v>
      </c>
      <c r="B36" s="3" t="s">
        <v>39</v>
      </c>
      <c r="C36" s="14">
        <v>262.16000000000003</v>
      </c>
      <c r="D36" s="11" t="s">
        <v>5</v>
      </c>
    </row>
    <row r="37" spans="1:4" x14ac:dyDescent="0.25">
      <c r="A37" s="4" t="s">
        <v>4688</v>
      </c>
      <c r="B37" s="3" t="s">
        <v>40</v>
      </c>
      <c r="C37" s="14">
        <v>262.16000000000003</v>
      </c>
      <c r="D37" s="11" t="s">
        <v>5</v>
      </c>
    </row>
    <row r="38" spans="1:4" x14ac:dyDescent="0.25">
      <c r="A38" s="4" t="s">
        <v>4689</v>
      </c>
      <c r="B38" s="3" t="s">
        <v>41</v>
      </c>
      <c r="C38" s="14">
        <v>310.56</v>
      </c>
      <c r="D38" s="11" t="s">
        <v>5</v>
      </c>
    </row>
    <row r="39" spans="1:4" x14ac:dyDescent="0.25">
      <c r="A39" s="4" t="s">
        <v>4690</v>
      </c>
      <c r="B39" s="3" t="s">
        <v>42</v>
      </c>
      <c r="C39" s="14">
        <v>310.56</v>
      </c>
      <c r="D39" s="11" t="s">
        <v>5</v>
      </c>
    </row>
    <row r="40" spans="1:4" x14ac:dyDescent="0.25">
      <c r="A40" s="4" t="s">
        <v>4691</v>
      </c>
      <c r="B40" s="3" t="s">
        <v>43</v>
      </c>
      <c r="C40" s="14">
        <v>310.56</v>
      </c>
      <c r="D40" s="11" t="s">
        <v>5</v>
      </c>
    </row>
    <row r="41" spans="1:4" x14ac:dyDescent="0.25">
      <c r="A41" s="4" t="s">
        <v>4692</v>
      </c>
      <c r="B41" s="3" t="s">
        <v>44</v>
      </c>
      <c r="C41" s="14">
        <v>310.56</v>
      </c>
      <c r="D41" s="11" t="s">
        <v>5</v>
      </c>
    </row>
    <row r="42" spans="1:4" x14ac:dyDescent="0.25">
      <c r="A42" s="4" t="s">
        <v>4693</v>
      </c>
      <c r="B42" s="3" t="s">
        <v>45</v>
      </c>
      <c r="C42" s="14">
        <v>2334.4699999999998</v>
      </c>
      <c r="D42" s="11" t="s">
        <v>5</v>
      </c>
    </row>
    <row r="43" spans="1:4" x14ac:dyDescent="0.25">
      <c r="A43" s="4" t="s">
        <v>4694</v>
      </c>
      <c r="B43" s="3" t="s">
        <v>46</v>
      </c>
      <c r="C43" s="14">
        <v>1264.3800000000001</v>
      </c>
      <c r="D43" s="11" t="s">
        <v>5</v>
      </c>
    </row>
    <row r="44" spans="1:4" x14ac:dyDescent="0.25">
      <c r="A44" s="4" t="s">
        <v>4695</v>
      </c>
      <c r="B44" s="3" t="s">
        <v>47</v>
      </c>
      <c r="C44" s="14">
        <v>1522.47</v>
      </c>
      <c r="D44" s="11" t="s">
        <v>5</v>
      </c>
    </row>
    <row r="45" spans="1:4" x14ac:dyDescent="0.25">
      <c r="A45" s="4" t="s">
        <v>4696</v>
      </c>
      <c r="B45" s="3" t="s">
        <v>48</v>
      </c>
      <c r="C45" s="14">
        <v>1539.53</v>
      </c>
      <c r="D45" s="11" t="s">
        <v>5</v>
      </c>
    </row>
    <row r="46" spans="1:4" x14ac:dyDescent="0.25">
      <c r="A46" s="4" t="s">
        <v>4697</v>
      </c>
      <c r="B46" s="3" t="s">
        <v>49</v>
      </c>
      <c r="C46" s="14">
        <v>1776.23</v>
      </c>
      <c r="D46" s="11" t="s">
        <v>5</v>
      </c>
    </row>
    <row r="47" spans="1:4" x14ac:dyDescent="0.25">
      <c r="A47" s="4" t="s">
        <v>4698</v>
      </c>
      <c r="B47" s="3" t="s">
        <v>50</v>
      </c>
      <c r="C47" s="14">
        <v>2878.88</v>
      </c>
      <c r="D47" s="11" t="s">
        <v>5</v>
      </c>
    </row>
    <row r="48" spans="1:4" x14ac:dyDescent="0.25">
      <c r="A48" s="4" t="s">
        <v>4699</v>
      </c>
      <c r="B48" s="3" t="s">
        <v>51</v>
      </c>
      <c r="C48" s="14">
        <v>661.94</v>
      </c>
      <c r="D48" s="11" t="s">
        <v>5</v>
      </c>
    </row>
    <row r="49" spans="1:4" x14ac:dyDescent="0.25">
      <c r="A49" s="4" t="s">
        <v>4700</v>
      </c>
      <c r="B49" s="3" t="s">
        <v>52</v>
      </c>
      <c r="C49" s="14">
        <v>984.42</v>
      </c>
      <c r="D49" s="11" t="s">
        <v>5</v>
      </c>
    </row>
    <row r="50" spans="1:4" x14ac:dyDescent="0.25">
      <c r="A50" s="4" t="s">
        <v>4701</v>
      </c>
      <c r="B50" s="3" t="s">
        <v>53</v>
      </c>
      <c r="C50" s="14">
        <v>1018.59</v>
      </c>
      <c r="D50" s="11" t="s">
        <v>5</v>
      </c>
    </row>
    <row r="51" spans="1:4" x14ac:dyDescent="0.25">
      <c r="A51" s="4" t="s">
        <v>4702</v>
      </c>
      <c r="B51" s="3" t="s">
        <v>54</v>
      </c>
      <c r="C51" s="14">
        <v>3032.82</v>
      </c>
      <c r="D51" s="11" t="s">
        <v>5</v>
      </c>
    </row>
    <row r="52" spans="1:4" x14ac:dyDescent="0.25">
      <c r="A52" s="4" t="s">
        <v>4703</v>
      </c>
      <c r="B52" s="3" t="s">
        <v>55</v>
      </c>
      <c r="C52" s="14">
        <v>1646.46</v>
      </c>
      <c r="D52" s="11" t="s">
        <v>5</v>
      </c>
    </row>
    <row r="53" spans="1:4" x14ac:dyDescent="0.25">
      <c r="A53" s="4" t="s">
        <v>4704</v>
      </c>
      <c r="B53" s="3" t="s">
        <v>56</v>
      </c>
      <c r="C53" s="14">
        <v>2961.15</v>
      </c>
      <c r="D53" s="11" t="s">
        <v>5</v>
      </c>
    </row>
    <row r="54" spans="1:4" x14ac:dyDescent="0.25">
      <c r="A54" s="4" t="s">
        <v>4705</v>
      </c>
      <c r="B54" s="3" t="s">
        <v>57</v>
      </c>
      <c r="C54" s="14">
        <v>1819.95</v>
      </c>
      <c r="D54" s="11" t="s">
        <v>5</v>
      </c>
    </row>
    <row r="55" spans="1:4" x14ac:dyDescent="0.25">
      <c r="A55" s="4" t="s">
        <v>4706</v>
      </c>
      <c r="B55" s="3" t="s">
        <v>58</v>
      </c>
      <c r="C55" s="14">
        <v>1586.75</v>
      </c>
      <c r="D55" s="11" t="s">
        <v>5</v>
      </c>
    </row>
    <row r="56" spans="1:4" x14ac:dyDescent="0.25">
      <c r="A56" s="4" t="s">
        <v>4707</v>
      </c>
      <c r="B56" s="3" t="s">
        <v>59</v>
      </c>
      <c r="C56" s="14">
        <v>1335.03</v>
      </c>
      <c r="D56" s="11" t="s">
        <v>5</v>
      </c>
    </row>
    <row r="57" spans="1:4" x14ac:dyDescent="0.25">
      <c r="A57" s="4" t="s">
        <v>4708</v>
      </c>
      <c r="B57" s="3" t="s">
        <v>60</v>
      </c>
      <c r="C57" s="14">
        <v>1905.71</v>
      </c>
      <c r="D57" s="11" t="s">
        <v>5</v>
      </c>
    </row>
    <row r="58" spans="1:4" x14ac:dyDescent="0.25">
      <c r="A58" s="4" t="s">
        <v>4709</v>
      </c>
      <c r="B58" s="3" t="s">
        <v>61</v>
      </c>
      <c r="C58" s="14">
        <v>16006.62</v>
      </c>
      <c r="D58" s="11" t="s">
        <v>5</v>
      </c>
    </row>
    <row r="59" spans="1:4" x14ac:dyDescent="0.25">
      <c r="A59" s="4" t="s">
        <v>4710</v>
      </c>
      <c r="B59" s="3" t="s">
        <v>62</v>
      </c>
      <c r="C59" s="14">
        <v>16102.46</v>
      </c>
      <c r="D59" s="11" t="s">
        <v>5</v>
      </c>
    </row>
    <row r="60" spans="1:4" x14ac:dyDescent="0.25">
      <c r="A60" s="4" t="s">
        <v>4711</v>
      </c>
      <c r="B60" s="3" t="s">
        <v>63</v>
      </c>
      <c r="C60" s="14">
        <v>17473.5</v>
      </c>
      <c r="D60" s="11" t="s">
        <v>5</v>
      </c>
    </row>
    <row r="61" spans="1:4" x14ac:dyDescent="0.25">
      <c r="A61" s="4" t="s">
        <v>4712</v>
      </c>
      <c r="B61" s="3" t="s">
        <v>64</v>
      </c>
      <c r="C61" s="14">
        <v>38434.11</v>
      </c>
      <c r="D61" s="11" t="s">
        <v>5</v>
      </c>
    </row>
    <row r="62" spans="1:4" x14ac:dyDescent="0.25">
      <c r="A62" s="4" t="s">
        <v>4713</v>
      </c>
      <c r="B62" s="3" t="s">
        <v>65</v>
      </c>
      <c r="C62" s="14">
        <v>38434.11</v>
      </c>
      <c r="D62" s="11" t="s">
        <v>5</v>
      </c>
    </row>
    <row r="63" spans="1:4" x14ac:dyDescent="0.25">
      <c r="A63" s="4" t="s">
        <v>4714</v>
      </c>
      <c r="B63" s="3" t="s">
        <v>66</v>
      </c>
      <c r="C63" s="14">
        <v>3995.94</v>
      </c>
      <c r="D63" s="11" t="s">
        <v>5</v>
      </c>
    </row>
    <row r="64" spans="1:4" x14ac:dyDescent="0.25">
      <c r="A64" s="4" t="s">
        <v>4715</v>
      </c>
      <c r="B64" s="3" t="s">
        <v>67</v>
      </c>
      <c r="C64" s="14">
        <v>4610.7</v>
      </c>
      <c r="D64" s="11" t="s">
        <v>5</v>
      </c>
    </row>
    <row r="65" spans="1:4" x14ac:dyDescent="0.25">
      <c r="A65" s="4" t="s">
        <v>4716</v>
      </c>
      <c r="B65" s="3" t="s">
        <v>68</v>
      </c>
      <c r="C65" s="14">
        <v>4990.3999999999996</v>
      </c>
      <c r="D65" s="11" t="s">
        <v>5</v>
      </c>
    </row>
    <row r="66" spans="1:4" x14ac:dyDescent="0.25">
      <c r="A66" s="4" t="s">
        <v>4717</v>
      </c>
      <c r="B66" s="3" t="s">
        <v>69</v>
      </c>
      <c r="C66" s="14">
        <v>5596.13</v>
      </c>
      <c r="D66" s="11" t="s">
        <v>5</v>
      </c>
    </row>
    <row r="67" spans="1:4" x14ac:dyDescent="0.25">
      <c r="A67" s="4" t="s">
        <v>4718</v>
      </c>
      <c r="B67" s="3" t="s">
        <v>70</v>
      </c>
      <c r="C67" s="14">
        <v>7557.93</v>
      </c>
      <c r="D67" s="11" t="s">
        <v>5</v>
      </c>
    </row>
    <row r="68" spans="1:4" x14ac:dyDescent="0.25">
      <c r="A68" s="4" t="s">
        <v>4719</v>
      </c>
      <c r="B68" s="3" t="s">
        <v>71</v>
      </c>
      <c r="C68" s="14">
        <v>6342.87</v>
      </c>
      <c r="D68" s="11" t="s">
        <v>5</v>
      </c>
    </row>
    <row r="69" spans="1:4" x14ac:dyDescent="0.25">
      <c r="A69" s="4" t="s">
        <v>4720</v>
      </c>
      <c r="B69" s="3" t="s">
        <v>72</v>
      </c>
      <c r="C69" s="14">
        <v>8796.51</v>
      </c>
      <c r="D69" s="11" t="s">
        <v>5</v>
      </c>
    </row>
    <row r="70" spans="1:4" x14ac:dyDescent="0.25">
      <c r="A70" s="4" t="s">
        <v>4721</v>
      </c>
      <c r="B70" s="3" t="s">
        <v>73</v>
      </c>
      <c r="C70" s="14">
        <v>9823.5</v>
      </c>
      <c r="D70" s="11" t="s">
        <v>5</v>
      </c>
    </row>
    <row r="71" spans="1:4" x14ac:dyDescent="0.25">
      <c r="A71" s="4" t="s">
        <v>4722</v>
      </c>
      <c r="B71" s="3" t="s">
        <v>74</v>
      </c>
      <c r="C71" s="14">
        <v>10722.15</v>
      </c>
      <c r="D71" s="11" t="s">
        <v>5</v>
      </c>
    </row>
    <row r="72" spans="1:4" x14ac:dyDescent="0.25">
      <c r="A72" s="4" t="s">
        <v>4723</v>
      </c>
      <c r="B72" s="3" t="s">
        <v>75</v>
      </c>
      <c r="C72" s="14">
        <v>1240.3399999999999</v>
      </c>
      <c r="D72" s="11" t="s">
        <v>5</v>
      </c>
    </row>
    <row r="73" spans="1:4" x14ac:dyDescent="0.25">
      <c r="A73" s="4" t="s">
        <v>4724</v>
      </c>
      <c r="B73" s="3" t="s">
        <v>76</v>
      </c>
      <c r="C73" s="14">
        <v>1890.41</v>
      </c>
      <c r="D73" s="11" t="s">
        <v>5</v>
      </c>
    </row>
    <row r="74" spans="1:4" x14ac:dyDescent="0.25">
      <c r="A74" s="4" t="s">
        <v>4725</v>
      </c>
      <c r="B74" s="3" t="s">
        <v>77</v>
      </c>
      <c r="C74" s="14">
        <v>1075.68</v>
      </c>
      <c r="D74" s="11" t="s">
        <v>5</v>
      </c>
    </row>
    <row r="75" spans="1:4" x14ac:dyDescent="0.25">
      <c r="A75" s="4" t="s">
        <v>4726</v>
      </c>
      <c r="B75" s="3" t="s">
        <v>78</v>
      </c>
      <c r="C75" s="14">
        <v>1890.41</v>
      </c>
      <c r="D75" s="11" t="s">
        <v>5</v>
      </c>
    </row>
    <row r="76" spans="1:4" x14ac:dyDescent="0.25">
      <c r="A76" s="4" t="s">
        <v>4727</v>
      </c>
      <c r="B76" s="3" t="s">
        <v>79</v>
      </c>
      <c r="C76" s="14">
        <v>1445.18</v>
      </c>
      <c r="D76" s="11" t="s">
        <v>5</v>
      </c>
    </row>
    <row r="77" spans="1:4" x14ac:dyDescent="0.25">
      <c r="A77" s="4" t="s">
        <v>4728</v>
      </c>
      <c r="B77" s="3" t="s">
        <v>80</v>
      </c>
      <c r="C77" s="14">
        <v>2574.5300000000002</v>
      </c>
      <c r="D77" s="11" t="s">
        <v>5</v>
      </c>
    </row>
    <row r="78" spans="1:4" x14ac:dyDescent="0.25">
      <c r="A78" s="4" t="s">
        <v>4729</v>
      </c>
      <c r="B78" s="3" t="s">
        <v>81</v>
      </c>
      <c r="C78" s="14">
        <v>855.93</v>
      </c>
      <c r="D78" s="11" t="s">
        <v>5</v>
      </c>
    </row>
    <row r="79" spans="1:4" x14ac:dyDescent="0.25">
      <c r="A79" s="4" t="s">
        <v>4730</v>
      </c>
      <c r="B79" s="3" t="s">
        <v>82</v>
      </c>
      <c r="C79" s="14">
        <v>1408.31</v>
      </c>
      <c r="D79" s="11" t="s">
        <v>5</v>
      </c>
    </row>
    <row r="80" spans="1:4" x14ac:dyDescent="0.25">
      <c r="A80" s="4" t="s">
        <v>4731</v>
      </c>
      <c r="B80" s="3" t="s">
        <v>83</v>
      </c>
      <c r="C80" s="14">
        <v>1573.23</v>
      </c>
      <c r="D80" s="11" t="s">
        <v>5</v>
      </c>
    </row>
    <row r="81" spans="1:4" x14ac:dyDescent="0.25">
      <c r="A81" s="4" t="s">
        <v>4732</v>
      </c>
      <c r="B81" s="3" t="s">
        <v>84</v>
      </c>
      <c r="C81" s="14">
        <v>2118.7800000000002</v>
      </c>
      <c r="D81" s="11" t="s">
        <v>5</v>
      </c>
    </row>
    <row r="82" spans="1:4" x14ac:dyDescent="0.25">
      <c r="A82" s="4" t="s">
        <v>4733</v>
      </c>
      <c r="B82" s="3" t="s">
        <v>85</v>
      </c>
      <c r="C82" s="14">
        <v>2283.7199999999998</v>
      </c>
      <c r="D82" s="11" t="s">
        <v>5</v>
      </c>
    </row>
    <row r="83" spans="1:4" x14ac:dyDescent="0.25">
      <c r="A83" s="4" t="s">
        <v>4734</v>
      </c>
      <c r="B83" s="3" t="s">
        <v>86</v>
      </c>
      <c r="C83" s="14">
        <v>2867.34</v>
      </c>
      <c r="D83" s="11" t="s">
        <v>5</v>
      </c>
    </row>
    <row r="84" spans="1:4" x14ac:dyDescent="0.25">
      <c r="A84" s="4" t="s">
        <v>4735</v>
      </c>
      <c r="B84" s="3" t="s">
        <v>87</v>
      </c>
      <c r="C84" s="14">
        <v>3679.32</v>
      </c>
      <c r="D84" s="11" t="s">
        <v>5</v>
      </c>
    </row>
    <row r="85" spans="1:4" x14ac:dyDescent="0.25">
      <c r="A85" s="4" t="s">
        <v>4736</v>
      </c>
      <c r="B85" s="3" t="s">
        <v>88</v>
      </c>
      <c r="C85" s="14">
        <v>5328.68</v>
      </c>
      <c r="D85" s="11" t="s">
        <v>5</v>
      </c>
    </row>
    <row r="86" spans="1:4" x14ac:dyDescent="0.25">
      <c r="A86" s="4" t="s">
        <v>4737</v>
      </c>
      <c r="B86" s="3" t="s">
        <v>89</v>
      </c>
      <c r="C86" s="14">
        <v>8234.07</v>
      </c>
      <c r="D86" s="11" t="s">
        <v>5</v>
      </c>
    </row>
    <row r="87" spans="1:4" x14ac:dyDescent="0.25">
      <c r="A87" s="4" t="s">
        <v>4738</v>
      </c>
      <c r="B87" s="3" t="s">
        <v>90</v>
      </c>
      <c r="C87" s="14">
        <v>2647.32</v>
      </c>
      <c r="D87" s="11" t="s">
        <v>5</v>
      </c>
    </row>
    <row r="88" spans="1:4" x14ac:dyDescent="0.25">
      <c r="A88" s="4" t="s">
        <v>4739</v>
      </c>
      <c r="B88" s="3" t="s">
        <v>91</v>
      </c>
      <c r="C88" s="14">
        <v>2875.55</v>
      </c>
      <c r="D88" s="11" t="s">
        <v>5</v>
      </c>
    </row>
    <row r="89" spans="1:4" x14ac:dyDescent="0.25">
      <c r="A89" s="4" t="s">
        <v>4740</v>
      </c>
      <c r="B89" s="3" t="s">
        <v>92</v>
      </c>
      <c r="C89" s="14">
        <v>3605.84</v>
      </c>
      <c r="D89" s="11" t="s">
        <v>5</v>
      </c>
    </row>
    <row r="90" spans="1:4" x14ac:dyDescent="0.25">
      <c r="A90" s="4" t="s">
        <v>4741</v>
      </c>
      <c r="B90" s="3" t="s">
        <v>93</v>
      </c>
      <c r="C90" s="14">
        <v>4336.1400000000003</v>
      </c>
      <c r="D90" s="11" t="s">
        <v>5</v>
      </c>
    </row>
    <row r="91" spans="1:4" x14ac:dyDescent="0.25">
      <c r="A91" s="4" t="s">
        <v>4742</v>
      </c>
      <c r="B91" s="3" t="s">
        <v>94</v>
      </c>
      <c r="C91" s="14">
        <v>5066.43</v>
      </c>
      <c r="D91" s="11" t="s">
        <v>5</v>
      </c>
    </row>
    <row r="92" spans="1:4" x14ac:dyDescent="0.25">
      <c r="A92" s="4" t="s">
        <v>4743</v>
      </c>
      <c r="B92" s="3" t="s">
        <v>95</v>
      </c>
      <c r="C92" s="14">
        <v>6709.59</v>
      </c>
      <c r="D92" s="11" t="s">
        <v>5</v>
      </c>
    </row>
    <row r="93" spans="1:4" x14ac:dyDescent="0.25">
      <c r="A93" s="4" t="s">
        <v>4744</v>
      </c>
      <c r="B93" s="3" t="s">
        <v>96</v>
      </c>
      <c r="C93" s="14">
        <v>2631.23</v>
      </c>
      <c r="D93" s="11" t="s">
        <v>5</v>
      </c>
    </row>
    <row r="94" spans="1:4" x14ac:dyDescent="0.25">
      <c r="A94" s="4" t="s">
        <v>4745</v>
      </c>
      <c r="B94" s="3" t="s">
        <v>97</v>
      </c>
      <c r="C94" s="14">
        <v>27027.360000000001</v>
      </c>
      <c r="D94" s="11" t="s">
        <v>5</v>
      </c>
    </row>
    <row r="95" spans="1:4" x14ac:dyDescent="0.25">
      <c r="A95" s="4" t="s">
        <v>4746</v>
      </c>
      <c r="B95" s="3" t="s">
        <v>98</v>
      </c>
      <c r="C95" s="14">
        <v>24404.93</v>
      </c>
      <c r="D95" s="11" t="s">
        <v>5</v>
      </c>
    </row>
    <row r="96" spans="1:4" x14ac:dyDescent="0.25">
      <c r="A96" s="4" t="s">
        <v>4747</v>
      </c>
      <c r="B96" s="3" t="s">
        <v>99</v>
      </c>
      <c r="C96" s="14">
        <v>50182.879999999997</v>
      </c>
      <c r="D96" s="11" t="s">
        <v>5</v>
      </c>
    </row>
    <row r="97" spans="1:4" x14ac:dyDescent="0.25">
      <c r="A97" s="4" t="s">
        <v>4748</v>
      </c>
      <c r="B97" s="3" t="s">
        <v>100</v>
      </c>
      <c r="C97" s="14">
        <v>26163.45</v>
      </c>
      <c r="D97" s="11" t="s">
        <v>5</v>
      </c>
    </row>
    <row r="98" spans="1:4" x14ac:dyDescent="0.25">
      <c r="A98" s="4" t="s">
        <v>4749</v>
      </c>
      <c r="B98" s="3" t="s">
        <v>101</v>
      </c>
      <c r="C98" s="14">
        <v>21059.52</v>
      </c>
      <c r="D98" s="11" t="s">
        <v>5</v>
      </c>
    </row>
    <row r="99" spans="1:4" x14ac:dyDescent="0.25">
      <c r="A99" s="4" t="s">
        <v>4750</v>
      </c>
      <c r="B99" s="3" t="s">
        <v>102</v>
      </c>
      <c r="C99" s="14">
        <v>34788.11</v>
      </c>
      <c r="D99" s="11" t="s">
        <v>5</v>
      </c>
    </row>
    <row r="100" spans="1:4" x14ac:dyDescent="0.25">
      <c r="A100" s="4" t="s">
        <v>4751</v>
      </c>
      <c r="B100" s="3" t="s">
        <v>103</v>
      </c>
      <c r="C100" s="14">
        <v>27889.37</v>
      </c>
      <c r="D100" s="11" t="s">
        <v>5</v>
      </c>
    </row>
    <row r="101" spans="1:4" x14ac:dyDescent="0.25">
      <c r="A101" s="4" t="s">
        <v>4752</v>
      </c>
      <c r="B101" s="3" t="s">
        <v>104</v>
      </c>
      <c r="C101" s="14">
        <v>36337.49</v>
      </c>
      <c r="D101" s="11" t="s">
        <v>5</v>
      </c>
    </row>
    <row r="102" spans="1:4" x14ac:dyDescent="0.25">
      <c r="A102" s="4" t="s">
        <v>4753</v>
      </c>
      <c r="B102" s="3" t="s">
        <v>105</v>
      </c>
      <c r="C102" s="14">
        <v>41686.19</v>
      </c>
      <c r="D102" s="11" t="s">
        <v>5</v>
      </c>
    </row>
    <row r="103" spans="1:4" x14ac:dyDescent="0.25">
      <c r="A103" s="4" t="s">
        <v>4754</v>
      </c>
      <c r="B103" s="3" t="s">
        <v>106</v>
      </c>
      <c r="C103" s="14">
        <v>21.89</v>
      </c>
      <c r="D103" s="11" t="s">
        <v>107</v>
      </c>
    </row>
    <row r="104" spans="1:4" x14ac:dyDescent="0.25">
      <c r="A104" s="4" t="s">
        <v>4755</v>
      </c>
      <c r="B104" s="3" t="s">
        <v>108</v>
      </c>
      <c r="C104" s="14">
        <v>23.85</v>
      </c>
      <c r="D104" s="11" t="s">
        <v>107</v>
      </c>
    </row>
    <row r="105" spans="1:4" x14ac:dyDescent="0.25">
      <c r="A105" s="4" t="s">
        <v>4756</v>
      </c>
      <c r="B105" s="3" t="s">
        <v>109</v>
      </c>
      <c r="C105" s="14">
        <v>34.799999999999997</v>
      </c>
      <c r="D105" s="11" t="s">
        <v>107</v>
      </c>
    </row>
    <row r="106" spans="1:4" x14ac:dyDescent="0.25">
      <c r="A106" s="4" t="s">
        <v>4757</v>
      </c>
      <c r="B106" s="3" t="s">
        <v>110</v>
      </c>
      <c r="C106" s="14">
        <v>938.04</v>
      </c>
      <c r="D106" s="11" t="s">
        <v>5</v>
      </c>
    </row>
    <row r="107" spans="1:4" x14ac:dyDescent="0.25">
      <c r="A107" s="4" t="s">
        <v>4758</v>
      </c>
      <c r="B107" s="3" t="s">
        <v>111</v>
      </c>
      <c r="C107" s="14">
        <v>35.58</v>
      </c>
      <c r="D107" s="11" t="s">
        <v>5</v>
      </c>
    </row>
    <row r="108" spans="1:4" x14ac:dyDescent="0.25">
      <c r="A108" s="4" t="s">
        <v>4759</v>
      </c>
      <c r="B108" s="3" t="s">
        <v>112</v>
      </c>
      <c r="C108" s="14">
        <v>35.58</v>
      </c>
      <c r="D108" s="11" t="s">
        <v>5</v>
      </c>
    </row>
    <row r="109" spans="1:4" x14ac:dyDescent="0.25">
      <c r="A109" s="4" t="s">
        <v>4760</v>
      </c>
      <c r="B109" s="3" t="s">
        <v>113</v>
      </c>
      <c r="C109" s="14">
        <v>107.9</v>
      </c>
      <c r="D109" s="11" t="s">
        <v>5</v>
      </c>
    </row>
    <row r="110" spans="1:4" x14ac:dyDescent="0.25">
      <c r="A110" s="4" t="s">
        <v>4761</v>
      </c>
      <c r="B110" s="3" t="s">
        <v>114</v>
      </c>
      <c r="C110" s="14">
        <v>19.25</v>
      </c>
      <c r="D110" s="11" t="s">
        <v>5</v>
      </c>
    </row>
    <row r="111" spans="1:4" x14ac:dyDescent="0.25">
      <c r="A111" s="4" t="s">
        <v>4762</v>
      </c>
      <c r="B111" s="3" t="s">
        <v>115</v>
      </c>
      <c r="C111" s="14">
        <v>43.74</v>
      </c>
      <c r="D111" s="11" t="s">
        <v>5</v>
      </c>
    </row>
    <row r="112" spans="1:4" x14ac:dyDescent="0.25">
      <c r="A112" s="4" t="s">
        <v>4763</v>
      </c>
      <c r="B112" s="3" t="s">
        <v>116</v>
      </c>
      <c r="C112" s="14">
        <v>47.82</v>
      </c>
      <c r="D112" s="11" t="s">
        <v>5</v>
      </c>
    </row>
    <row r="113" spans="1:4" x14ac:dyDescent="0.25">
      <c r="A113" s="4" t="s">
        <v>4764</v>
      </c>
      <c r="B113" s="3" t="s">
        <v>117</v>
      </c>
      <c r="C113" s="14">
        <v>81.650000000000006</v>
      </c>
      <c r="D113" s="11" t="s">
        <v>5</v>
      </c>
    </row>
    <row r="114" spans="1:4" x14ac:dyDescent="0.25">
      <c r="A114" s="4" t="s">
        <v>4765</v>
      </c>
      <c r="B114" s="3" t="s">
        <v>118</v>
      </c>
      <c r="C114" s="14">
        <v>236.55</v>
      </c>
      <c r="D114" s="11" t="s">
        <v>5</v>
      </c>
    </row>
    <row r="115" spans="1:4" x14ac:dyDescent="0.25">
      <c r="A115" s="4" t="s">
        <v>4766</v>
      </c>
      <c r="B115" s="3" t="s">
        <v>119</v>
      </c>
      <c r="C115" s="14">
        <v>81.650000000000006</v>
      </c>
      <c r="D115" s="11" t="s">
        <v>5</v>
      </c>
    </row>
    <row r="116" spans="1:4" x14ac:dyDescent="0.25">
      <c r="A116" s="4" t="s">
        <v>4767</v>
      </c>
      <c r="B116" s="3" t="s">
        <v>120</v>
      </c>
      <c r="C116" s="14">
        <v>269.51</v>
      </c>
      <c r="D116" s="11" t="s">
        <v>5</v>
      </c>
    </row>
    <row r="117" spans="1:4" x14ac:dyDescent="0.25">
      <c r="A117" s="4" t="s">
        <v>4768</v>
      </c>
      <c r="B117" s="3" t="s">
        <v>121</v>
      </c>
      <c r="C117" s="14">
        <v>118.44</v>
      </c>
      <c r="D117" s="11" t="s">
        <v>5</v>
      </c>
    </row>
    <row r="118" spans="1:4" x14ac:dyDescent="0.25">
      <c r="A118" s="4" t="s">
        <v>4769</v>
      </c>
      <c r="B118" s="3" t="s">
        <v>122</v>
      </c>
      <c r="C118" s="14">
        <v>56.31</v>
      </c>
      <c r="D118" s="11" t="s">
        <v>5</v>
      </c>
    </row>
    <row r="119" spans="1:4" x14ac:dyDescent="0.25">
      <c r="A119" s="4" t="s">
        <v>4770</v>
      </c>
      <c r="B119" s="3" t="s">
        <v>123</v>
      </c>
      <c r="C119" s="14">
        <v>58.32</v>
      </c>
      <c r="D119" s="11" t="s">
        <v>5</v>
      </c>
    </row>
    <row r="120" spans="1:4" x14ac:dyDescent="0.25">
      <c r="A120" s="4" t="s">
        <v>4771</v>
      </c>
      <c r="B120" s="3" t="s">
        <v>124</v>
      </c>
      <c r="C120" s="14">
        <v>58.32</v>
      </c>
      <c r="D120" s="11" t="s">
        <v>5</v>
      </c>
    </row>
    <row r="121" spans="1:4" x14ac:dyDescent="0.25">
      <c r="A121" s="4" t="s">
        <v>4772</v>
      </c>
      <c r="B121" s="3" t="s">
        <v>125</v>
      </c>
      <c r="C121" s="14">
        <v>35</v>
      </c>
      <c r="D121" s="11" t="s">
        <v>5</v>
      </c>
    </row>
    <row r="122" spans="1:4" x14ac:dyDescent="0.25">
      <c r="A122" s="4" t="s">
        <v>4773</v>
      </c>
      <c r="B122" s="3" t="s">
        <v>126</v>
      </c>
      <c r="C122" s="14">
        <v>46.01</v>
      </c>
      <c r="D122" s="11" t="s">
        <v>5</v>
      </c>
    </row>
    <row r="123" spans="1:4" x14ac:dyDescent="0.25">
      <c r="A123" s="4" t="s">
        <v>4774</v>
      </c>
      <c r="B123" s="3" t="s">
        <v>127</v>
      </c>
      <c r="C123" s="14">
        <v>25.01</v>
      </c>
      <c r="D123" s="11" t="s">
        <v>5</v>
      </c>
    </row>
    <row r="124" spans="1:4" x14ac:dyDescent="0.25">
      <c r="A124" s="4" t="s">
        <v>4775</v>
      </c>
      <c r="B124" s="3" t="s">
        <v>128</v>
      </c>
      <c r="C124" s="14">
        <v>527.15</v>
      </c>
      <c r="D124" s="11" t="s">
        <v>5</v>
      </c>
    </row>
    <row r="125" spans="1:4" x14ac:dyDescent="0.25">
      <c r="A125" s="4" t="s">
        <v>4776</v>
      </c>
      <c r="B125" s="3" t="s">
        <v>129</v>
      </c>
      <c r="C125" s="14">
        <v>527.15</v>
      </c>
      <c r="D125" s="11" t="s">
        <v>5</v>
      </c>
    </row>
    <row r="126" spans="1:4" x14ac:dyDescent="0.25">
      <c r="A126" s="4" t="s">
        <v>4777</v>
      </c>
      <c r="B126" s="3" t="s">
        <v>130</v>
      </c>
      <c r="C126" s="14">
        <v>135.33000000000001</v>
      </c>
      <c r="D126" s="11" t="s">
        <v>5</v>
      </c>
    </row>
    <row r="127" spans="1:4" x14ac:dyDescent="0.25">
      <c r="A127" s="4" t="s">
        <v>4778</v>
      </c>
      <c r="B127" s="3" t="s">
        <v>131</v>
      </c>
      <c r="C127" s="14">
        <v>333.03</v>
      </c>
      <c r="D127" s="11" t="s">
        <v>5</v>
      </c>
    </row>
    <row r="128" spans="1:4" x14ac:dyDescent="0.25">
      <c r="A128" s="4" t="s">
        <v>4779</v>
      </c>
      <c r="B128" s="3" t="s">
        <v>132</v>
      </c>
      <c r="C128" s="14">
        <v>629.85</v>
      </c>
      <c r="D128" s="11" t="s">
        <v>5</v>
      </c>
    </row>
    <row r="129" spans="1:4" x14ac:dyDescent="0.25">
      <c r="A129" s="4" t="s">
        <v>4780</v>
      </c>
      <c r="B129" s="3" t="s">
        <v>133</v>
      </c>
      <c r="C129" s="14">
        <v>811.22</v>
      </c>
      <c r="D129" s="11" t="s">
        <v>5</v>
      </c>
    </row>
    <row r="130" spans="1:4" x14ac:dyDescent="0.25">
      <c r="A130" s="4" t="s">
        <v>4781</v>
      </c>
      <c r="B130" s="3" t="s">
        <v>134</v>
      </c>
      <c r="C130" s="14">
        <v>1471.91</v>
      </c>
      <c r="D130" s="11" t="s">
        <v>5</v>
      </c>
    </row>
    <row r="131" spans="1:4" x14ac:dyDescent="0.25">
      <c r="A131" s="4" t="s">
        <v>4782</v>
      </c>
      <c r="B131" s="3" t="s">
        <v>135</v>
      </c>
      <c r="C131" s="14">
        <v>699.84</v>
      </c>
      <c r="D131" s="11" t="s">
        <v>5</v>
      </c>
    </row>
    <row r="132" spans="1:4" x14ac:dyDescent="0.25">
      <c r="A132" s="4" t="s">
        <v>4783</v>
      </c>
      <c r="B132" s="3" t="s">
        <v>136</v>
      </c>
      <c r="C132" s="14">
        <v>9263.0300000000007</v>
      </c>
      <c r="D132" s="11" t="s">
        <v>5</v>
      </c>
    </row>
    <row r="133" spans="1:4" x14ac:dyDescent="0.25">
      <c r="A133" s="4" t="s">
        <v>4784</v>
      </c>
      <c r="B133" s="3" t="s">
        <v>137</v>
      </c>
      <c r="C133" s="14">
        <v>12266.79</v>
      </c>
      <c r="D133" s="11" t="s">
        <v>5</v>
      </c>
    </row>
    <row r="134" spans="1:4" x14ac:dyDescent="0.25">
      <c r="A134" s="4" t="s">
        <v>4785</v>
      </c>
      <c r="B134" s="3" t="s">
        <v>138</v>
      </c>
      <c r="C134" s="14">
        <v>1848.8</v>
      </c>
      <c r="D134" s="11" t="s">
        <v>5</v>
      </c>
    </row>
    <row r="135" spans="1:4" x14ac:dyDescent="0.25">
      <c r="A135" s="4" t="s">
        <v>4786</v>
      </c>
      <c r="B135" s="3" t="s">
        <v>139</v>
      </c>
      <c r="C135" s="14">
        <v>20076.36</v>
      </c>
      <c r="D135" s="11" t="s">
        <v>5</v>
      </c>
    </row>
    <row r="136" spans="1:4" x14ac:dyDescent="0.25">
      <c r="A136" s="4" t="s">
        <v>4787</v>
      </c>
      <c r="B136" s="3" t="s">
        <v>140</v>
      </c>
      <c r="C136" s="14">
        <v>30513.599999999999</v>
      </c>
      <c r="D136" s="11" t="s">
        <v>5</v>
      </c>
    </row>
    <row r="137" spans="1:4" x14ac:dyDescent="0.25">
      <c r="A137" s="4" t="s">
        <v>4788</v>
      </c>
      <c r="B137" s="3" t="s">
        <v>141</v>
      </c>
      <c r="C137" s="14">
        <v>25958.28</v>
      </c>
      <c r="D137" s="11" t="s">
        <v>5</v>
      </c>
    </row>
    <row r="138" spans="1:4" x14ac:dyDescent="0.25">
      <c r="A138" s="4" t="s">
        <v>4789</v>
      </c>
      <c r="B138" s="3" t="s">
        <v>142</v>
      </c>
      <c r="C138" s="14">
        <v>30513.599999999999</v>
      </c>
      <c r="D138" s="11" t="s">
        <v>5</v>
      </c>
    </row>
    <row r="139" spans="1:4" x14ac:dyDescent="0.25">
      <c r="A139" s="4" t="s">
        <v>4790</v>
      </c>
      <c r="B139" s="3" t="s">
        <v>143</v>
      </c>
      <c r="C139" s="14">
        <v>25958.28</v>
      </c>
      <c r="D139" s="11" t="s">
        <v>5</v>
      </c>
    </row>
    <row r="140" spans="1:4" x14ac:dyDescent="0.25">
      <c r="A140" s="4" t="s">
        <v>4791</v>
      </c>
      <c r="B140" s="3" t="s">
        <v>144</v>
      </c>
      <c r="C140" s="14">
        <v>30513.599999999999</v>
      </c>
      <c r="D140" s="11" t="s">
        <v>5</v>
      </c>
    </row>
    <row r="141" spans="1:4" x14ac:dyDescent="0.25">
      <c r="A141" s="4" t="s">
        <v>4792</v>
      </c>
      <c r="B141" s="3" t="s">
        <v>145</v>
      </c>
      <c r="C141" s="14">
        <v>8197.11</v>
      </c>
      <c r="D141" s="11" t="s">
        <v>5</v>
      </c>
    </row>
    <row r="142" spans="1:4" x14ac:dyDescent="0.25">
      <c r="A142" s="4" t="s">
        <v>4793</v>
      </c>
      <c r="B142" s="3" t="s">
        <v>146</v>
      </c>
      <c r="C142" s="14">
        <v>8564.06</v>
      </c>
      <c r="D142" s="11" t="s">
        <v>5</v>
      </c>
    </row>
    <row r="143" spans="1:4" x14ac:dyDescent="0.25">
      <c r="A143" s="4" t="s">
        <v>4794</v>
      </c>
      <c r="B143" s="3" t="s">
        <v>147</v>
      </c>
      <c r="C143" s="14">
        <v>30513.599999999999</v>
      </c>
      <c r="D143" s="11" t="s">
        <v>5</v>
      </c>
    </row>
    <row r="144" spans="1:4" x14ac:dyDescent="0.25">
      <c r="A144" s="4" t="s">
        <v>4795</v>
      </c>
      <c r="B144" s="3" t="s">
        <v>148</v>
      </c>
      <c r="C144" s="14">
        <v>25958.28</v>
      </c>
      <c r="D144" s="11" t="s">
        <v>5</v>
      </c>
    </row>
    <row r="145" spans="1:4" x14ac:dyDescent="0.25">
      <c r="A145" s="4" t="s">
        <v>4796</v>
      </c>
      <c r="B145" s="3" t="s">
        <v>149</v>
      </c>
      <c r="C145" s="14">
        <v>10803.96</v>
      </c>
      <c r="D145" s="11" t="s">
        <v>5</v>
      </c>
    </row>
    <row r="146" spans="1:4" x14ac:dyDescent="0.25">
      <c r="A146" s="4" t="s">
        <v>4797</v>
      </c>
      <c r="B146" s="3" t="s">
        <v>150</v>
      </c>
      <c r="C146" s="14">
        <v>26833.7</v>
      </c>
      <c r="D146" s="11" t="s">
        <v>5</v>
      </c>
    </row>
    <row r="147" spans="1:4" x14ac:dyDescent="0.25">
      <c r="A147" s="4" t="s">
        <v>4798</v>
      </c>
      <c r="B147" s="3" t="s">
        <v>151</v>
      </c>
      <c r="C147" s="14">
        <v>11678.96</v>
      </c>
      <c r="D147" s="11" t="s">
        <v>5</v>
      </c>
    </row>
    <row r="148" spans="1:4" x14ac:dyDescent="0.25">
      <c r="A148" s="4" t="s">
        <v>4799</v>
      </c>
      <c r="B148" s="3" t="s">
        <v>152</v>
      </c>
      <c r="C148" s="14">
        <v>11022.48</v>
      </c>
      <c r="D148" s="11" t="s">
        <v>5</v>
      </c>
    </row>
    <row r="149" spans="1:4" x14ac:dyDescent="0.25">
      <c r="A149" s="4" t="s">
        <v>4800</v>
      </c>
      <c r="B149" s="3" t="s">
        <v>153</v>
      </c>
      <c r="C149" s="14">
        <v>7837.5</v>
      </c>
      <c r="D149" s="11" t="s">
        <v>5</v>
      </c>
    </row>
    <row r="150" spans="1:4" x14ac:dyDescent="0.25">
      <c r="A150" s="4" t="s">
        <v>4801</v>
      </c>
      <c r="B150" s="3" t="s">
        <v>154</v>
      </c>
      <c r="C150" s="14">
        <v>30513.599999999999</v>
      </c>
      <c r="D150" s="11" t="s">
        <v>5</v>
      </c>
    </row>
    <row r="151" spans="1:4" x14ac:dyDescent="0.25">
      <c r="A151" s="4" t="s">
        <v>4802</v>
      </c>
      <c r="B151" s="3" t="s">
        <v>155</v>
      </c>
      <c r="C151" s="14">
        <v>8811.17</v>
      </c>
      <c r="D151" s="11" t="s">
        <v>5</v>
      </c>
    </row>
    <row r="152" spans="1:4" x14ac:dyDescent="0.25">
      <c r="A152" s="4" t="s">
        <v>4803</v>
      </c>
      <c r="B152" s="3" t="s">
        <v>156</v>
      </c>
      <c r="C152" s="14">
        <v>11624.03</v>
      </c>
      <c r="D152" s="11" t="s">
        <v>5</v>
      </c>
    </row>
    <row r="153" spans="1:4" x14ac:dyDescent="0.25">
      <c r="A153" s="4" t="s">
        <v>4804</v>
      </c>
      <c r="B153" s="3" t="s">
        <v>157</v>
      </c>
      <c r="C153" s="14">
        <v>30513.599999999999</v>
      </c>
      <c r="D153" s="11" t="s">
        <v>5</v>
      </c>
    </row>
    <row r="154" spans="1:4" x14ac:dyDescent="0.25">
      <c r="A154" s="4" t="s">
        <v>4805</v>
      </c>
      <c r="B154" s="3" t="s">
        <v>158</v>
      </c>
      <c r="C154" s="14">
        <v>23040.21</v>
      </c>
      <c r="D154" s="11" t="s">
        <v>5</v>
      </c>
    </row>
    <row r="155" spans="1:4" x14ac:dyDescent="0.25">
      <c r="A155" s="4" t="s">
        <v>4806</v>
      </c>
      <c r="B155" s="3" t="s">
        <v>159</v>
      </c>
      <c r="C155" s="14">
        <v>30513.599999999999</v>
      </c>
      <c r="D155" s="11" t="s">
        <v>5</v>
      </c>
    </row>
    <row r="156" spans="1:4" x14ac:dyDescent="0.25">
      <c r="A156" s="4" t="s">
        <v>4807</v>
      </c>
      <c r="B156" s="3" t="s">
        <v>160</v>
      </c>
      <c r="C156" s="14">
        <v>896.42</v>
      </c>
      <c r="D156" s="11" t="s">
        <v>5</v>
      </c>
    </row>
    <row r="157" spans="1:4" x14ac:dyDescent="0.25">
      <c r="A157" s="4" t="s">
        <v>4808</v>
      </c>
      <c r="B157" s="3" t="s">
        <v>161</v>
      </c>
      <c r="C157" s="14">
        <v>994.47</v>
      </c>
      <c r="D157" s="11" t="s">
        <v>5</v>
      </c>
    </row>
    <row r="158" spans="1:4" x14ac:dyDescent="0.25">
      <c r="A158" s="4" t="s">
        <v>4809</v>
      </c>
      <c r="B158" s="3" t="s">
        <v>162</v>
      </c>
      <c r="C158" s="14">
        <v>875.21</v>
      </c>
      <c r="D158" s="11" t="s">
        <v>5</v>
      </c>
    </row>
    <row r="159" spans="1:4" x14ac:dyDescent="0.25">
      <c r="A159" s="4" t="s">
        <v>4810</v>
      </c>
      <c r="B159" s="3" t="s">
        <v>163</v>
      </c>
      <c r="C159" s="14">
        <v>129237.47</v>
      </c>
      <c r="D159" s="11" t="s">
        <v>5</v>
      </c>
    </row>
    <row r="160" spans="1:4" x14ac:dyDescent="0.25">
      <c r="A160" s="4" t="s">
        <v>4811</v>
      </c>
      <c r="B160" s="3" t="s">
        <v>164</v>
      </c>
      <c r="C160" s="14">
        <v>66224.25</v>
      </c>
      <c r="D160" s="11" t="s">
        <v>5</v>
      </c>
    </row>
    <row r="161" spans="1:4" x14ac:dyDescent="0.25">
      <c r="A161" s="4" t="s">
        <v>4812</v>
      </c>
      <c r="B161" s="3" t="s">
        <v>165</v>
      </c>
      <c r="C161" s="14">
        <v>72301.100000000006</v>
      </c>
      <c r="D161" s="11" t="s">
        <v>5</v>
      </c>
    </row>
    <row r="162" spans="1:4" x14ac:dyDescent="0.25">
      <c r="A162" s="4" t="s">
        <v>4813</v>
      </c>
      <c r="B162" s="3" t="s">
        <v>166</v>
      </c>
      <c r="C162" s="14">
        <v>33075.599999999999</v>
      </c>
      <c r="D162" s="11" t="s">
        <v>5</v>
      </c>
    </row>
    <row r="163" spans="1:4" x14ac:dyDescent="0.25">
      <c r="A163" s="4" t="s">
        <v>4814</v>
      </c>
      <c r="B163" s="3" t="s">
        <v>167</v>
      </c>
      <c r="C163" s="14">
        <v>37005.050000000003</v>
      </c>
      <c r="D163" s="11" t="s">
        <v>5</v>
      </c>
    </row>
    <row r="164" spans="1:4" x14ac:dyDescent="0.25">
      <c r="A164" s="4" t="s">
        <v>4815</v>
      </c>
      <c r="B164" s="3" t="s">
        <v>168</v>
      </c>
      <c r="C164" s="14">
        <v>43893.77</v>
      </c>
      <c r="D164" s="11" t="s">
        <v>5</v>
      </c>
    </row>
    <row r="165" spans="1:4" x14ac:dyDescent="0.25">
      <c r="A165" s="4" t="s">
        <v>4816</v>
      </c>
      <c r="B165" s="3" t="s">
        <v>169</v>
      </c>
      <c r="C165" s="14">
        <v>113.64</v>
      </c>
      <c r="D165" s="11" t="s">
        <v>5</v>
      </c>
    </row>
    <row r="166" spans="1:4" x14ac:dyDescent="0.25">
      <c r="A166" s="4" t="s">
        <v>4817</v>
      </c>
      <c r="B166" s="3" t="s">
        <v>170</v>
      </c>
      <c r="C166" s="14">
        <v>119565.44</v>
      </c>
      <c r="D166" s="11" t="s">
        <v>5</v>
      </c>
    </row>
    <row r="167" spans="1:4" x14ac:dyDescent="0.25">
      <c r="A167" s="4" t="s">
        <v>4818</v>
      </c>
      <c r="B167" s="3" t="s">
        <v>171</v>
      </c>
      <c r="C167" s="14">
        <v>4397.67</v>
      </c>
      <c r="D167" s="11" t="s">
        <v>5</v>
      </c>
    </row>
    <row r="168" spans="1:4" x14ac:dyDescent="0.25">
      <c r="A168" s="4" t="s">
        <v>4819</v>
      </c>
      <c r="B168" s="3" t="s">
        <v>172</v>
      </c>
      <c r="C168" s="14">
        <v>4757.75</v>
      </c>
      <c r="D168" s="11" t="s">
        <v>5</v>
      </c>
    </row>
    <row r="169" spans="1:4" x14ac:dyDescent="0.25">
      <c r="A169" s="4" t="s">
        <v>4820</v>
      </c>
      <c r="B169" s="3" t="s">
        <v>173</v>
      </c>
      <c r="C169" s="14">
        <v>1431.06</v>
      </c>
      <c r="D169" s="11" t="s">
        <v>5</v>
      </c>
    </row>
    <row r="170" spans="1:4" x14ac:dyDescent="0.25">
      <c r="A170" s="4" t="s">
        <v>4821</v>
      </c>
      <c r="B170" s="3" t="s">
        <v>174</v>
      </c>
      <c r="C170" s="14">
        <v>2765.84</v>
      </c>
      <c r="D170" s="11" t="s">
        <v>5</v>
      </c>
    </row>
    <row r="171" spans="1:4" x14ac:dyDescent="0.25">
      <c r="A171" s="4" t="s">
        <v>4822</v>
      </c>
      <c r="B171" s="3" t="s">
        <v>175</v>
      </c>
      <c r="C171" s="14">
        <v>8390.57</v>
      </c>
      <c r="D171" s="11" t="s">
        <v>5</v>
      </c>
    </row>
    <row r="172" spans="1:4" x14ac:dyDescent="0.25">
      <c r="A172" s="4" t="s">
        <v>4823</v>
      </c>
      <c r="B172" s="3" t="s">
        <v>176</v>
      </c>
      <c r="C172" s="14">
        <v>4364.45</v>
      </c>
      <c r="D172" s="11" t="s">
        <v>5</v>
      </c>
    </row>
    <row r="173" spans="1:4" x14ac:dyDescent="0.25">
      <c r="A173" s="4" t="s">
        <v>4824</v>
      </c>
      <c r="B173" s="3" t="s">
        <v>177</v>
      </c>
      <c r="C173" s="14">
        <v>8462.4599999999991</v>
      </c>
      <c r="D173" s="11" t="s">
        <v>5</v>
      </c>
    </row>
    <row r="174" spans="1:4" x14ac:dyDescent="0.25">
      <c r="A174" s="4" t="s">
        <v>4825</v>
      </c>
      <c r="B174" s="3" t="s">
        <v>178</v>
      </c>
      <c r="C174" s="14">
        <v>21026.06</v>
      </c>
      <c r="D174" s="11" t="s">
        <v>5</v>
      </c>
    </row>
    <row r="175" spans="1:4" x14ac:dyDescent="0.25">
      <c r="A175" s="4" t="s">
        <v>4826</v>
      </c>
      <c r="B175" s="3" t="s">
        <v>179</v>
      </c>
      <c r="C175" s="14">
        <v>11215.61</v>
      </c>
      <c r="D175" s="11" t="s">
        <v>5</v>
      </c>
    </row>
    <row r="176" spans="1:4" x14ac:dyDescent="0.25">
      <c r="A176" s="4" t="s">
        <v>4827</v>
      </c>
      <c r="B176" s="3" t="s">
        <v>180</v>
      </c>
      <c r="C176" s="14">
        <v>11570.85</v>
      </c>
      <c r="D176" s="11" t="s">
        <v>5</v>
      </c>
    </row>
    <row r="177" spans="1:4" x14ac:dyDescent="0.25">
      <c r="A177" s="4" t="s">
        <v>4828</v>
      </c>
      <c r="B177" s="3" t="s">
        <v>181</v>
      </c>
      <c r="C177" s="14">
        <v>11570.85</v>
      </c>
      <c r="D177" s="11" t="s">
        <v>5</v>
      </c>
    </row>
    <row r="178" spans="1:4" x14ac:dyDescent="0.25">
      <c r="A178" s="4" t="s">
        <v>4829</v>
      </c>
      <c r="B178" s="3" t="s">
        <v>182</v>
      </c>
      <c r="C178" s="14">
        <v>1431.06</v>
      </c>
      <c r="D178" s="11" t="s">
        <v>5</v>
      </c>
    </row>
    <row r="179" spans="1:4" x14ac:dyDescent="0.25">
      <c r="A179" s="4" t="s">
        <v>4830</v>
      </c>
      <c r="B179" s="3" t="s">
        <v>183</v>
      </c>
      <c r="C179" s="14">
        <v>3273.35</v>
      </c>
      <c r="D179" s="11" t="s">
        <v>5</v>
      </c>
    </row>
    <row r="180" spans="1:4" x14ac:dyDescent="0.25">
      <c r="A180" s="4" t="s">
        <v>4831</v>
      </c>
      <c r="B180" s="3" t="s">
        <v>184</v>
      </c>
      <c r="C180" s="14">
        <v>11253.66</v>
      </c>
      <c r="D180" s="11" t="s">
        <v>5</v>
      </c>
    </row>
    <row r="181" spans="1:4" x14ac:dyDescent="0.25">
      <c r="A181" s="4" t="s">
        <v>4832</v>
      </c>
      <c r="B181" s="3" t="s">
        <v>185</v>
      </c>
      <c r="C181" s="14">
        <v>11773.85</v>
      </c>
      <c r="D181" s="11" t="s">
        <v>5</v>
      </c>
    </row>
    <row r="182" spans="1:4" x14ac:dyDescent="0.25">
      <c r="A182" s="4" t="s">
        <v>4833</v>
      </c>
      <c r="B182" s="3" t="s">
        <v>186</v>
      </c>
      <c r="C182" s="14">
        <v>8551.26</v>
      </c>
      <c r="D182" s="11" t="s">
        <v>5</v>
      </c>
    </row>
    <row r="183" spans="1:4" x14ac:dyDescent="0.25">
      <c r="A183" s="4" t="s">
        <v>4834</v>
      </c>
      <c r="B183" s="3" t="s">
        <v>187</v>
      </c>
      <c r="C183" s="14">
        <v>4973.43</v>
      </c>
      <c r="D183" s="11" t="s">
        <v>5</v>
      </c>
    </row>
    <row r="184" spans="1:4" x14ac:dyDescent="0.25">
      <c r="A184" s="4" t="s">
        <v>4835</v>
      </c>
      <c r="B184" s="3" t="s">
        <v>188</v>
      </c>
      <c r="C184" s="14">
        <v>5506.31</v>
      </c>
      <c r="D184" s="11" t="s">
        <v>5</v>
      </c>
    </row>
    <row r="185" spans="1:4" x14ac:dyDescent="0.25">
      <c r="A185" s="4" t="s">
        <v>4836</v>
      </c>
      <c r="B185" s="3" t="s">
        <v>189</v>
      </c>
      <c r="C185" s="14">
        <v>4415.21</v>
      </c>
      <c r="D185" s="11" t="s">
        <v>5</v>
      </c>
    </row>
    <row r="186" spans="1:4" x14ac:dyDescent="0.25">
      <c r="A186" s="4" t="s">
        <v>4837</v>
      </c>
      <c r="B186" s="3" t="s">
        <v>190</v>
      </c>
      <c r="C186" s="14">
        <v>6648.17</v>
      </c>
      <c r="D186" s="11" t="s">
        <v>5</v>
      </c>
    </row>
    <row r="187" spans="1:4" x14ac:dyDescent="0.25">
      <c r="A187" s="4" t="s">
        <v>4838</v>
      </c>
      <c r="B187" s="3" t="s">
        <v>191</v>
      </c>
      <c r="C187" s="14">
        <v>253226.49</v>
      </c>
      <c r="D187" s="11" t="s">
        <v>5</v>
      </c>
    </row>
    <row r="188" spans="1:4" x14ac:dyDescent="0.25">
      <c r="A188" s="4" t="s">
        <v>4839</v>
      </c>
      <c r="B188" s="3" t="s">
        <v>192</v>
      </c>
      <c r="C188" s="14">
        <v>16924.91</v>
      </c>
      <c r="D188" s="11" t="s">
        <v>5</v>
      </c>
    </row>
    <row r="189" spans="1:4" x14ac:dyDescent="0.25">
      <c r="A189" s="4" t="s">
        <v>4840</v>
      </c>
      <c r="B189" s="3" t="s">
        <v>193</v>
      </c>
      <c r="C189" s="14">
        <v>16924.91</v>
      </c>
      <c r="D189" s="11" t="s">
        <v>5</v>
      </c>
    </row>
    <row r="190" spans="1:4" x14ac:dyDescent="0.25">
      <c r="A190" s="4" t="s">
        <v>4841</v>
      </c>
      <c r="B190" s="3" t="s">
        <v>194</v>
      </c>
      <c r="C190" s="14">
        <v>12623.9</v>
      </c>
      <c r="D190" s="11" t="s">
        <v>5</v>
      </c>
    </row>
    <row r="191" spans="1:4" x14ac:dyDescent="0.25">
      <c r="A191" s="4" t="s">
        <v>4842</v>
      </c>
      <c r="B191" s="3" t="s">
        <v>195</v>
      </c>
      <c r="C191" s="14">
        <v>21187.85</v>
      </c>
      <c r="D191" s="11" t="s">
        <v>5</v>
      </c>
    </row>
    <row r="192" spans="1:4" x14ac:dyDescent="0.25">
      <c r="A192" s="4" t="s">
        <v>4843</v>
      </c>
      <c r="B192" s="3" t="s">
        <v>196</v>
      </c>
      <c r="C192" s="14">
        <v>15618.11</v>
      </c>
      <c r="D192" s="11" t="s">
        <v>5</v>
      </c>
    </row>
    <row r="193" spans="1:4" x14ac:dyDescent="0.25">
      <c r="A193" s="4" t="s">
        <v>4844</v>
      </c>
      <c r="B193" s="3" t="s">
        <v>197</v>
      </c>
      <c r="C193" s="14">
        <v>21593.84</v>
      </c>
      <c r="D193" s="11" t="s">
        <v>5</v>
      </c>
    </row>
    <row r="194" spans="1:4" x14ac:dyDescent="0.25">
      <c r="A194" s="4" t="s">
        <v>4845</v>
      </c>
      <c r="B194" s="3" t="s">
        <v>198</v>
      </c>
      <c r="C194" s="14">
        <v>24347</v>
      </c>
      <c r="D194" s="11" t="s">
        <v>5</v>
      </c>
    </row>
    <row r="195" spans="1:4" x14ac:dyDescent="0.25">
      <c r="A195" s="4" t="s">
        <v>4846</v>
      </c>
      <c r="B195" s="3" t="s">
        <v>199</v>
      </c>
      <c r="C195" s="14">
        <v>9464.75</v>
      </c>
      <c r="D195" s="11" t="s">
        <v>5</v>
      </c>
    </row>
    <row r="196" spans="1:4" x14ac:dyDescent="0.25">
      <c r="A196" s="4" t="s">
        <v>4847</v>
      </c>
      <c r="B196" s="3" t="s">
        <v>200</v>
      </c>
      <c r="C196" s="14">
        <v>16493.52</v>
      </c>
      <c r="D196" s="11" t="s">
        <v>5</v>
      </c>
    </row>
    <row r="197" spans="1:4" x14ac:dyDescent="0.25">
      <c r="A197" s="4" t="s">
        <v>4848</v>
      </c>
      <c r="B197" s="3" t="s">
        <v>201</v>
      </c>
      <c r="C197" s="14">
        <v>18675.75</v>
      </c>
      <c r="D197" s="11" t="s">
        <v>5</v>
      </c>
    </row>
    <row r="198" spans="1:4" x14ac:dyDescent="0.25">
      <c r="A198" s="4" t="s">
        <v>4849</v>
      </c>
      <c r="B198" s="3" t="s">
        <v>202</v>
      </c>
      <c r="C198" s="14">
        <v>5113.01</v>
      </c>
      <c r="D198" s="11" t="s">
        <v>5</v>
      </c>
    </row>
    <row r="199" spans="1:4" x14ac:dyDescent="0.25">
      <c r="A199" s="4" t="s">
        <v>4850</v>
      </c>
      <c r="B199" s="3" t="s">
        <v>203</v>
      </c>
      <c r="C199" s="14">
        <v>6457.85</v>
      </c>
      <c r="D199" s="11" t="s">
        <v>5</v>
      </c>
    </row>
    <row r="200" spans="1:4" x14ac:dyDescent="0.25">
      <c r="A200" s="4" t="s">
        <v>4851</v>
      </c>
      <c r="B200" s="3" t="s">
        <v>204</v>
      </c>
      <c r="C200" s="14">
        <v>1355.09</v>
      </c>
      <c r="D200" s="11" t="s">
        <v>5</v>
      </c>
    </row>
    <row r="201" spans="1:4" x14ac:dyDescent="0.25">
      <c r="A201" s="4" t="s">
        <v>4852</v>
      </c>
      <c r="B201" s="3" t="s">
        <v>205</v>
      </c>
      <c r="C201" s="14">
        <v>3225.9</v>
      </c>
      <c r="D201" s="11" t="s">
        <v>5</v>
      </c>
    </row>
    <row r="202" spans="1:4" x14ac:dyDescent="0.25">
      <c r="A202" s="4" t="s">
        <v>4853</v>
      </c>
      <c r="B202" s="3" t="s">
        <v>206</v>
      </c>
      <c r="C202" s="14">
        <v>15161.36</v>
      </c>
      <c r="D202" s="11" t="s">
        <v>5</v>
      </c>
    </row>
    <row r="203" spans="1:4" x14ac:dyDescent="0.25">
      <c r="A203" s="4" t="s">
        <v>4854</v>
      </c>
      <c r="B203" s="3" t="s">
        <v>207</v>
      </c>
      <c r="C203" s="14">
        <v>19843.009999999998</v>
      </c>
      <c r="D203" s="11" t="s">
        <v>5</v>
      </c>
    </row>
    <row r="204" spans="1:4" x14ac:dyDescent="0.25">
      <c r="A204" s="4" t="s">
        <v>4855</v>
      </c>
      <c r="B204" s="3" t="s">
        <v>208</v>
      </c>
      <c r="C204" s="14">
        <v>22418.52</v>
      </c>
      <c r="D204" s="11" t="s">
        <v>5</v>
      </c>
    </row>
    <row r="205" spans="1:4" x14ac:dyDescent="0.25">
      <c r="A205" s="4" t="s">
        <v>4856</v>
      </c>
      <c r="B205" s="3" t="s">
        <v>209</v>
      </c>
      <c r="C205" s="14">
        <v>9464.75</v>
      </c>
      <c r="D205" s="11" t="s">
        <v>5</v>
      </c>
    </row>
    <row r="206" spans="1:4" x14ac:dyDescent="0.25">
      <c r="A206" s="4" t="s">
        <v>4857</v>
      </c>
      <c r="B206" s="3" t="s">
        <v>210</v>
      </c>
      <c r="C206" s="14">
        <v>16493.52</v>
      </c>
      <c r="D206" s="11" t="s">
        <v>5</v>
      </c>
    </row>
    <row r="207" spans="1:4" x14ac:dyDescent="0.25">
      <c r="A207" s="4" t="s">
        <v>4858</v>
      </c>
      <c r="B207" s="3" t="s">
        <v>211</v>
      </c>
      <c r="C207" s="14">
        <v>18675.75</v>
      </c>
      <c r="D207" s="11" t="s">
        <v>5</v>
      </c>
    </row>
    <row r="208" spans="1:4" x14ac:dyDescent="0.25">
      <c r="A208" s="4" t="s">
        <v>4859</v>
      </c>
      <c r="B208" s="3" t="s">
        <v>212</v>
      </c>
      <c r="C208" s="14">
        <v>10657.37</v>
      </c>
      <c r="D208" s="11" t="s">
        <v>5</v>
      </c>
    </row>
    <row r="209" spans="1:4" x14ac:dyDescent="0.25">
      <c r="A209" s="4" t="s">
        <v>4860</v>
      </c>
      <c r="B209" s="3" t="s">
        <v>213</v>
      </c>
      <c r="C209" s="14">
        <v>3397.17</v>
      </c>
      <c r="D209" s="11" t="s">
        <v>5</v>
      </c>
    </row>
    <row r="210" spans="1:4" x14ac:dyDescent="0.25">
      <c r="A210" s="4" t="s">
        <v>4861</v>
      </c>
      <c r="B210" s="3" t="s">
        <v>214</v>
      </c>
      <c r="C210" s="14">
        <v>8843.07</v>
      </c>
      <c r="D210" s="11" t="s">
        <v>5</v>
      </c>
    </row>
    <row r="211" spans="1:4" x14ac:dyDescent="0.25">
      <c r="A211" s="4" t="s">
        <v>4862</v>
      </c>
      <c r="B211" s="3" t="s">
        <v>215</v>
      </c>
      <c r="C211" s="14">
        <v>2121.12</v>
      </c>
      <c r="D211" s="11" t="s">
        <v>5</v>
      </c>
    </row>
    <row r="212" spans="1:4" x14ac:dyDescent="0.25">
      <c r="A212" s="4" t="s">
        <v>4863</v>
      </c>
      <c r="B212" s="3" t="s">
        <v>216</v>
      </c>
      <c r="C212" s="14">
        <v>13.32</v>
      </c>
      <c r="D212" s="11" t="s">
        <v>107</v>
      </c>
    </row>
    <row r="213" spans="1:4" x14ac:dyDescent="0.25">
      <c r="A213" s="4" t="s">
        <v>4864</v>
      </c>
      <c r="B213" s="3" t="s">
        <v>217</v>
      </c>
      <c r="C213" s="14">
        <v>16.79</v>
      </c>
      <c r="D213" s="11" t="s">
        <v>107</v>
      </c>
    </row>
    <row r="214" spans="1:4" x14ac:dyDescent="0.25">
      <c r="A214" s="4" t="s">
        <v>4865</v>
      </c>
      <c r="B214" s="3" t="s">
        <v>218</v>
      </c>
      <c r="C214" s="14">
        <v>10390.92</v>
      </c>
      <c r="D214" s="11" t="s">
        <v>5</v>
      </c>
    </row>
    <row r="215" spans="1:4" x14ac:dyDescent="0.25">
      <c r="A215" s="4" t="s">
        <v>4866</v>
      </c>
      <c r="B215" s="3" t="s">
        <v>219</v>
      </c>
      <c r="C215" s="14">
        <v>27125.54</v>
      </c>
      <c r="D215" s="11" t="s">
        <v>5</v>
      </c>
    </row>
    <row r="216" spans="1:4" x14ac:dyDescent="0.25">
      <c r="A216" s="4" t="s">
        <v>4867</v>
      </c>
      <c r="B216" s="3" t="s">
        <v>220</v>
      </c>
      <c r="C216" s="14">
        <v>50990.39</v>
      </c>
      <c r="D216" s="11" t="s">
        <v>5</v>
      </c>
    </row>
    <row r="217" spans="1:4" x14ac:dyDescent="0.25">
      <c r="A217" s="4" t="s">
        <v>4868</v>
      </c>
      <c r="B217" s="3" t="s">
        <v>221</v>
      </c>
      <c r="C217" s="14">
        <v>32936.33</v>
      </c>
      <c r="D217" s="11" t="s">
        <v>5</v>
      </c>
    </row>
    <row r="218" spans="1:4" x14ac:dyDescent="0.25">
      <c r="A218" s="4" t="s">
        <v>4869</v>
      </c>
      <c r="B218" s="3" t="s">
        <v>222</v>
      </c>
      <c r="C218" s="14">
        <v>67927.98</v>
      </c>
      <c r="D218" s="11" t="s">
        <v>5</v>
      </c>
    </row>
    <row r="219" spans="1:4" x14ac:dyDescent="0.25">
      <c r="A219" s="4" t="s">
        <v>4870</v>
      </c>
      <c r="B219" s="3" t="s">
        <v>223</v>
      </c>
      <c r="C219" s="14">
        <v>47475.99</v>
      </c>
      <c r="D219" s="11" t="s">
        <v>5</v>
      </c>
    </row>
    <row r="220" spans="1:4" x14ac:dyDescent="0.25">
      <c r="A220" s="4" t="s">
        <v>4871</v>
      </c>
      <c r="B220" s="3" t="s">
        <v>224</v>
      </c>
      <c r="C220" s="14">
        <v>6050.52</v>
      </c>
      <c r="D220" s="11" t="s">
        <v>5</v>
      </c>
    </row>
    <row r="221" spans="1:4" x14ac:dyDescent="0.25">
      <c r="A221" s="4" t="s">
        <v>4872</v>
      </c>
      <c r="B221" s="3" t="s">
        <v>225</v>
      </c>
      <c r="C221" s="14">
        <v>3173.15</v>
      </c>
      <c r="D221" s="11" t="s">
        <v>5</v>
      </c>
    </row>
    <row r="222" spans="1:4" x14ac:dyDescent="0.25">
      <c r="A222" s="4" t="s">
        <v>4873</v>
      </c>
      <c r="B222" s="3" t="s">
        <v>226</v>
      </c>
      <c r="C222" s="14">
        <v>8170.65</v>
      </c>
      <c r="D222" s="11" t="s">
        <v>5</v>
      </c>
    </row>
    <row r="223" spans="1:4" x14ac:dyDescent="0.25">
      <c r="A223" s="4" t="s">
        <v>4874</v>
      </c>
      <c r="B223" s="3" t="s">
        <v>227</v>
      </c>
      <c r="C223" s="14">
        <v>10657.37</v>
      </c>
      <c r="D223" s="11" t="s">
        <v>5</v>
      </c>
    </row>
    <row r="224" spans="1:4" x14ac:dyDescent="0.25">
      <c r="A224" s="4" t="s">
        <v>4875</v>
      </c>
      <c r="B224" s="3" t="s">
        <v>228</v>
      </c>
      <c r="C224" s="14">
        <v>12243.27</v>
      </c>
      <c r="D224" s="11" t="s">
        <v>5</v>
      </c>
    </row>
    <row r="225" spans="1:4" x14ac:dyDescent="0.25">
      <c r="A225" s="4" t="s">
        <v>4876</v>
      </c>
      <c r="B225" s="3" t="s">
        <v>229</v>
      </c>
      <c r="C225" s="14">
        <v>1071.27</v>
      </c>
      <c r="D225" s="11" t="s">
        <v>5</v>
      </c>
    </row>
    <row r="226" spans="1:4" x14ac:dyDescent="0.25">
      <c r="A226" s="4" t="s">
        <v>4877</v>
      </c>
      <c r="B226" s="3" t="s">
        <v>230</v>
      </c>
      <c r="C226" s="14">
        <v>1598.15</v>
      </c>
      <c r="D226" s="11" t="s">
        <v>5</v>
      </c>
    </row>
    <row r="227" spans="1:4" x14ac:dyDescent="0.25">
      <c r="A227" s="4" t="s">
        <v>4878</v>
      </c>
      <c r="B227" s="3" t="s">
        <v>231</v>
      </c>
      <c r="C227" s="14">
        <v>7460.16</v>
      </c>
      <c r="D227" s="11" t="s">
        <v>5</v>
      </c>
    </row>
    <row r="228" spans="1:4" x14ac:dyDescent="0.25">
      <c r="A228" s="4" t="s">
        <v>4879</v>
      </c>
      <c r="B228" s="3" t="s">
        <v>232</v>
      </c>
      <c r="C228" s="14">
        <v>9718.49</v>
      </c>
      <c r="D228" s="11" t="s">
        <v>5</v>
      </c>
    </row>
    <row r="229" spans="1:4" x14ac:dyDescent="0.25">
      <c r="A229" s="4" t="s">
        <v>4880</v>
      </c>
      <c r="B229" s="3" t="s">
        <v>233</v>
      </c>
      <c r="C229" s="14">
        <v>5328.68</v>
      </c>
      <c r="D229" s="11" t="s">
        <v>5</v>
      </c>
    </row>
    <row r="230" spans="1:4" x14ac:dyDescent="0.25">
      <c r="A230" s="4" t="s">
        <v>4881</v>
      </c>
      <c r="B230" s="3" t="s">
        <v>234</v>
      </c>
      <c r="C230" s="14">
        <v>7079.54</v>
      </c>
      <c r="D230" s="11" t="s">
        <v>5</v>
      </c>
    </row>
    <row r="231" spans="1:4" x14ac:dyDescent="0.25">
      <c r="A231" s="4" t="s">
        <v>4882</v>
      </c>
      <c r="B231" s="3" t="s">
        <v>235</v>
      </c>
      <c r="C231" s="14">
        <v>10758.86</v>
      </c>
      <c r="D231" s="11" t="s">
        <v>5</v>
      </c>
    </row>
    <row r="232" spans="1:4" x14ac:dyDescent="0.25">
      <c r="A232" s="4" t="s">
        <v>4883</v>
      </c>
      <c r="B232" s="3" t="s">
        <v>236</v>
      </c>
      <c r="C232" s="14">
        <v>8754.26</v>
      </c>
      <c r="D232" s="11" t="s">
        <v>5</v>
      </c>
    </row>
    <row r="233" spans="1:4" x14ac:dyDescent="0.25">
      <c r="A233" s="4" t="s">
        <v>4884</v>
      </c>
      <c r="B233" s="3" t="s">
        <v>237</v>
      </c>
      <c r="C233" s="14">
        <v>10175.24</v>
      </c>
      <c r="D233" s="11" t="s">
        <v>5</v>
      </c>
    </row>
    <row r="234" spans="1:4" x14ac:dyDescent="0.25">
      <c r="A234" s="4" t="s">
        <v>4885</v>
      </c>
      <c r="B234" s="3" t="s">
        <v>238</v>
      </c>
      <c r="C234" s="14">
        <v>10796.93</v>
      </c>
      <c r="D234" s="11" t="s">
        <v>5</v>
      </c>
    </row>
    <row r="235" spans="1:4" x14ac:dyDescent="0.25">
      <c r="A235" s="4" t="s">
        <v>4886</v>
      </c>
      <c r="B235" s="3" t="s">
        <v>239</v>
      </c>
      <c r="C235" s="14">
        <v>1294.0999999999999</v>
      </c>
      <c r="D235" s="11" t="s">
        <v>5</v>
      </c>
    </row>
    <row r="236" spans="1:4" x14ac:dyDescent="0.25">
      <c r="A236" s="4" t="s">
        <v>4887</v>
      </c>
      <c r="B236" s="3" t="s">
        <v>240</v>
      </c>
      <c r="C236" s="14">
        <v>2499.41</v>
      </c>
      <c r="D236" s="11" t="s">
        <v>5</v>
      </c>
    </row>
    <row r="237" spans="1:4" x14ac:dyDescent="0.25">
      <c r="A237" s="4" t="s">
        <v>4888</v>
      </c>
      <c r="B237" s="3" t="s">
        <v>241</v>
      </c>
      <c r="C237" s="14">
        <v>7942.28</v>
      </c>
      <c r="D237" s="11" t="s">
        <v>5</v>
      </c>
    </row>
    <row r="238" spans="1:4" x14ac:dyDescent="0.25">
      <c r="A238" s="4" t="s">
        <v>4889</v>
      </c>
      <c r="B238" s="3" t="s">
        <v>242</v>
      </c>
      <c r="C238" s="14">
        <v>9109.52</v>
      </c>
      <c r="D238" s="11" t="s">
        <v>5</v>
      </c>
    </row>
    <row r="239" spans="1:4" x14ac:dyDescent="0.25">
      <c r="A239" s="4" t="s">
        <v>4890</v>
      </c>
      <c r="B239" s="3" t="s">
        <v>243</v>
      </c>
      <c r="C239" s="14">
        <v>14539.68</v>
      </c>
      <c r="D239" s="11" t="s">
        <v>5</v>
      </c>
    </row>
    <row r="240" spans="1:4" x14ac:dyDescent="0.25">
      <c r="A240" s="4" t="s">
        <v>4891</v>
      </c>
      <c r="B240" s="3" t="s">
        <v>244</v>
      </c>
      <c r="C240" s="14">
        <v>14514.32</v>
      </c>
      <c r="D240" s="11" t="s">
        <v>5</v>
      </c>
    </row>
    <row r="241" spans="1:4" x14ac:dyDescent="0.25">
      <c r="A241" s="4" t="s">
        <v>4892</v>
      </c>
      <c r="B241" s="3" t="s">
        <v>245</v>
      </c>
      <c r="C241" s="14">
        <v>3182.45</v>
      </c>
      <c r="D241" s="11" t="s">
        <v>5</v>
      </c>
    </row>
    <row r="242" spans="1:4" x14ac:dyDescent="0.25">
      <c r="A242" s="4" t="s">
        <v>4893</v>
      </c>
      <c r="B242" s="3" t="s">
        <v>246</v>
      </c>
      <c r="C242" s="14">
        <v>5288.1</v>
      </c>
      <c r="D242" s="11" t="s">
        <v>5</v>
      </c>
    </row>
    <row r="243" spans="1:4" x14ac:dyDescent="0.25">
      <c r="A243" s="4" t="s">
        <v>4894</v>
      </c>
      <c r="B243" s="3" t="s">
        <v>247</v>
      </c>
      <c r="C243" s="14">
        <v>35867.1</v>
      </c>
      <c r="D243" s="11" t="s">
        <v>5</v>
      </c>
    </row>
    <row r="244" spans="1:4" x14ac:dyDescent="0.25">
      <c r="A244" s="4" t="s">
        <v>4895</v>
      </c>
      <c r="B244" s="3" t="s">
        <v>247</v>
      </c>
      <c r="C244" s="14">
        <v>40853.22</v>
      </c>
      <c r="D244" s="11" t="s">
        <v>5</v>
      </c>
    </row>
    <row r="245" spans="1:4" x14ac:dyDescent="0.25">
      <c r="A245" s="4" t="s">
        <v>4896</v>
      </c>
      <c r="B245" s="3" t="s">
        <v>248</v>
      </c>
      <c r="C245" s="14">
        <v>37656.019999999997</v>
      </c>
      <c r="D245" s="11" t="s">
        <v>5</v>
      </c>
    </row>
    <row r="246" spans="1:4" x14ac:dyDescent="0.25">
      <c r="A246" s="4" t="s">
        <v>4897</v>
      </c>
      <c r="B246" s="3" t="s">
        <v>249</v>
      </c>
      <c r="C246" s="14">
        <v>78475.47</v>
      </c>
      <c r="D246" s="11" t="s">
        <v>5</v>
      </c>
    </row>
    <row r="247" spans="1:4" x14ac:dyDescent="0.25">
      <c r="A247" s="4" t="s">
        <v>4898</v>
      </c>
      <c r="B247" s="3" t="s">
        <v>250</v>
      </c>
      <c r="C247" s="14">
        <v>84080.84</v>
      </c>
      <c r="D247" s="11" t="s">
        <v>5</v>
      </c>
    </row>
    <row r="248" spans="1:4" x14ac:dyDescent="0.25">
      <c r="A248" s="4" t="s">
        <v>4899</v>
      </c>
      <c r="B248" s="3" t="s">
        <v>251</v>
      </c>
      <c r="C248" s="14">
        <v>34459.43</v>
      </c>
      <c r="D248" s="11" t="s">
        <v>5</v>
      </c>
    </row>
    <row r="249" spans="1:4" x14ac:dyDescent="0.25">
      <c r="A249" s="4" t="s">
        <v>4900</v>
      </c>
      <c r="B249" s="3" t="s">
        <v>252</v>
      </c>
      <c r="C249" s="14">
        <v>28357.23</v>
      </c>
      <c r="D249" s="11" t="s">
        <v>5</v>
      </c>
    </row>
    <row r="250" spans="1:4" x14ac:dyDescent="0.25">
      <c r="A250" s="4" t="s">
        <v>4901</v>
      </c>
      <c r="B250" s="3" t="s">
        <v>253</v>
      </c>
      <c r="C250" s="14">
        <v>473164.46</v>
      </c>
      <c r="D250" s="11" t="s">
        <v>5</v>
      </c>
    </row>
    <row r="251" spans="1:4" x14ac:dyDescent="0.25">
      <c r="A251" s="4" t="s">
        <v>4902</v>
      </c>
      <c r="B251" s="3" t="s">
        <v>254</v>
      </c>
      <c r="C251" s="14">
        <v>5349.24</v>
      </c>
      <c r="D251" s="11" t="s">
        <v>5</v>
      </c>
    </row>
    <row r="252" spans="1:4" x14ac:dyDescent="0.25">
      <c r="A252" s="4" t="s">
        <v>4903</v>
      </c>
      <c r="B252" s="3" t="s">
        <v>255</v>
      </c>
      <c r="C252" s="14">
        <v>6995.16</v>
      </c>
      <c r="D252" s="11" t="s">
        <v>5</v>
      </c>
    </row>
    <row r="253" spans="1:4" x14ac:dyDescent="0.25">
      <c r="A253" s="4" t="s">
        <v>4904</v>
      </c>
      <c r="B253" s="3" t="s">
        <v>256</v>
      </c>
      <c r="C253" s="14">
        <v>9669.7800000000007</v>
      </c>
      <c r="D253" s="11" t="s">
        <v>5</v>
      </c>
    </row>
    <row r="254" spans="1:4" x14ac:dyDescent="0.25">
      <c r="A254" s="4" t="s">
        <v>4905</v>
      </c>
      <c r="B254" s="3" t="s">
        <v>257</v>
      </c>
      <c r="C254" s="14">
        <v>12961.62</v>
      </c>
      <c r="D254" s="11" t="s">
        <v>5</v>
      </c>
    </row>
    <row r="255" spans="1:4" x14ac:dyDescent="0.25">
      <c r="A255" s="4" t="s">
        <v>4906</v>
      </c>
      <c r="B255" s="3" t="s">
        <v>258</v>
      </c>
      <c r="C255" s="14">
        <v>17282.16</v>
      </c>
      <c r="D255" s="11" t="s">
        <v>5</v>
      </c>
    </row>
    <row r="256" spans="1:4" x14ac:dyDescent="0.25">
      <c r="A256" s="4" t="s">
        <v>4907</v>
      </c>
      <c r="B256" s="3" t="s">
        <v>259</v>
      </c>
      <c r="C256" s="14">
        <v>30810.78</v>
      </c>
      <c r="D256" s="11" t="s">
        <v>5</v>
      </c>
    </row>
    <row r="257" spans="1:4" x14ac:dyDescent="0.25">
      <c r="A257" s="4" t="s">
        <v>4908</v>
      </c>
      <c r="B257" s="3" t="s">
        <v>260</v>
      </c>
      <c r="C257" s="14">
        <v>44234.1</v>
      </c>
      <c r="D257" s="11" t="s">
        <v>5</v>
      </c>
    </row>
    <row r="258" spans="1:4" x14ac:dyDescent="0.25">
      <c r="A258" s="4" t="s">
        <v>4909</v>
      </c>
      <c r="B258" s="3" t="s">
        <v>261</v>
      </c>
      <c r="C258" s="14">
        <v>5452.11</v>
      </c>
      <c r="D258" s="11" t="s">
        <v>5</v>
      </c>
    </row>
    <row r="259" spans="1:4" x14ac:dyDescent="0.25">
      <c r="A259" s="4" t="s">
        <v>4910</v>
      </c>
      <c r="B259" s="3" t="s">
        <v>262</v>
      </c>
      <c r="C259" s="14">
        <v>7097.22</v>
      </c>
      <c r="D259" s="11" t="s">
        <v>5</v>
      </c>
    </row>
    <row r="260" spans="1:4" x14ac:dyDescent="0.25">
      <c r="A260" s="4" t="s">
        <v>4911</v>
      </c>
      <c r="B260" s="3" t="s">
        <v>263</v>
      </c>
      <c r="C260" s="14">
        <v>10081.26</v>
      </c>
      <c r="D260" s="11" t="s">
        <v>5</v>
      </c>
    </row>
    <row r="261" spans="1:4" x14ac:dyDescent="0.25">
      <c r="A261" s="4" t="s">
        <v>4912</v>
      </c>
      <c r="B261" s="3" t="s">
        <v>264</v>
      </c>
      <c r="C261" s="14">
        <v>10523.52</v>
      </c>
      <c r="D261" s="11" t="s">
        <v>5</v>
      </c>
    </row>
    <row r="262" spans="1:4" x14ac:dyDescent="0.25">
      <c r="A262" s="4" t="s">
        <v>4913</v>
      </c>
      <c r="B262" s="3" t="s">
        <v>265</v>
      </c>
      <c r="C262" s="14">
        <v>624.79999999999995</v>
      </c>
      <c r="D262" s="11" t="s">
        <v>5</v>
      </c>
    </row>
    <row r="263" spans="1:4" x14ac:dyDescent="0.25">
      <c r="A263" s="4" t="s">
        <v>4914</v>
      </c>
      <c r="B263" s="3" t="s">
        <v>266</v>
      </c>
      <c r="C263" s="14">
        <v>985.31</v>
      </c>
      <c r="D263" s="11" t="s">
        <v>5</v>
      </c>
    </row>
    <row r="264" spans="1:4" x14ac:dyDescent="0.25">
      <c r="A264" s="4" t="s">
        <v>4915</v>
      </c>
      <c r="B264" s="3" t="s">
        <v>267</v>
      </c>
      <c r="C264" s="14">
        <v>3179.28</v>
      </c>
      <c r="D264" s="11" t="s">
        <v>5</v>
      </c>
    </row>
    <row r="265" spans="1:4" x14ac:dyDescent="0.25">
      <c r="A265" s="4" t="s">
        <v>4916</v>
      </c>
      <c r="B265" s="3" t="s">
        <v>268</v>
      </c>
      <c r="C265" s="14">
        <v>4657.2299999999996</v>
      </c>
      <c r="D265" s="11" t="s">
        <v>5</v>
      </c>
    </row>
    <row r="266" spans="1:4" x14ac:dyDescent="0.25">
      <c r="A266" s="4" t="s">
        <v>4917</v>
      </c>
      <c r="B266" s="3" t="s">
        <v>269</v>
      </c>
      <c r="C266" s="14">
        <v>2573.5500000000002</v>
      </c>
      <c r="D266" s="11" t="s">
        <v>5</v>
      </c>
    </row>
    <row r="267" spans="1:4" x14ac:dyDescent="0.25">
      <c r="A267" s="4" t="s">
        <v>4918</v>
      </c>
      <c r="B267" s="3" t="s">
        <v>270</v>
      </c>
      <c r="C267" s="14">
        <v>2945.07</v>
      </c>
      <c r="D267" s="11" t="s">
        <v>5</v>
      </c>
    </row>
    <row r="268" spans="1:4" x14ac:dyDescent="0.25">
      <c r="A268" s="4" t="s">
        <v>4919</v>
      </c>
      <c r="B268" s="3" t="s">
        <v>271</v>
      </c>
      <c r="C268" s="14">
        <v>1739.66</v>
      </c>
      <c r="D268" s="11" t="s">
        <v>5</v>
      </c>
    </row>
    <row r="269" spans="1:4" x14ac:dyDescent="0.25">
      <c r="A269" s="4" t="s">
        <v>4920</v>
      </c>
      <c r="B269" s="3" t="s">
        <v>272</v>
      </c>
      <c r="C269" s="14">
        <v>2487.44</v>
      </c>
      <c r="D269" s="11" t="s">
        <v>5</v>
      </c>
    </row>
    <row r="270" spans="1:4" x14ac:dyDescent="0.25">
      <c r="A270" s="4" t="s">
        <v>4921</v>
      </c>
      <c r="B270" s="3" t="s">
        <v>273</v>
      </c>
      <c r="C270" s="14">
        <v>2293.46</v>
      </c>
      <c r="D270" s="11" t="s">
        <v>5</v>
      </c>
    </row>
    <row r="271" spans="1:4" x14ac:dyDescent="0.25">
      <c r="A271" s="4" t="s">
        <v>4922</v>
      </c>
      <c r="B271" s="3" t="s">
        <v>274</v>
      </c>
      <c r="C271" s="14">
        <v>1982.12</v>
      </c>
      <c r="D271" s="11" t="s">
        <v>5</v>
      </c>
    </row>
    <row r="272" spans="1:4" x14ac:dyDescent="0.25">
      <c r="A272" s="4" t="s">
        <v>4923</v>
      </c>
      <c r="B272" s="3" t="s">
        <v>275</v>
      </c>
      <c r="C272" s="14">
        <v>3830.87</v>
      </c>
      <c r="D272" s="11" t="s">
        <v>5</v>
      </c>
    </row>
    <row r="273" spans="1:4" x14ac:dyDescent="0.25">
      <c r="A273" s="4" t="s">
        <v>4924</v>
      </c>
      <c r="B273" s="3" t="s">
        <v>276</v>
      </c>
      <c r="C273" s="14">
        <v>2241.59</v>
      </c>
      <c r="D273" s="11" t="s">
        <v>5</v>
      </c>
    </row>
    <row r="274" spans="1:4" x14ac:dyDescent="0.25">
      <c r="A274" s="4" t="s">
        <v>4925</v>
      </c>
      <c r="B274" s="3" t="s">
        <v>277</v>
      </c>
      <c r="C274" s="14">
        <v>162.27000000000001</v>
      </c>
      <c r="D274" s="11" t="s">
        <v>5</v>
      </c>
    </row>
    <row r="275" spans="1:4" x14ac:dyDescent="0.25">
      <c r="A275" s="4" t="s">
        <v>4926</v>
      </c>
      <c r="B275" s="3" t="s">
        <v>278</v>
      </c>
      <c r="C275" s="14">
        <v>1739.66</v>
      </c>
      <c r="D275" s="11" t="s">
        <v>5</v>
      </c>
    </row>
    <row r="276" spans="1:4" x14ac:dyDescent="0.25">
      <c r="A276" s="4" t="s">
        <v>4927</v>
      </c>
      <c r="B276" s="3" t="s">
        <v>279</v>
      </c>
      <c r="C276" s="14">
        <v>2487.44</v>
      </c>
      <c r="D276" s="11" t="s">
        <v>5</v>
      </c>
    </row>
    <row r="277" spans="1:4" x14ac:dyDescent="0.25">
      <c r="A277" s="4" t="s">
        <v>4928</v>
      </c>
      <c r="B277" s="3" t="s">
        <v>280</v>
      </c>
      <c r="C277" s="14">
        <v>2051.87</v>
      </c>
      <c r="D277" s="11" t="s">
        <v>5</v>
      </c>
    </row>
    <row r="278" spans="1:4" x14ac:dyDescent="0.25">
      <c r="A278" s="4" t="s">
        <v>4929</v>
      </c>
      <c r="B278" s="3" t="s">
        <v>281</v>
      </c>
      <c r="C278" s="14">
        <v>2267.19</v>
      </c>
      <c r="D278" s="11" t="s">
        <v>5</v>
      </c>
    </row>
    <row r="279" spans="1:4" x14ac:dyDescent="0.25">
      <c r="A279" s="4" t="s">
        <v>4930</v>
      </c>
      <c r="B279" s="3" t="s">
        <v>282</v>
      </c>
      <c r="C279" s="14">
        <v>4020.45</v>
      </c>
      <c r="D279" s="11" t="s">
        <v>5</v>
      </c>
    </row>
    <row r="280" spans="1:4" x14ac:dyDescent="0.25">
      <c r="A280" s="4" t="s">
        <v>4931</v>
      </c>
      <c r="B280" s="3" t="s">
        <v>283</v>
      </c>
      <c r="C280" s="14">
        <v>2736.11</v>
      </c>
      <c r="D280" s="11" t="s">
        <v>5</v>
      </c>
    </row>
    <row r="281" spans="1:4" x14ac:dyDescent="0.25">
      <c r="A281" s="4" t="s">
        <v>4932</v>
      </c>
      <c r="B281" s="3" t="s">
        <v>284</v>
      </c>
      <c r="C281" s="14">
        <v>3730.13</v>
      </c>
      <c r="D281" s="11" t="s">
        <v>5</v>
      </c>
    </row>
    <row r="282" spans="1:4" x14ac:dyDescent="0.25">
      <c r="A282" s="4" t="s">
        <v>4933</v>
      </c>
      <c r="B282" s="3" t="s">
        <v>285</v>
      </c>
      <c r="C282" s="14">
        <v>2913.33</v>
      </c>
      <c r="D282" s="11" t="s">
        <v>5</v>
      </c>
    </row>
    <row r="283" spans="1:4" x14ac:dyDescent="0.25">
      <c r="A283" s="4" t="s">
        <v>4934</v>
      </c>
      <c r="B283" s="3" t="s">
        <v>286</v>
      </c>
      <c r="C283" s="14">
        <v>2523.5</v>
      </c>
      <c r="D283" s="11" t="s">
        <v>5</v>
      </c>
    </row>
    <row r="284" spans="1:4" x14ac:dyDescent="0.25">
      <c r="A284" s="4" t="s">
        <v>4935</v>
      </c>
      <c r="B284" s="3" t="s">
        <v>287</v>
      </c>
      <c r="C284" s="14">
        <v>1354.59</v>
      </c>
      <c r="D284" s="11" t="s">
        <v>5</v>
      </c>
    </row>
    <row r="285" spans="1:4" x14ac:dyDescent="0.25">
      <c r="A285" s="4" t="s">
        <v>4936</v>
      </c>
      <c r="B285" s="3" t="s">
        <v>288</v>
      </c>
      <c r="C285" s="14">
        <v>1681.1</v>
      </c>
      <c r="D285" s="11" t="s">
        <v>5</v>
      </c>
    </row>
    <row r="286" spans="1:4" x14ac:dyDescent="0.25">
      <c r="A286" s="4" t="s">
        <v>4937</v>
      </c>
      <c r="B286" s="3" t="s">
        <v>289</v>
      </c>
      <c r="C286" s="14">
        <v>435.87</v>
      </c>
      <c r="D286" s="11" t="s">
        <v>5</v>
      </c>
    </row>
    <row r="287" spans="1:4" x14ac:dyDescent="0.25">
      <c r="A287" s="4" t="s">
        <v>4938</v>
      </c>
      <c r="B287" s="3" t="s">
        <v>290</v>
      </c>
      <c r="C287" s="14">
        <v>435.87</v>
      </c>
      <c r="D287" s="11" t="s">
        <v>5</v>
      </c>
    </row>
    <row r="288" spans="1:4" x14ac:dyDescent="0.25">
      <c r="A288" s="4" t="s">
        <v>4939</v>
      </c>
      <c r="B288" s="3" t="s">
        <v>291</v>
      </c>
      <c r="C288" s="14">
        <v>618.65</v>
      </c>
      <c r="D288" s="11" t="s">
        <v>5</v>
      </c>
    </row>
    <row r="289" spans="1:4" x14ac:dyDescent="0.25">
      <c r="A289" s="4" t="s">
        <v>4940</v>
      </c>
      <c r="B289" s="3" t="s">
        <v>292</v>
      </c>
      <c r="C289" s="14">
        <v>738.92</v>
      </c>
      <c r="D289" s="11" t="s">
        <v>5</v>
      </c>
    </row>
    <row r="290" spans="1:4" x14ac:dyDescent="0.25">
      <c r="A290" s="4" t="s">
        <v>4941</v>
      </c>
      <c r="B290" s="3" t="s">
        <v>293</v>
      </c>
      <c r="C290" s="14">
        <v>790.92</v>
      </c>
      <c r="D290" s="11" t="s">
        <v>5</v>
      </c>
    </row>
    <row r="291" spans="1:4" x14ac:dyDescent="0.25">
      <c r="A291" s="4" t="s">
        <v>4942</v>
      </c>
      <c r="B291" s="3" t="s">
        <v>294</v>
      </c>
      <c r="C291" s="14">
        <v>968.61</v>
      </c>
      <c r="D291" s="11" t="s">
        <v>5</v>
      </c>
    </row>
    <row r="292" spans="1:4" x14ac:dyDescent="0.25">
      <c r="A292" s="4" t="s">
        <v>4943</v>
      </c>
      <c r="B292" s="3" t="s">
        <v>295</v>
      </c>
      <c r="C292" s="14">
        <v>655.49</v>
      </c>
      <c r="D292" s="11" t="s">
        <v>5</v>
      </c>
    </row>
    <row r="293" spans="1:4" x14ac:dyDescent="0.25">
      <c r="A293" s="4" t="s">
        <v>4944</v>
      </c>
      <c r="B293" s="3" t="s">
        <v>296</v>
      </c>
      <c r="C293" s="14">
        <v>1997.9</v>
      </c>
      <c r="D293" s="11" t="s">
        <v>5</v>
      </c>
    </row>
    <row r="294" spans="1:4" x14ac:dyDescent="0.25">
      <c r="A294" s="4" t="s">
        <v>4945</v>
      </c>
      <c r="B294" s="3" t="s">
        <v>297</v>
      </c>
      <c r="C294" s="14">
        <v>2370.6</v>
      </c>
      <c r="D294" s="11" t="s">
        <v>5</v>
      </c>
    </row>
    <row r="295" spans="1:4" x14ac:dyDescent="0.25">
      <c r="A295" s="4" t="s">
        <v>4946</v>
      </c>
      <c r="B295" s="3" t="s">
        <v>298</v>
      </c>
      <c r="C295" s="14">
        <v>2501.6999999999998</v>
      </c>
      <c r="D295" s="11" t="s">
        <v>5</v>
      </c>
    </row>
    <row r="296" spans="1:4" x14ac:dyDescent="0.25">
      <c r="A296" s="4" t="s">
        <v>4947</v>
      </c>
      <c r="B296" s="3" t="s">
        <v>299</v>
      </c>
      <c r="C296" s="14">
        <v>9156.2900000000009</v>
      </c>
      <c r="D296" s="11" t="s">
        <v>5</v>
      </c>
    </row>
    <row r="297" spans="1:4" x14ac:dyDescent="0.25">
      <c r="A297" s="4" t="s">
        <v>4948</v>
      </c>
      <c r="B297" s="3" t="s">
        <v>300</v>
      </c>
      <c r="C297" s="14">
        <v>13560.54</v>
      </c>
      <c r="D297" s="11" t="s">
        <v>5</v>
      </c>
    </row>
    <row r="298" spans="1:4" x14ac:dyDescent="0.25">
      <c r="A298" s="4" t="s">
        <v>4949</v>
      </c>
      <c r="B298" s="3" t="s">
        <v>301</v>
      </c>
      <c r="C298" s="14">
        <v>15287.57</v>
      </c>
      <c r="D298" s="11" t="s">
        <v>5</v>
      </c>
    </row>
    <row r="299" spans="1:4" x14ac:dyDescent="0.25">
      <c r="A299" s="4" t="s">
        <v>4950</v>
      </c>
      <c r="B299" s="3" t="s">
        <v>302</v>
      </c>
      <c r="C299" s="14">
        <v>2198.16</v>
      </c>
      <c r="D299" s="11" t="s">
        <v>5</v>
      </c>
    </row>
    <row r="300" spans="1:4" x14ac:dyDescent="0.25">
      <c r="A300" s="4" t="s">
        <v>4951</v>
      </c>
      <c r="B300" s="3" t="s">
        <v>303</v>
      </c>
      <c r="C300" s="14">
        <v>606.29</v>
      </c>
      <c r="D300" s="11" t="s">
        <v>5</v>
      </c>
    </row>
    <row r="301" spans="1:4" x14ac:dyDescent="0.25">
      <c r="A301" s="4" t="s">
        <v>4952</v>
      </c>
      <c r="B301" s="3" t="s">
        <v>304</v>
      </c>
      <c r="C301" s="14">
        <v>525.02</v>
      </c>
      <c r="D301" s="11" t="s">
        <v>5</v>
      </c>
    </row>
    <row r="302" spans="1:4" x14ac:dyDescent="0.25">
      <c r="A302" s="4" t="s">
        <v>4953</v>
      </c>
      <c r="B302" s="3" t="s">
        <v>305</v>
      </c>
      <c r="C302" s="14">
        <v>331.82</v>
      </c>
      <c r="D302" s="11" t="s">
        <v>5</v>
      </c>
    </row>
    <row r="303" spans="1:4" x14ac:dyDescent="0.25">
      <c r="A303" s="4" t="s">
        <v>4954</v>
      </c>
      <c r="B303" s="3" t="s">
        <v>306</v>
      </c>
      <c r="C303" s="14">
        <v>1236.81</v>
      </c>
      <c r="D303" s="11" t="s">
        <v>5</v>
      </c>
    </row>
    <row r="304" spans="1:4" x14ac:dyDescent="0.25">
      <c r="A304" s="4" t="s">
        <v>4955</v>
      </c>
      <c r="B304" s="3" t="s">
        <v>307</v>
      </c>
      <c r="C304" s="14">
        <v>1322.58</v>
      </c>
      <c r="D304" s="11" t="s">
        <v>5</v>
      </c>
    </row>
    <row r="305" spans="1:4" x14ac:dyDescent="0.25">
      <c r="A305" s="4" t="s">
        <v>4956</v>
      </c>
      <c r="B305" s="3" t="s">
        <v>308</v>
      </c>
      <c r="C305" s="14">
        <v>1967.57</v>
      </c>
      <c r="D305" s="11" t="s">
        <v>5</v>
      </c>
    </row>
    <row r="306" spans="1:4" x14ac:dyDescent="0.25">
      <c r="A306" s="4" t="s">
        <v>4957</v>
      </c>
      <c r="B306" s="3" t="s">
        <v>309</v>
      </c>
      <c r="C306" s="14">
        <v>1491.23</v>
      </c>
      <c r="D306" s="11" t="s">
        <v>5</v>
      </c>
    </row>
    <row r="307" spans="1:4" x14ac:dyDescent="0.25">
      <c r="A307" s="4" t="s">
        <v>4958</v>
      </c>
      <c r="B307" s="3" t="s">
        <v>310</v>
      </c>
      <c r="C307" s="14">
        <v>3613.64</v>
      </c>
      <c r="D307" s="11" t="s">
        <v>5</v>
      </c>
    </row>
    <row r="308" spans="1:4" x14ac:dyDescent="0.25">
      <c r="A308" s="4" t="s">
        <v>4959</v>
      </c>
      <c r="B308" s="3" t="s">
        <v>311</v>
      </c>
      <c r="C308" s="14">
        <v>3342.9</v>
      </c>
      <c r="D308" s="11" t="s">
        <v>5</v>
      </c>
    </row>
    <row r="309" spans="1:4" x14ac:dyDescent="0.25">
      <c r="A309" s="4" t="s">
        <v>4960</v>
      </c>
      <c r="B309" s="3" t="s">
        <v>312</v>
      </c>
      <c r="C309" s="14">
        <v>954.95</v>
      </c>
      <c r="D309" s="11" t="s">
        <v>5</v>
      </c>
    </row>
    <row r="310" spans="1:4" x14ac:dyDescent="0.25">
      <c r="A310" s="4" t="s">
        <v>4961</v>
      </c>
      <c r="B310" s="3" t="s">
        <v>313</v>
      </c>
      <c r="C310" s="14">
        <v>1141.22</v>
      </c>
      <c r="D310" s="11" t="s">
        <v>5</v>
      </c>
    </row>
    <row r="311" spans="1:4" x14ac:dyDescent="0.25">
      <c r="A311" s="4" t="s">
        <v>4962</v>
      </c>
      <c r="B311" s="3" t="s">
        <v>314</v>
      </c>
      <c r="C311" s="14">
        <v>1122.71</v>
      </c>
      <c r="D311" s="11" t="s">
        <v>5</v>
      </c>
    </row>
    <row r="312" spans="1:4" x14ac:dyDescent="0.25">
      <c r="A312" s="4" t="s">
        <v>4963</v>
      </c>
      <c r="B312" s="3" t="s">
        <v>315</v>
      </c>
      <c r="C312" s="14">
        <v>1584.27</v>
      </c>
      <c r="D312" s="11" t="s">
        <v>5</v>
      </c>
    </row>
    <row r="313" spans="1:4" x14ac:dyDescent="0.25">
      <c r="A313" s="4" t="s">
        <v>4964</v>
      </c>
      <c r="B313" s="3" t="s">
        <v>316</v>
      </c>
      <c r="C313" s="14">
        <v>2308.9499999999998</v>
      </c>
      <c r="D313" s="11" t="s">
        <v>5</v>
      </c>
    </row>
    <row r="314" spans="1:4" x14ac:dyDescent="0.25">
      <c r="A314" s="4" t="s">
        <v>4965</v>
      </c>
      <c r="B314" s="3" t="s">
        <v>317</v>
      </c>
      <c r="C314" s="14">
        <v>6202.32</v>
      </c>
      <c r="D314" s="11" t="s">
        <v>5</v>
      </c>
    </row>
    <row r="315" spans="1:4" x14ac:dyDescent="0.25">
      <c r="A315" s="4" t="s">
        <v>4966</v>
      </c>
      <c r="B315" s="3" t="s">
        <v>318</v>
      </c>
      <c r="C315" s="14">
        <v>704.96</v>
      </c>
      <c r="D315" s="11" t="s">
        <v>5</v>
      </c>
    </row>
    <row r="316" spans="1:4" x14ac:dyDescent="0.25">
      <c r="A316" s="4" t="s">
        <v>4967</v>
      </c>
      <c r="B316" s="3" t="s">
        <v>319</v>
      </c>
      <c r="C316" s="14">
        <v>704.96</v>
      </c>
      <c r="D316" s="11" t="s">
        <v>5</v>
      </c>
    </row>
    <row r="317" spans="1:4" x14ac:dyDescent="0.25">
      <c r="A317" s="4" t="s">
        <v>4968</v>
      </c>
      <c r="B317" s="3" t="s">
        <v>320</v>
      </c>
      <c r="C317" s="14">
        <v>126.02</v>
      </c>
      <c r="D317" s="11" t="s">
        <v>5</v>
      </c>
    </row>
    <row r="318" spans="1:4" x14ac:dyDescent="0.25">
      <c r="A318" s="4" t="s">
        <v>4969</v>
      </c>
      <c r="B318" s="3" t="s">
        <v>321</v>
      </c>
      <c r="C318" s="14">
        <v>3075.83</v>
      </c>
      <c r="D318" s="11" t="s">
        <v>5</v>
      </c>
    </row>
    <row r="319" spans="1:4" x14ac:dyDescent="0.25">
      <c r="A319" s="4" t="s">
        <v>4970</v>
      </c>
      <c r="B319" s="3" t="s">
        <v>322</v>
      </c>
      <c r="C319" s="14">
        <v>3515.24</v>
      </c>
      <c r="D319" s="11" t="s">
        <v>5</v>
      </c>
    </row>
    <row r="320" spans="1:4" x14ac:dyDescent="0.25">
      <c r="A320" s="4" t="s">
        <v>4971</v>
      </c>
      <c r="B320" s="3" t="s">
        <v>323</v>
      </c>
      <c r="C320" s="14">
        <v>4915.8500000000004</v>
      </c>
      <c r="D320" s="11" t="s">
        <v>5</v>
      </c>
    </row>
    <row r="321" spans="1:4" x14ac:dyDescent="0.25">
      <c r="A321" s="4" t="s">
        <v>4972</v>
      </c>
      <c r="B321" s="3" t="s">
        <v>324</v>
      </c>
      <c r="C321" s="14">
        <v>1861.35</v>
      </c>
      <c r="D321" s="11" t="s">
        <v>5</v>
      </c>
    </row>
    <row r="322" spans="1:4" x14ac:dyDescent="0.25">
      <c r="A322" s="4" t="s">
        <v>4973</v>
      </c>
      <c r="B322" s="3" t="s">
        <v>325</v>
      </c>
      <c r="C322" s="14">
        <v>2550.4499999999998</v>
      </c>
      <c r="D322" s="11" t="s">
        <v>5</v>
      </c>
    </row>
    <row r="323" spans="1:4" x14ac:dyDescent="0.25">
      <c r="A323" s="4" t="s">
        <v>4974</v>
      </c>
      <c r="B323" s="3" t="s">
        <v>326</v>
      </c>
      <c r="C323" s="14">
        <v>3063.68</v>
      </c>
      <c r="D323" s="11" t="s">
        <v>5</v>
      </c>
    </row>
    <row r="324" spans="1:4" x14ac:dyDescent="0.25">
      <c r="A324" s="4" t="s">
        <v>4975</v>
      </c>
      <c r="B324" s="3" t="s">
        <v>327</v>
      </c>
      <c r="C324" s="14">
        <v>3127.86</v>
      </c>
      <c r="D324" s="11" t="s">
        <v>5</v>
      </c>
    </row>
    <row r="325" spans="1:4" x14ac:dyDescent="0.25">
      <c r="A325" s="4" t="s">
        <v>4976</v>
      </c>
      <c r="B325" s="3" t="s">
        <v>328</v>
      </c>
      <c r="C325" s="14">
        <v>5010.3900000000003</v>
      </c>
      <c r="D325" s="11" t="s">
        <v>5</v>
      </c>
    </row>
    <row r="326" spans="1:4" x14ac:dyDescent="0.25">
      <c r="A326" s="4" t="s">
        <v>4977</v>
      </c>
      <c r="B326" s="3" t="s">
        <v>329</v>
      </c>
      <c r="C326" s="14">
        <v>5154.17</v>
      </c>
      <c r="D326" s="11" t="s">
        <v>5</v>
      </c>
    </row>
    <row r="327" spans="1:4" x14ac:dyDescent="0.25">
      <c r="A327" s="4" t="s">
        <v>4978</v>
      </c>
      <c r="B327" s="3" t="s">
        <v>330</v>
      </c>
      <c r="C327" s="14">
        <v>1482.99</v>
      </c>
      <c r="D327" s="11" t="s">
        <v>5</v>
      </c>
    </row>
    <row r="328" spans="1:4" x14ac:dyDescent="0.25">
      <c r="A328" s="4" t="s">
        <v>4979</v>
      </c>
      <c r="B328" s="3" t="s">
        <v>331</v>
      </c>
      <c r="C328" s="14">
        <v>1268.93</v>
      </c>
      <c r="D328" s="11" t="s">
        <v>5</v>
      </c>
    </row>
    <row r="329" spans="1:4" x14ac:dyDescent="0.25">
      <c r="A329" s="4" t="s">
        <v>4980</v>
      </c>
      <c r="B329" s="3" t="s">
        <v>332</v>
      </c>
      <c r="C329" s="14">
        <v>2801.21</v>
      </c>
      <c r="D329" s="11" t="s">
        <v>5</v>
      </c>
    </row>
    <row r="330" spans="1:4" x14ac:dyDescent="0.25">
      <c r="A330" s="4" t="s">
        <v>4981</v>
      </c>
      <c r="B330" s="3" t="s">
        <v>333</v>
      </c>
      <c r="C330" s="14">
        <v>2279.4</v>
      </c>
      <c r="D330" s="11" t="s">
        <v>5</v>
      </c>
    </row>
    <row r="331" spans="1:4" x14ac:dyDescent="0.25">
      <c r="A331" s="4" t="s">
        <v>4982</v>
      </c>
      <c r="B331" s="3" t="s">
        <v>334</v>
      </c>
      <c r="C331" s="14">
        <v>4751.0600000000004</v>
      </c>
      <c r="D331" s="11" t="s">
        <v>5</v>
      </c>
    </row>
    <row r="332" spans="1:4" x14ac:dyDescent="0.25">
      <c r="A332" s="4" t="s">
        <v>4983</v>
      </c>
      <c r="B332" s="3" t="s">
        <v>335</v>
      </c>
      <c r="C332" s="14">
        <v>4394.04</v>
      </c>
      <c r="D332" s="11" t="s">
        <v>5</v>
      </c>
    </row>
    <row r="333" spans="1:4" x14ac:dyDescent="0.25">
      <c r="A333" s="4" t="s">
        <v>4984</v>
      </c>
      <c r="B333" s="3" t="s">
        <v>336</v>
      </c>
      <c r="C333" s="14">
        <v>4037.03</v>
      </c>
      <c r="D333" s="11" t="s">
        <v>5</v>
      </c>
    </row>
    <row r="334" spans="1:4" x14ac:dyDescent="0.25">
      <c r="A334" s="4" t="s">
        <v>4985</v>
      </c>
      <c r="B334" s="3" t="s">
        <v>337</v>
      </c>
      <c r="C334" s="14">
        <v>7387.49</v>
      </c>
      <c r="D334" s="11" t="s">
        <v>5</v>
      </c>
    </row>
    <row r="335" spans="1:4" x14ac:dyDescent="0.25">
      <c r="A335" s="4" t="s">
        <v>4986</v>
      </c>
      <c r="B335" s="3" t="s">
        <v>338</v>
      </c>
      <c r="C335" s="14">
        <v>6673.44</v>
      </c>
      <c r="D335" s="11" t="s">
        <v>5</v>
      </c>
    </row>
    <row r="336" spans="1:4" x14ac:dyDescent="0.25">
      <c r="A336" s="4" t="s">
        <v>4987</v>
      </c>
      <c r="B336" s="3" t="s">
        <v>339</v>
      </c>
      <c r="C336" s="14">
        <v>5986.88</v>
      </c>
      <c r="D336" s="11" t="s">
        <v>5</v>
      </c>
    </row>
    <row r="337" spans="1:4" x14ac:dyDescent="0.25">
      <c r="A337" s="4" t="s">
        <v>4988</v>
      </c>
      <c r="B337" s="3" t="s">
        <v>340</v>
      </c>
      <c r="C337" s="14">
        <v>5108.07</v>
      </c>
      <c r="D337" s="11" t="s">
        <v>5</v>
      </c>
    </row>
    <row r="338" spans="1:4" x14ac:dyDescent="0.25">
      <c r="A338" s="4" t="s">
        <v>4989</v>
      </c>
      <c r="B338" s="3" t="s">
        <v>341</v>
      </c>
      <c r="C338" s="14">
        <v>11946.3</v>
      </c>
      <c r="D338" s="11" t="s">
        <v>5</v>
      </c>
    </row>
    <row r="339" spans="1:4" x14ac:dyDescent="0.25">
      <c r="A339" s="4" t="s">
        <v>4990</v>
      </c>
      <c r="B339" s="3" t="s">
        <v>342</v>
      </c>
      <c r="C339" s="14">
        <v>10902.72</v>
      </c>
      <c r="D339" s="11" t="s">
        <v>5</v>
      </c>
    </row>
    <row r="340" spans="1:4" x14ac:dyDescent="0.25">
      <c r="A340" s="4" t="s">
        <v>4991</v>
      </c>
      <c r="B340" s="3" t="s">
        <v>343</v>
      </c>
      <c r="C340" s="14">
        <v>9831.66</v>
      </c>
      <c r="D340" s="11" t="s">
        <v>5</v>
      </c>
    </row>
    <row r="341" spans="1:4" x14ac:dyDescent="0.25">
      <c r="A341" s="4" t="s">
        <v>4992</v>
      </c>
      <c r="B341" s="3" t="s">
        <v>344</v>
      </c>
      <c r="C341" s="14">
        <v>7991.66</v>
      </c>
      <c r="D341" s="11" t="s">
        <v>5</v>
      </c>
    </row>
    <row r="342" spans="1:4" x14ac:dyDescent="0.25">
      <c r="A342" s="4" t="s">
        <v>4993</v>
      </c>
      <c r="B342" s="3" t="s">
        <v>345</v>
      </c>
      <c r="C342" s="14">
        <v>7469.87</v>
      </c>
      <c r="D342" s="11" t="s">
        <v>5</v>
      </c>
    </row>
    <row r="343" spans="1:4" x14ac:dyDescent="0.25">
      <c r="A343" s="4" t="s">
        <v>4994</v>
      </c>
      <c r="B343" s="3" t="s">
        <v>346</v>
      </c>
      <c r="C343" s="14">
        <v>1687.01</v>
      </c>
      <c r="D343" s="11" t="s">
        <v>5</v>
      </c>
    </row>
    <row r="344" spans="1:4" x14ac:dyDescent="0.25">
      <c r="A344" s="4" t="s">
        <v>4995</v>
      </c>
      <c r="B344" s="3" t="s">
        <v>347</v>
      </c>
      <c r="C344" s="14">
        <v>8513.4599999999991</v>
      </c>
      <c r="D344" s="11" t="s">
        <v>5</v>
      </c>
    </row>
    <row r="345" spans="1:4" x14ac:dyDescent="0.25">
      <c r="A345" s="4" t="s">
        <v>4996</v>
      </c>
      <c r="B345" s="3" t="s">
        <v>348</v>
      </c>
      <c r="C345" s="14">
        <v>8513.4599999999991</v>
      </c>
      <c r="D345" s="11" t="s">
        <v>5</v>
      </c>
    </row>
    <row r="346" spans="1:4" x14ac:dyDescent="0.25">
      <c r="A346" s="4" t="s">
        <v>4997</v>
      </c>
      <c r="B346" s="3" t="s">
        <v>349</v>
      </c>
      <c r="C346" s="14">
        <v>3680.01</v>
      </c>
      <c r="D346" s="11" t="s">
        <v>5</v>
      </c>
    </row>
    <row r="347" spans="1:4" x14ac:dyDescent="0.25">
      <c r="A347" s="4" t="s">
        <v>4998</v>
      </c>
      <c r="B347" s="3" t="s">
        <v>350</v>
      </c>
      <c r="C347" s="14">
        <v>1316.37</v>
      </c>
      <c r="D347" s="11" t="s">
        <v>5</v>
      </c>
    </row>
    <row r="348" spans="1:4" x14ac:dyDescent="0.25">
      <c r="A348" s="4" t="s">
        <v>4999</v>
      </c>
      <c r="B348" s="3" t="s">
        <v>351</v>
      </c>
      <c r="C348" s="14">
        <v>6430.46</v>
      </c>
      <c r="D348" s="11" t="s">
        <v>5</v>
      </c>
    </row>
    <row r="349" spans="1:4" x14ac:dyDescent="0.25">
      <c r="A349" s="4" t="s">
        <v>5000</v>
      </c>
      <c r="B349" s="3" t="s">
        <v>352</v>
      </c>
      <c r="C349" s="14">
        <v>20212.580000000002</v>
      </c>
      <c r="D349" s="11" t="s">
        <v>5</v>
      </c>
    </row>
    <row r="350" spans="1:4" x14ac:dyDescent="0.25">
      <c r="A350" s="4" t="s">
        <v>5001</v>
      </c>
      <c r="B350" s="3" t="s">
        <v>353</v>
      </c>
      <c r="C350" s="14">
        <v>11589.29</v>
      </c>
      <c r="D350" s="11" t="s">
        <v>5</v>
      </c>
    </row>
    <row r="351" spans="1:4" x14ac:dyDescent="0.25">
      <c r="A351" s="4" t="s">
        <v>5002</v>
      </c>
      <c r="B351" s="3" t="s">
        <v>354</v>
      </c>
      <c r="C351" s="14">
        <v>2611.41</v>
      </c>
      <c r="D351" s="11" t="s">
        <v>5</v>
      </c>
    </row>
    <row r="352" spans="1:4" x14ac:dyDescent="0.25">
      <c r="A352" s="4" t="s">
        <v>5003</v>
      </c>
      <c r="B352" s="3" t="s">
        <v>355</v>
      </c>
      <c r="C352" s="14">
        <v>2569.73</v>
      </c>
      <c r="D352" s="11" t="s">
        <v>5</v>
      </c>
    </row>
    <row r="353" spans="1:4" x14ac:dyDescent="0.25">
      <c r="A353" s="4" t="s">
        <v>5004</v>
      </c>
      <c r="B353" s="3" t="s">
        <v>356</v>
      </c>
      <c r="C353" s="14">
        <v>28286.639999999999</v>
      </c>
      <c r="D353" s="11" t="s">
        <v>5</v>
      </c>
    </row>
    <row r="354" spans="1:4" x14ac:dyDescent="0.25">
      <c r="A354" s="4" t="s">
        <v>5005</v>
      </c>
      <c r="B354" s="3" t="s">
        <v>357</v>
      </c>
      <c r="C354" s="14">
        <v>3724.64</v>
      </c>
      <c r="D354" s="11" t="s">
        <v>5</v>
      </c>
    </row>
    <row r="355" spans="1:4" x14ac:dyDescent="0.25">
      <c r="A355" s="4" t="s">
        <v>5006</v>
      </c>
      <c r="B355" s="3" t="s">
        <v>358</v>
      </c>
      <c r="C355" s="14">
        <v>4139.04</v>
      </c>
      <c r="D355" s="11" t="s">
        <v>5</v>
      </c>
    </row>
    <row r="356" spans="1:4" x14ac:dyDescent="0.25">
      <c r="A356" s="4" t="s">
        <v>5007</v>
      </c>
      <c r="B356" s="3" t="s">
        <v>359</v>
      </c>
      <c r="C356" s="14">
        <v>1192.4000000000001</v>
      </c>
      <c r="D356" s="11" t="s">
        <v>5</v>
      </c>
    </row>
    <row r="357" spans="1:4" x14ac:dyDescent="0.25">
      <c r="A357" s="4" t="s">
        <v>5008</v>
      </c>
      <c r="B357" s="3" t="s">
        <v>360</v>
      </c>
      <c r="C357" s="14">
        <v>11259.74</v>
      </c>
      <c r="D357" s="11" t="s">
        <v>5</v>
      </c>
    </row>
    <row r="358" spans="1:4" x14ac:dyDescent="0.25">
      <c r="A358" s="4" t="s">
        <v>5009</v>
      </c>
      <c r="B358" s="3" t="s">
        <v>361</v>
      </c>
      <c r="C358" s="14">
        <v>2445.92</v>
      </c>
      <c r="D358" s="11" t="s">
        <v>5</v>
      </c>
    </row>
    <row r="359" spans="1:4" x14ac:dyDescent="0.25">
      <c r="A359" s="4" t="s">
        <v>5010</v>
      </c>
      <c r="B359" s="3" t="s">
        <v>362</v>
      </c>
      <c r="C359" s="14">
        <v>2569.73</v>
      </c>
      <c r="D359" s="11" t="s">
        <v>5</v>
      </c>
    </row>
    <row r="360" spans="1:4" x14ac:dyDescent="0.25">
      <c r="A360" s="4" t="s">
        <v>5011</v>
      </c>
      <c r="B360" s="3" t="s">
        <v>363</v>
      </c>
      <c r="C360" s="14">
        <v>19855.580000000002</v>
      </c>
      <c r="D360" s="11" t="s">
        <v>5</v>
      </c>
    </row>
    <row r="361" spans="1:4" x14ac:dyDescent="0.25">
      <c r="A361" s="4" t="s">
        <v>5012</v>
      </c>
      <c r="B361" s="3" t="s">
        <v>364</v>
      </c>
      <c r="C361" s="14">
        <v>28135.59</v>
      </c>
      <c r="D361" s="11" t="s">
        <v>5</v>
      </c>
    </row>
    <row r="362" spans="1:4" x14ac:dyDescent="0.25">
      <c r="A362" s="4" t="s">
        <v>5013</v>
      </c>
      <c r="B362" s="3" t="s">
        <v>365</v>
      </c>
      <c r="C362" s="14">
        <v>3323</v>
      </c>
      <c r="D362" s="11" t="s">
        <v>5</v>
      </c>
    </row>
    <row r="363" spans="1:4" x14ac:dyDescent="0.25">
      <c r="A363" s="4" t="s">
        <v>5014</v>
      </c>
      <c r="B363" s="3" t="s">
        <v>366</v>
      </c>
      <c r="C363" s="14">
        <v>3511.32</v>
      </c>
      <c r="D363" s="11" t="s">
        <v>5</v>
      </c>
    </row>
    <row r="364" spans="1:4" x14ac:dyDescent="0.25">
      <c r="A364" s="4" t="s">
        <v>5015</v>
      </c>
      <c r="B364" s="3" t="s">
        <v>367</v>
      </c>
      <c r="C364" s="14">
        <v>6234.3</v>
      </c>
      <c r="D364" s="11" t="s">
        <v>5</v>
      </c>
    </row>
    <row r="365" spans="1:4" x14ac:dyDescent="0.25">
      <c r="A365" s="4" t="s">
        <v>5016</v>
      </c>
      <c r="B365" s="3" t="s">
        <v>368</v>
      </c>
      <c r="C365" s="14">
        <v>3089.57</v>
      </c>
      <c r="D365" s="11" t="s">
        <v>5</v>
      </c>
    </row>
    <row r="366" spans="1:4" x14ac:dyDescent="0.25">
      <c r="A366" s="4" t="s">
        <v>5017</v>
      </c>
      <c r="B366" s="3" t="s">
        <v>369</v>
      </c>
      <c r="C366" s="14">
        <v>79090.289999999994</v>
      </c>
      <c r="D366" s="11" t="s">
        <v>5</v>
      </c>
    </row>
    <row r="367" spans="1:4" x14ac:dyDescent="0.25">
      <c r="A367" s="4" t="s">
        <v>5018</v>
      </c>
      <c r="B367" s="3" t="s">
        <v>370</v>
      </c>
      <c r="C367" s="14">
        <v>7991.66</v>
      </c>
      <c r="D367" s="11" t="s">
        <v>5</v>
      </c>
    </row>
    <row r="368" spans="1:4" x14ac:dyDescent="0.25">
      <c r="A368" s="4" t="s">
        <v>5019</v>
      </c>
      <c r="B368" s="3" t="s">
        <v>371</v>
      </c>
      <c r="C368" s="14">
        <v>5629.88</v>
      </c>
      <c r="D368" s="11" t="s">
        <v>5</v>
      </c>
    </row>
    <row r="369" spans="1:4" x14ac:dyDescent="0.25">
      <c r="A369" s="4" t="s">
        <v>5020</v>
      </c>
      <c r="B369" s="3" t="s">
        <v>372</v>
      </c>
      <c r="C369" s="14">
        <v>3597.62</v>
      </c>
      <c r="D369" s="11" t="s">
        <v>5</v>
      </c>
    </row>
    <row r="370" spans="1:4" x14ac:dyDescent="0.25">
      <c r="A370" s="4" t="s">
        <v>5021</v>
      </c>
      <c r="B370" s="3" t="s">
        <v>373</v>
      </c>
      <c r="C370" s="14">
        <v>3597.62</v>
      </c>
      <c r="D370" s="11" t="s">
        <v>5</v>
      </c>
    </row>
    <row r="371" spans="1:4" x14ac:dyDescent="0.25">
      <c r="A371" s="4" t="s">
        <v>5022</v>
      </c>
      <c r="B371" s="3" t="s">
        <v>374</v>
      </c>
      <c r="C371" s="14">
        <v>1757.63</v>
      </c>
      <c r="D371" s="11" t="s">
        <v>5</v>
      </c>
    </row>
    <row r="372" spans="1:4" x14ac:dyDescent="0.25">
      <c r="A372" s="4" t="s">
        <v>5023</v>
      </c>
      <c r="B372" s="3" t="s">
        <v>375</v>
      </c>
      <c r="C372" s="14">
        <v>1942.01</v>
      </c>
      <c r="D372" s="11" t="s">
        <v>5</v>
      </c>
    </row>
    <row r="373" spans="1:4" x14ac:dyDescent="0.25">
      <c r="A373" s="4" t="s">
        <v>5024</v>
      </c>
      <c r="B373" s="3" t="s">
        <v>376</v>
      </c>
      <c r="C373" s="14">
        <v>1757.63</v>
      </c>
      <c r="D373" s="11" t="s">
        <v>5</v>
      </c>
    </row>
    <row r="374" spans="1:4" x14ac:dyDescent="0.25">
      <c r="A374" s="4" t="s">
        <v>5025</v>
      </c>
      <c r="B374" s="3" t="s">
        <v>377</v>
      </c>
      <c r="C374" s="14">
        <v>13539.14</v>
      </c>
      <c r="D374" s="11" t="s">
        <v>5</v>
      </c>
    </row>
    <row r="375" spans="1:4" x14ac:dyDescent="0.25">
      <c r="A375" s="4" t="s">
        <v>5026</v>
      </c>
      <c r="B375" s="3" t="s">
        <v>378</v>
      </c>
      <c r="C375" s="14">
        <v>2556.2399999999998</v>
      </c>
      <c r="D375" s="11" t="s">
        <v>5</v>
      </c>
    </row>
    <row r="376" spans="1:4" x14ac:dyDescent="0.25">
      <c r="A376" s="4" t="s">
        <v>5027</v>
      </c>
      <c r="B376" s="3" t="s">
        <v>379</v>
      </c>
      <c r="C376" s="14">
        <v>2883.59</v>
      </c>
      <c r="D376" s="11" t="s">
        <v>5</v>
      </c>
    </row>
    <row r="377" spans="1:4" x14ac:dyDescent="0.25">
      <c r="A377" s="4" t="s">
        <v>5028</v>
      </c>
      <c r="B377" s="3" t="s">
        <v>380</v>
      </c>
      <c r="C377" s="14">
        <v>2718.81</v>
      </c>
      <c r="D377" s="11" t="s">
        <v>5</v>
      </c>
    </row>
    <row r="378" spans="1:4" x14ac:dyDescent="0.25">
      <c r="A378" s="4" t="s">
        <v>5029</v>
      </c>
      <c r="B378" s="3" t="s">
        <v>381</v>
      </c>
      <c r="C378" s="14">
        <v>2883.59</v>
      </c>
      <c r="D378" s="11" t="s">
        <v>5</v>
      </c>
    </row>
    <row r="379" spans="1:4" x14ac:dyDescent="0.25">
      <c r="A379" s="4" t="s">
        <v>5030</v>
      </c>
      <c r="B379" s="3" t="s">
        <v>382</v>
      </c>
      <c r="C379" s="14">
        <v>546.77</v>
      </c>
      <c r="D379" s="11" t="s">
        <v>5</v>
      </c>
    </row>
    <row r="380" spans="1:4" x14ac:dyDescent="0.25">
      <c r="A380" s="4" t="s">
        <v>5031</v>
      </c>
      <c r="B380" s="3" t="s">
        <v>383</v>
      </c>
      <c r="C380" s="14">
        <v>1755.5</v>
      </c>
      <c r="D380" s="11" t="s">
        <v>5</v>
      </c>
    </row>
    <row r="381" spans="1:4" x14ac:dyDescent="0.25">
      <c r="A381" s="4" t="s">
        <v>5032</v>
      </c>
      <c r="B381" s="3" t="s">
        <v>384</v>
      </c>
      <c r="C381" s="14">
        <v>2902.59</v>
      </c>
      <c r="D381" s="11" t="s">
        <v>5</v>
      </c>
    </row>
    <row r="382" spans="1:4" x14ac:dyDescent="0.25">
      <c r="A382" s="4" t="s">
        <v>5033</v>
      </c>
      <c r="B382" s="3" t="s">
        <v>385</v>
      </c>
      <c r="C382" s="14">
        <v>3623.72</v>
      </c>
      <c r="D382" s="11" t="s">
        <v>5</v>
      </c>
    </row>
    <row r="383" spans="1:4" x14ac:dyDescent="0.25">
      <c r="A383" s="4" t="s">
        <v>5034</v>
      </c>
      <c r="B383" s="3" t="s">
        <v>386</v>
      </c>
      <c r="C383" s="14">
        <v>4314.75</v>
      </c>
      <c r="D383" s="11" t="s">
        <v>5</v>
      </c>
    </row>
    <row r="384" spans="1:4" x14ac:dyDescent="0.25">
      <c r="A384" s="4" t="s">
        <v>5035</v>
      </c>
      <c r="B384" s="3" t="s">
        <v>387</v>
      </c>
      <c r="C384" s="14">
        <v>5408.51</v>
      </c>
      <c r="D384" s="11" t="s">
        <v>5</v>
      </c>
    </row>
    <row r="385" spans="1:4" x14ac:dyDescent="0.25">
      <c r="A385" s="4" t="s">
        <v>5036</v>
      </c>
      <c r="B385" s="3" t="s">
        <v>388</v>
      </c>
      <c r="C385" s="14">
        <v>7169.22</v>
      </c>
      <c r="D385" s="11" t="s">
        <v>5</v>
      </c>
    </row>
    <row r="386" spans="1:4" x14ac:dyDescent="0.25">
      <c r="A386" s="4" t="s">
        <v>5037</v>
      </c>
      <c r="B386" s="3" t="s">
        <v>389</v>
      </c>
      <c r="C386" s="14">
        <v>2223.9499999999998</v>
      </c>
      <c r="D386" s="11" t="s">
        <v>5</v>
      </c>
    </row>
    <row r="387" spans="1:4" x14ac:dyDescent="0.25">
      <c r="A387" s="4" t="s">
        <v>5038</v>
      </c>
      <c r="B387" s="3" t="s">
        <v>390</v>
      </c>
      <c r="C387" s="14">
        <v>3469.29</v>
      </c>
      <c r="D387" s="11" t="s">
        <v>5</v>
      </c>
    </row>
    <row r="388" spans="1:4" x14ac:dyDescent="0.25">
      <c r="A388" s="4" t="s">
        <v>5039</v>
      </c>
      <c r="B388" s="3" t="s">
        <v>391</v>
      </c>
      <c r="C388" s="14">
        <v>4395.8</v>
      </c>
      <c r="D388" s="11" t="s">
        <v>5</v>
      </c>
    </row>
    <row r="389" spans="1:4" x14ac:dyDescent="0.25">
      <c r="A389" s="4" t="s">
        <v>5040</v>
      </c>
      <c r="B389" s="3" t="s">
        <v>392</v>
      </c>
      <c r="C389" s="14">
        <v>5232.8100000000004</v>
      </c>
      <c r="D389" s="11" t="s">
        <v>5</v>
      </c>
    </row>
    <row r="390" spans="1:4" x14ac:dyDescent="0.25">
      <c r="A390" s="4" t="s">
        <v>5041</v>
      </c>
      <c r="B390" s="3" t="s">
        <v>393</v>
      </c>
      <c r="C390" s="14">
        <v>6575.22</v>
      </c>
      <c r="D390" s="11" t="s">
        <v>5</v>
      </c>
    </row>
    <row r="391" spans="1:4" x14ac:dyDescent="0.25">
      <c r="A391" s="4" t="s">
        <v>5042</v>
      </c>
      <c r="B391" s="3" t="s">
        <v>394</v>
      </c>
      <c r="C391" s="14">
        <v>8746.23</v>
      </c>
      <c r="D391" s="11" t="s">
        <v>5</v>
      </c>
    </row>
    <row r="392" spans="1:4" x14ac:dyDescent="0.25">
      <c r="A392" s="4" t="s">
        <v>5043</v>
      </c>
      <c r="B392" s="3" t="s">
        <v>395</v>
      </c>
      <c r="C392" s="14">
        <v>3440.43</v>
      </c>
      <c r="D392" s="11" t="s">
        <v>5</v>
      </c>
    </row>
    <row r="393" spans="1:4" x14ac:dyDescent="0.25">
      <c r="A393" s="4" t="s">
        <v>5044</v>
      </c>
      <c r="B393" s="3" t="s">
        <v>396</v>
      </c>
      <c r="C393" s="14">
        <v>5433.75</v>
      </c>
      <c r="D393" s="11" t="s">
        <v>5</v>
      </c>
    </row>
    <row r="394" spans="1:4" x14ac:dyDescent="0.25">
      <c r="A394" s="4" t="s">
        <v>5045</v>
      </c>
      <c r="B394" s="3" t="s">
        <v>397</v>
      </c>
      <c r="C394" s="14">
        <v>6808.65</v>
      </c>
      <c r="D394" s="11" t="s">
        <v>5</v>
      </c>
    </row>
    <row r="395" spans="1:4" x14ac:dyDescent="0.25">
      <c r="A395" s="4" t="s">
        <v>5046</v>
      </c>
      <c r="B395" s="3" t="s">
        <v>398</v>
      </c>
      <c r="C395" s="14">
        <v>8206.4</v>
      </c>
      <c r="D395" s="11" t="s">
        <v>5</v>
      </c>
    </row>
    <row r="396" spans="1:4" x14ac:dyDescent="0.25">
      <c r="A396" s="4" t="s">
        <v>5047</v>
      </c>
      <c r="B396" s="3" t="s">
        <v>399</v>
      </c>
      <c r="C396" s="14">
        <v>10200.14</v>
      </c>
      <c r="D396" s="11" t="s">
        <v>5</v>
      </c>
    </row>
    <row r="397" spans="1:4" x14ac:dyDescent="0.25">
      <c r="A397" s="4" t="s">
        <v>5048</v>
      </c>
      <c r="B397" s="3" t="s">
        <v>400</v>
      </c>
      <c r="C397" s="14">
        <v>11149.88</v>
      </c>
      <c r="D397" s="11" t="s">
        <v>5</v>
      </c>
    </row>
    <row r="398" spans="1:4" x14ac:dyDescent="0.25">
      <c r="A398" s="4" t="s">
        <v>5049</v>
      </c>
      <c r="B398" s="3" t="s">
        <v>401</v>
      </c>
      <c r="C398" s="14">
        <v>2554.02</v>
      </c>
      <c r="D398" s="11" t="s">
        <v>5</v>
      </c>
    </row>
    <row r="399" spans="1:4" x14ac:dyDescent="0.25">
      <c r="A399" s="4" t="s">
        <v>5050</v>
      </c>
      <c r="B399" s="3" t="s">
        <v>402</v>
      </c>
      <c r="C399" s="14">
        <v>5190.47</v>
      </c>
      <c r="D399" s="11" t="s">
        <v>5</v>
      </c>
    </row>
    <row r="400" spans="1:4" x14ac:dyDescent="0.25">
      <c r="A400" s="4" t="s">
        <v>5051</v>
      </c>
      <c r="B400" s="3" t="s">
        <v>403</v>
      </c>
      <c r="C400" s="14">
        <v>10200.14</v>
      </c>
      <c r="D400" s="11" t="s">
        <v>5</v>
      </c>
    </row>
    <row r="401" spans="1:4" x14ac:dyDescent="0.25">
      <c r="A401" s="4" t="s">
        <v>5052</v>
      </c>
      <c r="B401" s="3" t="s">
        <v>404</v>
      </c>
      <c r="C401" s="14">
        <v>5408.51</v>
      </c>
      <c r="D401" s="11" t="s">
        <v>5</v>
      </c>
    </row>
    <row r="402" spans="1:4" x14ac:dyDescent="0.25">
      <c r="A402" s="4" t="s">
        <v>5053</v>
      </c>
      <c r="B402" s="3" t="s">
        <v>405</v>
      </c>
      <c r="C402" s="14">
        <v>6575.22</v>
      </c>
      <c r="D402" s="11" t="s">
        <v>5</v>
      </c>
    </row>
    <row r="403" spans="1:4" x14ac:dyDescent="0.25">
      <c r="A403" s="4" t="s">
        <v>5054</v>
      </c>
      <c r="B403" s="3" t="s">
        <v>406</v>
      </c>
      <c r="C403" s="14">
        <v>2846.37</v>
      </c>
      <c r="D403" s="11" t="s">
        <v>5</v>
      </c>
    </row>
    <row r="404" spans="1:4" x14ac:dyDescent="0.25">
      <c r="A404" s="4" t="s">
        <v>5055</v>
      </c>
      <c r="B404" s="3" t="s">
        <v>407</v>
      </c>
      <c r="C404" s="14">
        <v>2846.37</v>
      </c>
      <c r="D404" s="11" t="s">
        <v>5</v>
      </c>
    </row>
    <row r="405" spans="1:4" x14ac:dyDescent="0.25">
      <c r="A405" s="4" t="s">
        <v>5056</v>
      </c>
      <c r="B405" s="3" t="s">
        <v>408</v>
      </c>
      <c r="C405" s="14">
        <v>2033.09</v>
      </c>
      <c r="D405" s="11" t="s">
        <v>5</v>
      </c>
    </row>
    <row r="406" spans="1:4" x14ac:dyDescent="0.25">
      <c r="A406" s="4" t="s">
        <v>5057</v>
      </c>
      <c r="B406" s="3" t="s">
        <v>409</v>
      </c>
      <c r="C406" s="14">
        <v>2033.09</v>
      </c>
      <c r="D406" s="11" t="s">
        <v>5</v>
      </c>
    </row>
    <row r="407" spans="1:4" x14ac:dyDescent="0.25">
      <c r="A407" s="4" t="s">
        <v>5058</v>
      </c>
      <c r="B407" s="3" t="s">
        <v>410</v>
      </c>
      <c r="C407" s="14">
        <v>3065.1</v>
      </c>
      <c r="D407" s="11" t="s">
        <v>5</v>
      </c>
    </row>
    <row r="408" spans="1:4" x14ac:dyDescent="0.25">
      <c r="A408" s="4" t="s">
        <v>5059</v>
      </c>
      <c r="B408" s="3" t="s">
        <v>411</v>
      </c>
      <c r="C408" s="14">
        <v>2336.66</v>
      </c>
      <c r="D408" s="11" t="s">
        <v>5</v>
      </c>
    </row>
    <row r="409" spans="1:4" x14ac:dyDescent="0.25">
      <c r="A409" s="4" t="s">
        <v>5060</v>
      </c>
      <c r="B409" s="3" t="s">
        <v>412</v>
      </c>
      <c r="C409" s="14">
        <v>3158.22</v>
      </c>
      <c r="D409" s="11" t="s">
        <v>5</v>
      </c>
    </row>
    <row r="410" spans="1:4" x14ac:dyDescent="0.25">
      <c r="A410" s="4" t="s">
        <v>5061</v>
      </c>
      <c r="B410" s="3" t="s">
        <v>413</v>
      </c>
      <c r="C410" s="14">
        <v>7195.25</v>
      </c>
      <c r="D410" s="11" t="s">
        <v>5</v>
      </c>
    </row>
    <row r="411" spans="1:4" x14ac:dyDescent="0.25">
      <c r="A411" s="4" t="s">
        <v>5062</v>
      </c>
      <c r="B411" s="3" t="s">
        <v>414</v>
      </c>
      <c r="C411" s="14">
        <v>6069.27</v>
      </c>
      <c r="D411" s="11" t="s">
        <v>5</v>
      </c>
    </row>
    <row r="412" spans="1:4" x14ac:dyDescent="0.25">
      <c r="A412" s="4" t="s">
        <v>5063</v>
      </c>
      <c r="B412" s="3" t="s">
        <v>415</v>
      </c>
      <c r="C412" s="14">
        <v>2807.58</v>
      </c>
      <c r="D412" s="11" t="s">
        <v>5</v>
      </c>
    </row>
    <row r="413" spans="1:4" x14ac:dyDescent="0.25">
      <c r="A413" s="4" t="s">
        <v>5064</v>
      </c>
      <c r="B413" s="3" t="s">
        <v>416</v>
      </c>
      <c r="C413" s="14">
        <v>1510.46</v>
      </c>
      <c r="D413" s="11" t="s">
        <v>5</v>
      </c>
    </row>
    <row r="414" spans="1:4" x14ac:dyDescent="0.25">
      <c r="A414" s="4" t="s">
        <v>5065</v>
      </c>
      <c r="B414" s="3" t="s">
        <v>417</v>
      </c>
      <c r="C414" s="14">
        <v>1824.32</v>
      </c>
      <c r="D414" s="11" t="s">
        <v>5</v>
      </c>
    </row>
    <row r="415" spans="1:4" x14ac:dyDescent="0.25">
      <c r="A415" s="4" t="s">
        <v>5066</v>
      </c>
      <c r="B415" s="3" t="s">
        <v>418</v>
      </c>
      <c r="C415" s="14">
        <v>1749.03</v>
      </c>
      <c r="D415" s="11" t="s">
        <v>5</v>
      </c>
    </row>
    <row r="416" spans="1:4" x14ac:dyDescent="0.25">
      <c r="A416" s="4" t="s">
        <v>5067</v>
      </c>
      <c r="B416" s="3" t="s">
        <v>419</v>
      </c>
      <c r="C416" s="14">
        <v>12385.7</v>
      </c>
      <c r="D416" s="11" t="s">
        <v>5</v>
      </c>
    </row>
    <row r="417" spans="1:4" x14ac:dyDescent="0.25">
      <c r="A417" s="4" t="s">
        <v>5068</v>
      </c>
      <c r="B417" s="3" t="s">
        <v>420</v>
      </c>
      <c r="C417" s="14">
        <v>2179.86</v>
      </c>
      <c r="D417" s="11" t="s">
        <v>5</v>
      </c>
    </row>
    <row r="418" spans="1:4" x14ac:dyDescent="0.25">
      <c r="A418" s="4" t="s">
        <v>5069</v>
      </c>
      <c r="B418" s="3" t="s">
        <v>421</v>
      </c>
      <c r="C418" s="14">
        <v>2569.73</v>
      </c>
      <c r="D418" s="11" t="s">
        <v>5</v>
      </c>
    </row>
    <row r="419" spans="1:4" x14ac:dyDescent="0.25">
      <c r="A419" s="4" t="s">
        <v>5070</v>
      </c>
      <c r="B419" s="3" t="s">
        <v>422</v>
      </c>
      <c r="C419" s="14">
        <v>2041.32</v>
      </c>
      <c r="D419" s="11" t="s">
        <v>5</v>
      </c>
    </row>
    <row r="420" spans="1:4" x14ac:dyDescent="0.25">
      <c r="A420" s="4" t="s">
        <v>5071</v>
      </c>
      <c r="B420" s="3" t="s">
        <v>423</v>
      </c>
      <c r="C420" s="14">
        <v>2608.9699999999998</v>
      </c>
      <c r="D420" s="11" t="s">
        <v>5</v>
      </c>
    </row>
    <row r="421" spans="1:4" x14ac:dyDescent="0.25">
      <c r="A421" s="4" t="s">
        <v>5072</v>
      </c>
      <c r="B421" s="3" t="s">
        <v>424</v>
      </c>
      <c r="C421" s="14">
        <v>3295.53</v>
      </c>
      <c r="D421" s="11" t="s">
        <v>5</v>
      </c>
    </row>
    <row r="422" spans="1:4" x14ac:dyDescent="0.25">
      <c r="A422" s="4" t="s">
        <v>5073</v>
      </c>
      <c r="B422" s="3" t="s">
        <v>425</v>
      </c>
      <c r="C422" s="14">
        <v>3788.39</v>
      </c>
      <c r="D422" s="11" t="s">
        <v>5</v>
      </c>
    </row>
    <row r="423" spans="1:4" x14ac:dyDescent="0.25">
      <c r="A423" s="4" t="s">
        <v>5074</v>
      </c>
      <c r="B423" s="3" t="s">
        <v>426</v>
      </c>
      <c r="C423" s="14">
        <v>6508.68</v>
      </c>
      <c r="D423" s="11" t="s">
        <v>5</v>
      </c>
    </row>
    <row r="424" spans="1:4" x14ac:dyDescent="0.25">
      <c r="A424" s="4" t="s">
        <v>5075</v>
      </c>
      <c r="B424" s="3" t="s">
        <v>427</v>
      </c>
      <c r="C424" s="14">
        <v>1537.92</v>
      </c>
      <c r="D424" s="11" t="s">
        <v>5</v>
      </c>
    </row>
    <row r="425" spans="1:4" x14ac:dyDescent="0.25">
      <c r="A425" s="4" t="s">
        <v>5076</v>
      </c>
      <c r="B425" s="3" t="s">
        <v>428</v>
      </c>
      <c r="C425" s="14">
        <v>2280.39</v>
      </c>
      <c r="D425" s="11" t="s">
        <v>5</v>
      </c>
    </row>
    <row r="426" spans="1:4" x14ac:dyDescent="0.25">
      <c r="A426" s="4" t="s">
        <v>5077</v>
      </c>
      <c r="B426" s="3" t="s">
        <v>429</v>
      </c>
      <c r="C426" s="14">
        <v>7490.48</v>
      </c>
      <c r="D426" s="11" t="s">
        <v>5</v>
      </c>
    </row>
    <row r="427" spans="1:4" x14ac:dyDescent="0.25">
      <c r="A427" s="4" t="s">
        <v>5078</v>
      </c>
      <c r="B427" s="3" t="s">
        <v>430</v>
      </c>
      <c r="C427" s="14">
        <v>16257.96</v>
      </c>
      <c r="D427" s="11" t="s">
        <v>5</v>
      </c>
    </row>
    <row r="428" spans="1:4" x14ac:dyDescent="0.25">
      <c r="A428" s="4" t="s">
        <v>5079</v>
      </c>
      <c r="B428" s="3" t="s">
        <v>431</v>
      </c>
      <c r="C428" s="14">
        <v>13264.52</v>
      </c>
      <c r="D428" s="11" t="s">
        <v>5</v>
      </c>
    </row>
    <row r="429" spans="1:4" x14ac:dyDescent="0.25">
      <c r="A429" s="4" t="s">
        <v>5080</v>
      </c>
      <c r="B429" s="3" t="s">
        <v>432</v>
      </c>
      <c r="C429" s="14">
        <v>2878.08</v>
      </c>
      <c r="D429" s="11" t="s">
        <v>5</v>
      </c>
    </row>
    <row r="430" spans="1:4" x14ac:dyDescent="0.25">
      <c r="A430" s="4" t="s">
        <v>5081</v>
      </c>
      <c r="B430" s="3" t="s">
        <v>433</v>
      </c>
      <c r="C430" s="14">
        <v>1536.62</v>
      </c>
      <c r="D430" s="11" t="s">
        <v>5</v>
      </c>
    </row>
    <row r="431" spans="1:4" x14ac:dyDescent="0.25">
      <c r="A431" s="4" t="s">
        <v>5082</v>
      </c>
      <c r="B431" s="3" t="s">
        <v>434</v>
      </c>
      <c r="C431" s="14">
        <v>27764.84</v>
      </c>
      <c r="D431" s="11" t="s">
        <v>5</v>
      </c>
    </row>
    <row r="432" spans="1:4" x14ac:dyDescent="0.25">
      <c r="A432" s="4" t="s">
        <v>5083</v>
      </c>
      <c r="B432" s="3" t="s">
        <v>435</v>
      </c>
      <c r="C432" s="14">
        <v>4915.8500000000004</v>
      </c>
      <c r="D432" s="11" t="s">
        <v>5</v>
      </c>
    </row>
    <row r="433" spans="1:4" x14ac:dyDescent="0.25">
      <c r="A433" s="4" t="s">
        <v>5084</v>
      </c>
      <c r="B433" s="3" t="s">
        <v>436</v>
      </c>
      <c r="C433" s="14">
        <v>4394.04</v>
      </c>
      <c r="D433" s="11" t="s">
        <v>5</v>
      </c>
    </row>
    <row r="434" spans="1:4" x14ac:dyDescent="0.25">
      <c r="A434" s="4" t="s">
        <v>5085</v>
      </c>
      <c r="B434" s="3" t="s">
        <v>437</v>
      </c>
      <c r="C434" s="14">
        <v>3825.18</v>
      </c>
      <c r="D434" s="11" t="s">
        <v>5</v>
      </c>
    </row>
    <row r="435" spans="1:4" x14ac:dyDescent="0.25">
      <c r="A435" s="4" t="s">
        <v>5086</v>
      </c>
      <c r="B435" s="3" t="s">
        <v>438</v>
      </c>
      <c r="C435" s="14">
        <v>4766.76</v>
      </c>
      <c r="D435" s="11" t="s">
        <v>5</v>
      </c>
    </row>
    <row r="436" spans="1:4" x14ac:dyDescent="0.25">
      <c r="A436" s="4" t="s">
        <v>5087</v>
      </c>
      <c r="B436" s="3" t="s">
        <v>439</v>
      </c>
      <c r="C436" s="14">
        <v>1841.22</v>
      </c>
      <c r="D436" s="11" t="s">
        <v>5</v>
      </c>
    </row>
    <row r="437" spans="1:4" x14ac:dyDescent="0.25">
      <c r="A437" s="4" t="s">
        <v>5088</v>
      </c>
      <c r="B437" s="3" t="s">
        <v>440</v>
      </c>
      <c r="C437" s="14">
        <v>2548.2600000000002</v>
      </c>
      <c r="D437" s="11" t="s">
        <v>5</v>
      </c>
    </row>
    <row r="438" spans="1:4" x14ac:dyDescent="0.25">
      <c r="A438" s="4" t="s">
        <v>5089</v>
      </c>
      <c r="B438" s="3" t="s">
        <v>441</v>
      </c>
      <c r="C438" s="14">
        <v>2308.23</v>
      </c>
      <c r="D438" s="11" t="s">
        <v>5</v>
      </c>
    </row>
    <row r="439" spans="1:4" x14ac:dyDescent="0.25">
      <c r="A439" s="4" t="s">
        <v>5090</v>
      </c>
      <c r="B439" s="3" t="s">
        <v>442</v>
      </c>
      <c r="C439" s="14">
        <v>2920.58</v>
      </c>
      <c r="D439" s="11" t="s">
        <v>5</v>
      </c>
    </row>
    <row r="440" spans="1:4" x14ac:dyDescent="0.25">
      <c r="A440" s="4" t="s">
        <v>5091</v>
      </c>
      <c r="B440" s="3" t="s">
        <v>443</v>
      </c>
      <c r="C440" s="14">
        <v>4515.26</v>
      </c>
      <c r="D440" s="11" t="s">
        <v>5</v>
      </c>
    </row>
    <row r="441" spans="1:4" x14ac:dyDescent="0.25">
      <c r="A441" s="4" t="s">
        <v>5092</v>
      </c>
      <c r="B441" s="3" t="s">
        <v>444</v>
      </c>
      <c r="C441" s="14">
        <v>697.23</v>
      </c>
      <c r="D441" s="11" t="s">
        <v>5</v>
      </c>
    </row>
    <row r="442" spans="1:4" x14ac:dyDescent="0.25">
      <c r="A442" s="4" t="s">
        <v>5093</v>
      </c>
      <c r="B442" s="3" t="s">
        <v>445</v>
      </c>
      <c r="C442" s="14">
        <v>961.2</v>
      </c>
      <c r="D442" s="11" t="s">
        <v>5</v>
      </c>
    </row>
    <row r="443" spans="1:4" x14ac:dyDescent="0.25">
      <c r="A443" s="4" t="s">
        <v>5094</v>
      </c>
      <c r="B443" s="3" t="s">
        <v>446</v>
      </c>
      <c r="C443" s="14">
        <v>1318.22</v>
      </c>
      <c r="D443" s="11" t="s">
        <v>5</v>
      </c>
    </row>
    <row r="444" spans="1:4" x14ac:dyDescent="0.25">
      <c r="A444" s="4" t="s">
        <v>5095</v>
      </c>
      <c r="B444" s="3" t="s">
        <v>447</v>
      </c>
      <c r="C444" s="14">
        <v>601.66999999999996</v>
      </c>
      <c r="D444" s="11" t="s">
        <v>5</v>
      </c>
    </row>
    <row r="445" spans="1:4" x14ac:dyDescent="0.25">
      <c r="A445" s="4" t="s">
        <v>5096</v>
      </c>
      <c r="B445" s="3" t="s">
        <v>448</v>
      </c>
      <c r="C445" s="14">
        <v>682.19</v>
      </c>
      <c r="D445" s="11" t="s">
        <v>5</v>
      </c>
    </row>
    <row r="446" spans="1:4" x14ac:dyDescent="0.25">
      <c r="A446" s="4" t="s">
        <v>5097</v>
      </c>
      <c r="B446" s="3" t="s">
        <v>449</v>
      </c>
      <c r="C446" s="14">
        <v>14945.13</v>
      </c>
      <c r="D446" s="11" t="s">
        <v>5</v>
      </c>
    </row>
    <row r="447" spans="1:4" x14ac:dyDescent="0.25">
      <c r="A447" s="4" t="s">
        <v>5098</v>
      </c>
      <c r="B447" s="3" t="s">
        <v>450</v>
      </c>
      <c r="C447" s="14">
        <v>52206.71</v>
      </c>
      <c r="D447" s="11" t="s">
        <v>5</v>
      </c>
    </row>
    <row r="448" spans="1:4" x14ac:dyDescent="0.25">
      <c r="A448" s="4" t="s">
        <v>5099</v>
      </c>
      <c r="B448" s="3" t="s">
        <v>451</v>
      </c>
      <c r="C448" s="14">
        <v>33998.9</v>
      </c>
      <c r="D448" s="11" t="s">
        <v>5</v>
      </c>
    </row>
    <row r="449" spans="1:4" x14ac:dyDescent="0.25">
      <c r="A449" s="4" t="s">
        <v>5100</v>
      </c>
      <c r="B449" s="3" t="s">
        <v>452</v>
      </c>
      <c r="C449" s="14">
        <v>6755.84</v>
      </c>
      <c r="D449" s="11" t="s">
        <v>5</v>
      </c>
    </row>
    <row r="450" spans="1:4" x14ac:dyDescent="0.25">
      <c r="A450" s="4" t="s">
        <v>5101</v>
      </c>
      <c r="B450" s="3" t="s">
        <v>453</v>
      </c>
      <c r="C450" s="14">
        <v>79971.56</v>
      </c>
      <c r="D450" s="11" t="s">
        <v>5</v>
      </c>
    </row>
    <row r="451" spans="1:4" x14ac:dyDescent="0.25">
      <c r="A451" s="4" t="s">
        <v>5102</v>
      </c>
      <c r="B451" s="3" t="s">
        <v>454</v>
      </c>
      <c r="C451" s="14">
        <v>10106.299999999999</v>
      </c>
      <c r="D451" s="11" t="s">
        <v>5</v>
      </c>
    </row>
    <row r="452" spans="1:4" x14ac:dyDescent="0.25">
      <c r="A452" s="4" t="s">
        <v>5103</v>
      </c>
      <c r="B452" s="3" t="s">
        <v>455</v>
      </c>
      <c r="C452" s="14">
        <v>72663.320000000007</v>
      </c>
      <c r="D452" s="11" t="s">
        <v>5</v>
      </c>
    </row>
    <row r="453" spans="1:4" x14ac:dyDescent="0.25">
      <c r="A453" s="4" t="s">
        <v>5104</v>
      </c>
      <c r="B453" s="3" t="s">
        <v>456</v>
      </c>
      <c r="C453" s="14">
        <v>95264.91</v>
      </c>
      <c r="D453" s="11" t="s">
        <v>5</v>
      </c>
    </row>
    <row r="454" spans="1:4" x14ac:dyDescent="0.25">
      <c r="A454" s="4" t="s">
        <v>5105</v>
      </c>
      <c r="B454" s="3" t="s">
        <v>457</v>
      </c>
      <c r="C454" s="14">
        <v>119380.71</v>
      </c>
      <c r="D454" s="11" t="s">
        <v>5</v>
      </c>
    </row>
    <row r="455" spans="1:4" x14ac:dyDescent="0.25">
      <c r="A455" s="4" t="s">
        <v>5106</v>
      </c>
      <c r="B455" s="3" t="s">
        <v>458</v>
      </c>
      <c r="C455" s="14">
        <v>190336.07</v>
      </c>
      <c r="D455" s="11" t="s">
        <v>5</v>
      </c>
    </row>
    <row r="456" spans="1:4" x14ac:dyDescent="0.25">
      <c r="A456" s="4" t="s">
        <v>5107</v>
      </c>
      <c r="B456" s="3" t="s">
        <v>459</v>
      </c>
      <c r="C456" s="14">
        <v>212692.31</v>
      </c>
      <c r="D456" s="11" t="s">
        <v>5</v>
      </c>
    </row>
    <row r="457" spans="1:4" x14ac:dyDescent="0.25">
      <c r="A457" s="4" t="s">
        <v>5108</v>
      </c>
      <c r="B457" s="3" t="s">
        <v>460</v>
      </c>
      <c r="C457" s="14">
        <v>376980.32</v>
      </c>
      <c r="D457" s="11" t="s">
        <v>5</v>
      </c>
    </row>
    <row r="458" spans="1:4" x14ac:dyDescent="0.25">
      <c r="A458" s="4" t="s">
        <v>5109</v>
      </c>
      <c r="B458" s="3" t="s">
        <v>461</v>
      </c>
      <c r="C458" s="14">
        <v>561827.1</v>
      </c>
      <c r="D458" s="11" t="s">
        <v>5</v>
      </c>
    </row>
    <row r="459" spans="1:4" x14ac:dyDescent="0.25">
      <c r="A459" s="4" t="s">
        <v>5110</v>
      </c>
      <c r="B459" s="3" t="s">
        <v>462</v>
      </c>
      <c r="C459" s="14">
        <v>884705.33</v>
      </c>
      <c r="D459" s="11" t="s">
        <v>5</v>
      </c>
    </row>
    <row r="460" spans="1:4" x14ac:dyDescent="0.25">
      <c r="A460" s="4" t="s">
        <v>5111</v>
      </c>
      <c r="B460" s="3" t="s">
        <v>463</v>
      </c>
      <c r="C460" s="14">
        <v>914.51</v>
      </c>
      <c r="D460" s="11" t="s">
        <v>5</v>
      </c>
    </row>
    <row r="461" spans="1:4" x14ac:dyDescent="0.25">
      <c r="A461" s="4" t="s">
        <v>5112</v>
      </c>
      <c r="B461" s="3" t="s">
        <v>464</v>
      </c>
      <c r="C461" s="14">
        <v>1853.73</v>
      </c>
      <c r="D461" s="11" t="s">
        <v>5</v>
      </c>
    </row>
    <row r="462" spans="1:4" x14ac:dyDescent="0.25">
      <c r="A462" s="4" t="s">
        <v>5113</v>
      </c>
      <c r="B462" s="3" t="s">
        <v>465</v>
      </c>
      <c r="C462" s="14">
        <v>1334.69</v>
      </c>
      <c r="D462" s="11" t="s">
        <v>5</v>
      </c>
    </row>
    <row r="463" spans="1:4" x14ac:dyDescent="0.25">
      <c r="A463" s="4" t="s">
        <v>5114</v>
      </c>
      <c r="B463" s="3" t="s">
        <v>466</v>
      </c>
      <c r="C463" s="14">
        <v>1260.54</v>
      </c>
      <c r="D463" s="11" t="s">
        <v>5</v>
      </c>
    </row>
    <row r="464" spans="1:4" x14ac:dyDescent="0.25">
      <c r="A464" s="4" t="s">
        <v>5115</v>
      </c>
      <c r="B464" s="3" t="s">
        <v>467</v>
      </c>
      <c r="C464" s="14">
        <v>1927.88</v>
      </c>
      <c r="D464" s="11" t="s">
        <v>5</v>
      </c>
    </row>
    <row r="465" spans="1:4" x14ac:dyDescent="0.25">
      <c r="A465" s="4" t="s">
        <v>5116</v>
      </c>
      <c r="B465" s="3" t="s">
        <v>468</v>
      </c>
      <c r="C465" s="14">
        <v>2175.0500000000002</v>
      </c>
      <c r="D465" s="11" t="s">
        <v>5</v>
      </c>
    </row>
    <row r="466" spans="1:4" x14ac:dyDescent="0.25">
      <c r="A466" s="4" t="s">
        <v>5117</v>
      </c>
      <c r="B466" s="3" t="s">
        <v>469</v>
      </c>
      <c r="C466" s="14">
        <v>2273.91</v>
      </c>
      <c r="D466" s="11" t="s">
        <v>5</v>
      </c>
    </row>
    <row r="467" spans="1:4" x14ac:dyDescent="0.25">
      <c r="A467" s="4" t="s">
        <v>5118</v>
      </c>
      <c r="B467" s="3" t="s">
        <v>470</v>
      </c>
      <c r="C467" s="14">
        <v>3361.44</v>
      </c>
      <c r="D467" s="11" t="s">
        <v>5</v>
      </c>
    </row>
    <row r="468" spans="1:4" x14ac:dyDescent="0.25">
      <c r="A468" s="4" t="s">
        <v>5119</v>
      </c>
      <c r="B468" s="3" t="s">
        <v>471</v>
      </c>
      <c r="C468" s="14">
        <v>2694.09</v>
      </c>
      <c r="D468" s="11" t="s">
        <v>5</v>
      </c>
    </row>
    <row r="469" spans="1:4" x14ac:dyDescent="0.25">
      <c r="A469" s="4" t="s">
        <v>5120</v>
      </c>
      <c r="B469" s="3" t="s">
        <v>472</v>
      </c>
      <c r="C469" s="14">
        <v>2941.26</v>
      </c>
      <c r="D469" s="11" t="s">
        <v>5</v>
      </c>
    </row>
    <row r="470" spans="1:4" x14ac:dyDescent="0.25">
      <c r="A470" s="4" t="s">
        <v>5121</v>
      </c>
      <c r="B470" s="3" t="s">
        <v>473</v>
      </c>
      <c r="C470" s="14">
        <v>3188.42</v>
      </c>
      <c r="D470" s="11" t="s">
        <v>5</v>
      </c>
    </row>
    <row r="471" spans="1:4" x14ac:dyDescent="0.25">
      <c r="A471" s="4" t="s">
        <v>5122</v>
      </c>
      <c r="B471" s="3" t="s">
        <v>474</v>
      </c>
      <c r="C471" s="14">
        <v>5400.56</v>
      </c>
      <c r="D471" s="11" t="s">
        <v>5</v>
      </c>
    </row>
    <row r="472" spans="1:4" x14ac:dyDescent="0.25">
      <c r="A472" s="4" t="s">
        <v>5123</v>
      </c>
      <c r="B472" s="3" t="s">
        <v>475</v>
      </c>
      <c r="C472" s="14">
        <v>1099.8900000000001</v>
      </c>
      <c r="D472" s="11" t="s">
        <v>5</v>
      </c>
    </row>
    <row r="473" spans="1:4" x14ac:dyDescent="0.25">
      <c r="A473" s="4" t="s">
        <v>5124</v>
      </c>
      <c r="B473" s="3" t="s">
        <v>476</v>
      </c>
      <c r="C473" s="14">
        <v>1507.7</v>
      </c>
      <c r="D473" s="11" t="s">
        <v>5</v>
      </c>
    </row>
    <row r="474" spans="1:4" x14ac:dyDescent="0.25">
      <c r="A474" s="4" t="s">
        <v>5125</v>
      </c>
      <c r="B474" s="3" t="s">
        <v>477</v>
      </c>
      <c r="C474" s="14">
        <v>1260.54</v>
      </c>
      <c r="D474" s="11" t="s">
        <v>5</v>
      </c>
    </row>
    <row r="475" spans="1:4" x14ac:dyDescent="0.25">
      <c r="A475" s="4" t="s">
        <v>5126</v>
      </c>
      <c r="B475" s="3" t="s">
        <v>478</v>
      </c>
      <c r="C475" s="14">
        <v>914.51</v>
      </c>
      <c r="D475" s="11" t="s">
        <v>5</v>
      </c>
    </row>
    <row r="476" spans="1:4" x14ac:dyDescent="0.25">
      <c r="A476" s="4" t="s">
        <v>5127</v>
      </c>
      <c r="B476" s="3" t="s">
        <v>479</v>
      </c>
      <c r="C476" s="14">
        <v>1853.73</v>
      </c>
      <c r="D476" s="11" t="s">
        <v>5</v>
      </c>
    </row>
    <row r="477" spans="1:4" x14ac:dyDescent="0.25">
      <c r="A477" s="4" t="s">
        <v>5128</v>
      </c>
      <c r="B477" s="3" t="s">
        <v>480</v>
      </c>
      <c r="C477" s="14">
        <v>2768.24</v>
      </c>
      <c r="D477" s="11" t="s">
        <v>5</v>
      </c>
    </row>
    <row r="478" spans="1:4" x14ac:dyDescent="0.25">
      <c r="A478" s="4" t="s">
        <v>5129</v>
      </c>
      <c r="B478" s="3" t="s">
        <v>481</v>
      </c>
      <c r="C478" s="14">
        <v>1754.87</v>
      </c>
      <c r="D478" s="11" t="s">
        <v>5</v>
      </c>
    </row>
    <row r="479" spans="1:4" x14ac:dyDescent="0.25">
      <c r="A479" s="4" t="s">
        <v>5130</v>
      </c>
      <c r="B479" s="3" t="s">
        <v>482</v>
      </c>
      <c r="C479" s="14">
        <v>1754.87</v>
      </c>
      <c r="D479" s="11" t="s">
        <v>5</v>
      </c>
    </row>
    <row r="480" spans="1:4" x14ac:dyDescent="0.25">
      <c r="A480" s="4" t="s">
        <v>5131</v>
      </c>
      <c r="B480" s="3" t="s">
        <v>483</v>
      </c>
      <c r="C480" s="14">
        <v>1507.7</v>
      </c>
      <c r="D480" s="11" t="s">
        <v>5</v>
      </c>
    </row>
    <row r="481" spans="1:4" x14ac:dyDescent="0.25">
      <c r="A481" s="4" t="s">
        <v>5132</v>
      </c>
      <c r="B481" s="3" t="s">
        <v>484</v>
      </c>
      <c r="C481" s="14">
        <v>3435.6</v>
      </c>
      <c r="D481" s="11" t="s">
        <v>5</v>
      </c>
    </row>
    <row r="482" spans="1:4" x14ac:dyDescent="0.25">
      <c r="A482" s="4" t="s">
        <v>5133</v>
      </c>
      <c r="B482" s="3" t="s">
        <v>485</v>
      </c>
      <c r="C482" s="14">
        <v>4869.1499999999996</v>
      </c>
      <c r="D482" s="11" t="s">
        <v>5</v>
      </c>
    </row>
    <row r="483" spans="1:4" x14ac:dyDescent="0.25">
      <c r="A483" s="4" t="s">
        <v>5134</v>
      </c>
      <c r="B483" s="3" t="s">
        <v>486</v>
      </c>
      <c r="C483" s="14">
        <v>2595.2399999999998</v>
      </c>
      <c r="D483" s="11" t="s">
        <v>5</v>
      </c>
    </row>
    <row r="484" spans="1:4" x14ac:dyDescent="0.25">
      <c r="A484" s="4" t="s">
        <v>5135</v>
      </c>
      <c r="B484" s="3" t="s">
        <v>487</v>
      </c>
      <c r="C484" s="14">
        <v>1927.88</v>
      </c>
      <c r="D484" s="11" t="s">
        <v>5</v>
      </c>
    </row>
    <row r="485" spans="1:4" x14ac:dyDescent="0.25">
      <c r="A485" s="4" t="s">
        <v>5136</v>
      </c>
      <c r="B485" s="3" t="s">
        <v>488</v>
      </c>
      <c r="C485" s="14">
        <v>3015.42</v>
      </c>
      <c r="D485" s="11" t="s">
        <v>5</v>
      </c>
    </row>
    <row r="486" spans="1:4" x14ac:dyDescent="0.25">
      <c r="A486" s="4" t="s">
        <v>5137</v>
      </c>
      <c r="B486" s="3" t="s">
        <v>489</v>
      </c>
      <c r="C486" s="14">
        <v>1433.55</v>
      </c>
      <c r="D486" s="11" t="s">
        <v>5</v>
      </c>
    </row>
    <row r="487" spans="1:4" x14ac:dyDescent="0.25">
      <c r="A487" s="4" t="s">
        <v>5138</v>
      </c>
      <c r="B487" s="3" t="s">
        <v>490</v>
      </c>
      <c r="C487" s="14">
        <v>1334.69</v>
      </c>
      <c r="D487" s="11" t="s">
        <v>5</v>
      </c>
    </row>
    <row r="488" spans="1:4" x14ac:dyDescent="0.25">
      <c r="A488" s="4" t="s">
        <v>5139</v>
      </c>
      <c r="B488" s="3" t="s">
        <v>491</v>
      </c>
      <c r="C488" s="14">
        <v>1087.52</v>
      </c>
      <c r="D488" s="11" t="s">
        <v>5</v>
      </c>
    </row>
    <row r="489" spans="1:4" x14ac:dyDescent="0.25">
      <c r="A489" s="4" t="s">
        <v>5140</v>
      </c>
      <c r="B489" s="3" t="s">
        <v>492</v>
      </c>
      <c r="C489" s="14">
        <v>2002.05</v>
      </c>
      <c r="D489" s="11" t="s">
        <v>5</v>
      </c>
    </row>
    <row r="490" spans="1:4" x14ac:dyDescent="0.25">
      <c r="A490" s="4" t="s">
        <v>5141</v>
      </c>
      <c r="B490" s="3" t="s">
        <v>493</v>
      </c>
      <c r="C490" s="14">
        <v>1754.87</v>
      </c>
      <c r="D490" s="11" t="s">
        <v>5</v>
      </c>
    </row>
    <row r="491" spans="1:4" x14ac:dyDescent="0.25">
      <c r="A491" s="4" t="s">
        <v>5142</v>
      </c>
      <c r="B491" s="3" t="s">
        <v>494</v>
      </c>
      <c r="C491" s="14">
        <v>1087.52</v>
      </c>
      <c r="D491" s="11" t="s">
        <v>5</v>
      </c>
    </row>
    <row r="492" spans="1:4" x14ac:dyDescent="0.25">
      <c r="A492" s="4" t="s">
        <v>5143</v>
      </c>
      <c r="B492" s="3" t="s">
        <v>495</v>
      </c>
      <c r="C492" s="14">
        <v>2348.06</v>
      </c>
      <c r="D492" s="11" t="s">
        <v>5</v>
      </c>
    </row>
    <row r="493" spans="1:4" x14ac:dyDescent="0.25">
      <c r="A493" s="4" t="s">
        <v>5144</v>
      </c>
      <c r="B493" s="3" t="s">
        <v>496</v>
      </c>
      <c r="C493" s="14">
        <v>1927.88</v>
      </c>
      <c r="D493" s="11" t="s">
        <v>5</v>
      </c>
    </row>
    <row r="494" spans="1:4" x14ac:dyDescent="0.25">
      <c r="A494" s="4" t="s">
        <v>5145</v>
      </c>
      <c r="B494" s="3" t="s">
        <v>497</v>
      </c>
      <c r="C494" s="14">
        <v>2100.92</v>
      </c>
      <c r="D494" s="11" t="s">
        <v>5</v>
      </c>
    </row>
    <row r="495" spans="1:4" x14ac:dyDescent="0.25">
      <c r="A495" s="4" t="s">
        <v>5146</v>
      </c>
      <c r="B495" s="3" t="s">
        <v>498</v>
      </c>
      <c r="C495" s="14">
        <v>2002.05</v>
      </c>
      <c r="D495" s="11" t="s">
        <v>5</v>
      </c>
    </row>
    <row r="496" spans="1:4" x14ac:dyDescent="0.25">
      <c r="A496" s="4" t="s">
        <v>5147</v>
      </c>
      <c r="B496" s="3" t="s">
        <v>499</v>
      </c>
      <c r="C496" s="14">
        <v>4102.9399999999996</v>
      </c>
      <c r="D496" s="11" t="s">
        <v>5</v>
      </c>
    </row>
    <row r="497" spans="1:4" x14ac:dyDescent="0.25">
      <c r="A497" s="4" t="s">
        <v>5148</v>
      </c>
      <c r="B497" s="3" t="s">
        <v>500</v>
      </c>
      <c r="C497" s="14">
        <v>3929.93</v>
      </c>
      <c r="D497" s="11" t="s">
        <v>5</v>
      </c>
    </row>
    <row r="498" spans="1:4" x14ac:dyDescent="0.25">
      <c r="A498" s="4" t="s">
        <v>5149</v>
      </c>
      <c r="B498" s="3" t="s">
        <v>501</v>
      </c>
      <c r="C498" s="14">
        <v>6203.84</v>
      </c>
      <c r="D498" s="11" t="s">
        <v>5</v>
      </c>
    </row>
    <row r="499" spans="1:4" x14ac:dyDescent="0.25">
      <c r="A499" s="4" t="s">
        <v>5150</v>
      </c>
      <c r="B499" s="3" t="s">
        <v>502</v>
      </c>
      <c r="C499" s="14">
        <v>8205.8700000000008</v>
      </c>
      <c r="D499" s="11" t="s">
        <v>5</v>
      </c>
    </row>
    <row r="500" spans="1:4" x14ac:dyDescent="0.25">
      <c r="A500" s="4" t="s">
        <v>5151</v>
      </c>
      <c r="B500" s="3" t="s">
        <v>503</v>
      </c>
      <c r="C500" s="14">
        <v>1507.7</v>
      </c>
      <c r="D500" s="11" t="s">
        <v>5</v>
      </c>
    </row>
    <row r="501" spans="1:4" x14ac:dyDescent="0.25">
      <c r="A501" s="4" t="s">
        <v>5152</v>
      </c>
      <c r="B501" s="3" t="s">
        <v>504</v>
      </c>
      <c r="C501" s="14">
        <v>1161.69</v>
      </c>
      <c r="D501" s="11" t="s">
        <v>5</v>
      </c>
    </row>
    <row r="502" spans="1:4" x14ac:dyDescent="0.25">
      <c r="A502" s="4" t="s">
        <v>5153</v>
      </c>
      <c r="B502" s="3" t="s">
        <v>505</v>
      </c>
      <c r="C502" s="14">
        <v>2002.05</v>
      </c>
      <c r="D502" s="11" t="s">
        <v>5</v>
      </c>
    </row>
    <row r="503" spans="1:4" x14ac:dyDescent="0.25">
      <c r="A503" s="4" t="s">
        <v>5154</v>
      </c>
      <c r="B503" s="3" t="s">
        <v>506</v>
      </c>
      <c r="C503" s="14">
        <v>863.12</v>
      </c>
      <c r="D503" s="11" t="s">
        <v>5</v>
      </c>
    </row>
    <row r="504" spans="1:4" x14ac:dyDescent="0.25">
      <c r="A504" s="4" t="s">
        <v>5155</v>
      </c>
      <c r="B504" s="3" t="s">
        <v>507</v>
      </c>
      <c r="C504" s="14">
        <v>1087.52</v>
      </c>
      <c r="D504" s="11" t="s">
        <v>5</v>
      </c>
    </row>
    <row r="505" spans="1:4" x14ac:dyDescent="0.25">
      <c r="A505" s="4" t="s">
        <v>5156</v>
      </c>
      <c r="B505" s="3" t="s">
        <v>508</v>
      </c>
      <c r="C505" s="14">
        <v>1161.69</v>
      </c>
      <c r="D505" s="11" t="s">
        <v>5</v>
      </c>
    </row>
    <row r="506" spans="1:4" x14ac:dyDescent="0.25">
      <c r="A506" s="4" t="s">
        <v>5157</v>
      </c>
      <c r="B506" s="3" t="s">
        <v>509</v>
      </c>
      <c r="C506" s="14">
        <v>1927.88</v>
      </c>
      <c r="D506" s="11" t="s">
        <v>5</v>
      </c>
    </row>
    <row r="507" spans="1:4" x14ac:dyDescent="0.25">
      <c r="A507" s="4" t="s">
        <v>5158</v>
      </c>
      <c r="B507" s="3" t="s">
        <v>510</v>
      </c>
      <c r="C507" s="14">
        <v>840.36</v>
      </c>
      <c r="D507" s="11" t="s">
        <v>5</v>
      </c>
    </row>
    <row r="508" spans="1:4" x14ac:dyDescent="0.25">
      <c r="A508" s="4" t="s">
        <v>5159</v>
      </c>
      <c r="B508" s="3" t="s">
        <v>511</v>
      </c>
      <c r="C508" s="14">
        <v>1161.69</v>
      </c>
      <c r="D508" s="11" t="s">
        <v>5</v>
      </c>
    </row>
    <row r="509" spans="1:4" x14ac:dyDescent="0.25">
      <c r="A509" s="4" t="s">
        <v>5160</v>
      </c>
      <c r="B509" s="3" t="s">
        <v>512</v>
      </c>
      <c r="C509" s="14">
        <v>1927.88</v>
      </c>
      <c r="D509" s="11" t="s">
        <v>5</v>
      </c>
    </row>
    <row r="510" spans="1:4" x14ac:dyDescent="0.25">
      <c r="A510" s="4" t="s">
        <v>5161</v>
      </c>
      <c r="B510" s="3" t="s">
        <v>513</v>
      </c>
      <c r="C510" s="14">
        <v>840.36</v>
      </c>
      <c r="D510" s="11" t="s">
        <v>5</v>
      </c>
    </row>
    <row r="511" spans="1:4" x14ac:dyDescent="0.25">
      <c r="A511" s="4" t="s">
        <v>5162</v>
      </c>
      <c r="B511" s="3" t="s">
        <v>514</v>
      </c>
      <c r="C511" s="14">
        <v>644.9</v>
      </c>
      <c r="D511" s="11" t="s">
        <v>5</v>
      </c>
    </row>
    <row r="512" spans="1:4" x14ac:dyDescent="0.25">
      <c r="A512" s="4" t="s">
        <v>5163</v>
      </c>
      <c r="B512" s="3" t="s">
        <v>515</v>
      </c>
      <c r="C512" s="14">
        <v>583.07000000000005</v>
      </c>
      <c r="D512" s="11" t="s">
        <v>5</v>
      </c>
    </row>
    <row r="513" spans="1:4" x14ac:dyDescent="0.25">
      <c r="A513" s="4" t="s">
        <v>5164</v>
      </c>
      <c r="B513" s="3" t="s">
        <v>516</v>
      </c>
      <c r="C513" s="14">
        <v>538.01</v>
      </c>
      <c r="D513" s="11" t="s">
        <v>5</v>
      </c>
    </row>
    <row r="514" spans="1:4" x14ac:dyDescent="0.25">
      <c r="A514" s="4" t="s">
        <v>5165</v>
      </c>
      <c r="B514" s="3" t="s">
        <v>517</v>
      </c>
      <c r="C514" s="14">
        <v>622.22</v>
      </c>
      <c r="D514" s="11" t="s">
        <v>5</v>
      </c>
    </row>
    <row r="515" spans="1:4" x14ac:dyDescent="0.25">
      <c r="A515" s="4" t="s">
        <v>5166</v>
      </c>
      <c r="B515" s="3" t="s">
        <v>518</v>
      </c>
      <c r="C515" s="14">
        <v>516.62</v>
      </c>
      <c r="D515" s="11" t="s">
        <v>5</v>
      </c>
    </row>
    <row r="516" spans="1:4" x14ac:dyDescent="0.25">
      <c r="A516" s="4" t="s">
        <v>5167</v>
      </c>
      <c r="B516" s="3" t="s">
        <v>519</v>
      </c>
      <c r="C516" s="14">
        <v>355.56</v>
      </c>
      <c r="D516" s="11" t="s">
        <v>5</v>
      </c>
    </row>
    <row r="517" spans="1:4" x14ac:dyDescent="0.25">
      <c r="A517" s="4" t="s">
        <v>5168</v>
      </c>
      <c r="B517" s="3" t="s">
        <v>520</v>
      </c>
      <c r="C517" s="14">
        <v>1053.81</v>
      </c>
      <c r="D517" s="11" t="s">
        <v>5</v>
      </c>
    </row>
    <row r="518" spans="1:4" x14ac:dyDescent="0.25">
      <c r="A518" s="4" t="s">
        <v>5169</v>
      </c>
      <c r="B518" s="3" t="s">
        <v>521</v>
      </c>
      <c r="C518" s="14">
        <v>1005.8</v>
      </c>
      <c r="D518" s="11" t="s">
        <v>5</v>
      </c>
    </row>
    <row r="519" spans="1:4" x14ac:dyDescent="0.25">
      <c r="A519" s="4" t="s">
        <v>5170</v>
      </c>
      <c r="B519" s="3" t="s">
        <v>522</v>
      </c>
      <c r="C519" s="14">
        <v>805.37</v>
      </c>
      <c r="D519" s="11" t="s">
        <v>5</v>
      </c>
    </row>
    <row r="520" spans="1:4" x14ac:dyDescent="0.25">
      <c r="A520" s="4" t="s">
        <v>5171</v>
      </c>
      <c r="B520" s="3" t="s">
        <v>523</v>
      </c>
      <c r="C520" s="14">
        <v>1369.32</v>
      </c>
      <c r="D520" s="11" t="s">
        <v>5</v>
      </c>
    </row>
    <row r="521" spans="1:4" x14ac:dyDescent="0.25">
      <c r="A521" s="4" t="s">
        <v>5172</v>
      </c>
      <c r="B521" s="3" t="s">
        <v>524</v>
      </c>
      <c r="C521" s="14">
        <v>1541.4</v>
      </c>
      <c r="D521" s="11" t="s">
        <v>5</v>
      </c>
    </row>
    <row r="522" spans="1:4" x14ac:dyDescent="0.25">
      <c r="A522" s="4" t="s">
        <v>5173</v>
      </c>
      <c r="B522" s="3" t="s">
        <v>525</v>
      </c>
      <c r="C522" s="14">
        <v>1541.4</v>
      </c>
      <c r="D522" s="11" t="s">
        <v>5</v>
      </c>
    </row>
    <row r="523" spans="1:4" x14ac:dyDescent="0.25">
      <c r="A523" s="4" t="s">
        <v>5174</v>
      </c>
      <c r="B523" s="3" t="s">
        <v>526</v>
      </c>
      <c r="C523" s="14">
        <v>1468.98</v>
      </c>
      <c r="D523" s="11" t="s">
        <v>5</v>
      </c>
    </row>
    <row r="524" spans="1:4" x14ac:dyDescent="0.25">
      <c r="A524" s="4" t="s">
        <v>5175</v>
      </c>
      <c r="B524" s="3" t="s">
        <v>527</v>
      </c>
      <c r="C524" s="14">
        <v>1176.6199999999999</v>
      </c>
      <c r="D524" s="11" t="s">
        <v>5</v>
      </c>
    </row>
    <row r="525" spans="1:4" x14ac:dyDescent="0.25">
      <c r="A525" s="4" t="s">
        <v>5176</v>
      </c>
      <c r="B525" s="3" t="s">
        <v>528</v>
      </c>
      <c r="C525" s="14">
        <v>1378.05</v>
      </c>
      <c r="D525" s="11" t="s">
        <v>5</v>
      </c>
    </row>
    <row r="526" spans="1:4" x14ac:dyDescent="0.25">
      <c r="A526" s="4" t="s">
        <v>5177</v>
      </c>
      <c r="B526" s="3" t="s">
        <v>529</v>
      </c>
      <c r="C526" s="14">
        <v>1378.05</v>
      </c>
      <c r="D526" s="11" t="s">
        <v>5</v>
      </c>
    </row>
    <row r="527" spans="1:4" x14ac:dyDescent="0.25">
      <c r="A527" s="4" t="s">
        <v>5178</v>
      </c>
      <c r="B527" s="3" t="s">
        <v>530</v>
      </c>
      <c r="C527" s="14">
        <v>1301.52</v>
      </c>
      <c r="D527" s="11" t="s">
        <v>5</v>
      </c>
    </row>
    <row r="528" spans="1:4" x14ac:dyDescent="0.25">
      <c r="A528" s="4" t="s">
        <v>5179</v>
      </c>
      <c r="B528" s="3" t="s">
        <v>531</v>
      </c>
      <c r="C528" s="14">
        <v>1159.8</v>
      </c>
      <c r="D528" s="11" t="s">
        <v>5</v>
      </c>
    </row>
    <row r="529" spans="1:4" x14ac:dyDescent="0.25">
      <c r="A529" s="4" t="s">
        <v>5180</v>
      </c>
      <c r="B529" s="3" t="s">
        <v>532</v>
      </c>
      <c r="C529" s="14">
        <v>1374.32</v>
      </c>
      <c r="D529" s="11" t="s">
        <v>5</v>
      </c>
    </row>
    <row r="530" spans="1:4" x14ac:dyDescent="0.25">
      <c r="A530" s="4" t="s">
        <v>5181</v>
      </c>
      <c r="B530" s="3" t="s">
        <v>533</v>
      </c>
      <c r="C530" s="14">
        <v>1242.6300000000001</v>
      </c>
      <c r="D530" s="11" t="s">
        <v>5</v>
      </c>
    </row>
    <row r="531" spans="1:4" x14ac:dyDescent="0.25">
      <c r="A531" s="4" t="s">
        <v>5182</v>
      </c>
      <c r="B531" s="3" t="s">
        <v>534</v>
      </c>
      <c r="C531" s="14">
        <v>1374.32</v>
      </c>
      <c r="D531" s="11" t="s">
        <v>5</v>
      </c>
    </row>
    <row r="532" spans="1:4" x14ac:dyDescent="0.25">
      <c r="A532" s="4" t="s">
        <v>5183</v>
      </c>
      <c r="B532" s="3" t="s">
        <v>535</v>
      </c>
      <c r="C532" s="14">
        <v>1308.78</v>
      </c>
      <c r="D532" s="11" t="s">
        <v>5</v>
      </c>
    </row>
    <row r="533" spans="1:4" x14ac:dyDescent="0.25">
      <c r="A533" s="4" t="s">
        <v>5184</v>
      </c>
      <c r="B533" s="3" t="s">
        <v>536</v>
      </c>
      <c r="C533" s="14">
        <v>1311.2</v>
      </c>
      <c r="D533" s="11" t="s">
        <v>5</v>
      </c>
    </row>
    <row r="534" spans="1:4" x14ac:dyDescent="0.25">
      <c r="A534" s="4" t="s">
        <v>5185</v>
      </c>
      <c r="B534" s="3" t="s">
        <v>537</v>
      </c>
      <c r="C534" s="14">
        <v>1543.29</v>
      </c>
      <c r="D534" s="11" t="s">
        <v>5</v>
      </c>
    </row>
    <row r="535" spans="1:4" x14ac:dyDescent="0.25">
      <c r="A535" s="4" t="s">
        <v>5186</v>
      </c>
      <c r="B535" s="3" t="s">
        <v>538</v>
      </c>
      <c r="C535" s="14">
        <v>1468.98</v>
      </c>
      <c r="D535" s="11" t="s">
        <v>5</v>
      </c>
    </row>
    <row r="536" spans="1:4" x14ac:dyDescent="0.25">
      <c r="A536" s="4" t="s">
        <v>5187</v>
      </c>
      <c r="B536" s="3" t="s">
        <v>539</v>
      </c>
      <c r="C536" s="14">
        <v>1604.73</v>
      </c>
      <c r="D536" s="11" t="s">
        <v>5</v>
      </c>
    </row>
    <row r="537" spans="1:4" x14ac:dyDescent="0.25">
      <c r="A537" s="4" t="s">
        <v>5188</v>
      </c>
      <c r="B537" s="3" t="s">
        <v>540</v>
      </c>
      <c r="C537" s="14">
        <v>1437.87</v>
      </c>
      <c r="D537" s="11" t="s">
        <v>5</v>
      </c>
    </row>
    <row r="538" spans="1:4" x14ac:dyDescent="0.25">
      <c r="A538" s="4" t="s">
        <v>5189</v>
      </c>
      <c r="B538" s="3" t="s">
        <v>541</v>
      </c>
      <c r="C538" s="14">
        <v>1437.87</v>
      </c>
      <c r="D538" s="11" t="s">
        <v>5</v>
      </c>
    </row>
    <row r="539" spans="1:4" x14ac:dyDescent="0.25">
      <c r="A539" s="4" t="s">
        <v>5190</v>
      </c>
      <c r="B539" s="3" t="s">
        <v>542</v>
      </c>
      <c r="C539" s="14">
        <v>1114.77</v>
      </c>
      <c r="D539" s="11" t="s">
        <v>5</v>
      </c>
    </row>
    <row r="540" spans="1:4" x14ac:dyDescent="0.25">
      <c r="A540" s="4" t="s">
        <v>5191</v>
      </c>
      <c r="B540" s="3" t="s">
        <v>543</v>
      </c>
      <c r="C540" s="14">
        <v>541.32000000000005</v>
      </c>
      <c r="D540" s="11" t="s">
        <v>5</v>
      </c>
    </row>
    <row r="541" spans="1:4" x14ac:dyDescent="0.25">
      <c r="A541" s="4" t="s">
        <v>5192</v>
      </c>
      <c r="B541" s="3" t="s">
        <v>544</v>
      </c>
      <c r="C541" s="14">
        <v>398.07</v>
      </c>
      <c r="D541" s="11" t="s">
        <v>5</v>
      </c>
    </row>
    <row r="542" spans="1:4" x14ac:dyDescent="0.25">
      <c r="A542" s="4" t="s">
        <v>5193</v>
      </c>
      <c r="B542" s="3" t="s">
        <v>545</v>
      </c>
      <c r="C542" s="14">
        <v>713.15</v>
      </c>
      <c r="D542" s="11" t="s">
        <v>5</v>
      </c>
    </row>
    <row r="543" spans="1:4" x14ac:dyDescent="0.25">
      <c r="A543" s="4" t="s">
        <v>5194</v>
      </c>
      <c r="B543" s="3" t="s">
        <v>546</v>
      </c>
      <c r="C543" s="14">
        <v>536.34</v>
      </c>
      <c r="D543" s="11" t="s">
        <v>5</v>
      </c>
    </row>
    <row r="544" spans="1:4" x14ac:dyDescent="0.25">
      <c r="A544" s="4" t="s">
        <v>5195</v>
      </c>
      <c r="B544" s="3" t="s">
        <v>547</v>
      </c>
      <c r="C544" s="14">
        <v>1094.6600000000001</v>
      </c>
      <c r="D544" s="11" t="s">
        <v>5</v>
      </c>
    </row>
    <row r="545" spans="1:4" x14ac:dyDescent="0.25">
      <c r="A545" s="4" t="s">
        <v>5196</v>
      </c>
      <c r="B545" s="3" t="s">
        <v>548</v>
      </c>
      <c r="C545" s="14">
        <v>1181.96</v>
      </c>
      <c r="D545" s="11" t="s">
        <v>5</v>
      </c>
    </row>
    <row r="546" spans="1:4" x14ac:dyDescent="0.25">
      <c r="A546" s="4" t="s">
        <v>5197</v>
      </c>
      <c r="B546" s="3" t="s">
        <v>549</v>
      </c>
      <c r="C546" s="14">
        <v>1181.96</v>
      </c>
      <c r="D546" s="11" t="s">
        <v>5</v>
      </c>
    </row>
    <row r="547" spans="1:4" x14ac:dyDescent="0.25">
      <c r="A547" s="4" t="s">
        <v>5198</v>
      </c>
      <c r="B547" s="3" t="s">
        <v>550</v>
      </c>
      <c r="C547" s="14">
        <v>937.2</v>
      </c>
      <c r="D547" s="11" t="s">
        <v>5</v>
      </c>
    </row>
    <row r="548" spans="1:4" x14ac:dyDescent="0.25">
      <c r="A548" s="4" t="s">
        <v>5199</v>
      </c>
      <c r="B548" s="3" t="s">
        <v>551</v>
      </c>
      <c r="C548" s="14">
        <v>937.2</v>
      </c>
      <c r="D548" s="11" t="s">
        <v>5</v>
      </c>
    </row>
    <row r="549" spans="1:4" x14ac:dyDescent="0.25">
      <c r="A549" s="4" t="s">
        <v>5200</v>
      </c>
      <c r="B549" s="3" t="s">
        <v>552</v>
      </c>
      <c r="C549" s="14">
        <v>963.35</v>
      </c>
      <c r="D549" s="11" t="s">
        <v>5</v>
      </c>
    </row>
    <row r="550" spans="1:4" x14ac:dyDescent="0.25">
      <c r="A550" s="4" t="s">
        <v>5201</v>
      </c>
      <c r="B550" s="3" t="s">
        <v>553</v>
      </c>
      <c r="C550" s="14">
        <v>758</v>
      </c>
      <c r="D550" s="11" t="s">
        <v>5</v>
      </c>
    </row>
    <row r="551" spans="1:4" x14ac:dyDescent="0.25">
      <c r="A551" s="4" t="s">
        <v>5202</v>
      </c>
      <c r="B551" s="3" t="s">
        <v>554</v>
      </c>
      <c r="C551" s="14">
        <v>827.01</v>
      </c>
      <c r="D551" s="11" t="s">
        <v>5</v>
      </c>
    </row>
    <row r="552" spans="1:4" x14ac:dyDescent="0.25">
      <c r="A552" s="4" t="s">
        <v>5203</v>
      </c>
      <c r="B552" s="3" t="s">
        <v>555</v>
      </c>
      <c r="C552" s="14">
        <v>1063.68</v>
      </c>
      <c r="D552" s="11" t="s">
        <v>5</v>
      </c>
    </row>
    <row r="553" spans="1:4" x14ac:dyDescent="0.25">
      <c r="A553" s="4" t="s">
        <v>5204</v>
      </c>
      <c r="B553" s="3" t="s">
        <v>556</v>
      </c>
      <c r="C553" s="14">
        <v>641.16</v>
      </c>
      <c r="D553" s="11" t="s">
        <v>5</v>
      </c>
    </row>
    <row r="554" spans="1:4" x14ac:dyDescent="0.25">
      <c r="A554" s="4" t="s">
        <v>5205</v>
      </c>
      <c r="B554" s="3" t="s">
        <v>557</v>
      </c>
      <c r="C554" s="14">
        <v>665.84</v>
      </c>
      <c r="D554" s="11" t="s">
        <v>5</v>
      </c>
    </row>
    <row r="555" spans="1:4" x14ac:dyDescent="0.25">
      <c r="A555" s="4" t="s">
        <v>5206</v>
      </c>
      <c r="B555" s="3" t="s">
        <v>558</v>
      </c>
      <c r="C555" s="14">
        <v>916.89</v>
      </c>
      <c r="D555" s="11" t="s">
        <v>5</v>
      </c>
    </row>
    <row r="556" spans="1:4" x14ac:dyDescent="0.25">
      <c r="A556" s="4" t="s">
        <v>5207</v>
      </c>
      <c r="B556" s="3" t="s">
        <v>559</v>
      </c>
      <c r="C556" s="14">
        <v>805.83</v>
      </c>
      <c r="D556" s="11" t="s">
        <v>5</v>
      </c>
    </row>
    <row r="557" spans="1:4" x14ac:dyDescent="0.25">
      <c r="A557" s="4" t="s">
        <v>5208</v>
      </c>
      <c r="B557" s="3" t="s">
        <v>560</v>
      </c>
      <c r="C557" s="14">
        <v>771.17</v>
      </c>
      <c r="D557" s="11" t="s">
        <v>5</v>
      </c>
    </row>
    <row r="558" spans="1:4" x14ac:dyDescent="0.25">
      <c r="A558" s="4" t="s">
        <v>5209</v>
      </c>
      <c r="B558" s="3" t="s">
        <v>561</v>
      </c>
      <c r="C558" s="14">
        <v>609.41</v>
      </c>
      <c r="D558" s="11" t="s">
        <v>5</v>
      </c>
    </row>
    <row r="559" spans="1:4" x14ac:dyDescent="0.25">
      <c r="A559" s="4" t="s">
        <v>5210</v>
      </c>
      <c r="B559" s="3" t="s">
        <v>562</v>
      </c>
      <c r="C559" s="14">
        <v>507.48</v>
      </c>
      <c r="D559" s="11" t="s">
        <v>5</v>
      </c>
    </row>
    <row r="560" spans="1:4" x14ac:dyDescent="0.25">
      <c r="A560" s="4" t="s">
        <v>5211</v>
      </c>
      <c r="B560" s="3" t="s">
        <v>563</v>
      </c>
      <c r="C560" s="14">
        <v>651.59</v>
      </c>
      <c r="D560" s="11" t="s">
        <v>5</v>
      </c>
    </row>
    <row r="561" spans="1:4" x14ac:dyDescent="0.25">
      <c r="A561" s="4" t="s">
        <v>5212</v>
      </c>
      <c r="B561" s="3" t="s">
        <v>564</v>
      </c>
      <c r="C561" s="14">
        <v>1343.31</v>
      </c>
      <c r="D561" s="11" t="s">
        <v>5</v>
      </c>
    </row>
    <row r="562" spans="1:4" x14ac:dyDescent="0.25">
      <c r="A562" s="4" t="s">
        <v>5213</v>
      </c>
      <c r="B562" s="3" t="s">
        <v>565</v>
      </c>
      <c r="C562" s="14">
        <v>949.61</v>
      </c>
      <c r="D562" s="11" t="s">
        <v>5</v>
      </c>
    </row>
    <row r="563" spans="1:4" x14ac:dyDescent="0.25">
      <c r="A563" s="4" t="s">
        <v>5214</v>
      </c>
      <c r="B563" s="3" t="s">
        <v>566</v>
      </c>
      <c r="C563" s="14">
        <v>356.67</v>
      </c>
      <c r="D563" s="11" t="s">
        <v>5</v>
      </c>
    </row>
    <row r="564" spans="1:4" x14ac:dyDescent="0.25">
      <c r="A564" s="4" t="s">
        <v>5215</v>
      </c>
      <c r="B564" s="3" t="s">
        <v>567</v>
      </c>
      <c r="C564" s="14">
        <v>408.66</v>
      </c>
      <c r="D564" s="11" t="s">
        <v>5</v>
      </c>
    </row>
    <row r="565" spans="1:4" x14ac:dyDescent="0.25">
      <c r="A565" s="4" t="s">
        <v>5216</v>
      </c>
      <c r="B565" s="3" t="s">
        <v>568</v>
      </c>
      <c r="C565" s="14">
        <v>462.05</v>
      </c>
      <c r="D565" s="11" t="s">
        <v>5</v>
      </c>
    </row>
    <row r="566" spans="1:4" x14ac:dyDescent="0.25">
      <c r="A566" s="4" t="s">
        <v>5217</v>
      </c>
      <c r="B566" s="3" t="s">
        <v>569</v>
      </c>
      <c r="C566" s="14">
        <v>378.3</v>
      </c>
      <c r="D566" s="11" t="s">
        <v>5</v>
      </c>
    </row>
    <row r="567" spans="1:4" x14ac:dyDescent="0.25">
      <c r="A567" s="4" t="s">
        <v>5218</v>
      </c>
      <c r="B567" s="3" t="s">
        <v>570</v>
      </c>
      <c r="C567" s="14">
        <v>324.89</v>
      </c>
      <c r="D567" s="11" t="s">
        <v>5</v>
      </c>
    </row>
    <row r="568" spans="1:4" x14ac:dyDescent="0.25">
      <c r="A568" s="4" t="s">
        <v>5219</v>
      </c>
      <c r="B568" s="3" t="s">
        <v>571</v>
      </c>
      <c r="C568" s="14">
        <v>469.28</v>
      </c>
      <c r="D568" s="11" t="s">
        <v>5</v>
      </c>
    </row>
    <row r="569" spans="1:4" x14ac:dyDescent="0.25">
      <c r="A569" s="4" t="s">
        <v>5220</v>
      </c>
      <c r="B569" s="3" t="s">
        <v>572</v>
      </c>
      <c r="C569" s="14">
        <v>693.62</v>
      </c>
      <c r="D569" s="11" t="s">
        <v>5</v>
      </c>
    </row>
    <row r="570" spans="1:4" x14ac:dyDescent="0.25">
      <c r="A570" s="4" t="s">
        <v>5221</v>
      </c>
      <c r="B570" s="3" t="s">
        <v>573</v>
      </c>
      <c r="C570" s="14">
        <v>2307.7199999999998</v>
      </c>
      <c r="D570" s="11" t="s">
        <v>5</v>
      </c>
    </row>
    <row r="571" spans="1:4" x14ac:dyDescent="0.25">
      <c r="A571" s="4" t="s">
        <v>5222</v>
      </c>
      <c r="B571" s="3" t="s">
        <v>574</v>
      </c>
      <c r="C571" s="14">
        <v>2307.7199999999998</v>
      </c>
      <c r="D571" s="11" t="s">
        <v>5</v>
      </c>
    </row>
    <row r="572" spans="1:4" x14ac:dyDescent="0.25">
      <c r="A572" s="4" t="s">
        <v>5223</v>
      </c>
      <c r="B572" s="3" t="s">
        <v>575</v>
      </c>
      <c r="C572" s="14">
        <v>1807.07</v>
      </c>
      <c r="D572" s="11" t="s">
        <v>5</v>
      </c>
    </row>
    <row r="573" spans="1:4" x14ac:dyDescent="0.25">
      <c r="A573" s="4" t="s">
        <v>5224</v>
      </c>
      <c r="B573" s="3" t="s">
        <v>576</v>
      </c>
      <c r="C573" s="14">
        <v>1041.8599999999999</v>
      </c>
      <c r="D573" s="11" t="s">
        <v>5</v>
      </c>
    </row>
    <row r="574" spans="1:4" x14ac:dyDescent="0.25">
      <c r="A574" s="4" t="s">
        <v>5225</v>
      </c>
      <c r="B574" s="3" t="s">
        <v>577</v>
      </c>
      <c r="C574" s="14">
        <v>1194.6199999999999</v>
      </c>
      <c r="D574" s="11" t="s">
        <v>5</v>
      </c>
    </row>
    <row r="575" spans="1:4" x14ac:dyDescent="0.25">
      <c r="A575" s="4" t="s">
        <v>5226</v>
      </c>
      <c r="B575" s="3" t="s">
        <v>578</v>
      </c>
      <c r="C575" s="14">
        <v>1370.27</v>
      </c>
      <c r="D575" s="11" t="s">
        <v>5</v>
      </c>
    </row>
    <row r="576" spans="1:4" x14ac:dyDescent="0.25">
      <c r="A576" s="4" t="s">
        <v>5227</v>
      </c>
      <c r="B576" s="3" t="s">
        <v>579</v>
      </c>
      <c r="C576" s="14">
        <v>1338.84</v>
      </c>
      <c r="D576" s="11" t="s">
        <v>5</v>
      </c>
    </row>
    <row r="577" spans="1:4" x14ac:dyDescent="0.25">
      <c r="A577" s="4" t="s">
        <v>5228</v>
      </c>
      <c r="B577" s="3" t="s">
        <v>580</v>
      </c>
      <c r="C577" s="14">
        <v>1572.12</v>
      </c>
      <c r="D577" s="11" t="s">
        <v>5</v>
      </c>
    </row>
    <row r="578" spans="1:4" x14ac:dyDescent="0.25">
      <c r="A578" s="4" t="s">
        <v>5229</v>
      </c>
      <c r="B578" s="3" t="s">
        <v>581</v>
      </c>
      <c r="C578" s="14">
        <v>983.15</v>
      </c>
      <c r="D578" s="11" t="s">
        <v>5</v>
      </c>
    </row>
    <row r="579" spans="1:4" x14ac:dyDescent="0.25">
      <c r="A579" s="4" t="s">
        <v>5230</v>
      </c>
      <c r="B579" s="3" t="s">
        <v>582</v>
      </c>
      <c r="C579" s="14">
        <v>2723.97</v>
      </c>
      <c r="D579" s="11" t="s">
        <v>5</v>
      </c>
    </row>
    <row r="580" spans="1:4" x14ac:dyDescent="0.25">
      <c r="A580" s="4" t="s">
        <v>5231</v>
      </c>
      <c r="B580" s="3" t="s">
        <v>583</v>
      </c>
      <c r="C580" s="14">
        <v>855.41</v>
      </c>
      <c r="D580" s="11" t="s">
        <v>5</v>
      </c>
    </row>
    <row r="581" spans="1:4" x14ac:dyDescent="0.25">
      <c r="A581" s="4" t="s">
        <v>5232</v>
      </c>
      <c r="B581" s="3" t="s">
        <v>584</v>
      </c>
      <c r="C581" s="14">
        <v>760.79</v>
      </c>
      <c r="D581" s="11" t="s">
        <v>5</v>
      </c>
    </row>
    <row r="582" spans="1:4" x14ac:dyDescent="0.25">
      <c r="A582" s="4" t="s">
        <v>5233</v>
      </c>
      <c r="B582" s="3" t="s">
        <v>585</v>
      </c>
      <c r="C582" s="14">
        <v>607.37</v>
      </c>
      <c r="D582" s="11" t="s">
        <v>5</v>
      </c>
    </row>
    <row r="583" spans="1:4" x14ac:dyDescent="0.25">
      <c r="A583" s="4" t="s">
        <v>5234</v>
      </c>
      <c r="B583" s="3" t="s">
        <v>586</v>
      </c>
      <c r="C583" s="14">
        <v>620.15</v>
      </c>
      <c r="D583" s="11" t="s">
        <v>5</v>
      </c>
    </row>
    <row r="584" spans="1:4" x14ac:dyDescent="0.25">
      <c r="A584" s="4" t="s">
        <v>5235</v>
      </c>
      <c r="B584" s="3" t="s">
        <v>587</v>
      </c>
      <c r="C584" s="14">
        <v>589.42999999999995</v>
      </c>
      <c r="D584" s="11" t="s">
        <v>5</v>
      </c>
    </row>
    <row r="585" spans="1:4" x14ac:dyDescent="0.25">
      <c r="A585" s="4" t="s">
        <v>5236</v>
      </c>
      <c r="B585" s="3" t="s">
        <v>588</v>
      </c>
      <c r="C585" s="14">
        <v>594.89</v>
      </c>
      <c r="D585" s="11" t="s">
        <v>5</v>
      </c>
    </row>
    <row r="586" spans="1:4" x14ac:dyDescent="0.25">
      <c r="A586" s="4" t="s">
        <v>5237</v>
      </c>
      <c r="B586" s="3" t="s">
        <v>589</v>
      </c>
      <c r="C586" s="14">
        <v>920.01</v>
      </c>
      <c r="D586" s="11" t="s">
        <v>5</v>
      </c>
    </row>
    <row r="587" spans="1:4" x14ac:dyDescent="0.25">
      <c r="A587" s="4" t="s">
        <v>5238</v>
      </c>
      <c r="B587" s="3" t="s">
        <v>590</v>
      </c>
      <c r="C587" s="14">
        <v>877.22</v>
      </c>
      <c r="D587" s="11" t="s">
        <v>5</v>
      </c>
    </row>
    <row r="588" spans="1:4" x14ac:dyDescent="0.25">
      <c r="A588" s="4" t="s">
        <v>5239</v>
      </c>
      <c r="B588" s="3" t="s">
        <v>591</v>
      </c>
      <c r="C588" s="14">
        <v>1456.44</v>
      </c>
      <c r="D588" s="11" t="s">
        <v>5</v>
      </c>
    </row>
    <row r="589" spans="1:4" x14ac:dyDescent="0.25">
      <c r="A589" s="4" t="s">
        <v>5240</v>
      </c>
      <c r="B589" s="3" t="s">
        <v>592</v>
      </c>
      <c r="C589" s="14">
        <v>1456.44</v>
      </c>
      <c r="D589" s="11" t="s">
        <v>5</v>
      </c>
    </row>
    <row r="590" spans="1:4" x14ac:dyDescent="0.25">
      <c r="A590" s="4" t="s">
        <v>5241</v>
      </c>
      <c r="B590" s="3" t="s">
        <v>593</v>
      </c>
      <c r="C590" s="14">
        <v>1764.53</v>
      </c>
      <c r="D590" s="11" t="s">
        <v>5</v>
      </c>
    </row>
    <row r="591" spans="1:4" x14ac:dyDescent="0.25">
      <c r="A591" s="4" t="s">
        <v>5242</v>
      </c>
      <c r="B591" s="3" t="s">
        <v>594</v>
      </c>
      <c r="C591" s="14">
        <v>1764.53</v>
      </c>
      <c r="D591" s="11" t="s">
        <v>5</v>
      </c>
    </row>
    <row r="592" spans="1:4" x14ac:dyDescent="0.25">
      <c r="A592" s="4" t="s">
        <v>5243</v>
      </c>
      <c r="B592" s="3" t="s">
        <v>595</v>
      </c>
      <c r="C592" s="14">
        <v>365.72</v>
      </c>
      <c r="D592" s="11" t="s">
        <v>5</v>
      </c>
    </row>
    <row r="593" spans="1:4" x14ac:dyDescent="0.25">
      <c r="A593" s="4" t="s">
        <v>5244</v>
      </c>
      <c r="B593" s="3" t="s">
        <v>596</v>
      </c>
      <c r="C593" s="14">
        <v>286.68</v>
      </c>
      <c r="D593" s="11" t="s">
        <v>5</v>
      </c>
    </row>
    <row r="594" spans="1:4" x14ac:dyDescent="0.25">
      <c r="A594" s="4" t="s">
        <v>5245</v>
      </c>
      <c r="B594" s="3" t="s">
        <v>597</v>
      </c>
      <c r="C594" s="14">
        <v>346.77</v>
      </c>
      <c r="D594" s="11" t="s">
        <v>5</v>
      </c>
    </row>
    <row r="595" spans="1:4" x14ac:dyDescent="0.25">
      <c r="A595" s="4" t="s">
        <v>5246</v>
      </c>
      <c r="B595" s="3" t="s">
        <v>598</v>
      </c>
      <c r="C595" s="14">
        <v>791.1</v>
      </c>
      <c r="D595" s="11" t="s">
        <v>5</v>
      </c>
    </row>
    <row r="596" spans="1:4" x14ac:dyDescent="0.25">
      <c r="A596" s="4" t="s">
        <v>5247</v>
      </c>
      <c r="B596" s="3" t="s">
        <v>599</v>
      </c>
      <c r="C596" s="14">
        <v>681.47</v>
      </c>
      <c r="D596" s="11" t="s">
        <v>5</v>
      </c>
    </row>
    <row r="597" spans="1:4" x14ac:dyDescent="0.25">
      <c r="A597" s="4" t="s">
        <v>5248</v>
      </c>
      <c r="B597" s="3" t="s">
        <v>600</v>
      </c>
      <c r="C597" s="14">
        <v>165.62</v>
      </c>
      <c r="D597" s="11" t="s">
        <v>5</v>
      </c>
    </row>
    <row r="598" spans="1:4" x14ac:dyDescent="0.25">
      <c r="A598" s="4" t="s">
        <v>5249</v>
      </c>
      <c r="B598" s="3" t="s">
        <v>601</v>
      </c>
      <c r="C598" s="14">
        <v>140.27000000000001</v>
      </c>
      <c r="D598" s="11" t="s">
        <v>5</v>
      </c>
    </row>
    <row r="599" spans="1:4" x14ac:dyDescent="0.25">
      <c r="A599" s="4" t="s">
        <v>5250</v>
      </c>
      <c r="B599" s="3" t="s">
        <v>602</v>
      </c>
      <c r="C599" s="14">
        <v>227.79</v>
      </c>
      <c r="D599" s="11" t="s">
        <v>5</v>
      </c>
    </row>
    <row r="600" spans="1:4" x14ac:dyDescent="0.25">
      <c r="A600" s="4" t="s">
        <v>5251</v>
      </c>
      <c r="B600" s="3" t="s">
        <v>603</v>
      </c>
      <c r="C600" s="14">
        <v>244.43</v>
      </c>
      <c r="D600" s="11" t="s">
        <v>5</v>
      </c>
    </row>
    <row r="601" spans="1:4" x14ac:dyDescent="0.25">
      <c r="A601" s="4" t="s">
        <v>5252</v>
      </c>
      <c r="B601" s="3" t="s">
        <v>604</v>
      </c>
      <c r="C601" s="14">
        <v>143.97</v>
      </c>
      <c r="D601" s="11" t="s">
        <v>5</v>
      </c>
    </row>
    <row r="602" spans="1:4" x14ac:dyDescent="0.25">
      <c r="A602" s="4" t="s">
        <v>5253</v>
      </c>
      <c r="B602" s="3" t="s">
        <v>605</v>
      </c>
      <c r="C602" s="14">
        <v>146.4</v>
      </c>
      <c r="D602" s="11" t="s">
        <v>5</v>
      </c>
    </row>
    <row r="603" spans="1:4" x14ac:dyDescent="0.25">
      <c r="A603" s="4" t="s">
        <v>5254</v>
      </c>
      <c r="B603" s="3" t="s">
        <v>606</v>
      </c>
      <c r="C603" s="14">
        <v>143.97</v>
      </c>
      <c r="D603" s="11" t="s">
        <v>5</v>
      </c>
    </row>
    <row r="604" spans="1:4" x14ac:dyDescent="0.25">
      <c r="A604" s="4" t="s">
        <v>5255</v>
      </c>
      <c r="B604" s="3" t="s">
        <v>607</v>
      </c>
      <c r="C604" s="14">
        <v>158.03</v>
      </c>
      <c r="D604" s="11" t="s">
        <v>5</v>
      </c>
    </row>
    <row r="605" spans="1:4" x14ac:dyDescent="0.25">
      <c r="A605" s="4" t="s">
        <v>5256</v>
      </c>
      <c r="B605" s="3" t="s">
        <v>608</v>
      </c>
      <c r="C605" s="14">
        <v>88.07</v>
      </c>
      <c r="D605" s="11" t="s">
        <v>5</v>
      </c>
    </row>
    <row r="606" spans="1:4" x14ac:dyDescent="0.25">
      <c r="A606" s="4" t="s">
        <v>5257</v>
      </c>
      <c r="B606" s="3" t="s">
        <v>609</v>
      </c>
      <c r="C606" s="14">
        <v>94.55</v>
      </c>
      <c r="D606" s="11" t="s">
        <v>5</v>
      </c>
    </row>
    <row r="607" spans="1:4" x14ac:dyDescent="0.25">
      <c r="A607" s="4" t="s">
        <v>5258</v>
      </c>
      <c r="B607" s="3" t="s">
        <v>610</v>
      </c>
      <c r="C607" s="14">
        <v>88.07</v>
      </c>
      <c r="D607" s="11" t="s">
        <v>5</v>
      </c>
    </row>
    <row r="608" spans="1:4" x14ac:dyDescent="0.25">
      <c r="A608" s="4" t="s">
        <v>5259</v>
      </c>
      <c r="B608" s="3" t="s">
        <v>611</v>
      </c>
      <c r="C608" s="14">
        <v>809.48</v>
      </c>
      <c r="D608" s="11" t="s">
        <v>5</v>
      </c>
    </row>
    <row r="609" spans="1:4" x14ac:dyDescent="0.25">
      <c r="A609" s="4" t="s">
        <v>5260</v>
      </c>
      <c r="B609" s="3" t="s">
        <v>612</v>
      </c>
      <c r="C609" s="14">
        <v>11.09</v>
      </c>
      <c r="D609" s="11" t="s">
        <v>5</v>
      </c>
    </row>
    <row r="610" spans="1:4" x14ac:dyDescent="0.25">
      <c r="A610" s="4" t="s">
        <v>5261</v>
      </c>
      <c r="B610" s="3" t="s">
        <v>613</v>
      </c>
      <c r="C610" s="14">
        <v>1055.97</v>
      </c>
      <c r="D610" s="11" t="s">
        <v>5</v>
      </c>
    </row>
    <row r="611" spans="1:4" x14ac:dyDescent="0.25">
      <c r="A611" s="4" t="s">
        <v>5262</v>
      </c>
      <c r="B611" s="3" t="s">
        <v>614</v>
      </c>
      <c r="C611" s="14">
        <v>5610.63</v>
      </c>
      <c r="D611" s="11" t="s">
        <v>5</v>
      </c>
    </row>
    <row r="612" spans="1:4" x14ac:dyDescent="0.25">
      <c r="A612" s="4" t="s">
        <v>5263</v>
      </c>
      <c r="B612" s="3" t="s">
        <v>615</v>
      </c>
      <c r="C612" s="14">
        <v>6040.95</v>
      </c>
      <c r="D612" s="11" t="s">
        <v>5</v>
      </c>
    </row>
    <row r="613" spans="1:4" x14ac:dyDescent="0.25">
      <c r="A613" s="4" t="s">
        <v>5264</v>
      </c>
      <c r="B613" s="3" t="s">
        <v>616</v>
      </c>
      <c r="C613" s="14">
        <v>4946.55</v>
      </c>
      <c r="D613" s="11" t="s">
        <v>5</v>
      </c>
    </row>
    <row r="614" spans="1:4" x14ac:dyDescent="0.25">
      <c r="A614" s="4" t="s">
        <v>5265</v>
      </c>
      <c r="B614" s="3" t="s">
        <v>617</v>
      </c>
      <c r="C614" s="14">
        <v>4863.03</v>
      </c>
      <c r="D614" s="11" t="s">
        <v>5</v>
      </c>
    </row>
    <row r="615" spans="1:4" x14ac:dyDescent="0.25">
      <c r="A615" s="4" t="s">
        <v>5266</v>
      </c>
      <c r="B615" s="3" t="s">
        <v>618</v>
      </c>
      <c r="C615" s="14">
        <v>4143.2</v>
      </c>
      <c r="D615" s="11" t="s">
        <v>5</v>
      </c>
    </row>
    <row r="616" spans="1:4" x14ac:dyDescent="0.25">
      <c r="A616" s="4" t="s">
        <v>5267</v>
      </c>
      <c r="B616" s="3" t="s">
        <v>619</v>
      </c>
      <c r="C616" s="14">
        <v>3690.72</v>
      </c>
      <c r="D616" s="11" t="s">
        <v>5</v>
      </c>
    </row>
    <row r="617" spans="1:4" x14ac:dyDescent="0.25">
      <c r="A617" s="4" t="s">
        <v>5268</v>
      </c>
      <c r="B617" s="3" t="s">
        <v>620</v>
      </c>
      <c r="C617" s="14">
        <v>3690.72</v>
      </c>
      <c r="D617" s="11" t="s">
        <v>5</v>
      </c>
    </row>
    <row r="618" spans="1:4" x14ac:dyDescent="0.25">
      <c r="A618" s="4" t="s">
        <v>5269</v>
      </c>
      <c r="B618" s="3" t="s">
        <v>621</v>
      </c>
      <c r="C618" s="14">
        <v>3957.71</v>
      </c>
      <c r="D618" s="11" t="s">
        <v>5</v>
      </c>
    </row>
    <row r="619" spans="1:4" x14ac:dyDescent="0.25">
      <c r="A619" s="4" t="s">
        <v>5270</v>
      </c>
      <c r="B619" s="3" t="s">
        <v>622</v>
      </c>
      <c r="C619" s="14">
        <v>3957.71</v>
      </c>
      <c r="D619" s="11" t="s">
        <v>5</v>
      </c>
    </row>
    <row r="620" spans="1:4" x14ac:dyDescent="0.25">
      <c r="A620" s="4" t="s">
        <v>5271</v>
      </c>
      <c r="B620" s="3" t="s">
        <v>623</v>
      </c>
      <c r="C620" s="14">
        <v>4843.46</v>
      </c>
      <c r="D620" s="11" t="s">
        <v>5</v>
      </c>
    </row>
    <row r="621" spans="1:4" x14ac:dyDescent="0.25">
      <c r="A621" s="4" t="s">
        <v>5272</v>
      </c>
      <c r="B621" s="3" t="s">
        <v>624</v>
      </c>
      <c r="C621" s="14">
        <v>4843.46</v>
      </c>
      <c r="D621" s="11" t="s">
        <v>5</v>
      </c>
    </row>
    <row r="622" spans="1:4" x14ac:dyDescent="0.25">
      <c r="A622" s="4" t="s">
        <v>5273</v>
      </c>
      <c r="B622" s="3" t="s">
        <v>625</v>
      </c>
      <c r="C622" s="14">
        <v>4646.22</v>
      </c>
      <c r="D622" s="11" t="s">
        <v>5</v>
      </c>
    </row>
    <row r="623" spans="1:4" x14ac:dyDescent="0.25">
      <c r="A623" s="4" t="s">
        <v>5274</v>
      </c>
      <c r="B623" s="3" t="s">
        <v>626</v>
      </c>
      <c r="C623" s="14">
        <v>5768.67</v>
      </c>
      <c r="D623" s="11" t="s">
        <v>5</v>
      </c>
    </row>
    <row r="624" spans="1:4" x14ac:dyDescent="0.25">
      <c r="A624" s="4" t="s">
        <v>5275</v>
      </c>
      <c r="B624" s="3" t="s">
        <v>627</v>
      </c>
      <c r="C624" s="14">
        <v>5820.18</v>
      </c>
      <c r="D624" s="11" t="s">
        <v>5</v>
      </c>
    </row>
    <row r="625" spans="1:4" x14ac:dyDescent="0.25">
      <c r="A625" s="4" t="s">
        <v>5276</v>
      </c>
      <c r="B625" s="3" t="s">
        <v>628</v>
      </c>
      <c r="C625" s="14">
        <v>5853.44</v>
      </c>
      <c r="D625" s="11" t="s">
        <v>5</v>
      </c>
    </row>
    <row r="626" spans="1:4" x14ac:dyDescent="0.25">
      <c r="A626" s="4" t="s">
        <v>5277</v>
      </c>
      <c r="B626" s="3" t="s">
        <v>629</v>
      </c>
      <c r="C626" s="14">
        <v>5853.44</v>
      </c>
      <c r="D626" s="11" t="s">
        <v>5</v>
      </c>
    </row>
    <row r="627" spans="1:4" x14ac:dyDescent="0.25">
      <c r="A627" s="4" t="s">
        <v>5278</v>
      </c>
      <c r="B627" s="3" t="s">
        <v>630</v>
      </c>
      <c r="C627" s="14">
        <v>6608.13</v>
      </c>
      <c r="D627" s="11" t="s">
        <v>5</v>
      </c>
    </row>
    <row r="628" spans="1:4" x14ac:dyDescent="0.25">
      <c r="A628" s="4" t="s">
        <v>5279</v>
      </c>
      <c r="B628" s="3" t="s">
        <v>631</v>
      </c>
      <c r="C628" s="14">
        <v>4232.21</v>
      </c>
      <c r="D628" s="11" t="s">
        <v>5</v>
      </c>
    </row>
    <row r="629" spans="1:4" x14ac:dyDescent="0.25">
      <c r="A629" s="4" t="s">
        <v>5280</v>
      </c>
      <c r="B629" s="3" t="s">
        <v>632</v>
      </c>
      <c r="C629" s="14">
        <v>4438.58</v>
      </c>
      <c r="D629" s="11" t="s">
        <v>5</v>
      </c>
    </row>
    <row r="630" spans="1:4" x14ac:dyDescent="0.25">
      <c r="A630" s="4" t="s">
        <v>5281</v>
      </c>
      <c r="B630" s="3" t="s">
        <v>633</v>
      </c>
      <c r="C630" s="14">
        <v>6608.13</v>
      </c>
      <c r="D630" s="11" t="s">
        <v>5</v>
      </c>
    </row>
    <row r="631" spans="1:4" x14ac:dyDescent="0.25">
      <c r="A631" s="4" t="s">
        <v>5282</v>
      </c>
      <c r="B631" s="3" t="s">
        <v>634</v>
      </c>
      <c r="C631" s="14">
        <v>3746.46</v>
      </c>
      <c r="D631" s="11" t="s">
        <v>5</v>
      </c>
    </row>
    <row r="632" spans="1:4" x14ac:dyDescent="0.25">
      <c r="A632" s="4" t="s">
        <v>5283</v>
      </c>
      <c r="B632" s="3" t="s">
        <v>635</v>
      </c>
      <c r="C632" s="14">
        <v>3746.46</v>
      </c>
      <c r="D632" s="11" t="s">
        <v>5</v>
      </c>
    </row>
    <row r="633" spans="1:4" x14ac:dyDescent="0.25">
      <c r="A633" s="4" t="s">
        <v>5284</v>
      </c>
      <c r="B633" s="3" t="s">
        <v>636</v>
      </c>
      <c r="C633" s="14">
        <v>4499.54</v>
      </c>
      <c r="D633" s="11" t="s">
        <v>5</v>
      </c>
    </row>
    <row r="634" spans="1:4" x14ac:dyDescent="0.25">
      <c r="A634" s="4" t="s">
        <v>5285</v>
      </c>
      <c r="B634" s="3" t="s">
        <v>637</v>
      </c>
      <c r="C634" s="14">
        <v>4499.54</v>
      </c>
      <c r="D634" s="11" t="s">
        <v>5</v>
      </c>
    </row>
    <row r="635" spans="1:4" x14ac:dyDescent="0.25">
      <c r="A635" s="4" t="s">
        <v>5286</v>
      </c>
      <c r="B635" s="3" t="s">
        <v>638</v>
      </c>
      <c r="C635" s="14">
        <v>5348.79</v>
      </c>
      <c r="D635" s="11" t="s">
        <v>5</v>
      </c>
    </row>
    <row r="636" spans="1:4" x14ac:dyDescent="0.25">
      <c r="A636" s="4" t="s">
        <v>5287</v>
      </c>
      <c r="B636" s="3" t="s">
        <v>639</v>
      </c>
      <c r="C636" s="14">
        <v>5097.75</v>
      </c>
      <c r="D636" s="11" t="s">
        <v>5</v>
      </c>
    </row>
    <row r="637" spans="1:4" x14ac:dyDescent="0.25">
      <c r="A637" s="4" t="s">
        <v>5288</v>
      </c>
      <c r="B637" s="3" t="s">
        <v>640</v>
      </c>
      <c r="C637" s="14">
        <v>5348.12</v>
      </c>
      <c r="D637" s="11" t="s">
        <v>5</v>
      </c>
    </row>
    <row r="638" spans="1:4" x14ac:dyDescent="0.25">
      <c r="A638" s="4" t="s">
        <v>5289</v>
      </c>
      <c r="B638" s="3" t="s">
        <v>641</v>
      </c>
      <c r="C638" s="14">
        <v>5062.2299999999996</v>
      </c>
      <c r="D638" s="11" t="s">
        <v>5</v>
      </c>
    </row>
    <row r="639" spans="1:4" x14ac:dyDescent="0.25">
      <c r="A639" s="4" t="s">
        <v>5290</v>
      </c>
      <c r="B639" s="3" t="s">
        <v>642</v>
      </c>
      <c r="C639" s="14">
        <v>5161.97</v>
      </c>
      <c r="D639" s="11" t="s">
        <v>5</v>
      </c>
    </row>
    <row r="640" spans="1:4" x14ac:dyDescent="0.25">
      <c r="A640" s="4" t="s">
        <v>5291</v>
      </c>
      <c r="B640" s="3" t="s">
        <v>643</v>
      </c>
      <c r="C640" s="14">
        <v>5661.09</v>
      </c>
      <c r="D640" s="11" t="s">
        <v>5</v>
      </c>
    </row>
    <row r="641" spans="1:4" x14ac:dyDescent="0.25">
      <c r="A641" s="4" t="s">
        <v>5292</v>
      </c>
      <c r="B641" s="3" t="s">
        <v>644</v>
      </c>
      <c r="C641" s="14">
        <v>4443.47</v>
      </c>
      <c r="D641" s="11" t="s">
        <v>5</v>
      </c>
    </row>
    <row r="642" spans="1:4" x14ac:dyDescent="0.25">
      <c r="A642" s="4" t="s">
        <v>5293</v>
      </c>
      <c r="B642" s="3" t="s">
        <v>645</v>
      </c>
      <c r="C642" s="14">
        <v>7837.52</v>
      </c>
      <c r="D642" s="11" t="s">
        <v>5</v>
      </c>
    </row>
    <row r="643" spans="1:4" x14ac:dyDescent="0.25">
      <c r="A643" s="4" t="s">
        <v>5294</v>
      </c>
      <c r="B643" s="3" t="s">
        <v>646</v>
      </c>
      <c r="C643" s="14">
        <v>6097.29</v>
      </c>
      <c r="D643" s="11" t="s">
        <v>5</v>
      </c>
    </row>
    <row r="644" spans="1:4" x14ac:dyDescent="0.25">
      <c r="A644" s="4" t="s">
        <v>5295</v>
      </c>
      <c r="B644" s="3" t="s">
        <v>647</v>
      </c>
      <c r="C644" s="14">
        <v>4312.3500000000004</v>
      </c>
      <c r="D644" s="11" t="s">
        <v>5</v>
      </c>
    </row>
    <row r="645" spans="1:4" x14ac:dyDescent="0.25">
      <c r="A645" s="4" t="s">
        <v>5296</v>
      </c>
      <c r="B645" s="3" t="s">
        <v>648</v>
      </c>
      <c r="C645" s="14">
        <v>4825.22</v>
      </c>
      <c r="D645" s="11" t="s">
        <v>5</v>
      </c>
    </row>
    <row r="646" spans="1:4" x14ac:dyDescent="0.25">
      <c r="A646" s="4" t="s">
        <v>5297</v>
      </c>
      <c r="B646" s="3" t="s">
        <v>649</v>
      </c>
      <c r="C646" s="14">
        <v>5255.22</v>
      </c>
      <c r="D646" s="11" t="s">
        <v>5</v>
      </c>
    </row>
    <row r="647" spans="1:4" x14ac:dyDescent="0.25">
      <c r="A647" s="4" t="s">
        <v>5298</v>
      </c>
      <c r="B647" s="3" t="s">
        <v>650</v>
      </c>
      <c r="C647" s="14">
        <v>4263.5</v>
      </c>
      <c r="D647" s="11" t="s">
        <v>5</v>
      </c>
    </row>
    <row r="648" spans="1:4" x14ac:dyDescent="0.25">
      <c r="A648" s="4" t="s">
        <v>5299</v>
      </c>
      <c r="B648" s="3" t="s">
        <v>651</v>
      </c>
      <c r="C648" s="14">
        <v>4354.49</v>
      </c>
      <c r="D648" s="11" t="s">
        <v>5</v>
      </c>
    </row>
    <row r="649" spans="1:4" x14ac:dyDescent="0.25">
      <c r="A649" s="4" t="s">
        <v>5300</v>
      </c>
      <c r="B649" s="3" t="s">
        <v>652</v>
      </c>
      <c r="C649" s="14">
        <v>4594.7299999999996</v>
      </c>
      <c r="D649" s="11" t="s">
        <v>5</v>
      </c>
    </row>
    <row r="650" spans="1:4" x14ac:dyDescent="0.25">
      <c r="A650" s="4" t="s">
        <v>5301</v>
      </c>
      <c r="B650" s="3" t="s">
        <v>653</v>
      </c>
      <c r="C650" s="14">
        <v>4956.6000000000004</v>
      </c>
      <c r="D650" s="11" t="s">
        <v>5</v>
      </c>
    </row>
    <row r="651" spans="1:4" x14ac:dyDescent="0.25">
      <c r="A651" s="4" t="s">
        <v>5302</v>
      </c>
      <c r="B651" s="3" t="s">
        <v>654</v>
      </c>
      <c r="C651" s="14">
        <v>5062.2299999999996</v>
      </c>
      <c r="D651" s="11" t="s">
        <v>5</v>
      </c>
    </row>
    <row r="652" spans="1:4" x14ac:dyDescent="0.25">
      <c r="A652" s="4" t="s">
        <v>5303</v>
      </c>
      <c r="B652" s="3" t="s">
        <v>655</v>
      </c>
      <c r="C652" s="14">
        <v>4594.7299999999996</v>
      </c>
      <c r="D652" s="11" t="s">
        <v>5</v>
      </c>
    </row>
    <row r="653" spans="1:4" x14ac:dyDescent="0.25">
      <c r="A653" s="4" t="s">
        <v>5304</v>
      </c>
      <c r="B653" s="3" t="s">
        <v>656</v>
      </c>
      <c r="C653" s="14">
        <v>4143.2</v>
      </c>
      <c r="D653" s="11" t="s">
        <v>5</v>
      </c>
    </row>
    <row r="654" spans="1:4" x14ac:dyDescent="0.25">
      <c r="A654" s="4" t="s">
        <v>5305</v>
      </c>
      <c r="B654" s="3" t="s">
        <v>657</v>
      </c>
      <c r="C654" s="14">
        <v>4619.45</v>
      </c>
      <c r="D654" s="11" t="s">
        <v>5</v>
      </c>
    </row>
    <row r="655" spans="1:4" x14ac:dyDescent="0.25">
      <c r="A655" s="4" t="s">
        <v>5306</v>
      </c>
      <c r="B655" s="3" t="s">
        <v>658</v>
      </c>
      <c r="C655" s="14">
        <v>4619.45</v>
      </c>
      <c r="D655" s="11" t="s">
        <v>5</v>
      </c>
    </row>
    <row r="656" spans="1:4" x14ac:dyDescent="0.25">
      <c r="A656" s="4" t="s">
        <v>5307</v>
      </c>
      <c r="B656" s="3" t="s">
        <v>659</v>
      </c>
      <c r="C656" s="14">
        <v>4757.87</v>
      </c>
      <c r="D656" s="11" t="s">
        <v>5</v>
      </c>
    </row>
    <row r="657" spans="1:4" x14ac:dyDescent="0.25">
      <c r="A657" s="4" t="s">
        <v>5308</v>
      </c>
      <c r="B657" s="3" t="s">
        <v>660</v>
      </c>
      <c r="C657" s="14">
        <v>4757.87</v>
      </c>
      <c r="D657" s="11" t="s">
        <v>5</v>
      </c>
    </row>
    <row r="658" spans="1:4" x14ac:dyDescent="0.25">
      <c r="A658" s="4" t="s">
        <v>5309</v>
      </c>
      <c r="B658" s="3" t="s">
        <v>661</v>
      </c>
      <c r="C658" s="14">
        <v>4823.2700000000004</v>
      </c>
      <c r="D658" s="11" t="s">
        <v>5</v>
      </c>
    </row>
    <row r="659" spans="1:4" x14ac:dyDescent="0.25">
      <c r="A659" s="4" t="s">
        <v>5310</v>
      </c>
      <c r="B659" s="3" t="s">
        <v>662</v>
      </c>
      <c r="C659" s="14">
        <v>4823.2700000000004</v>
      </c>
      <c r="D659" s="11" t="s">
        <v>5</v>
      </c>
    </row>
    <row r="660" spans="1:4" x14ac:dyDescent="0.25">
      <c r="A660" s="4" t="s">
        <v>5311</v>
      </c>
      <c r="B660" s="3" t="s">
        <v>663</v>
      </c>
      <c r="C660" s="14">
        <v>5261.04</v>
      </c>
      <c r="D660" s="11" t="s">
        <v>5</v>
      </c>
    </row>
    <row r="661" spans="1:4" x14ac:dyDescent="0.25">
      <c r="A661" s="4" t="s">
        <v>5312</v>
      </c>
      <c r="B661" s="3" t="s">
        <v>664</v>
      </c>
      <c r="C661" s="14">
        <v>5261.04</v>
      </c>
      <c r="D661" s="11" t="s">
        <v>5</v>
      </c>
    </row>
    <row r="662" spans="1:4" x14ac:dyDescent="0.25">
      <c r="A662" s="4" t="s">
        <v>5313</v>
      </c>
      <c r="B662" s="3" t="s">
        <v>665</v>
      </c>
      <c r="C662" s="14">
        <v>3983.13</v>
      </c>
      <c r="D662" s="11" t="s">
        <v>5</v>
      </c>
    </row>
    <row r="663" spans="1:4" x14ac:dyDescent="0.25">
      <c r="A663" s="4" t="s">
        <v>5314</v>
      </c>
      <c r="B663" s="3" t="s">
        <v>666</v>
      </c>
      <c r="C663" s="14">
        <v>5073.63</v>
      </c>
      <c r="D663" s="11" t="s">
        <v>5</v>
      </c>
    </row>
    <row r="664" spans="1:4" x14ac:dyDescent="0.25">
      <c r="A664" s="4" t="s">
        <v>5315</v>
      </c>
      <c r="B664" s="3" t="s">
        <v>667</v>
      </c>
      <c r="C664" s="14">
        <v>6928.61</v>
      </c>
      <c r="D664" s="11" t="s">
        <v>5</v>
      </c>
    </row>
    <row r="665" spans="1:4" x14ac:dyDescent="0.25">
      <c r="A665" s="4" t="s">
        <v>5316</v>
      </c>
      <c r="B665" s="3" t="s">
        <v>668</v>
      </c>
      <c r="C665" s="14">
        <v>4419.68</v>
      </c>
      <c r="D665" s="11" t="s">
        <v>5</v>
      </c>
    </row>
    <row r="666" spans="1:4" x14ac:dyDescent="0.25">
      <c r="A666" s="4" t="s">
        <v>5317</v>
      </c>
      <c r="B666" s="3" t="s">
        <v>669</v>
      </c>
      <c r="C666" s="14">
        <v>3830.76</v>
      </c>
      <c r="D666" s="11" t="s">
        <v>5</v>
      </c>
    </row>
    <row r="667" spans="1:4" x14ac:dyDescent="0.25">
      <c r="A667" s="4" t="s">
        <v>5318</v>
      </c>
      <c r="B667" s="3" t="s">
        <v>670</v>
      </c>
      <c r="C667" s="14">
        <v>4168.6400000000003</v>
      </c>
      <c r="D667" s="11" t="s">
        <v>5</v>
      </c>
    </row>
    <row r="668" spans="1:4" x14ac:dyDescent="0.25">
      <c r="A668" s="4" t="s">
        <v>5319</v>
      </c>
      <c r="B668" s="3" t="s">
        <v>671</v>
      </c>
      <c r="C668" s="14">
        <v>2827.77</v>
      </c>
      <c r="D668" s="11" t="s">
        <v>5</v>
      </c>
    </row>
    <row r="669" spans="1:4" x14ac:dyDescent="0.25">
      <c r="A669" s="4" t="s">
        <v>5320</v>
      </c>
      <c r="B669" s="3" t="s">
        <v>672</v>
      </c>
      <c r="C669" s="14">
        <v>2547.5</v>
      </c>
      <c r="D669" s="11" t="s">
        <v>5</v>
      </c>
    </row>
    <row r="670" spans="1:4" x14ac:dyDescent="0.25">
      <c r="A670" s="4" t="s">
        <v>5321</v>
      </c>
      <c r="B670" s="3" t="s">
        <v>673</v>
      </c>
      <c r="C670" s="14">
        <v>2827.77</v>
      </c>
      <c r="D670" s="11" t="s">
        <v>5</v>
      </c>
    </row>
    <row r="671" spans="1:4" x14ac:dyDescent="0.25">
      <c r="A671" s="4" t="s">
        <v>5322</v>
      </c>
      <c r="B671" s="3" t="s">
        <v>674</v>
      </c>
      <c r="C671" s="14">
        <v>3734.07</v>
      </c>
      <c r="D671" s="11" t="s">
        <v>5</v>
      </c>
    </row>
    <row r="672" spans="1:4" x14ac:dyDescent="0.25">
      <c r="A672" s="4" t="s">
        <v>5323</v>
      </c>
      <c r="B672" s="3" t="s">
        <v>675</v>
      </c>
      <c r="C672" s="14">
        <v>5256.18</v>
      </c>
      <c r="D672" s="11" t="s">
        <v>5</v>
      </c>
    </row>
    <row r="673" spans="1:4" x14ac:dyDescent="0.25">
      <c r="A673" s="4" t="s">
        <v>5324</v>
      </c>
      <c r="B673" s="3" t="s">
        <v>676</v>
      </c>
      <c r="C673" s="14">
        <v>6189.23</v>
      </c>
      <c r="D673" s="11" t="s">
        <v>5</v>
      </c>
    </row>
    <row r="674" spans="1:4" x14ac:dyDescent="0.25">
      <c r="A674" s="4" t="s">
        <v>5325</v>
      </c>
      <c r="B674" s="3" t="s">
        <v>677</v>
      </c>
      <c r="C674" s="14">
        <v>5662.4</v>
      </c>
      <c r="D674" s="11" t="s">
        <v>5</v>
      </c>
    </row>
    <row r="675" spans="1:4" x14ac:dyDescent="0.25">
      <c r="A675" s="4" t="s">
        <v>5326</v>
      </c>
      <c r="B675" s="3" t="s">
        <v>678</v>
      </c>
      <c r="C675" s="14">
        <v>4964.7299999999996</v>
      </c>
      <c r="D675" s="11" t="s">
        <v>5</v>
      </c>
    </row>
    <row r="676" spans="1:4" x14ac:dyDescent="0.25">
      <c r="A676" s="4" t="s">
        <v>5327</v>
      </c>
      <c r="B676" s="3" t="s">
        <v>679</v>
      </c>
      <c r="C676" s="14">
        <v>5733.8</v>
      </c>
      <c r="D676" s="11" t="s">
        <v>5</v>
      </c>
    </row>
    <row r="677" spans="1:4" x14ac:dyDescent="0.25">
      <c r="A677" s="4" t="s">
        <v>5328</v>
      </c>
      <c r="B677" s="3" t="s">
        <v>680</v>
      </c>
      <c r="C677" s="14">
        <v>4829.79</v>
      </c>
      <c r="D677" s="11" t="s">
        <v>5</v>
      </c>
    </row>
    <row r="678" spans="1:4" x14ac:dyDescent="0.25">
      <c r="A678" s="4" t="s">
        <v>5329</v>
      </c>
      <c r="B678" s="3" t="s">
        <v>681</v>
      </c>
      <c r="C678" s="14">
        <v>3302.78</v>
      </c>
      <c r="D678" s="11" t="s">
        <v>5</v>
      </c>
    </row>
    <row r="679" spans="1:4" x14ac:dyDescent="0.25">
      <c r="A679" s="4" t="s">
        <v>5330</v>
      </c>
      <c r="B679" s="3" t="s">
        <v>682</v>
      </c>
      <c r="C679" s="14">
        <v>4144.83</v>
      </c>
      <c r="D679" s="11" t="s">
        <v>5</v>
      </c>
    </row>
    <row r="680" spans="1:4" x14ac:dyDescent="0.25">
      <c r="A680" s="4" t="s">
        <v>5331</v>
      </c>
      <c r="B680" s="3" t="s">
        <v>683</v>
      </c>
      <c r="C680" s="14">
        <v>3904.89</v>
      </c>
      <c r="D680" s="11" t="s">
        <v>5</v>
      </c>
    </row>
    <row r="681" spans="1:4" x14ac:dyDescent="0.25">
      <c r="A681" s="4" t="s">
        <v>5332</v>
      </c>
      <c r="B681" s="3" t="s">
        <v>684</v>
      </c>
      <c r="C681" s="14">
        <v>4837.28</v>
      </c>
      <c r="D681" s="11" t="s">
        <v>5</v>
      </c>
    </row>
    <row r="682" spans="1:4" x14ac:dyDescent="0.25">
      <c r="A682" s="4" t="s">
        <v>5333</v>
      </c>
      <c r="B682" s="3" t="s">
        <v>685</v>
      </c>
      <c r="C682" s="14">
        <v>7291.97</v>
      </c>
      <c r="D682" s="11" t="s">
        <v>5</v>
      </c>
    </row>
    <row r="683" spans="1:4" x14ac:dyDescent="0.25">
      <c r="A683" s="4" t="s">
        <v>5334</v>
      </c>
      <c r="B683" s="3" t="s">
        <v>686</v>
      </c>
      <c r="C683" s="14">
        <v>7291.97</v>
      </c>
      <c r="D683" s="11" t="s">
        <v>5</v>
      </c>
    </row>
    <row r="684" spans="1:4" x14ac:dyDescent="0.25">
      <c r="A684" s="4" t="s">
        <v>5335</v>
      </c>
      <c r="B684" s="3" t="s">
        <v>687</v>
      </c>
      <c r="C684" s="14">
        <v>4808.75</v>
      </c>
      <c r="D684" s="11" t="s">
        <v>5</v>
      </c>
    </row>
    <row r="685" spans="1:4" x14ac:dyDescent="0.25">
      <c r="A685" s="4" t="s">
        <v>5336</v>
      </c>
      <c r="B685" s="3" t="s">
        <v>688</v>
      </c>
      <c r="C685" s="14">
        <v>4808.75</v>
      </c>
      <c r="D685" s="11" t="s">
        <v>5</v>
      </c>
    </row>
    <row r="686" spans="1:4" x14ac:dyDescent="0.25">
      <c r="A686" s="4" t="s">
        <v>5337</v>
      </c>
      <c r="B686" s="3" t="s">
        <v>689</v>
      </c>
      <c r="C686" s="14">
        <v>4405.34</v>
      </c>
      <c r="D686" s="11" t="s">
        <v>5</v>
      </c>
    </row>
    <row r="687" spans="1:4" x14ac:dyDescent="0.25">
      <c r="A687" s="4" t="s">
        <v>5338</v>
      </c>
      <c r="B687" s="3" t="s">
        <v>690</v>
      </c>
      <c r="C687" s="14">
        <v>4310.78</v>
      </c>
      <c r="D687" s="11" t="s">
        <v>5</v>
      </c>
    </row>
    <row r="688" spans="1:4" x14ac:dyDescent="0.25">
      <c r="A688" s="4" t="s">
        <v>5339</v>
      </c>
      <c r="B688" s="3" t="s">
        <v>691</v>
      </c>
      <c r="C688" s="14">
        <v>3937.19</v>
      </c>
      <c r="D688" s="11" t="s">
        <v>5</v>
      </c>
    </row>
    <row r="689" spans="1:4" x14ac:dyDescent="0.25">
      <c r="A689" s="4" t="s">
        <v>5340</v>
      </c>
      <c r="B689" s="3" t="s">
        <v>692</v>
      </c>
      <c r="C689" s="14">
        <v>4618.71</v>
      </c>
      <c r="D689" s="11" t="s">
        <v>5</v>
      </c>
    </row>
    <row r="690" spans="1:4" x14ac:dyDescent="0.25">
      <c r="A690" s="4" t="s">
        <v>5341</v>
      </c>
      <c r="B690" s="3" t="s">
        <v>693</v>
      </c>
      <c r="C690" s="14">
        <v>4618.71</v>
      </c>
      <c r="D690" s="11" t="s">
        <v>5</v>
      </c>
    </row>
    <row r="691" spans="1:4" x14ac:dyDescent="0.25">
      <c r="A691" s="4" t="s">
        <v>5342</v>
      </c>
      <c r="B691" s="3" t="s">
        <v>694</v>
      </c>
      <c r="C691" s="14">
        <v>5073.3</v>
      </c>
      <c r="D691" s="11" t="s">
        <v>5</v>
      </c>
    </row>
    <row r="692" spans="1:4" x14ac:dyDescent="0.25">
      <c r="A692" s="4" t="s">
        <v>5343</v>
      </c>
      <c r="B692" s="3" t="s">
        <v>695</v>
      </c>
      <c r="C692" s="14">
        <v>4823.2700000000004</v>
      </c>
      <c r="D692" s="11" t="s">
        <v>5</v>
      </c>
    </row>
    <row r="693" spans="1:4" x14ac:dyDescent="0.25">
      <c r="A693" s="4" t="s">
        <v>5344</v>
      </c>
      <c r="B693" s="3" t="s">
        <v>696</v>
      </c>
      <c r="C693" s="14">
        <v>4823.2700000000004</v>
      </c>
      <c r="D693" s="11" t="s">
        <v>5</v>
      </c>
    </row>
    <row r="694" spans="1:4" x14ac:dyDescent="0.25">
      <c r="A694" s="4" t="s">
        <v>5345</v>
      </c>
      <c r="B694" s="3" t="s">
        <v>697</v>
      </c>
      <c r="C694" s="14">
        <v>5445.99</v>
      </c>
      <c r="D694" s="11" t="s">
        <v>5</v>
      </c>
    </row>
    <row r="695" spans="1:4" x14ac:dyDescent="0.25">
      <c r="A695" s="4" t="s">
        <v>5346</v>
      </c>
      <c r="B695" s="3" t="s">
        <v>698</v>
      </c>
      <c r="C695" s="14">
        <v>5445.99</v>
      </c>
      <c r="D695" s="11" t="s">
        <v>5</v>
      </c>
    </row>
    <row r="696" spans="1:4" x14ac:dyDescent="0.25">
      <c r="A696" s="4" t="s">
        <v>5347</v>
      </c>
      <c r="B696" s="3" t="s">
        <v>699</v>
      </c>
      <c r="C696" s="14">
        <v>2448.3000000000002</v>
      </c>
      <c r="D696" s="11" t="s">
        <v>5</v>
      </c>
    </row>
    <row r="697" spans="1:4" x14ac:dyDescent="0.25">
      <c r="A697" s="4" t="s">
        <v>5348</v>
      </c>
      <c r="B697" s="3" t="s">
        <v>700</v>
      </c>
      <c r="C697" s="14">
        <v>4732.6099999999997</v>
      </c>
      <c r="D697" s="11" t="s">
        <v>5</v>
      </c>
    </row>
    <row r="698" spans="1:4" x14ac:dyDescent="0.25">
      <c r="A698" s="4" t="s">
        <v>5349</v>
      </c>
      <c r="B698" s="3" t="s">
        <v>701</v>
      </c>
      <c r="C698" s="14">
        <v>4144.83</v>
      </c>
      <c r="D698" s="11" t="s">
        <v>5</v>
      </c>
    </row>
    <row r="699" spans="1:4" x14ac:dyDescent="0.25">
      <c r="A699" s="4" t="s">
        <v>5350</v>
      </c>
      <c r="B699" s="3" t="s">
        <v>702</v>
      </c>
      <c r="C699" s="14">
        <v>4130.5200000000004</v>
      </c>
      <c r="D699" s="11" t="s">
        <v>5</v>
      </c>
    </row>
    <row r="700" spans="1:4" x14ac:dyDescent="0.25">
      <c r="A700" s="4" t="s">
        <v>5351</v>
      </c>
      <c r="B700" s="3" t="s">
        <v>703</v>
      </c>
      <c r="C700" s="14">
        <v>4250.91</v>
      </c>
      <c r="D700" s="11" t="s">
        <v>5</v>
      </c>
    </row>
    <row r="701" spans="1:4" x14ac:dyDescent="0.25">
      <c r="A701" s="4" t="s">
        <v>5352</v>
      </c>
      <c r="B701" s="3" t="s">
        <v>704</v>
      </c>
      <c r="C701" s="14">
        <v>4312.43</v>
      </c>
      <c r="D701" s="11" t="s">
        <v>5</v>
      </c>
    </row>
    <row r="702" spans="1:4" x14ac:dyDescent="0.25">
      <c r="A702" s="4" t="s">
        <v>5353</v>
      </c>
      <c r="B702" s="3" t="s">
        <v>705</v>
      </c>
      <c r="C702" s="14">
        <v>4273.59</v>
      </c>
      <c r="D702" s="11" t="s">
        <v>5</v>
      </c>
    </row>
    <row r="703" spans="1:4" x14ac:dyDescent="0.25">
      <c r="A703" s="4" t="s">
        <v>5354</v>
      </c>
      <c r="B703" s="3" t="s">
        <v>706</v>
      </c>
      <c r="C703" s="14">
        <v>6164.79</v>
      </c>
      <c r="D703" s="11" t="s">
        <v>5</v>
      </c>
    </row>
    <row r="704" spans="1:4" x14ac:dyDescent="0.25">
      <c r="A704" s="4" t="s">
        <v>5355</v>
      </c>
      <c r="B704" s="3" t="s">
        <v>707</v>
      </c>
      <c r="C704" s="14">
        <v>5944.38</v>
      </c>
      <c r="D704" s="11" t="s">
        <v>5</v>
      </c>
    </row>
    <row r="705" spans="1:4" x14ac:dyDescent="0.25">
      <c r="A705" s="4" t="s">
        <v>5356</v>
      </c>
      <c r="B705" s="3" t="s">
        <v>708</v>
      </c>
      <c r="C705" s="14">
        <v>3937.5</v>
      </c>
      <c r="D705" s="11" t="s">
        <v>5</v>
      </c>
    </row>
    <row r="706" spans="1:4" x14ac:dyDescent="0.25">
      <c r="A706" s="4" t="s">
        <v>5357</v>
      </c>
      <c r="B706" s="3" t="s">
        <v>709</v>
      </c>
      <c r="C706" s="14">
        <v>4144.83</v>
      </c>
      <c r="D706" s="11" t="s">
        <v>5</v>
      </c>
    </row>
    <row r="707" spans="1:4" x14ac:dyDescent="0.25">
      <c r="A707" s="4" t="s">
        <v>5358</v>
      </c>
      <c r="B707" s="3" t="s">
        <v>710</v>
      </c>
      <c r="C707" s="14">
        <v>4684.05</v>
      </c>
      <c r="D707" s="11" t="s">
        <v>5</v>
      </c>
    </row>
    <row r="708" spans="1:4" x14ac:dyDescent="0.25">
      <c r="A708" s="4" t="s">
        <v>5359</v>
      </c>
      <c r="B708" s="3" t="s">
        <v>711</v>
      </c>
      <c r="C708" s="14">
        <v>6151.46</v>
      </c>
      <c r="D708" s="11" t="s">
        <v>5</v>
      </c>
    </row>
    <row r="709" spans="1:4" x14ac:dyDescent="0.25">
      <c r="A709" s="4" t="s">
        <v>5360</v>
      </c>
      <c r="B709" s="3" t="s">
        <v>712</v>
      </c>
      <c r="C709" s="14">
        <v>4294.47</v>
      </c>
      <c r="D709" s="11" t="s">
        <v>5</v>
      </c>
    </row>
    <row r="710" spans="1:4" x14ac:dyDescent="0.25">
      <c r="A710" s="4" t="s">
        <v>5361</v>
      </c>
      <c r="B710" s="3" t="s">
        <v>713</v>
      </c>
      <c r="C710" s="14">
        <v>5259.78</v>
      </c>
      <c r="D710" s="11" t="s">
        <v>5</v>
      </c>
    </row>
    <row r="711" spans="1:4" x14ac:dyDescent="0.25">
      <c r="A711" s="4" t="s">
        <v>5362</v>
      </c>
      <c r="B711" s="3" t="s">
        <v>714</v>
      </c>
      <c r="C711" s="14">
        <v>10165.969999999999</v>
      </c>
      <c r="D711" s="11" t="s">
        <v>5</v>
      </c>
    </row>
    <row r="712" spans="1:4" x14ac:dyDescent="0.25">
      <c r="A712" s="4" t="s">
        <v>5363</v>
      </c>
      <c r="B712" s="3" t="s">
        <v>715</v>
      </c>
      <c r="C712" s="14">
        <v>10165.969999999999</v>
      </c>
      <c r="D712" s="11" t="s">
        <v>5</v>
      </c>
    </row>
    <row r="713" spans="1:4" x14ac:dyDescent="0.25">
      <c r="A713" s="4" t="s">
        <v>5364</v>
      </c>
      <c r="B713" s="3" t="s">
        <v>716</v>
      </c>
      <c r="C713" s="14">
        <v>4619.45</v>
      </c>
      <c r="D713" s="11" t="s">
        <v>5</v>
      </c>
    </row>
    <row r="714" spans="1:4" x14ac:dyDescent="0.25">
      <c r="A714" s="4" t="s">
        <v>5365</v>
      </c>
      <c r="B714" s="3" t="s">
        <v>717</v>
      </c>
      <c r="C714" s="14">
        <v>4823.2700000000004</v>
      </c>
      <c r="D714" s="11" t="s">
        <v>5</v>
      </c>
    </row>
    <row r="715" spans="1:4" x14ac:dyDescent="0.25">
      <c r="A715" s="4" t="s">
        <v>5366</v>
      </c>
      <c r="B715" s="3" t="s">
        <v>718</v>
      </c>
      <c r="C715" s="14">
        <v>5445.99</v>
      </c>
      <c r="D715" s="11" t="s">
        <v>5</v>
      </c>
    </row>
    <row r="716" spans="1:4" x14ac:dyDescent="0.25">
      <c r="A716" s="4" t="s">
        <v>5367</v>
      </c>
      <c r="B716" s="3" t="s">
        <v>719</v>
      </c>
      <c r="C716" s="14">
        <v>4619.07</v>
      </c>
      <c r="D716" s="11" t="s">
        <v>5</v>
      </c>
    </row>
    <row r="717" spans="1:4" x14ac:dyDescent="0.25">
      <c r="A717" s="4" t="s">
        <v>5368</v>
      </c>
      <c r="B717" s="3" t="s">
        <v>720</v>
      </c>
      <c r="C717" s="14">
        <v>4823.18</v>
      </c>
      <c r="D717" s="11" t="s">
        <v>5</v>
      </c>
    </row>
    <row r="718" spans="1:4" x14ac:dyDescent="0.25">
      <c r="A718" s="4" t="s">
        <v>5369</v>
      </c>
      <c r="B718" s="3" t="s">
        <v>721</v>
      </c>
      <c r="C718" s="14">
        <v>4619.45</v>
      </c>
      <c r="D718" s="11" t="s">
        <v>5</v>
      </c>
    </row>
    <row r="719" spans="1:4" x14ac:dyDescent="0.25">
      <c r="A719" s="4" t="s">
        <v>5370</v>
      </c>
      <c r="B719" s="3" t="s">
        <v>722</v>
      </c>
      <c r="C719" s="14">
        <v>4823.2700000000004</v>
      </c>
      <c r="D719" s="11" t="s">
        <v>5</v>
      </c>
    </row>
    <row r="720" spans="1:4" x14ac:dyDescent="0.25">
      <c r="A720" s="4" t="s">
        <v>5371</v>
      </c>
      <c r="B720" s="3" t="s">
        <v>723</v>
      </c>
      <c r="C720" s="14">
        <v>5445.99</v>
      </c>
      <c r="D720" s="11" t="s">
        <v>5</v>
      </c>
    </row>
    <row r="721" spans="1:4" x14ac:dyDescent="0.25">
      <c r="A721" s="4" t="s">
        <v>5372</v>
      </c>
      <c r="B721" s="3" t="s">
        <v>724</v>
      </c>
      <c r="C721" s="14">
        <v>4619.07</v>
      </c>
      <c r="D721" s="11" t="s">
        <v>5</v>
      </c>
    </row>
    <row r="722" spans="1:4" x14ac:dyDescent="0.25">
      <c r="A722" s="4" t="s">
        <v>5373</v>
      </c>
      <c r="B722" s="3" t="s">
        <v>725</v>
      </c>
      <c r="C722" s="14">
        <v>4823.18</v>
      </c>
      <c r="D722" s="11" t="s">
        <v>5</v>
      </c>
    </row>
    <row r="723" spans="1:4" x14ac:dyDescent="0.25">
      <c r="A723" s="4" t="s">
        <v>5374</v>
      </c>
      <c r="B723" s="3" t="s">
        <v>726</v>
      </c>
      <c r="C723" s="14">
        <v>2537.46</v>
      </c>
      <c r="D723" s="11" t="s">
        <v>5</v>
      </c>
    </row>
    <row r="724" spans="1:4" x14ac:dyDescent="0.25">
      <c r="A724" s="4" t="s">
        <v>5375</v>
      </c>
      <c r="B724" s="3" t="s">
        <v>727</v>
      </c>
      <c r="C724" s="14">
        <v>2347.14</v>
      </c>
      <c r="D724" s="11" t="s">
        <v>5</v>
      </c>
    </row>
    <row r="725" spans="1:4" x14ac:dyDescent="0.25">
      <c r="A725" s="4" t="s">
        <v>5376</v>
      </c>
      <c r="B725" s="3" t="s">
        <v>728</v>
      </c>
      <c r="C725" s="14">
        <v>554</v>
      </c>
      <c r="D725" s="11" t="s">
        <v>5</v>
      </c>
    </row>
    <row r="726" spans="1:4" x14ac:dyDescent="0.25">
      <c r="A726" s="4" t="s">
        <v>5377</v>
      </c>
      <c r="B726" s="3" t="s">
        <v>729</v>
      </c>
      <c r="C726" s="14">
        <v>238.59</v>
      </c>
      <c r="D726" s="11" t="s">
        <v>5</v>
      </c>
    </row>
    <row r="727" spans="1:4" x14ac:dyDescent="0.25">
      <c r="A727" s="4" t="s">
        <v>5378</v>
      </c>
      <c r="B727" s="3" t="s">
        <v>730</v>
      </c>
      <c r="C727" s="14">
        <v>238.59</v>
      </c>
      <c r="D727" s="11" t="s">
        <v>5</v>
      </c>
    </row>
    <row r="728" spans="1:4" x14ac:dyDescent="0.25">
      <c r="A728" s="4" t="s">
        <v>5379</v>
      </c>
      <c r="B728" s="3" t="s">
        <v>731</v>
      </c>
      <c r="C728" s="14">
        <v>4306.5</v>
      </c>
      <c r="D728" s="11" t="s">
        <v>5</v>
      </c>
    </row>
    <row r="729" spans="1:4" x14ac:dyDescent="0.25">
      <c r="A729" s="4" t="s">
        <v>5380</v>
      </c>
      <c r="B729" s="3" t="s">
        <v>732</v>
      </c>
      <c r="C729" s="14">
        <v>7722</v>
      </c>
      <c r="D729" s="11" t="s">
        <v>5</v>
      </c>
    </row>
    <row r="730" spans="1:4" x14ac:dyDescent="0.25">
      <c r="A730" s="4" t="s">
        <v>5381</v>
      </c>
      <c r="B730" s="3" t="s">
        <v>733</v>
      </c>
      <c r="C730" s="14">
        <v>7500</v>
      </c>
      <c r="D730" s="11" t="s">
        <v>5</v>
      </c>
    </row>
    <row r="731" spans="1:4" x14ac:dyDescent="0.25">
      <c r="A731" s="4" t="s">
        <v>5382</v>
      </c>
      <c r="B731" s="3" t="s">
        <v>734</v>
      </c>
      <c r="C731" s="14">
        <v>7746.09</v>
      </c>
      <c r="D731" s="11" t="s">
        <v>5</v>
      </c>
    </row>
    <row r="732" spans="1:4" x14ac:dyDescent="0.25">
      <c r="A732" s="4" t="s">
        <v>5383</v>
      </c>
      <c r="B732" s="3" t="s">
        <v>735</v>
      </c>
      <c r="C732" s="14">
        <v>6850.98</v>
      </c>
      <c r="D732" s="11" t="s">
        <v>5</v>
      </c>
    </row>
    <row r="733" spans="1:4" x14ac:dyDescent="0.25">
      <c r="A733" s="4" t="s">
        <v>5384</v>
      </c>
      <c r="B733" s="3" t="s">
        <v>736</v>
      </c>
      <c r="C733" s="14">
        <v>6850.98</v>
      </c>
      <c r="D733" s="11" t="s">
        <v>5</v>
      </c>
    </row>
    <row r="734" spans="1:4" x14ac:dyDescent="0.25">
      <c r="A734" s="4" t="s">
        <v>5385</v>
      </c>
      <c r="B734" s="3" t="s">
        <v>737</v>
      </c>
      <c r="C734" s="14">
        <v>6850.98</v>
      </c>
      <c r="D734" s="11" t="s">
        <v>5</v>
      </c>
    </row>
    <row r="735" spans="1:4" x14ac:dyDescent="0.25">
      <c r="A735" s="4" t="s">
        <v>5386</v>
      </c>
      <c r="B735" s="3" t="s">
        <v>738</v>
      </c>
      <c r="C735" s="14">
        <v>6850.98</v>
      </c>
      <c r="D735" s="11" t="s">
        <v>5</v>
      </c>
    </row>
    <row r="736" spans="1:4" x14ac:dyDescent="0.25">
      <c r="A736" s="4" t="s">
        <v>5387</v>
      </c>
      <c r="B736" s="3" t="s">
        <v>739</v>
      </c>
      <c r="C736" s="14">
        <v>6850.98</v>
      </c>
      <c r="D736" s="11" t="s">
        <v>5</v>
      </c>
    </row>
    <row r="737" spans="1:4" x14ac:dyDescent="0.25">
      <c r="A737" s="4" t="s">
        <v>5388</v>
      </c>
      <c r="B737" s="3" t="s">
        <v>740</v>
      </c>
      <c r="C737" s="14">
        <v>6850.98</v>
      </c>
      <c r="D737" s="11" t="s">
        <v>5</v>
      </c>
    </row>
    <row r="738" spans="1:4" x14ac:dyDescent="0.25">
      <c r="A738" s="4" t="s">
        <v>5389</v>
      </c>
      <c r="B738" s="3" t="s">
        <v>741</v>
      </c>
      <c r="C738" s="14">
        <v>6850.98</v>
      </c>
      <c r="D738" s="11" t="s">
        <v>5</v>
      </c>
    </row>
    <row r="739" spans="1:4" x14ac:dyDescent="0.25">
      <c r="A739" s="4" t="s">
        <v>5390</v>
      </c>
      <c r="B739" s="3" t="s">
        <v>742</v>
      </c>
      <c r="C739" s="14">
        <v>6850.98</v>
      </c>
      <c r="D739" s="11" t="s">
        <v>5</v>
      </c>
    </row>
    <row r="740" spans="1:4" x14ac:dyDescent="0.25">
      <c r="A740" s="4" t="s">
        <v>5391</v>
      </c>
      <c r="B740" s="3" t="s">
        <v>743</v>
      </c>
      <c r="C740" s="14">
        <v>6850.98</v>
      </c>
      <c r="D740" s="11" t="s">
        <v>5</v>
      </c>
    </row>
    <row r="741" spans="1:4" x14ac:dyDescent="0.25">
      <c r="A741" s="4" t="s">
        <v>5392</v>
      </c>
      <c r="B741" s="3" t="s">
        <v>744</v>
      </c>
      <c r="C741" s="14">
        <v>6850.98</v>
      </c>
      <c r="D741" s="11" t="s">
        <v>5</v>
      </c>
    </row>
    <row r="742" spans="1:4" x14ac:dyDescent="0.25">
      <c r="A742" s="4" t="s">
        <v>5393</v>
      </c>
      <c r="B742" s="3" t="s">
        <v>745</v>
      </c>
      <c r="C742" s="14">
        <v>6850.98</v>
      </c>
      <c r="D742" s="11" t="s">
        <v>5</v>
      </c>
    </row>
    <row r="743" spans="1:4" x14ac:dyDescent="0.25">
      <c r="A743" s="4" t="s">
        <v>5394</v>
      </c>
      <c r="B743" s="3" t="s">
        <v>746</v>
      </c>
      <c r="C743" s="14">
        <v>4795.2</v>
      </c>
      <c r="D743" s="11" t="s">
        <v>5</v>
      </c>
    </row>
    <row r="744" spans="1:4" x14ac:dyDescent="0.25">
      <c r="A744" s="4" t="s">
        <v>5395</v>
      </c>
      <c r="B744" s="3" t="s">
        <v>747</v>
      </c>
      <c r="C744" s="14">
        <v>30501.360000000001</v>
      </c>
      <c r="D744" s="11" t="s">
        <v>5</v>
      </c>
    </row>
    <row r="745" spans="1:4" x14ac:dyDescent="0.25">
      <c r="A745" s="4" t="s">
        <v>5396</v>
      </c>
      <c r="B745" s="3" t="s">
        <v>748</v>
      </c>
      <c r="C745" s="14">
        <v>30501.360000000001</v>
      </c>
      <c r="D745" s="11" t="s">
        <v>5</v>
      </c>
    </row>
    <row r="746" spans="1:4" x14ac:dyDescent="0.25">
      <c r="A746" s="4" t="s">
        <v>5397</v>
      </c>
      <c r="B746" s="3" t="s">
        <v>749</v>
      </c>
      <c r="C746" s="14">
        <v>30501.360000000001</v>
      </c>
      <c r="D746" s="11" t="s">
        <v>5</v>
      </c>
    </row>
    <row r="747" spans="1:4" x14ac:dyDescent="0.25">
      <c r="A747" s="4" t="s">
        <v>5398</v>
      </c>
      <c r="B747" s="3" t="s">
        <v>750</v>
      </c>
      <c r="C747" s="14">
        <v>59825.39</v>
      </c>
      <c r="D747" s="11" t="s">
        <v>5</v>
      </c>
    </row>
    <row r="748" spans="1:4" x14ac:dyDescent="0.25">
      <c r="A748" s="4" t="s">
        <v>5399</v>
      </c>
      <c r="B748" s="3" t="s">
        <v>751</v>
      </c>
      <c r="C748" s="14">
        <v>68853.59</v>
      </c>
      <c r="D748" s="11" t="s">
        <v>5</v>
      </c>
    </row>
    <row r="749" spans="1:4" x14ac:dyDescent="0.25">
      <c r="A749" s="4" t="s">
        <v>5400</v>
      </c>
      <c r="B749" s="3" t="s">
        <v>752</v>
      </c>
      <c r="C749" s="14">
        <v>8023.37</v>
      </c>
      <c r="D749" s="11" t="s">
        <v>5</v>
      </c>
    </row>
    <row r="750" spans="1:4" x14ac:dyDescent="0.25">
      <c r="A750" s="4" t="s">
        <v>5401</v>
      </c>
      <c r="B750" s="3" t="s">
        <v>753</v>
      </c>
      <c r="C750" s="14">
        <v>1794.32</v>
      </c>
      <c r="D750" s="11" t="s">
        <v>5</v>
      </c>
    </row>
    <row r="751" spans="1:4" x14ac:dyDescent="0.25">
      <c r="A751" s="4" t="s">
        <v>5402</v>
      </c>
      <c r="B751" s="3" t="s">
        <v>754</v>
      </c>
      <c r="C751" s="14">
        <v>8263.91</v>
      </c>
      <c r="D751" s="11" t="s">
        <v>5</v>
      </c>
    </row>
    <row r="752" spans="1:4" x14ac:dyDescent="0.25">
      <c r="A752" s="4" t="s">
        <v>5403</v>
      </c>
      <c r="B752" s="3" t="s">
        <v>755</v>
      </c>
      <c r="C752" s="14">
        <v>7076.16</v>
      </c>
      <c r="D752" s="11" t="s">
        <v>5</v>
      </c>
    </row>
    <row r="753" spans="1:4" x14ac:dyDescent="0.25">
      <c r="A753" s="4" t="s">
        <v>5404</v>
      </c>
      <c r="B753" s="3" t="s">
        <v>756</v>
      </c>
      <c r="C753" s="14">
        <v>1827.36</v>
      </c>
      <c r="D753" s="11" t="s">
        <v>5</v>
      </c>
    </row>
    <row r="754" spans="1:4" x14ac:dyDescent="0.25">
      <c r="A754" s="4" t="s">
        <v>5405</v>
      </c>
      <c r="B754" s="3" t="s">
        <v>757</v>
      </c>
      <c r="C754" s="14">
        <v>4869.83</v>
      </c>
      <c r="D754" s="11" t="s">
        <v>5</v>
      </c>
    </row>
    <row r="755" spans="1:4" x14ac:dyDescent="0.25">
      <c r="A755" s="4" t="s">
        <v>5406</v>
      </c>
      <c r="B755" s="3" t="s">
        <v>758</v>
      </c>
      <c r="C755" s="14">
        <v>8046.44</v>
      </c>
      <c r="D755" s="11" t="s">
        <v>5</v>
      </c>
    </row>
    <row r="756" spans="1:4" x14ac:dyDescent="0.25">
      <c r="A756" s="4" t="s">
        <v>5407</v>
      </c>
      <c r="B756" s="3" t="s">
        <v>759</v>
      </c>
      <c r="C756" s="14">
        <v>7076.16</v>
      </c>
      <c r="D756" s="11" t="s">
        <v>5</v>
      </c>
    </row>
    <row r="757" spans="1:4" x14ac:dyDescent="0.25">
      <c r="A757" s="4" t="s">
        <v>5408</v>
      </c>
      <c r="B757" s="3" t="s">
        <v>760</v>
      </c>
      <c r="C757" s="14">
        <v>2230.83</v>
      </c>
      <c r="D757" s="11" t="s">
        <v>5</v>
      </c>
    </row>
    <row r="758" spans="1:4" x14ac:dyDescent="0.25">
      <c r="A758" s="4" t="s">
        <v>5409</v>
      </c>
      <c r="B758" s="3" t="s">
        <v>761</v>
      </c>
      <c r="C758" s="14">
        <v>4869.54</v>
      </c>
      <c r="D758" s="11" t="s">
        <v>5</v>
      </c>
    </row>
    <row r="759" spans="1:4" x14ac:dyDescent="0.25">
      <c r="A759" s="4" t="s">
        <v>5410</v>
      </c>
      <c r="B759" s="3" t="s">
        <v>762</v>
      </c>
      <c r="C759" s="14">
        <v>2805.38</v>
      </c>
      <c r="D759" s="11" t="s">
        <v>5</v>
      </c>
    </row>
    <row r="760" spans="1:4" x14ac:dyDescent="0.25">
      <c r="A760" s="4" t="s">
        <v>5411</v>
      </c>
      <c r="B760" s="3" t="s">
        <v>763</v>
      </c>
      <c r="C760" s="14">
        <v>2806.95</v>
      </c>
      <c r="D760" s="11" t="s">
        <v>5</v>
      </c>
    </row>
    <row r="761" spans="1:4" x14ac:dyDescent="0.25">
      <c r="A761" s="4" t="s">
        <v>5412</v>
      </c>
      <c r="B761" s="3" t="s">
        <v>764</v>
      </c>
      <c r="C761" s="14">
        <v>3611.79</v>
      </c>
      <c r="D761" s="11" t="s">
        <v>5</v>
      </c>
    </row>
    <row r="762" spans="1:4" x14ac:dyDescent="0.25">
      <c r="A762" s="4" t="s">
        <v>5413</v>
      </c>
      <c r="B762" s="3" t="s">
        <v>765</v>
      </c>
      <c r="C762" s="14">
        <v>4298.99</v>
      </c>
      <c r="D762" s="11" t="s">
        <v>5</v>
      </c>
    </row>
    <row r="763" spans="1:4" x14ac:dyDescent="0.25">
      <c r="A763" s="4" t="s">
        <v>5414</v>
      </c>
      <c r="B763" s="3" t="s">
        <v>766</v>
      </c>
      <c r="C763" s="14">
        <v>4298.99</v>
      </c>
      <c r="D763" s="11" t="s">
        <v>5</v>
      </c>
    </row>
    <row r="764" spans="1:4" x14ac:dyDescent="0.25">
      <c r="A764" s="4" t="s">
        <v>5415</v>
      </c>
      <c r="B764" s="3" t="s">
        <v>767</v>
      </c>
      <c r="C764" s="14">
        <v>4897.3100000000004</v>
      </c>
      <c r="D764" s="11" t="s">
        <v>5</v>
      </c>
    </row>
    <row r="765" spans="1:4" x14ac:dyDescent="0.25">
      <c r="A765" s="4" t="s">
        <v>5416</v>
      </c>
      <c r="B765" s="3" t="s">
        <v>768</v>
      </c>
      <c r="C765" s="14">
        <v>8720.76</v>
      </c>
      <c r="D765" s="11" t="s">
        <v>5</v>
      </c>
    </row>
    <row r="766" spans="1:4" x14ac:dyDescent="0.25">
      <c r="A766" s="4" t="s">
        <v>5417</v>
      </c>
      <c r="B766" s="3" t="s">
        <v>769</v>
      </c>
      <c r="C766" s="14">
        <v>7463.57</v>
      </c>
      <c r="D766" s="11" t="s">
        <v>5</v>
      </c>
    </row>
    <row r="767" spans="1:4" x14ac:dyDescent="0.25">
      <c r="A767" s="4" t="s">
        <v>5418</v>
      </c>
      <c r="B767" s="3" t="s">
        <v>770</v>
      </c>
      <c r="C767" s="14">
        <v>12548.9</v>
      </c>
      <c r="D767" s="11" t="s">
        <v>5</v>
      </c>
    </row>
    <row r="768" spans="1:4" x14ac:dyDescent="0.25">
      <c r="A768" s="4" t="s">
        <v>5419</v>
      </c>
      <c r="B768" s="3" t="s">
        <v>771</v>
      </c>
      <c r="C768" s="14">
        <v>5297.15</v>
      </c>
      <c r="D768" s="11" t="s">
        <v>5</v>
      </c>
    </row>
    <row r="769" spans="1:4" x14ac:dyDescent="0.25">
      <c r="A769" s="4" t="s">
        <v>5420</v>
      </c>
      <c r="B769" s="3" t="s">
        <v>772</v>
      </c>
      <c r="C769" s="14">
        <v>4678.2299999999996</v>
      </c>
      <c r="D769" s="11" t="s">
        <v>5</v>
      </c>
    </row>
    <row r="770" spans="1:4" x14ac:dyDescent="0.25">
      <c r="A770" s="4" t="s">
        <v>5421</v>
      </c>
      <c r="B770" s="3" t="s">
        <v>773</v>
      </c>
      <c r="C770" s="14">
        <v>7714.64</v>
      </c>
      <c r="D770" s="11" t="s">
        <v>5</v>
      </c>
    </row>
    <row r="771" spans="1:4" x14ac:dyDescent="0.25">
      <c r="A771" s="4" t="s">
        <v>5422</v>
      </c>
      <c r="B771" s="3" t="s">
        <v>774</v>
      </c>
      <c r="C771" s="14">
        <v>3908.24</v>
      </c>
      <c r="D771" s="11" t="s">
        <v>5</v>
      </c>
    </row>
    <row r="772" spans="1:4" x14ac:dyDescent="0.25">
      <c r="A772" s="4" t="s">
        <v>5423</v>
      </c>
      <c r="B772" s="3" t="s">
        <v>775</v>
      </c>
      <c r="C772" s="14">
        <v>5551.07</v>
      </c>
      <c r="D772" s="11" t="s">
        <v>5</v>
      </c>
    </row>
    <row r="773" spans="1:4" x14ac:dyDescent="0.25">
      <c r="A773" s="4" t="s">
        <v>5424</v>
      </c>
      <c r="B773" s="3" t="s">
        <v>776</v>
      </c>
      <c r="C773" s="14">
        <v>8027.64</v>
      </c>
      <c r="D773" s="11" t="s">
        <v>5</v>
      </c>
    </row>
    <row r="774" spans="1:4" x14ac:dyDescent="0.25">
      <c r="A774" s="4" t="s">
        <v>5425</v>
      </c>
      <c r="B774" s="3" t="s">
        <v>777</v>
      </c>
      <c r="C774" s="14">
        <v>9065.2099999999991</v>
      </c>
      <c r="D774" s="11" t="s">
        <v>5</v>
      </c>
    </row>
    <row r="775" spans="1:4" x14ac:dyDescent="0.25">
      <c r="A775" s="4" t="s">
        <v>5426</v>
      </c>
      <c r="B775" s="3" t="s">
        <v>778</v>
      </c>
      <c r="C775" s="14">
        <v>1401.65</v>
      </c>
      <c r="D775" s="11" t="s">
        <v>5</v>
      </c>
    </row>
    <row r="776" spans="1:4" x14ac:dyDescent="0.25">
      <c r="A776" s="4" t="s">
        <v>5427</v>
      </c>
      <c r="B776" s="3" t="s">
        <v>779</v>
      </c>
      <c r="C776" s="14">
        <v>1510.86</v>
      </c>
      <c r="D776" s="11" t="s">
        <v>5</v>
      </c>
    </row>
    <row r="777" spans="1:4" x14ac:dyDescent="0.25">
      <c r="A777" s="4" t="s">
        <v>5428</v>
      </c>
      <c r="B777" s="3" t="s">
        <v>780</v>
      </c>
      <c r="C777" s="14">
        <v>1530.42</v>
      </c>
      <c r="D777" s="11" t="s">
        <v>5</v>
      </c>
    </row>
    <row r="778" spans="1:4" x14ac:dyDescent="0.25">
      <c r="A778" s="4" t="s">
        <v>5429</v>
      </c>
      <c r="B778" s="3" t="s">
        <v>781</v>
      </c>
      <c r="C778" s="14">
        <v>4107.09</v>
      </c>
      <c r="D778" s="11" t="s">
        <v>5</v>
      </c>
    </row>
    <row r="779" spans="1:4" x14ac:dyDescent="0.25">
      <c r="A779" s="4" t="s">
        <v>5430</v>
      </c>
      <c r="B779" s="3" t="s">
        <v>782</v>
      </c>
      <c r="C779" s="14">
        <v>4202.21</v>
      </c>
      <c r="D779" s="11" t="s">
        <v>5</v>
      </c>
    </row>
    <row r="780" spans="1:4" x14ac:dyDescent="0.25">
      <c r="A780" s="4" t="s">
        <v>5431</v>
      </c>
      <c r="B780" s="3" t="s">
        <v>783</v>
      </c>
      <c r="C780" s="14">
        <v>5872.65</v>
      </c>
      <c r="D780" s="11" t="s">
        <v>5</v>
      </c>
    </row>
    <row r="781" spans="1:4" x14ac:dyDescent="0.25">
      <c r="A781" s="4" t="s">
        <v>5432</v>
      </c>
      <c r="B781" s="3" t="s">
        <v>784</v>
      </c>
      <c r="C781" s="14">
        <v>6933.36</v>
      </c>
      <c r="D781" s="11" t="s">
        <v>5</v>
      </c>
    </row>
    <row r="782" spans="1:4" x14ac:dyDescent="0.25">
      <c r="A782" s="4" t="s">
        <v>5433</v>
      </c>
      <c r="B782" s="3" t="s">
        <v>785</v>
      </c>
      <c r="C782" s="14">
        <v>1639.22</v>
      </c>
      <c r="D782" s="11" t="s">
        <v>5</v>
      </c>
    </row>
    <row r="783" spans="1:4" x14ac:dyDescent="0.25">
      <c r="A783" s="4" t="s">
        <v>5434</v>
      </c>
      <c r="B783" s="3" t="s">
        <v>786</v>
      </c>
      <c r="C783" s="14">
        <v>2785.85</v>
      </c>
      <c r="D783" s="11" t="s">
        <v>5</v>
      </c>
    </row>
    <row r="784" spans="1:4" x14ac:dyDescent="0.25">
      <c r="A784" s="4" t="s">
        <v>5435</v>
      </c>
      <c r="B784" s="3" t="s">
        <v>787</v>
      </c>
      <c r="C784" s="14">
        <v>3323.28</v>
      </c>
      <c r="D784" s="11" t="s">
        <v>5</v>
      </c>
    </row>
    <row r="785" spans="1:4" x14ac:dyDescent="0.25">
      <c r="A785" s="4" t="s">
        <v>5436</v>
      </c>
      <c r="B785" s="3" t="s">
        <v>788</v>
      </c>
      <c r="C785" s="14">
        <v>1639.22</v>
      </c>
      <c r="D785" s="11" t="s">
        <v>5</v>
      </c>
    </row>
    <row r="786" spans="1:4" x14ac:dyDescent="0.25">
      <c r="A786" s="4" t="s">
        <v>5437</v>
      </c>
      <c r="B786" s="3" t="s">
        <v>789</v>
      </c>
      <c r="C786" s="14">
        <v>4737.8</v>
      </c>
      <c r="D786" s="11" t="s">
        <v>5</v>
      </c>
    </row>
    <row r="787" spans="1:4" x14ac:dyDescent="0.25">
      <c r="A787" s="4" t="s">
        <v>5438</v>
      </c>
      <c r="B787" s="3" t="s">
        <v>790</v>
      </c>
      <c r="C787" s="14">
        <v>5052.9799999999996</v>
      </c>
      <c r="D787" s="11" t="s">
        <v>5</v>
      </c>
    </row>
    <row r="788" spans="1:4" x14ac:dyDescent="0.25">
      <c r="A788" s="4" t="s">
        <v>5439</v>
      </c>
      <c r="B788" s="3" t="s">
        <v>791</v>
      </c>
      <c r="C788" s="14">
        <v>5303.31</v>
      </c>
      <c r="D788" s="11" t="s">
        <v>5</v>
      </c>
    </row>
    <row r="789" spans="1:4" x14ac:dyDescent="0.25">
      <c r="A789" s="4" t="s">
        <v>5440</v>
      </c>
      <c r="B789" s="3" t="s">
        <v>792</v>
      </c>
      <c r="C789" s="14">
        <v>8261.6299999999992</v>
      </c>
      <c r="D789" s="11" t="s">
        <v>5</v>
      </c>
    </row>
    <row r="790" spans="1:4" x14ac:dyDescent="0.25">
      <c r="A790" s="4" t="s">
        <v>5441</v>
      </c>
      <c r="B790" s="3" t="s">
        <v>793</v>
      </c>
      <c r="C790" s="14">
        <v>7698.92</v>
      </c>
      <c r="D790" s="11" t="s">
        <v>5</v>
      </c>
    </row>
    <row r="791" spans="1:4" x14ac:dyDescent="0.25">
      <c r="A791" s="4" t="s">
        <v>5442</v>
      </c>
      <c r="B791" s="3" t="s">
        <v>794</v>
      </c>
      <c r="C791" s="14">
        <v>5165.24</v>
      </c>
      <c r="D791" s="11" t="s">
        <v>5</v>
      </c>
    </row>
    <row r="792" spans="1:4" x14ac:dyDescent="0.25">
      <c r="A792" s="4" t="s">
        <v>5443</v>
      </c>
      <c r="B792" s="3" t="s">
        <v>795</v>
      </c>
      <c r="C792" s="14">
        <v>6972.6</v>
      </c>
      <c r="D792" s="11" t="s">
        <v>5</v>
      </c>
    </row>
    <row r="793" spans="1:4" x14ac:dyDescent="0.25">
      <c r="A793" s="4" t="s">
        <v>5444</v>
      </c>
      <c r="B793" s="3" t="s">
        <v>796</v>
      </c>
      <c r="C793" s="14">
        <v>5303.31</v>
      </c>
      <c r="D793" s="11" t="s">
        <v>5</v>
      </c>
    </row>
    <row r="794" spans="1:4" x14ac:dyDescent="0.25">
      <c r="A794" s="4" t="s">
        <v>5445</v>
      </c>
      <c r="B794" s="3" t="s">
        <v>797</v>
      </c>
      <c r="C794" s="14">
        <v>5303.31</v>
      </c>
      <c r="D794" s="11" t="s">
        <v>5</v>
      </c>
    </row>
    <row r="795" spans="1:4" x14ac:dyDescent="0.25">
      <c r="A795" s="4" t="s">
        <v>5446</v>
      </c>
      <c r="B795" s="3" t="s">
        <v>798</v>
      </c>
      <c r="C795" s="14">
        <v>6219.35</v>
      </c>
      <c r="D795" s="11" t="s">
        <v>5</v>
      </c>
    </row>
    <row r="796" spans="1:4" x14ac:dyDescent="0.25">
      <c r="A796" s="4" t="s">
        <v>5447</v>
      </c>
      <c r="B796" s="3" t="s">
        <v>799</v>
      </c>
      <c r="C796" s="14">
        <v>6219.35</v>
      </c>
      <c r="D796" s="11" t="s">
        <v>5</v>
      </c>
    </row>
    <row r="797" spans="1:4" x14ac:dyDescent="0.25">
      <c r="A797" s="4" t="s">
        <v>5448</v>
      </c>
      <c r="B797" s="3" t="s">
        <v>800</v>
      </c>
      <c r="C797" s="14">
        <v>7842.3</v>
      </c>
      <c r="D797" s="11" t="s">
        <v>5</v>
      </c>
    </row>
    <row r="798" spans="1:4" x14ac:dyDescent="0.25">
      <c r="A798" s="4" t="s">
        <v>5449</v>
      </c>
      <c r="B798" s="3" t="s">
        <v>801</v>
      </c>
      <c r="C798" s="14">
        <v>8422.17</v>
      </c>
      <c r="D798" s="11" t="s">
        <v>5</v>
      </c>
    </row>
    <row r="799" spans="1:4" x14ac:dyDescent="0.25">
      <c r="A799" s="4" t="s">
        <v>5450</v>
      </c>
      <c r="B799" s="3" t="s">
        <v>802</v>
      </c>
      <c r="C799" s="14">
        <v>5437.32</v>
      </c>
      <c r="D799" s="11" t="s">
        <v>5</v>
      </c>
    </row>
    <row r="800" spans="1:4" x14ac:dyDescent="0.25">
      <c r="A800" s="4" t="s">
        <v>5451</v>
      </c>
      <c r="B800" s="3" t="s">
        <v>803</v>
      </c>
      <c r="C800" s="14">
        <v>7908.2</v>
      </c>
      <c r="D800" s="11" t="s">
        <v>5</v>
      </c>
    </row>
    <row r="801" spans="1:4" x14ac:dyDescent="0.25">
      <c r="A801" s="4" t="s">
        <v>5452</v>
      </c>
      <c r="B801" s="3" t="s">
        <v>804</v>
      </c>
      <c r="C801" s="14">
        <v>1003.94</v>
      </c>
      <c r="D801" s="11" t="s">
        <v>5</v>
      </c>
    </row>
    <row r="802" spans="1:4" x14ac:dyDescent="0.25">
      <c r="A802" s="4" t="s">
        <v>5453</v>
      </c>
      <c r="B802" s="3" t="s">
        <v>805</v>
      </c>
      <c r="C802" s="14">
        <v>1016.93</v>
      </c>
      <c r="D802" s="11" t="s">
        <v>5</v>
      </c>
    </row>
    <row r="803" spans="1:4" x14ac:dyDescent="0.25">
      <c r="A803" s="4" t="s">
        <v>5454</v>
      </c>
      <c r="B803" s="3" t="s">
        <v>806</v>
      </c>
      <c r="C803" s="14">
        <v>1277.6400000000001</v>
      </c>
      <c r="D803" s="11" t="s">
        <v>5</v>
      </c>
    </row>
    <row r="804" spans="1:4" x14ac:dyDescent="0.25">
      <c r="A804" s="4" t="s">
        <v>5455</v>
      </c>
      <c r="B804" s="3" t="s">
        <v>807</v>
      </c>
      <c r="C804" s="14">
        <v>1599.33</v>
      </c>
      <c r="D804" s="11" t="s">
        <v>5</v>
      </c>
    </row>
    <row r="805" spans="1:4" x14ac:dyDescent="0.25">
      <c r="A805" s="4" t="s">
        <v>5456</v>
      </c>
      <c r="B805" s="3" t="s">
        <v>808</v>
      </c>
      <c r="C805" s="14">
        <v>1113.42</v>
      </c>
      <c r="D805" s="11" t="s">
        <v>5</v>
      </c>
    </row>
    <row r="806" spans="1:4" x14ac:dyDescent="0.25">
      <c r="A806" s="4" t="s">
        <v>5457</v>
      </c>
      <c r="B806" s="3" t="s">
        <v>809</v>
      </c>
      <c r="C806" s="14">
        <v>1205.28</v>
      </c>
      <c r="D806" s="11" t="s">
        <v>5</v>
      </c>
    </row>
    <row r="807" spans="1:4" x14ac:dyDescent="0.25">
      <c r="A807" s="4" t="s">
        <v>5458</v>
      </c>
      <c r="B807" s="3" t="s">
        <v>810</v>
      </c>
      <c r="C807" s="14">
        <v>1639.22</v>
      </c>
      <c r="D807" s="11" t="s">
        <v>5</v>
      </c>
    </row>
    <row r="808" spans="1:4" x14ac:dyDescent="0.25">
      <c r="A808" s="4" t="s">
        <v>5459</v>
      </c>
      <c r="B808" s="3" t="s">
        <v>811</v>
      </c>
      <c r="C808" s="14">
        <v>1933.77</v>
      </c>
      <c r="D808" s="11" t="s">
        <v>5</v>
      </c>
    </row>
    <row r="809" spans="1:4" x14ac:dyDescent="0.25">
      <c r="A809" s="4" t="s">
        <v>5460</v>
      </c>
      <c r="B809" s="3" t="s">
        <v>812</v>
      </c>
      <c r="C809" s="14">
        <v>6592.17</v>
      </c>
      <c r="D809" s="11" t="s">
        <v>5</v>
      </c>
    </row>
    <row r="810" spans="1:4" x14ac:dyDescent="0.25">
      <c r="A810" s="4" t="s">
        <v>5461</v>
      </c>
      <c r="B810" s="3" t="s">
        <v>813</v>
      </c>
      <c r="C810" s="14">
        <v>5514.54</v>
      </c>
      <c r="D810" s="11" t="s">
        <v>5</v>
      </c>
    </row>
    <row r="811" spans="1:4" x14ac:dyDescent="0.25">
      <c r="A811" s="4" t="s">
        <v>5462</v>
      </c>
      <c r="B811" s="3" t="s">
        <v>814</v>
      </c>
      <c r="C811" s="14">
        <v>5514.54</v>
      </c>
      <c r="D811" s="11" t="s">
        <v>5</v>
      </c>
    </row>
    <row r="812" spans="1:4" x14ac:dyDescent="0.25">
      <c r="A812" s="4" t="s">
        <v>5463</v>
      </c>
      <c r="B812" s="3" t="s">
        <v>815</v>
      </c>
      <c r="C812" s="14">
        <v>6336.75</v>
      </c>
      <c r="D812" s="11" t="s">
        <v>5</v>
      </c>
    </row>
    <row r="813" spans="1:4" x14ac:dyDescent="0.25">
      <c r="A813" s="4" t="s">
        <v>5464</v>
      </c>
      <c r="B813" s="3" t="s">
        <v>816</v>
      </c>
      <c r="C813" s="14">
        <v>5514.54</v>
      </c>
      <c r="D813" s="11" t="s">
        <v>5</v>
      </c>
    </row>
    <row r="814" spans="1:4" x14ac:dyDescent="0.25">
      <c r="A814" s="4" t="s">
        <v>5465</v>
      </c>
      <c r="B814" s="3" t="s">
        <v>817</v>
      </c>
      <c r="C814" s="14">
        <v>1638.65</v>
      </c>
      <c r="D814" s="11" t="s">
        <v>5</v>
      </c>
    </row>
    <row r="815" spans="1:4" x14ac:dyDescent="0.25">
      <c r="A815" s="4" t="s">
        <v>5466</v>
      </c>
      <c r="B815" s="3" t="s">
        <v>818</v>
      </c>
      <c r="C815" s="14">
        <v>1165.04</v>
      </c>
      <c r="D815" s="11" t="s">
        <v>5</v>
      </c>
    </row>
    <row r="816" spans="1:4" x14ac:dyDescent="0.25">
      <c r="A816" s="4" t="s">
        <v>5467</v>
      </c>
      <c r="B816" s="3" t="s">
        <v>819</v>
      </c>
      <c r="C816" s="14">
        <v>916.02</v>
      </c>
      <c r="D816" s="11" t="s">
        <v>5</v>
      </c>
    </row>
    <row r="817" spans="1:4" x14ac:dyDescent="0.25">
      <c r="A817" s="4" t="s">
        <v>5468</v>
      </c>
      <c r="B817" s="3" t="s">
        <v>820</v>
      </c>
      <c r="C817" s="14">
        <v>1533.65</v>
      </c>
      <c r="D817" s="11" t="s">
        <v>5</v>
      </c>
    </row>
    <row r="818" spans="1:4" x14ac:dyDescent="0.25">
      <c r="A818" s="4" t="s">
        <v>5469</v>
      </c>
      <c r="B818" s="3" t="s">
        <v>821</v>
      </c>
      <c r="C818" s="14">
        <v>2265.96</v>
      </c>
      <c r="D818" s="11" t="s">
        <v>5</v>
      </c>
    </row>
    <row r="819" spans="1:4" x14ac:dyDescent="0.25">
      <c r="A819" s="4" t="s">
        <v>5470</v>
      </c>
      <c r="B819" s="3" t="s">
        <v>822</v>
      </c>
      <c r="C819" s="14">
        <v>2995.52</v>
      </c>
      <c r="D819" s="11" t="s">
        <v>5</v>
      </c>
    </row>
    <row r="820" spans="1:4" x14ac:dyDescent="0.25">
      <c r="A820" s="4" t="s">
        <v>5471</v>
      </c>
      <c r="B820" s="3" t="s">
        <v>823</v>
      </c>
      <c r="C820" s="14">
        <v>1257.8599999999999</v>
      </c>
      <c r="D820" s="11" t="s">
        <v>5</v>
      </c>
    </row>
    <row r="821" spans="1:4" x14ac:dyDescent="0.25">
      <c r="A821" s="4" t="s">
        <v>5472</v>
      </c>
      <c r="B821" s="3" t="s">
        <v>824</v>
      </c>
      <c r="C821" s="14">
        <v>3001.26</v>
      </c>
      <c r="D821" s="11" t="s">
        <v>5</v>
      </c>
    </row>
    <row r="822" spans="1:4" x14ac:dyDescent="0.25">
      <c r="A822" s="4" t="s">
        <v>5473</v>
      </c>
      <c r="B822" s="3" t="s">
        <v>825</v>
      </c>
      <c r="C822" s="14">
        <v>1257.8599999999999</v>
      </c>
      <c r="D822" s="11" t="s">
        <v>5</v>
      </c>
    </row>
    <row r="823" spans="1:4" x14ac:dyDescent="0.25">
      <c r="A823" s="4" t="s">
        <v>5474</v>
      </c>
      <c r="B823" s="3" t="s">
        <v>826</v>
      </c>
      <c r="C823" s="14">
        <v>1801.56</v>
      </c>
      <c r="D823" s="11" t="s">
        <v>5</v>
      </c>
    </row>
    <row r="824" spans="1:4" x14ac:dyDescent="0.25">
      <c r="A824" s="4" t="s">
        <v>5475</v>
      </c>
      <c r="B824" s="3" t="s">
        <v>827</v>
      </c>
      <c r="C824" s="14">
        <v>1633.35</v>
      </c>
      <c r="D824" s="11" t="s">
        <v>5</v>
      </c>
    </row>
    <row r="825" spans="1:4" x14ac:dyDescent="0.25">
      <c r="A825" s="4" t="s">
        <v>5476</v>
      </c>
      <c r="B825" s="3" t="s">
        <v>828</v>
      </c>
      <c r="C825" s="14">
        <v>1257.8599999999999</v>
      </c>
      <c r="D825" s="11" t="s">
        <v>5</v>
      </c>
    </row>
    <row r="826" spans="1:4" x14ac:dyDescent="0.25">
      <c r="A826" s="4" t="s">
        <v>5477</v>
      </c>
      <c r="B826" s="3" t="s">
        <v>829</v>
      </c>
      <c r="C826" s="14">
        <v>1633.35</v>
      </c>
      <c r="D826" s="11" t="s">
        <v>5</v>
      </c>
    </row>
    <row r="827" spans="1:4" x14ac:dyDescent="0.25">
      <c r="A827" s="4" t="s">
        <v>5478</v>
      </c>
      <c r="B827" s="3" t="s">
        <v>830</v>
      </c>
      <c r="C827" s="14">
        <v>1257.8599999999999</v>
      </c>
      <c r="D827" s="11" t="s">
        <v>5</v>
      </c>
    </row>
    <row r="828" spans="1:4" x14ac:dyDescent="0.25">
      <c r="A828" s="4" t="s">
        <v>5479</v>
      </c>
      <c r="B828" s="3" t="s">
        <v>831</v>
      </c>
      <c r="C828" s="14">
        <v>973.11</v>
      </c>
      <c r="D828" s="11" t="s">
        <v>5</v>
      </c>
    </row>
    <row r="829" spans="1:4" x14ac:dyDescent="0.25">
      <c r="A829" s="4" t="s">
        <v>5480</v>
      </c>
      <c r="B829" s="3" t="s">
        <v>832</v>
      </c>
      <c r="C829" s="14">
        <v>2265.96</v>
      </c>
      <c r="D829" s="11" t="s">
        <v>5</v>
      </c>
    </row>
    <row r="830" spans="1:4" x14ac:dyDescent="0.25">
      <c r="A830" s="4" t="s">
        <v>5481</v>
      </c>
      <c r="B830" s="3" t="s">
        <v>833</v>
      </c>
      <c r="C830" s="14">
        <v>28861.79</v>
      </c>
      <c r="D830" s="11" t="s">
        <v>5</v>
      </c>
    </row>
    <row r="831" spans="1:4" x14ac:dyDescent="0.25">
      <c r="A831" s="4" t="s">
        <v>5482</v>
      </c>
      <c r="B831" s="3" t="s">
        <v>834</v>
      </c>
      <c r="C831" s="14">
        <v>21277.47</v>
      </c>
      <c r="D831" s="11" t="s">
        <v>5</v>
      </c>
    </row>
    <row r="832" spans="1:4" x14ac:dyDescent="0.25">
      <c r="A832" s="4" t="s">
        <v>5483</v>
      </c>
      <c r="B832" s="3" t="s">
        <v>835</v>
      </c>
      <c r="C832" s="14">
        <v>16354.82</v>
      </c>
      <c r="D832" s="11" t="s">
        <v>5</v>
      </c>
    </row>
    <row r="833" spans="1:4" x14ac:dyDescent="0.25">
      <c r="A833" s="4" t="s">
        <v>5484</v>
      </c>
      <c r="B833" s="3" t="s">
        <v>836</v>
      </c>
      <c r="C833" s="14">
        <v>34961.21</v>
      </c>
      <c r="D833" s="11" t="s">
        <v>5</v>
      </c>
    </row>
    <row r="834" spans="1:4" x14ac:dyDescent="0.25">
      <c r="A834" s="4" t="s">
        <v>5485</v>
      </c>
      <c r="B834" s="3" t="s">
        <v>837</v>
      </c>
      <c r="C834" s="14">
        <v>23196.54</v>
      </c>
      <c r="D834" s="11" t="s">
        <v>5</v>
      </c>
    </row>
    <row r="835" spans="1:4" x14ac:dyDescent="0.25">
      <c r="A835" s="4" t="s">
        <v>5486</v>
      </c>
      <c r="B835" s="3" t="s">
        <v>838</v>
      </c>
      <c r="C835" s="14">
        <v>17990.240000000002</v>
      </c>
      <c r="D835" s="11" t="s">
        <v>5</v>
      </c>
    </row>
    <row r="836" spans="1:4" x14ac:dyDescent="0.25">
      <c r="A836" s="4" t="s">
        <v>5487</v>
      </c>
      <c r="B836" s="3" t="s">
        <v>839</v>
      </c>
      <c r="C836" s="14">
        <v>3384.36</v>
      </c>
      <c r="D836" s="11" t="s">
        <v>5</v>
      </c>
    </row>
    <row r="837" spans="1:4" x14ac:dyDescent="0.25">
      <c r="A837" s="4" t="s">
        <v>5488</v>
      </c>
      <c r="B837" s="3" t="s">
        <v>840</v>
      </c>
      <c r="C837" s="14">
        <v>1831.26</v>
      </c>
      <c r="D837" s="11" t="s">
        <v>5</v>
      </c>
    </row>
    <row r="838" spans="1:4" x14ac:dyDescent="0.25">
      <c r="A838" s="4" t="s">
        <v>5489</v>
      </c>
      <c r="B838" s="3" t="s">
        <v>841</v>
      </c>
      <c r="C838" s="14">
        <v>5538.83</v>
      </c>
      <c r="D838" s="11" t="s">
        <v>5</v>
      </c>
    </row>
    <row r="839" spans="1:4" x14ac:dyDescent="0.25">
      <c r="A839" s="4" t="s">
        <v>5490</v>
      </c>
      <c r="B839" s="3" t="s">
        <v>842</v>
      </c>
      <c r="C839" s="14">
        <v>1771.85</v>
      </c>
      <c r="D839" s="11" t="s">
        <v>5</v>
      </c>
    </row>
    <row r="840" spans="1:4" x14ac:dyDescent="0.25">
      <c r="A840" s="4" t="s">
        <v>5491</v>
      </c>
      <c r="B840" s="3" t="s">
        <v>843</v>
      </c>
      <c r="C840" s="14">
        <v>4889.16</v>
      </c>
      <c r="D840" s="11" t="s">
        <v>5</v>
      </c>
    </row>
    <row r="841" spans="1:4" x14ac:dyDescent="0.25">
      <c r="A841" s="4" t="s">
        <v>5492</v>
      </c>
      <c r="B841" s="3" t="s">
        <v>844</v>
      </c>
      <c r="C841" s="14">
        <v>3230.21</v>
      </c>
      <c r="D841" s="11" t="s">
        <v>5</v>
      </c>
    </row>
    <row r="842" spans="1:4" x14ac:dyDescent="0.25">
      <c r="A842" s="4" t="s">
        <v>5493</v>
      </c>
      <c r="B842" s="3" t="s">
        <v>845</v>
      </c>
      <c r="C842" s="14">
        <v>1292.31</v>
      </c>
      <c r="D842" s="11" t="s">
        <v>5</v>
      </c>
    </row>
    <row r="843" spans="1:4" x14ac:dyDescent="0.25">
      <c r="A843" s="4" t="s">
        <v>5494</v>
      </c>
      <c r="B843" s="3" t="s">
        <v>846</v>
      </c>
      <c r="C843" s="14">
        <v>1371.53</v>
      </c>
      <c r="D843" s="11" t="s">
        <v>5</v>
      </c>
    </row>
    <row r="844" spans="1:4" x14ac:dyDescent="0.25">
      <c r="A844" s="4" t="s">
        <v>5495</v>
      </c>
      <c r="B844" s="3" t="s">
        <v>847</v>
      </c>
      <c r="C844" s="14">
        <v>1937.22</v>
      </c>
      <c r="D844" s="11" t="s">
        <v>5</v>
      </c>
    </row>
    <row r="845" spans="1:4" x14ac:dyDescent="0.25">
      <c r="A845" s="4" t="s">
        <v>5496</v>
      </c>
      <c r="B845" s="3" t="s">
        <v>848</v>
      </c>
      <c r="C845" s="14">
        <v>2624.78</v>
      </c>
      <c r="D845" s="11" t="s">
        <v>5</v>
      </c>
    </row>
    <row r="846" spans="1:4" x14ac:dyDescent="0.25">
      <c r="A846" s="4" t="s">
        <v>5497</v>
      </c>
      <c r="B846" s="3" t="s">
        <v>849</v>
      </c>
      <c r="C846" s="14">
        <v>4216.8500000000004</v>
      </c>
      <c r="D846" s="11" t="s">
        <v>5</v>
      </c>
    </row>
    <row r="847" spans="1:4" x14ac:dyDescent="0.25">
      <c r="A847" s="4" t="s">
        <v>5498</v>
      </c>
      <c r="B847" s="3" t="s">
        <v>850</v>
      </c>
      <c r="C847" s="14">
        <v>6463.31</v>
      </c>
      <c r="D847" s="11" t="s">
        <v>5</v>
      </c>
    </row>
    <row r="848" spans="1:4" x14ac:dyDescent="0.25">
      <c r="A848" s="4" t="s">
        <v>5499</v>
      </c>
      <c r="B848" s="3" t="s">
        <v>851</v>
      </c>
      <c r="C848" s="14">
        <v>23078.25</v>
      </c>
      <c r="D848" s="11" t="s">
        <v>5</v>
      </c>
    </row>
    <row r="849" spans="1:4" x14ac:dyDescent="0.25">
      <c r="A849" s="4" t="s">
        <v>5500</v>
      </c>
      <c r="B849" s="3" t="s">
        <v>852</v>
      </c>
      <c r="C849" s="14">
        <v>15643.49</v>
      </c>
      <c r="D849" s="11" t="s">
        <v>5</v>
      </c>
    </row>
    <row r="850" spans="1:4" x14ac:dyDescent="0.25">
      <c r="A850" s="4" t="s">
        <v>5501</v>
      </c>
      <c r="B850" s="3" t="s">
        <v>853</v>
      </c>
      <c r="C850" s="14">
        <v>15643.49</v>
      </c>
      <c r="D850" s="11" t="s">
        <v>5</v>
      </c>
    </row>
    <row r="851" spans="1:4" x14ac:dyDescent="0.25">
      <c r="A851" s="4" t="s">
        <v>5502</v>
      </c>
      <c r="B851" s="3" t="s">
        <v>854</v>
      </c>
      <c r="C851" s="14">
        <v>15643.49</v>
      </c>
      <c r="D851" s="11" t="s">
        <v>5</v>
      </c>
    </row>
    <row r="852" spans="1:4" x14ac:dyDescent="0.25">
      <c r="A852" s="4" t="s">
        <v>5503</v>
      </c>
      <c r="B852" s="3" t="s">
        <v>855</v>
      </c>
      <c r="C852" s="14">
        <v>38797.879999999997</v>
      </c>
      <c r="D852" s="11" t="s">
        <v>5</v>
      </c>
    </row>
    <row r="853" spans="1:4" x14ac:dyDescent="0.25">
      <c r="A853" s="4" t="s">
        <v>5504</v>
      </c>
      <c r="B853" s="3" t="s">
        <v>856</v>
      </c>
      <c r="C853" s="14">
        <v>14696.69</v>
      </c>
      <c r="D853" s="11" t="s">
        <v>5</v>
      </c>
    </row>
    <row r="854" spans="1:4" x14ac:dyDescent="0.25">
      <c r="A854" s="4" t="s">
        <v>5505</v>
      </c>
      <c r="B854" s="3" t="s">
        <v>857</v>
      </c>
      <c r="C854" s="14">
        <v>18234.59</v>
      </c>
      <c r="D854" s="11" t="s">
        <v>5</v>
      </c>
    </row>
    <row r="855" spans="1:4" x14ac:dyDescent="0.25">
      <c r="A855" s="4" t="s">
        <v>5506</v>
      </c>
      <c r="B855" s="3" t="s">
        <v>858</v>
      </c>
      <c r="C855" s="14">
        <v>11143.31</v>
      </c>
      <c r="D855" s="11" t="s">
        <v>5</v>
      </c>
    </row>
    <row r="856" spans="1:4" x14ac:dyDescent="0.25">
      <c r="A856" s="4" t="s">
        <v>5507</v>
      </c>
      <c r="B856" s="3" t="s">
        <v>859</v>
      </c>
      <c r="C856" s="14">
        <v>20427.560000000001</v>
      </c>
      <c r="D856" s="11" t="s">
        <v>5</v>
      </c>
    </row>
    <row r="857" spans="1:4" x14ac:dyDescent="0.25">
      <c r="A857" s="4" t="s">
        <v>5508</v>
      </c>
      <c r="B857" s="3" t="s">
        <v>860</v>
      </c>
      <c r="C857" s="14">
        <v>33884.99</v>
      </c>
      <c r="D857" s="11" t="s">
        <v>5</v>
      </c>
    </row>
    <row r="858" spans="1:4" x14ac:dyDescent="0.25">
      <c r="A858" s="4" t="s">
        <v>5509</v>
      </c>
      <c r="B858" s="3" t="s">
        <v>861</v>
      </c>
      <c r="C858" s="14">
        <v>1269.6600000000001</v>
      </c>
      <c r="D858" s="11" t="s">
        <v>5</v>
      </c>
    </row>
    <row r="859" spans="1:4" x14ac:dyDescent="0.25">
      <c r="A859" s="4" t="s">
        <v>5510</v>
      </c>
      <c r="B859" s="3" t="s">
        <v>862</v>
      </c>
      <c r="C859" s="14">
        <v>1657.35</v>
      </c>
      <c r="D859" s="11" t="s">
        <v>5</v>
      </c>
    </row>
    <row r="860" spans="1:4" x14ac:dyDescent="0.25">
      <c r="A860" s="4" t="s">
        <v>5511</v>
      </c>
      <c r="B860" s="3" t="s">
        <v>863</v>
      </c>
      <c r="C860" s="14">
        <v>2588.84</v>
      </c>
      <c r="D860" s="11" t="s">
        <v>5</v>
      </c>
    </row>
    <row r="861" spans="1:4" x14ac:dyDescent="0.25">
      <c r="A861" s="4" t="s">
        <v>5512</v>
      </c>
      <c r="B861" s="3" t="s">
        <v>864</v>
      </c>
      <c r="C861" s="14">
        <v>1269.6600000000001</v>
      </c>
      <c r="D861" s="11" t="s">
        <v>5</v>
      </c>
    </row>
    <row r="862" spans="1:4" x14ac:dyDescent="0.25">
      <c r="A862" s="4" t="s">
        <v>5513</v>
      </c>
      <c r="B862" s="3" t="s">
        <v>865</v>
      </c>
      <c r="C862" s="14">
        <v>1657.35</v>
      </c>
      <c r="D862" s="11" t="s">
        <v>5</v>
      </c>
    </row>
    <row r="863" spans="1:4" x14ac:dyDescent="0.25">
      <c r="A863" s="4" t="s">
        <v>5514</v>
      </c>
      <c r="B863" s="3" t="s">
        <v>866</v>
      </c>
      <c r="C863" s="14">
        <v>936</v>
      </c>
      <c r="D863" s="11" t="s">
        <v>5</v>
      </c>
    </row>
    <row r="864" spans="1:4" x14ac:dyDescent="0.25">
      <c r="A864" s="4" t="s">
        <v>5515</v>
      </c>
      <c r="B864" s="3" t="s">
        <v>867</v>
      </c>
      <c r="C864" s="14">
        <v>3298.71</v>
      </c>
      <c r="D864" s="11" t="s">
        <v>5</v>
      </c>
    </row>
    <row r="865" spans="1:4" x14ac:dyDescent="0.25">
      <c r="A865" s="4" t="s">
        <v>5516</v>
      </c>
      <c r="B865" s="3" t="s">
        <v>868</v>
      </c>
      <c r="C865" s="14">
        <v>6521.3</v>
      </c>
      <c r="D865" s="11" t="s">
        <v>5</v>
      </c>
    </row>
    <row r="866" spans="1:4" x14ac:dyDescent="0.25">
      <c r="A866" s="4" t="s">
        <v>5517</v>
      </c>
      <c r="B866" s="3" t="s">
        <v>869</v>
      </c>
      <c r="C866" s="14">
        <v>4884.62</v>
      </c>
      <c r="D866" s="11" t="s">
        <v>5</v>
      </c>
    </row>
    <row r="867" spans="1:4" x14ac:dyDescent="0.25">
      <c r="A867" s="4" t="s">
        <v>5518</v>
      </c>
      <c r="B867" s="3" t="s">
        <v>870</v>
      </c>
      <c r="C867" s="14">
        <v>8817.69</v>
      </c>
      <c r="D867" s="11" t="s">
        <v>5</v>
      </c>
    </row>
    <row r="868" spans="1:4" x14ac:dyDescent="0.25">
      <c r="A868" s="4" t="s">
        <v>5519</v>
      </c>
      <c r="B868" s="3" t="s">
        <v>871</v>
      </c>
      <c r="C868" s="14">
        <v>13428.27</v>
      </c>
      <c r="D868" s="11" t="s">
        <v>5</v>
      </c>
    </row>
    <row r="869" spans="1:4" x14ac:dyDescent="0.25">
      <c r="A869" s="4" t="s">
        <v>5520</v>
      </c>
      <c r="B869" s="3" t="s">
        <v>872</v>
      </c>
      <c r="C869" s="14">
        <v>3298.71</v>
      </c>
      <c r="D869" s="11" t="s">
        <v>5</v>
      </c>
    </row>
    <row r="870" spans="1:4" x14ac:dyDescent="0.25">
      <c r="A870" s="4" t="s">
        <v>5521</v>
      </c>
      <c r="B870" s="3" t="s">
        <v>873</v>
      </c>
      <c r="C870" s="14">
        <v>6521.3</v>
      </c>
      <c r="D870" s="11" t="s">
        <v>5</v>
      </c>
    </row>
    <row r="871" spans="1:4" x14ac:dyDescent="0.25">
      <c r="A871" s="4" t="s">
        <v>5522</v>
      </c>
      <c r="B871" s="3" t="s">
        <v>874</v>
      </c>
      <c r="C871" s="14">
        <v>4884.62</v>
      </c>
      <c r="D871" s="11" t="s">
        <v>5</v>
      </c>
    </row>
    <row r="872" spans="1:4" x14ac:dyDescent="0.25">
      <c r="A872" s="4" t="s">
        <v>5523</v>
      </c>
      <c r="B872" s="3" t="s">
        <v>875</v>
      </c>
      <c r="C872" s="14">
        <v>8713.9500000000007</v>
      </c>
      <c r="D872" s="11" t="s">
        <v>5</v>
      </c>
    </row>
    <row r="873" spans="1:4" x14ac:dyDescent="0.25">
      <c r="A873" s="4" t="s">
        <v>5524</v>
      </c>
      <c r="B873" s="3" t="s">
        <v>876</v>
      </c>
      <c r="C873" s="14">
        <v>7776</v>
      </c>
      <c r="D873" s="11" t="s">
        <v>5</v>
      </c>
    </row>
    <row r="874" spans="1:4" x14ac:dyDescent="0.25">
      <c r="A874" s="4" t="s">
        <v>5525</v>
      </c>
      <c r="B874" s="3" t="s">
        <v>877</v>
      </c>
      <c r="C874" s="14">
        <v>15.38</v>
      </c>
      <c r="D874" s="11" t="s">
        <v>107</v>
      </c>
    </row>
    <row r="875" spans="1:4" x14ac:dyDescent="0.25">
      <c r="A875" s="4" t="s">
        <v>5526</v>
      </c>
      <c r="B875" s="3" t="s">
        <v>878</v>
      </c>
      <c r="C875" s="14">
        <v>8449.77</v>
      </c>
      <c r="D875" s="11" t="s">
        <v>5</v>
      </c>
    </row>
    <row r="876" spans="1:4" x14ac:dyDescent="0.25">
      <c r="A876" s="4" t="s">
        <v>5527</v>
      </c>
      <c r="B876" s="3" t="s">
        <v>879</v>
      </c>
      <c r="C876" s="14">
        <v>9253.11</v>
      </c>
      <c r="D876" s="11" t="s">
        <v>5</v>
      </c>
    </row>
    <row r="877" spans="1:4" x14ac:dyDescent="0.25">
      <c r="A877" s="4" t="s">
        <v>5528</v>
      </c>
      <c r="B877" s="3" t="s">
        <v>880</v>
      </c>
      <c r="C877" s="14">
        <v>19881.05</v>
      </c>
      <c r="D877" s="11" t="s">
        <v>5</v>
      </c>
    </row>
    <row r="878" spans="1:4" x14ac:dyDescent="0.25">
      <c r="A878" s="4" t="s">
        <v>5529</v>
      </c>
      <c r="B878" s="3" t="s">
        <v>881</v>
      </c>
      <c r="C878" s="14">
        <v>7.76</v>
      </c>
      <c r="D878" s="11" t="s">
        <v>107</v>
      </c>
    </row>
    <row r="879" spans="1:4" x14ac:dyDescent="0.25">
      <c r="A879" s="4" t="s">
        <v>5530</v>
      </c>
      <c r="B879" s="3" t="s">
        <v>882</v>
      </c>
      <c r="C879" s="14">
        <v>7409.4</v>
      </c>
      <c r="D879" s="11" t="s">
        <v>5</v>
      </c>
    </row>
    <row r="880" spans="1:4" x14ac:dyDescent="0.25">
      <c r="A880" s="4" t="s">
        <v>5531</v>
      </c>
      <c r="B880" s="3" t="s">
        <v>883</v>
      </c>
      <c r="C880" s="14">
        <v>1445.07</v>
      </c>
      <c r="D880" s="11" t="s">
        <v>5</v>
      </c>
    </row>
    <row r="881" spans="1:4" x14ac:dyDescent="0.25">
      <c r="A881" s="4" t="s">
        <v>5532</v>
      </c>
      <c r="B881" s="3" t="s">
        <v>884</v>
      </c>
      <c r="C881" s="14">
        <v>6964.55</v>
      </c>
      <c r="D881" s="11" t="s">
        <v>5</v>
      </c>
    </row>
    <row r="882" spans="1:4" x14ac:dyDescent="0.25">
      <c r="A882" s="4" t="s">
        <v>5533</v>
      </c>
      <c r="B882" s="3" t="s">
        <v>885</v>
      </c>
      <c r="C882" s="14">
        <v>12357.47</v>
      </c>
      <c r="D882" s="11" t="s">
        <v>5</v>
      </c>
    </row>
    <row r="883" spans="1:4" x14ac:dyDescent="0.25">
      <c r="A883" s="4" t="s">
        <v>5534</v>
      </c>
      <c r="B883" s="3" t="s">
        <v>886</v>
      </c>
      <c r="C883" s="14">
        <v>7764.65</v>
      </c>
      <c r="D883" s="11" t="s">
        <v>5</v>
      </c>
    </row>
    <row r="884" spans="1:4" x14ac:dyDescent="0.25">
      <c r="A884" s="4" t="s">
        <v>5535</v>
      </c>
      <c r="B884" s="3" t="s">
        <v>887</v>
      </c>
      <c r="C884" s="14">
        <v>9097.4</v>
      </c>
      <c r="D884" s="11" t="s">
        <v>5</v>
      </c>
    </row>
    <row r="885" spans="1:4" x14ac:dyDescent="0.25">
      <c r="A885" s="4" t="s">
        <v>5536</v>
      </c>
      <c r="B885" s="3" t="s">
        <v>888</v>
      </c>
      <c r="C885" s="14">
        <v>13577.15</v>
      </c>
      <c r="D885" s="11" t="s">
        <v>5</v>
      </c>
    </row>
    <row r="886" spans="1:4" x14ac:dyDescent="0.25">
      <c r="A886" s="4" t="s">
        <v>5537</v>
      </c>
      <c r="B886" s="3" t="s">
        <v>889</v>
      </c>
      <c r="C886" s="14">
        <v>9086.1299999999992</v>
      </c>
      <c r="D886" s="11" t="s">
        <v>5</v>
      </c>
    </row>
    <row r="887" spans="1:4" x14ac:dyDescent="0.25">
      <c r="A887" s="4" t="s">
        <v>5538</v>
      </c>
      <c r="B887" s="3" t="s">
        <v>890</v>
      </c>
      <c r="C887" s="14">
        <v>13577.15</v>
      </c>
      <c r="D887" s="11" t="s">
        <v>5</v>
      </c>
    </row>
    <row r="888" spans="1:4" x14ac:dyDescent="0.25">
      <c r="A888" s="4" t="s">
        <v>5539</v>
      </c>
      <c r="B888" s="3" t="s">
        <v>891</v>
      </c>
      <c r="C888" s="14">
        <v>46981.2</v>
      </c>
      <c r="D888" s="11" t="s">
        <v>5</v>
      </c>
    </row>
    <row r="889" spans="1:4" x14ac:dyDescent="0.25">
      <c r="A889" s="4" t="s">
        <v>5540</v>
      </c>
      <c r="B889" s="3" t="s">
        <v>892</v>
      </c>
      <c r="C889" s="14">
        <v>61241.760000000002</v>
      </c>
      <c r="D889" s="11" t="s">
        <v>5</v>
      </c>
    </row>
    <row r="890" spans="1:4" x14ac:dyDescent="0.25">
      <c r="A890" s="4" t="s">
        <v>5541</v>
      </c>
      <c r="B890" s="3" t="s">
        <v>893</v>
      </c>
      <c r="C890" s="14">
        <v>42439.13</v>
      </c>
      <c r="D890" s="11" t="s">
        <v>5</v>
      </c>
    </row>
    <row r="891" spans="1:4" x14ac:dyDescent="0.25">
      <c r="A891" s="4" t="s">
        <v>5542</v>
      </c>
      <c r="B891" s="3" t="s">
        <v>894</v>
      </c>
      <c r="C891" s="14">
        <v>42439.13</v>
      </c>
      <c r="D891" s="11" t="s">
        <v>5</v>
      </c>
    </row>
    <row r="892" spans="1:4" x14ac:dyDescent="0.25">
      <c r="A892" s="4" t="s">
        <v>5543</v>
      </c>
      <c r="B892" s="3" t="s">
        <v>895</v>
      </c>
      <c r="C892" s="14">
        <v>42439.13</v>
      </c>
      <c r="D892" s="11" t="s">
        <v>5</v>
      </c>
    </row>
    <row r="893" spans="1:4" x14ac:dyDescent="0.25">
      <c r="A893" s="4" t="s">
        <v>5544</v>
      </c>
      <c r="B893" s="3" t="s">
        <v>896</v>
      </c>
      <c r="C893" s="14">
        <v>42439.13</v>
      </c>
      <c r="D893" s="11" t="s">
        <v>5</v>
      </c>
    </row>
    <row r="894" spans="1:4" x14ac:dyDescent="0.25">
      <c r="A894" s="4" t="s">
        <v>5545</v>
      </c>
      <c r="B894" s="3" t="s">
        <v>897</v>
      </c>
      <c r="C894" s="14">
        <v>42439.13</v>
      </c>
      <c r="D894" s="11" t="s">
        <v>5</v>
      </c>
    </row>
    <row r="895" spans="1:4" x14ac:dyDescent="0.25">
      <c r="A895" s="4" t="s">
        <v>5546</v>
      </c>
      <c r="B895" s="3" t="s">
        <v>898</v>
      </c>
      <c r="C895" s="14">
        <v>42439.13</v>
      </c>
      <c r="D895" s="11" t="s">
        <v>5</v>
      </c>
    </row>
    <row r="896" spans="1:4" x14ac:dyDescent="0.25">
      <c r="A896" s="4" t="s">
        <v>5547</v>
      </c>
      <c r="B896" s="3" t="s">
        <v>899</v>
      </c>
      <c r="C896" s="14">
        <v>42439.13</v>
      </c>
      <c r="D896" s="11" t="s">
        <v>5</v>
      </c>
    </row>
    <row r="897" spans="1:4" x14ac:dyDescent="0.25">
      <c r="A897" s="4" t="s">
        <v>5548</v>
      </c>
      <c r="B897" s="3" t="s">
        <v>900</v>
      </c>
      <c r="C897" s="14">
        <v>42439.13</v>
      </c>
      <c r="D897" s="11" t="s">
        <v>5</v>
      </c>
    </row>
    <row r="898" spans="1:4" x14ac:dyDescent="0.25">
      <c r="A898" s="4" t="s">
        <v>5549</v>
      </c>
      <c r="B898" s="3" t="s">
        <v>901</v>
      </c>
      <c r="C898" s="14">
        <v>13987.35</v>
      </c>
      <c r="D898" s="11" t="s">
        <v>5</v>
      </c>
    </row>
    <row r="899" spans="1:4" x14ac:dyDescent="0.25">
      <c r="A899" s="4" t="s">
        <v>5550</v>
      </c>
      <c r="B899" s="3" t="s">
        <v>902</v>
      </c>
      <c r="C899" s="14">
        <v>17520.62</v>
      </c>
      <c r="D899" s="11" t="s">
        <v>5</v>
      </c>
    </row>
    <row r="900" spans="1:4" x14ac:dyDescent="0.25">
      <c r="A900" s="4" t="s">
        <v>5551</v>
      </c>
      <c r="B900" s="3" t="s">
        <v>903</v>
      </c>
      <c r="C900" s="14">
        <v>7764.65</v>
      </c>
      <c r="D900" s="11" t="s">
        <v>5</v>
      </c>
    </row>
    <row r="901" spans="1:4" x14ac:dyDescent="0.25">
      <c r="A901" s="4" t="s">
        <v>5552</v>
      </c>
      <c r="B901" s="3" t="s">
        <v>904</v>
      </c>
      <c r="C901" s="14">
        <v>7764.65</v>
      </c>
      <c r="D901" s="11" t="s">
        <v>5</v>
      </c>
    </row>
    <row r="902" spans="1:4" x14ac:dyDescent="0.25">
      <c r="A902" s="4" t="s">
        <v>5553</v>
      </c>
      <c r="B902" s="3" t="s">
        <v>905</v>
      </c>
      <c r="C902" s="14">
        <v>913.49</v>
      </c>
      <c r="D902" s="11" t="s">
        <v>5</v>
      </c>
    </row>
    <row r="903" spans="1:4" x14ac:dyDescent="0.25">
      <c r="A903" s="4" t="s">
        <v>5554</v>
      </c>
      <c r="B903" s="3" t="s">
        <v>906</v>
      </c>
      <c r="C903" s="14">
        <v>1167.24</v>
      </c>
      <c r="D903" s="11" t="s">
        <v>5</v>
      </c>
    </row>
    <row r="904" spans="1:4" x14ac:dyDescent="0.25">
      <c r="A904" s="4" t="s">
        <v>5555</v>
      </c>
      <c r="B904" s="3" t="s">
        <v>907</v>
      </c>
      <c r="C904" s="14">
        <v>18230.060000000001</v>
      </c>
      <c r="D904" s="11" t="s">
        <v>5</v>
      </c>
    </row>
    <row r="905" spans="1:4" x14ac:dyDescent="0.25">
      <c r="A905" s="4" t="s">
        <v>5556</v>
      </c>
      <c r="B905" s="3" t="s">
        <v>908</v>
      </c>
      <c r="C905" s="14">
        <v>18230.060000000001</v>
      </c>
      <c r="D905" s="11" t="s">
        <v>5</v>
      </c>
    </row>
    <row r="906" spans="1:4" x14ac:dyDescent="0.25">
      <c r="A906" s="4" t="s">
        <v>5557</v>
      </c>
      <c r="B906" s="3" t="s">
        <v>909</v>
      </c>
      <c r="C906" s="14">
        <v>2821.88</v>
      </c>
      <c r="D906" s="11" t="s">
        <v>5</v>
      </c>
    </row>
    <row r="907" spans="1:4" x14ac:dyDescent="0.25">
      <c r="A907" s="4" t="s">
        <v>5558</v>
      </c>
      <c r="B907" s="3" t="s">
        <v>910</v>
      </c>
      <c r="C907" s="14">
        <v>2821.88</v>
      </c>
      <c r="D907" s="11" t="s">
        <v>5</v>
      </c>
    </row>
    <row r="908" spans="1:4" x14ac:dyDescent="0.25">
      <c r="A908" s="4" t="s">
        <v>5559</v>
      </c>
      <c r="B908" s="3" t="s">
        <v>911</v>
      </c>
      <c r="C908" s="14">
        <v>40.5</v>
      </c>
      <c r="D908" s="11" t="s">
        <v>107</v>
      </c>
    </row>
    <row r="909" spans="1:4" x14ac:dyDescent="0.25">
      <c r="A909" s="4" t="s">
        <v>5560</v>
      </c>
      <c r="B909" s="3" t="s">
        <v>912</v>
      </c>
      <c r="C909" s="14">
        <v>40.5</v>
      </c>
      <c r="D909" s="11" t="s">
        <v>107</v>
      </c>
    </row>
    <row r="910" spans="1:4" x14ac:dyDescent="0.25">
      <c r="A910" s="4" t="s">
        <v>5561</v>
      </c>
      <c r="B910" s="3" t="s">
        <v>913</v>
      </c>
      <c r="C910" s="14">
        <v>40.5</v>
      </c>
      <c r="D910" s="11" t="s">
        <v>107</v>
      </c>
    </row>
    <row r="911" spans="1:4" x14ac:dyDescent="0.25">
      <c r="A911" s="4" t="s">
        <v>5562</v>
      </c>
      <c r="B911" s="3" t="s">
        <v>914</v>
      </c>
      <c r="C911" s="14">
        <v>1021.08</v>
      </c>
      <c r="D911" s="11" t="s">
        <v>5</v>
      </c>
    </row>
    <row r="912" spans="1:4" x14ac:dyDescent="0.25">
      <c r="A912" s="4" t="s">
        <v>5563</v>
      </c>
      <c r="B912" s="3" t="s">
        <v>915</v>
      </c>
      <c r="C912" s="14">
        <v>44829.08</v>
      </c>
      <c r="D912" s="11" t="s">
        <v>5</v>
      </c>
    </row>
    <row r="913" spans="1:4" x14ac:dyDescent="0.25">
      <c r="A913" s="4" t="s">
        <v>5564</v>
      </c>
      <c r="B913" s="3" t="s">
        <v>916</v>
      </c>
      <c r="C913" s="14">
        <v>13456.55</v>
      </c>
      <c r="D913" s="11" t="s">
        <v>5</v>
      </c>
    </row>
    <row r="914" spans="1:4" x14ac:dyDescent="0.25">
      <c r="A914" s="4" t="s">
        <v>5565</v>
      </c>
      <c r="B914" s="3" t="s">
        <v>917</v>
      </c>
      <c r="C914" s="14">
        <v>605.05999999999995</v>
      </c>
      <c r="D914" s="11" t="s">
        <v>5</v>
      </c>
    </row>
    <row r="915" spans="1:4" x14ac:dyDescent="0.25">
      <c r="A915" s="4" t="s">
        <v>5566</v>
      </c>
      <c r="B915" s="3" t="s">
        <v>918</v>
      </c>
      <c r="C915" s="14">
        <v>528.14</v>
      </c>
      <c r="D915" s="11" t="s">
        <v>5</v>
      </c>
    </row>
    <row r="916" spans="1:4" x14ac:dyDescent="0.25">
      <c r="A916" s="4" t="s">
        <v>5567</v>
      </c>
      <c r="B916" s="3" t="s">
        <v>919</v>
      </c>
      <c r="C916" s="14">
        <v>605.05999999999995</v>
      </c>
      <c r="D916" s="11" t="s">
        <v>5</v>
      </c>
    </row>
    <row r="917" spans="1:4" x14ac:dyDescent="0.25">
      <c r="A917" s="4" t="s">
        <v>5568</v>
      </c>
      <c r="B917" s="3" t="s">
        <v>920</v>
      </c>
      <c r="C917" s="14">
        <v>13829.99</v>
      </c>
      <c r="D917" s="11" t="s">
        <v>5</v>
      </c>
    </row>
    <row r="918" spans="1:4" x14ac:dyDescent="0.25">
      <c r="A918" s="4" t="s">
        <v>5569</v>
      </c>
      <c r="B918" s="3" t="s">
        <v>921</v>
      </c>
      <c r="C918" s="14">
        <v>1993.08</v>
      </c>
      <c r="D918" s="11" t="s">
        <v>5</v>
      </c>
    </row>
    <row r="919" spans="1:4" x14ac:dyDescent="0.25">
      <c r="A919" s="4" t="s">
        <v>5570</v>
      </c>
      <c r="B919" s="3" t="s">
        <v>922</v>
      </c>
      <c r="C919" s="14">
        <v>2745.93</v>
      </c>
      <c r="D919" s="11" t="s">
        <v>5</v>
      </c>
    </row>
    <row r="920" spans="1:4" x14ac:dyDescent="0.25">
      <c r="A920" s="4" t="s">
        <v>5571</v>
      </c>
      <c r="B920" s="3" t="s">
        <v>923</v>
      </c>
      <c r="C920" s="14">
        <v>2334.4699999999998</v>
      </c>
      <c r="D920" s="11" t="s">
        <v>5</v>
      </c>
    </row>
    <row r="921" spans="1:4" x14ac:dyDescent="0.25">
      <c r="A921" s="4" t="s">
        <v>5572</v>
      </c>
      <c r="B921" s="3" t="s">
        <v>924</v>
      </c>
      <c r="C921" s="14">
        <v>1993.08</v>
      </c>
      <c r="D921" s="11" t="s">
        <v>5</v>
      </c>
    </row>
    <row r="922" spans="1:4" x14ac:dyDescent="0.25">
      <c r="A922" s="4" t="s">
        <v>5573</v>
      </c>
      <c r="B922" s="3" t="s">
        <v>925</v>
      </c>
      <c r="C922" s="14">
        <v>2745.93</v>
      </c>
      <c r="D922" s="11" t="s">
        <v>5</v>
      </c>
    </row>
    <row r="923" spans="1:4" x14ac:dyDescent="0.25">
      <c r="A923" s="4" t="s">
        <v>5574</v>
      </c>
      <c r="B923" s="3" t="s">
        <v>926</v>
      </c>
      <c r="C923" s="14">
        <v>2841.96</v>
      </c>
      <c r="D923" s="11" t="s">
        <v>5</v>
      </c>
    </row>
    <row r="924" spans="1:4" x14ac:dyDescent="0.25">
      <c r="A924" s="4" t="s">
        <v>5575</v>
      </c>
      <c r="B924" s="3" t="s">
        <v>927</v>
      </c>
      <c r="C924" s="14">
        <v>2211.69</v>
      </c>
      <c r="D924" s="11" t="s">
        <v>5</v>
      </c>
    </row>
    <row r="925" spans="1:4" x14ac:dyDescent="0.25">
      <c r="A925" s="4" t="s">
        <v>5576</v>
      </c>
      <c r="B925" s="3" t="s">
        <v>928</v>
      </c>
      <c r="C925" s="14">
        <v>2257.2199999999998</v>
      </c>
      <c r="D925" s="11" t="s">
        <v>5</v>
      </c>
    </row>
    <row r="926" spans="1:4" x14ac:dyDescent="0.25">
      <c r="A926" s="4" t="s">
        <v>5577</v>
      </c>
      <c r="B926" s="3" t="s">
        <v>929</v>
      </c>
      <c r="C926" s="14">
        <v>4185.8</v>
      </c>
      <c r="D926" s="11" t="s">
        <v>5</v>
      </c>
    </row>
    <row r="927" spans="1:4" x14ac:dyDescent="0.25">
      <c r="A927" s="4" t="s">
        <v>5578</v>
      </c>
      <c r="B927" s="3" t="s">
        <v>930</v>
      </c>
      <c r="C927" s="14">
        <v>2975.22</v>
      </c>
      <c r="D927" s="11" t="s">
        <v>5</v>
      </c>
    </row>
    <row r="928" spans="1:4" x14ac:dyDescent="0.25">
      <c r="A928" s="4" t="s">
        <v>5579</v>
      </c>
      <c r="B928" s="3" t="s">
        <v>931</v>
      </c>
      <c r="C928" s="14">
        <v>3690.35</v>
      </c>
      <c r="D928" s="11" t="s">
        <v>5</v>
      </c>
    </row>
    <row r="929" spans="1:4" x14ac:dyDescent="0.25">
      <c r="A929" s="4" t="s">
        <v>5580</v>
      </c>
      <c r="B929" s="3" t="s">
        <v>932</v>
      </c>
      <c r="C929" s="14">
        <v>5085.2700000000004</v>
      </c>
      <c r="D929" s="11" t="s">
        <v>5</v>
      </c>
    </row>
    <row r="930" spans="1:4" x14ac:dyDescent="0.25">
      <c r="A930" s="4" t="s">
        <v>5581</v>
      </c>
      <c r="B930" s="3" t="s">
        <v>933</v>
      </c>
      <c r="C930" s="14">
        <v>6356.57</v>
      </c>
      <c r="D930" s="11" t="s">
        <v>5</v>
      </c>
    </row>
    <row r="931" spans="1:4" x14ac:dyDescent="0.25">
      <c r="A931" s="4" t="s">
        <v>5582</v>
      </c>
      <c r="B931" s="3" t="s">
        <v>934</v>
      </c>
      <c r="C931" s="14">
        <v>8740.2900000000009</v>
      </c>
      <c r="D931" s="11" t="s">
        <v>5</v>
      </c>
    </row>
    <row r="932" spans="1:4" x14ac:dyDescent="0.25">
      <c r="A932" s="4" t="s">
        <v>5583</v>
      </c>
      <c r="B932" s="3" t="s">
        <v>935</v>
      </c>
      <c r="C932" s="14">
        <v>5770.43</v>
      </c>
      <c r="D932" s="11" t="s">
        <v>5</v>
      </c>
    </row>
    <row r="933" spans="1:4" x14ac:dyDescent="0.25">
      <c r="A933" s="4" t="s">
        <v>5584</v>
      </c>
      <c r="B933" s="3" t="s">
        <v>936</v>
      </c>
      <c r="C933" s="14">
        <v>7936.61</v>
      </c>
      <c r="D933" s="11" t="s">
        <v>5</v>
      </c>
    </row>
    <row r="934" spans="1:4" x14ac:dyDescent="0.25">
      <c r="A934" s="4" t="s">
        <v>5585</v>
      </c>
      <c r="B934" s="3" t="s">
        <v>937</v>
      </c>
      <c r="C934" s="14">
        <v>9720.51</v>
      </c>
      <c r="D934" s="11" t="s">
        <v>5</v>
      </c>
    </row>
    <row r="935" spans="1:4" x14ac:dyDescent="0.25">
      <c r="A935" s="4" t="s">
        <v>5586</v>
      </c>
      <c r="B935" s="3" t="s">
        <v>938</v>
      </c>
      <c r="C935" s="14">
        <v>4978.58</v>
      </c>
      <c r="D935" s="11" t="s">
        <v>5</v>
      </c>
    </row>
    <row r="936" spans="1:4" x14ac:dyDescent="0.25">
      <c r="A936" s="4" t="s">
        <v>5587</v>
      </c>
      <c r="B936" s="3" t="s">
        <v>939</v>
      </c>
      <c r="C936" s="14">
        <v>4978.58</v>
      </c>
      <c r="D936" s="11" t="s">
        <v>5</v>
      </c>
    </row>
    <row r="937" spans="1:4" x14ac:dyDescent="0.25">
      <c r="A937" s="4" t="s">
        <v>5588</v>
      </c>
      <c r="B937" s="3" t="s">
        <v>940</v>
      </c>
      <c r="C937" s="14">
        <v>4022.93</v>
      </c>
      <c r="D937" s="11" t="s">
        <v>5</v>
      </c>
    </row>
    <row r="938" spans="1:4" x14ac:dyDescent="0.25">
      <c r="A938" s="4" t="s">
        <v>5589</v>
      </c>
      <c r="B938" s="3" t="s">
        <v>941</v>
      </c>
      <c r="C938" s="14">
        <v>4022.93</v>
      </c>
      <c r="D938" s="11" t="s">
        <v>5</v>
      </c>
    </row>
    <row r="939" spans="1:4" x14ac:dyDescent="0.25">
      <c r="A939" s="4" t="s">
        <v>5590</v>
      </c>
      <c r="B939" s="3" t="s">
        <v>942</v>
      </c>
      <c r="C939" s="14">
        <v>2284.52</v>
      </c>
      <c r="D939" s="11" t="s">
        <v>5</v>
      </c>
    </row>
    <row r="940" spans="1:4" x14ac:dyDescent="0.25">
      <c r="A940" s="4" t="s">
        <v>5591</v>
      </c>
      <c r="B940" s="3" t="s">
        <v>943</v>
      </c>
      <c r="C940" s="14">
        <v>2976.23</v>
      </c>
      <c r="D940" s="11" t="s">
        <v>5</v>
      </c>
    </row>
    <row r="941" spans="1:4" x14ac:dyDescent="0.25">
      <c r="A941" s="4" t="s">
        <v>5592</v>
      </c>
      <c r="B941" s="3" t="s">
        <v>944</v>
      </c>
      <c r="C941" s="14">
        <v>1681.58</v>
      </c>
      <c r="D941" s="11" t="s">
        <v>5</v>
      </c>
    </row>
    <row r="942" spans="1:4" x14ac:dyDescent="0.25">
      <c r="A942" s="4" t="s">
        <v>5593</v>
      </c>
      <c r="B942" s="3" t="s">
        <v>945</v>
      </c>
      <c r="C942" s="14">
        <v>2739.72</v>
      </c>
      <c r="D942" s="11" t="s">
        <v>5</v>
      </c>
    </row>
    <row r="943" spans="1:4" x14ac:dyDescent="0.25">
      <c r="A943" s="4" t="s">
        <v>5594</v>
      </c>
      <c r="B943" s="3" t="s">
        <v>946</v>
      </c>
      <c r="C943" s="14">
        <v>4687.34</v>
      </c>
      <c r="D943" s="11" t="s">
        <v>5</v>
      </c>
    </row>
    <row r="944" spans="1:4" x14ac:dyDescent="0.25">
      <c r="A944" s="4" t="s">
        <v>5595</v>
      </c>
      <c r="B944" s="3" t="s">
        <v>947</v>
      </c>
      <c r="C944" s="14">
        <v>6343.83</v>
      </c>
      <c r="D944" s="11" t="s">
        <v>5</v>
      </c>
    </row>
    <row r="945" spans="1:4" x14ac:dyDescent="0.25">
      <c r="A945" s="4" t="s">
        <v>5596</v>
      </c>
      <c r="B945" s="3" t="s">
        <v>948</v>
      </c>
      <c r="C945" s="14">
        <v>1236</v>
      </c>
      <c r="D945" s="11" t="s">
        <v>5</v>
      </c>
    </row>
    <row r="946" spans="1:4" x14ac:dyDescent="0.25">
      <c r="A946" s="4" t="s">
        <v>5597</v>
      </c>
      <c r="B946" s="3" t="s">
        <v>949</v>
      </c>
      <c r="C946" s="14">
        <v>1333.13</v>
      </c>
      <c r="D946" s="11" t="s">
        <v>5</v>
      </c>
    </row>
    <row r="947" spans="1:4" x14ac:dyDescent="0.25">
      <c r="A947" s="4" t="s">
        <v>5598</v>
      </c>
      <c r="B947" s="3" t="s">
        <v>950</v>
      </c>
      <c r="C947" s="14">
        <v>1518.51</v>
      </c>
      <c r="D947" s="11" t="s">
        <v>5</v>
      </c>
    </row>
    <row r="948" spans="1:4" x14ac:dyDescent="0.25">
      <c r="A948" s="4" t="s">
        <v>5599</v>
      </c>
      <c r="B948" s="3" t="s">
        <v>951</v>
      </c>
      <c r="C948" s="14">
        <v>1756.89</v>
      </c>
      <c r="D948" s="11" t="s">
        <v>5</v>
      </c>
    </row>
    <row r="949" spans="1:4" x14ac:dyDescent="0.25">
      <c r="A949" s="4" t="s">
        <v>5600</v>
      </c>
      <c r="B949" s="3" t="s">
        <v>952</v>
      </c>
      <c r="C949" s="14">
        <v>3098.84</v>
      </c>
      <c r="D949" s="11" t="s">
        <v>5</v>
      </c>
    </row>
    <row r="950" spans="1:4" x14ac:dyDescent="0.25">
      <c r="A950" s="4" t="s">
        <v>5601</v>
      </c>
      <c r="B950" s="3" t="s">
        <v>953</v>
      </c>
      <c r="C950" s="14">
        <v>3319.55</v>
      </c>
      <c r="D950" s="11" t="s">
        <v>5</v>
      </c>
    </row>
    <row r="951" spans="1:4" x14ac:dyDescent="0.25">
      <c r="A951" s="4" t="s">
        <v>5602</v>
      </c>
      <c r="B951" s="3" t="s">
        <v>954</v>
      </c>
      <c r="C951" s="14">
        <v>3972.86</v>
      </c>
      <c r="D951" s="11" t="s">
        <v>5</v>
      </c>
    </row>
    <row r="952" spans="1:4" x14ac:dyDescent="0.25">
      <c r="A952" s="4" t="s">
        <v>5603</v>
      </c>
      <c r="B952" s="3" t="s">
        <v>955</v>
      </c>
      <c r="C952" s="14">
        <v>4679.1499999999996</v>
      </c>
      <c r="D952" s="11" t="s">
        <v>5</v>
      </c>
    </row>
    <row r="953" spans="1:4" x14ac:dyDescent="0.25">
      <c r="A953" s="4" t="s">
        <v>5604</v>
      </c>
      <c r="B953" s="3" t="s">
        <v>956</v>
      </c>
      <c r="C953" s="14">
        <v>1721.58</v>
      </c>
      <c r="D953" s="11" t="s">
        <v>5</v>
      </c>
    </row>
    <row r="954" spans="1:4" x14ac:dyDescent="0.25">
      <c r="A954" s="4" t="s">
        <v>5605</v>
      </c>
      <c r="B954" s="3" t="s">
        <v>957</v>
      </c>
      <c r="C954" s="14">
        <v>2065.89</v>
      </c>
      <c r="D954" s="11" t="s">
        <v>5</v>
      </c>
    </row>
    <row r="955" spans="1:4" x14ac:dyDescent="0.25">
      <c r="A955" s="4" t="s">
        <v>5606</v>
      </c>
      <c r="B955" s="3" t="s">
        <v>958</v>
      </c>
      <c r="C955" s="14">
        <v>3354.86</v>
      </c>
      <c r="D955" s="11" t="s">
        <v>5</v>
      </c>
    </row>
    <row r="956" spans="1:4" x14ac:dyDescent="0.25">
      <c r="A956" s="4" t="s">
        <v>5607</v>
      </c>
      <c r="B956" s="3" t="s">
        <v>959</v>
      </c>
      <c r="C956" s="14">
        <v>4211.22</v>
      </c>
      <c r="D956" s="11" t="s">
        <v>5</v>
      </c>
    </row>
    <row r="957" spans="1:4" x14ac:dyDescent="0.25">
      <c r="A957" s="4" t="s">
        <v>5608</v>
      </c>
      <c r="B957" s="3" t="s">
        <v>960</v>
      </c>
      <c r="C957" s="14">
        <v>10744.37</v>
      </c>
      <c r="D957" s="11" t="s">
        <v>5</v>
      </c>
    </row>
    <row r="958" spans="1:4" x14ac:dyDescent="0.25">
      <c r="A958" s="4" t="s">
        <v>5609</v>
      </c>
      <c r="B958" s="3" t="s">
        <v>961</v>
      </c>
      <c r="C958" s="14">
        <v>8141.13</v>
      </c>
      <c r="D958" s="11" t="s">
        <v>5</v>
      </c>
    </row>
    <row r="959" spans="1:4" x14ac:dyDescent="0.25">
      <c r="A959" s="4" t="s">
        <v>5610</v>
      </c>
      <c r="B959" s="3" t="s">
        <v>962</v>
      </c>
      <c r="C959" s="14">
        <v>2730.5</v>
      </c>
      <c r="D959" s="11" t="s">
        <v>5</v>
      </c>
    </row>
    <row r="960" spans="1:4" x14ac:dyDescent="0.25">
      <c r="A960" s="4" t="s">
        <v>5611</v>
      </c>
      <c r="B960" s="3" t="s">
        <v>963</v>
      </c>
      <c r="C960" s="14">
        <v>2930.72</v>
      </c>
      <c r="D960" s="11" t="s">
        <v>5</v>
      </c>
    </row>
    <row r="961" spans="1:4" x14ac:dyDescent="0.25">
      <c r="A961" s="4" t="s">
        <v>5612</v>
      </c>
      <c r="B961" s="3" t="s">
        <v>964</v>
      </c>
      <c r="C961" s="14">
        <v>3003.53</v>
      </c>
      <c r="D961" s="11" t="s">
        <v>5</v>
      </c>
    </row>
    <row r="962" spans="1:4" x14ac:dyDescent="0.25">
      <c r="A962" s="4" t="s">
        <v>5613</v>
      </c>
      <c r="B962" s="3" t="s">
        <v>965</v>
      </c>
      <c r="C962" s="14">
        <v>3094.55</v>
      </c>
      <c r="D962" s="11" t="s">
        <v>5</v>
      </c>
    </row>
    <row r="963" spans="1:4" x14ac:dyDescent="0.25">
      <c r="A963" s="4" t="s">
        <v>5614</v>
      </c>
      <c r="B963" s="3" t="s">
        <v>966</v>
      </c>
      <c r="C963" s="14">
        <v>4969.49</v>
      </c>
      <c r="D963" s="11" t="s">
        <v>5</v>
      </c>
    </row>
    <row r="964" spans="1:4" x14ac:dyDescent="0.25">
      <c r="A964" s="4" t="s">
        <v>5615</v>
      </c>
      <c r="B964" s="3" t="s">
        <v>967</v>
      </c>
      <c r="C964" s="14">
        <v>5433.66</v>
      </c>
      <c r="D964" s="11" t="s">
        <v>5</v>
      </c>
    </row>
    <row r="965" spans="1:4" x14ac:dyDescent="0.25">
      <c r="A965" s="4" t="s">
        <v>5616</v>
      </c>
      <c r="B965" s="3" t="s">
        <v>968</v>
      </c>
      <c r="C965" s="14">
        <v>3386.66</v>
      </c>
      <c r="D965" s="11" t="s">
        <v>5</v>
      </c>
    </row>
    <row r="966" spans="1:4" x14ac:dyDescent="0.25">
      <c r="A966" s="4" t="s">
        <v>5617</v>
      </c>
      <c r="B966" s="3" t="s">
        <v>969</v>
      </c>
      <c r="C966" s="14">
        <v>7699.11</v>
      </c>
      <c r="D966" s="11" t="s">
        <v>5</v>
      </c>
    </row>
    <row r="967" spans="1:4" x14ac:dyDescent="0.25">
      <c r="A967" s="4" t="s">
        <v>5618</v>
      </c>
      <c r="B967" s="3" t="s">
        <v>970</v>
      </c>
      <c r="C967" s="14">
        <v>6780.72</v>
      </c>
      <c r="D967" s="11" t="s">
        <v>5</v>
      </c>
    </row>
    <row r="968" spans="1:4" x14ac:dyDescent="0.25">
      <c r="A968" s="4" t="s">
        <v>5619</v>
      </c>
      <c r="B968" s="3" t="s">
        <v>971</v>
      </c>
      <c r="C968" s="14">
        <v>6675.29</v>
      </c>
      <c r="D968" s="11" t="s">
        <v>5</v>
      </c>
    </row>
    <row r="969" spans="1:4" x14ac:dyDescent="0.25">
      <c r="A969" s="4" t="s">
        <v>5620</v>
      </c>
      <c r="B969" s="3" t="s">
        <v>972</v>
      </c>
      <c r="C969" s="14">
        <v>10212.02</v>
      </c>
      <c r="D969" s="11" t="s">
        <v>5</v>
      </c>
    </row>
    <row r="970" spans="1:4" x14ac:dyDescent="0.25">
      <c r="A970" s="4" t="s">
        <v>5621</v>
      </c>
      <c r="B970" s="3" t="s">
        <v>973</v>
      </c>
      <c r="C970" s="14">
        <v>3710.55</v>
      </c>
      <c r="D970" s="11" t="s">
        <v>5</v>
      </c>
    </row>
    <row r="971" spans="1:4" x14ac:dyDescent="0.25">
      <c r="A971" s="4" t="s">
        <v>5622</v>
      </c>
      <c r="B971" s="3" t="s">
        <v>974</v>
      </c>
      <c r="C971" s="14">
        <v>3960.3</v>
      </c>
      <c r="D971" s="11" t="s">
        <v>5</v>
      </c>
    </row>
    <row r="972" spans="1:4" x14ac:dyDescent="0.25">
      <c r="A972" s="4" t="s">
        <v>5623</v>
      </c>
      <c r="B972" s="3" t="s">
        <v>975</v>
      </c>
      <c r="C972" s="14">
        <v>4923.62</v>
      </c>
      <c r="D972" s="11" t="s">
        <v>5</v>
      </c>
    </row>
    <row r="973" spans="1:4" x14ac:dyDescent="0.25">
      <c r="A973" s="4" t="s">
        <v>5624</v>
      </c>
      <c r="B973" s="3" t="s">
        <v>976</v>
      </c>
      <c r="C973" s="14">
        <v>5423.12</v>
      </c>
      <c r="D973" s="11" t="s">
        <v>5</v>
      </c>
    </row>
    <row r="974" spans="1:4" x14ac:dyDescent="0.25">
      <c r="A974" s="4" t="s">
        <v>5625</v>
      </c>
      <c r="B974" s="3" t="s">
        <v>977</v>
      </c>
      <c r="C974" s="14">
        <v>26017.79</v>
      </c>
      <c r="D974" s="11" t="s">
        <v>5</v>
      </c>
    </row>
    <row r="975" spans="1:4" x14ac:dyDescent="0.25">
      <c r="A975" s="4" t="s">
        <v>5626</v>
      </c>
      <c r="B975" s="3" t="s">
        <v>978</v>
      </c>
      <c r="C975" s="14">
        <v>39145.86</v>
      </c>
      <c r="D975" s="11" t="s">
        <v>5</v>
      </c>
    </row>
    <row r="976" spans="1:4" x14ac:dyDescent="0.25">
      <c r="A976" s="4" t="s">
        <v>5627</v>
      </c>
      <c r="B976" s="3" t="s">
        <v>979</v>
      </c>
      <c r="C976" s="14">
        <v>42606.66</v>
      </c>
      <c r="D976" s="11" t="s">
        <v>5</v>
      </c>
    </row>
    <row r="977" spans="1:4" x14ac:dyDescent="0.25">
      <c r="A977" s="4" t="s">
        <v>5628</v>
      </c>
      <c r="B977" s="3" t="s">
        <v>980</v>
      </c>
      <c r="C977" s="14">
        <v>25581.93</v>
      </c>
      <c r="D977" s="11" t="s">
        <v>5</v>
      </c>
    </row>
    <row r="978" spans="1:4" x14ac:dyDescent="0.25">
      <c r="A978" s="4" t="s">
        <v>5629</v>
      </c>
      <c r="B978" s="3" t="s">
        <v>981</v>
      </c>
      <c r="C978" s="14">
        <v>7972.2</v>
      </c>
      <c r="D978" s="11" t="s">
        <v>5</v>
      </c>
    </row>
    <row r="979" spans="1:4" x14ac:dyDescent="0.25">
      <c r="A979" s="4" t="s">
        <v>5630</v>
      </c>
      <c r="B979" s="3" t="s">
        <v>982</v>
      </c>
      <c r="C979" s="14">
        <v>9155.24</v>
      </c>
      <c r="D979" s="11" t="s">
        <v>5</v>
      </c>
    </row>
    <row r="980" spans="1:4" x14ac:dyDescent="0.25">
      <c r="A980" s="4" t="s">
        <v>5631</v>
      </c>
      <c r="B980" s="3" t="s">
        <v>983</v>
      </c>
      <c r="C980" s="14">
        <v>13693.11</v>
      </c>
      <c r="D980" s="11" t="s">
        <v>5</v>
      </c>
    </row>
    <row r="981" spans="1:4" x14ac:dyDescent="0.25">
      <c r="A981" s="4" t="s">
        <v>5632</v>
      </c>
      <c r="B981" s="3" t="s">
        <v>984</v>
      </c>
      <c r="C981" s="14">
        <v>15979.71</v>
      </c>
      <c r="D981" s="11" t="s">
        <v>5</v>
      </c>
    </row>
    <row r="982" spans="1:4" x14ac:dyDescent="0.25">
      <c r="A982" s="4" t="s">
        <v>5633</v>
      </c>
      <c r="B982" s="3" t="s">
        <v>985</v>
      </c>
      <c r="C982" s="14">
        <v>1288.3399999999999</v>
      </c>
      <c r="D982" s="11" t="s">
        <v>5</v>
      </c>
    </row>
    <row r="983" spans="1:4" x14ac:dyDescent="0.25">
      <c r="A983" s="4" t="s">
        <v>5634</v>
      </c>
      <c r="B983" s="3" t="s">
        <v>986</v>
      </c>
      <c r="C983" s="14">
        <v>4768.79</v>
      </c>
      <c r="D983" s="11" t="s">
        <v>5</v>
      </c>
    </row>
    <row r="984" spans="1:4" x14ac:dyDescent="0.25">
      <c r="A984" s="4" t="s">
        <v>5635</v>
      </c>
      <c r="B984" s="3" t="s">
        <v>987</v>
      </c>
      <c r="C984" s="14">
        <v>8887.74</v>
      </c>
      <c r="D984" s="11" t="s">
        <v>5</v>
      </c>
    </row>
    <row r="985" spans="1:4" x14ac:dyDescent="0.25">
      <c r="A985" s="4" t="s">
        <v>5636</v>
      </c>
      <c r="B985" s="3" t="s">
        <v>988</v>
      </c>
      <c r="C985" s="14">
        <v>11076.21</v>
      </c>
      <c r="D985" s="11" t="s">
        <v>5</v>
      </c>
    </row>
    <row r="986" spans="1:4" x14ac:dyDescent="0.25">
      <c r="A986" s="4" t="s">
        <v>5637</v>
      </c>
      <c r="B986" s="3" t="s">
        <v>989</v>
      </c>
      <c r="C986" s="14">
        <v>13799.87</v>
      </c>
      <c r="D986" s="11" t="s">
        <v>5</v>
      </c>
    </row>
    <row r="987" spans="1:4" x14ac:dyDescent="0.25">
      <c r="A987" s="4" t="s">
        <v>5638</v>
      </c>
      <c r="B987" s="3" t="s">
        <v>990</v>
      </c>
      <c r="C987" s="14">
        <v>15730.32</v>
      </c>
      <c r="D987" s="11" t="s">
        <v>5</v>
      </c>
    </row>
    <row r="988" spans="1:4" x14ac:dyDescent="0.25">
      <c r="A988" s="4" t="s">
        <v>5639</v>
      </c>
      <c r="B988" s="3" t="s">
        <v>991</v>
      </c>
      <c r="C988" s="14">
        <v>3681.5</v>
      </c>
      <c r="D988" s="11" t="s">
        <v>5</v>
      </c>
    </row>
    <row r="989" spans="1:4" x14ac:dyDescent="0.25">
      <c r="A989" s="4" t="s">
        <v>5640</v>
      </c>
      <c r="B989" s="3" t="s">
        <v>992</v>
      </c>
      <c r="C989" s="14">
        <v>4484.91</v>
      </c>
      <c r="D989" s="11" t="s">
        <v>5</v>
      </c>
    </row>
    <row r="990" spans="1:4" x14ac:dyDescent="0.25">
      <c r="A990" s="4" t="s">
        <v>5641</v>
      </c>
      <c r="B990" s="3" t="s">
        <v>993</v>
      </c>
      <c r="C990" s="14">
        <v>6082.88</v>
      </c>
      <c r="D990" s="11" t="s">
        <v>5</v>
      </c>
    </row>
    <row r="991" spans="1:4" x14ac:dyDescent="0.25">
      <c r="A991" s="4" t="s">
        <v>5642</v>
      </c>
      <c r="B991" s="3" t="s">
        <v>994</v>
      </c>
      <c r="C991" s="14">
        <v>7318.88</v>
      </c>
      <c r="D991" s="11" t="s">
        <v>5</v>
      </c>
    </row>
    <row r="992" spans="1:4" x14ac:dyDescent="0.25">
      <c r="A992" s="4" t="s">
        <v>5643</v>
      </c>
      <c r="B992" s="3" t="s">
        <v>995</v>
      </c>
      <c r="C992" s="14">
        <v>270.87</v>
      </c>
      <c r="D992" s="11" t="s">
        <v>5</v>
      </c>
    </row>
    <row r="993" spans="1:4" x14ac:dyDescent="0.25">
      <c r="A993" s="4" t="s">
        <v>5644</v>
      </c>
      <c r="B993" s="3" t="s">
        <v>996</v>
      </c>
      <c r="C993" s="14">
        <v>25.28</v>
      </c>
      <c r="D993" s="11" t="s">
        <v>5</v>
      </c>
    </row>
    <row r="994" spans="1:4" x14ac:dyDescent="0.25">
      <c r="A994" s="4" t="s">
        <v>5645</v>
      </c>
      <c r="B994" s="3" t="s">
        <v>997</v>
      </c>
      <c r="C994" s="14">
        <v>100.89</v>
      </c>
      <c r="D994" s="11" t="s">
        <v>5</v>
      </c>
    </row>
    <row r="995" spans="1:4" x14ac:dyDescent="0.25">
      <c r="A995" s="4" t="s">
        <v>5646</v>
      </c>
      <c r="B995" s="3" t="s">
        <v>998</v>
      </c>
      <c r="C995" s="14">
        <v>24.23</v>
      </c>
      <c r="D995" s="11" t="s">
        <v>5</v>
      </c>
    </row>
    <row r="996" spans="1:4" x14ac:dyDescent="0.25">
      <c r="A996" s="4" t="s">
        <v>5647</v>
      </c>
      <c r="B996" s="3" t="s">
        <v>999</v>
      </c>
      <c r="C996" s="14">
        <v>35.78</v>
      </c>
      <c r="D996" s="11" t="s">
        <v>5</v>
      </c>
    </row>
    <row r="997" spans="1:4" x14ac:dyDescent="0.25">
      <c r="A997" s="4" t="s">
        <v>5648</v>
      </c>
      <c r="B997" s="3" t="s">
        <v>1000</v>
      </c>
      <c r="C997" s="14">
        <v>43.05</v>
      </c>
      <c r="D997" s="11" t="s">
        <v>5</v>
      </c>
    </row>
    <row r="998" spans="1:4" x14ac:dyDescent="0.25">
      <c r="A998" s="4" t="s">
        <v>5649</v>
      </c>
      <c r="B998" s="3" t="s">
        <v>1001</v>
      </c>
      <c r="C998" s="14">
        <v>18.059999999999999</v>
      </c>
      <c r="D998" s="11" t="s">
        <v>5</v>
      </c>
    </row>
    <row r="999" spans="1:4" x14ac:dyDescent="0.25">
      <c r="A999" s="4" t="s">
        <v>5650</v>
      </c>
      <c r="B999" s="3" t="s">
        <v>1002</v>
      </c>
      <c r="C999" s="14">
        <v>0</v>
      </c>
      <c r="D999" s="11" t="s">
        <v>5</v>
      </c>
    </row>
    <row r="1000" spans="1:4" x14ac:dyDescent="0.25">
      <c r="A1000" s="4" t="s">
        <v>5651</v>
      </c>
      <c r="B1000" s="3" t="s">
        <v>1003</v>
      </c>
      <c r="C1000" s="14">
        <v>820.25</v>
      </c>
      <c r="D1000" s="11" t="s">
        <v>5</v>
      </c>
    </row>
    <row r="1001" spans="1:4" x14ac:dyDescent="0.25">
      <c r="A1001" s="4" t="s">
        <v>5652</v>
      </c>
      <c r="B1001" s="3" t="s">
        <v>1004</v>
      </c>
      <c r="C1001" s="14">
        <v>7427.85</v>
      </c>
      <c r="D1001" s="11" t="s">
        <v>5</v>
      </c>
    </row>
    <row r="1002" spans="1:4" x14ac:dyDescent="0.25">
      <c r="A1002" s="4" t="s">
        <v>5653</v>
      </c>
      <c r="B1002" s="3" t="s">
        <v>1005</v>
      </c>
      <c r="C1002" s="14">
        <v>5896.34</v>
      </c>
      <c r="D1002" s="11" t="s">
        <v>5</v>
      </c>
    </row>
    <row r="1003" spans="1:4" x14ac:dyDescent="0.25">
      <c r="A1003" s="4" t="s">
        <v>5654</v>
      </c>
      <c r="B1003" s="3" t="s">
        <v>1006</v>
      </c>
      <c r="C1003" s="14">
        <v>9263.0300000000007</v>
      </c>
      <c r="D1003" s="11" t="s">
        <v>5</v>
      </c>
    </row>
    <row r="1004" spans="1:4" x14ac:dyDescent="0.25">
      <c r="A1004" s="4" t="s">
        <v>5655</v>
      </c>
      <c r="B1004" s="3" t="s">
        <v>1007</v>
      </c>
      <c r="C1004" s="14">
        <v>372.18</v>
      </c>
      <c r="D1004" s="11" t="s">
        <v>5</v>
      </c>
    </row>
    <row r="1005" spans="1:4" x14ac:dyDescent="0.25">
      <c r="A1005" s="4" t="s">
        <v>5656</v>
      </c>
      <c r="B1005" s="3" t="s">
        <v>1008</v>
      </c>
      <c r="C1005" s="14">
        <v>748.8</v>
      </c>
      <c r="D1005" s="11" t="s">
        <v>5</v>
      </c>
    </row>
    <row r="1006" spans="1:4" x14ac:dyDescent="0.25">
      <c r="A1006" s="4" t="s">
        <v>5657</v>
      </c>
      <c r="B1006" s="3" t="s">
        <v>1009</v>
      </c>
      <c r="C1006" s="14">
        <v>532.26</v>
      </c>
      <c r="D1006" s="11" t="s">
        <v>5</v>
      </c>
    </row>
    <row r="1007" spans="1:4" x14ac:dyDescent="0.25">
      <c r="A1007" s="4" t="s">
        <v>5658</v>
      </c>
      <c r="B1007" s="3" t="s">
        <v>1010</v>
      </c>
      <c r="C1007" s="14">
        <v>4159.28</v>
      </c>
      <c r="D1007" s="11" t="s">
        <v>5</v>
      </c>
    </row>
    <row r="1008" spans="1:4" x14ac:dyDescent="0.25">
      <c r="A1008" s="4" t="s">
        <v>5659</v>
      </c>
      <c r="B1008" s="3" t="s">
        <v>1011</v>
      </c>
      <c r="C1008" s="14">
        <v>4948.41</v>
      </c>
      <c r="D1008" s="11" t="s">
        <v>5</v>
      </c>
    </row>
    <row r="1009" spans="1:4" x14ac:dyDescent="0.25">
      <c r="A1009" s="4" t="s">
        <v>5660</v>
      </c>
      <c r="B1009" s="3" t="s">
        <v>1012</v>
      </c>
      <c r="C1009" s="14">
        <v>5258.57</v>
      </c>
      <c r="D1009" s="11" t="s">
        <v>5</v>
      </c>
    </row>
    <row r="1010" spans="1:4" x14ac:dyDescent="0.25">
      <c r="A1010" s="4" t="s">
        <v>5661</v>
      </c>
      <c r="B1010" s="3" t="s">
        <v>1013</v>
      </c>
      <c r="C1010" s="14">
        <v>897</v>
      </c>
      <c r="D1010" s="11" t="s">
        <v>5</v>
      </c>
    </row>
    <row r="1011" spans="1:4" x14ac:dyDescent="0.25">
      <c r="A1011" s="4" t="s">
        <v>5662</v>
      </c>
      <c r="B1011" s="3" t="s">
        <v>1014</v>
      </c>
      <c r="C1011" s="14">
        <v>532.26</v>
      </c>
      <c r="D1011" s="11" t="s">
        <v>5</v>
      </c>
    </row>
    <row r="1012" spans="1:4" x14ac:dyDescent="0.25">
      <c r="A1012" s="4" t="s">
        <v>5663</v>
      </c>
      <c r="B1012" s="3" t="s">
        <v>1015</v>
      </c>
      <c r="C1012" s="14">
        <v>6403.19</v>
      </c>
      <c r="D1012" s="11" t="s">
        <v>5</v>
      </c>
    </row>
    <row r="1013" spans="1:4" x14ac:dyDescent="0.25">
      <c r="A1013" s="4" t="s">
        <v>5664</v>
      </c>
      <c r="B1013" s="3" t="s">
        <v>1016</v>
      </c>
      <c r="C1013" s="14">
        <v>6401.96</v>
      </c>
      <c r="D1013" s="11" t="s">
        <v>5</v>
      </c>
    </row>
    <row r="1014" spans="1:4" x14ac:dyDescent="0.25">
      <c r="A1014" s="4" t="s">
        <v>5665</v>
      </c>
      <c r="B1014" s="3" t="s">
        <v>1017</v>
      </c>
      <c r="C1014" s="14">
        <v>1431.92</v>
      </c>
      <c r="D1014" s="11" t="s">
        <v>5</v>
      </c>
    </row>
    <row r="1015" spans="1:4" x14ac:dyDescent="0.25">
      <c r="A1015" s="4" t="s">
        <v>5666</v>
      </c>
      <c r="B1015" s="3" t="s">
        <v>1018</v>
      </c>
      <c r="C1015" s="14">
        <v>21302.84</v>
      </c>
      <c r="D1015" s="11" t="s">
        <v>5</v>
      </c>
    </row>
    <row r="1016" spans="1:4" x14ac:dyDescent="0.25">
      <c r="A1016" s="4" t="s">
        <v>5667</v>
      </c>
      <c r="B1016" s="3" t="s">
        <v>1019</v>
      </c>
      <c r="C1016" s="14">
        <v>21302.84</v>
      </c>
      <c r="D1016" s="11" t="s">
        <v>5</v>
      </c>
    </row>
    <row r="1017" spans="1:4" x14ac:dyDescent="0.25">
      <c r="A1017" s="4" t="s">
        <v>5668</v>
      </c>
      <c r="B1017" s="3" t="s">
        <v>1020</v>
      </c>
      <c r="C1017" s="14">
        <v>21302.84</v>
      </c>
      <c r="D1017" s="11" t="s">
        <v>5</v>
      </c>
    </row>
    <row r="1018" spans="1:4" x14ac:dyDescent="0.25">
      <c r="A1018" s="4" t="s">
        <v>5669</v>
      </c>
      <c r="B1018" s="3" t="s">
        <v>1021</v>
      </c>
      <c r="C1018" s="14">
        <v>7014.96</v>
      </c>
      <c r="D1018" s="11" t="s">
        <v>5</v>
      </c>
    </row>
    <row r="1019" spans="1:4" x14ac:dyDescent="0.25">
      <c r="A1019" s="4" t="s">
        <v>5670</v>
      </c>
      <c r="B1019" s="3" t="s">
        <v>1022</v>
      </c>
      <c r="C1019" s="14">
        <v>2428.0100000000002</v>
      </c>
      <c r="D1019" s="11" t="s">
        <v>5</v>
      </c>
    </row>
    <row r="1020" spans="1:4" x14ac:dyDescent="0.25">
      <c r="A1020" s="4" t="s">
        <v>5671</v>
      </c>
      <c r="B1020" s="3" t="s">
        <v>1023</v>
      </c>
      <c r="C1020" s="14">
        <v>2325.5</v>
      </c>
      <c r="D1020" s="11" t="s">
        <v>5</v>
      </c>
    </row>
    <row r="1021" spans="1:4" x14ac:dyDescent="0.25">
      <c r="A1021" s="4" t="s">
        <v>5672</v>
      </c>
      <c r="B1021" s="3" t="s">
        <v>1024</v>
      </c>
      <c r="C1021" s="14">
        <v>2324.84</v>
      </c>
      <c r="D1021" s="11" t="s">
        <v>5</v>
      </c>
    </row>
    <row r="1022" spans="1:4" x14ac:dyDescent="0.25">
      <c r="A1022" s="4" t="s">
        <v>5673</v>
      </c>
      <c r="B1022" s="3" t="s">
        <v>1025</v>
      </c>
      <c r="C1022" s="14">
        <v>817.26</v>
      </c>
      <c r="D1022" s="11" t="s">
        <v>5</v>
      </c>
    </row>
    <row r="1023" spans="1:4" x14ac:dyDescent="0.25">
      <c r="A1023" s="4" t="s">
        <v>5674</v>
      </c>
      <c r="B1023" s="3" t="s">
        <v>1026</v>
      </c>
      <c r="C1023" s="14">
        <v>3755.61</v>
      </c>
      <c r="D1023" s="11" t="s">
        <v>5</v>
      </c>
    </row>
    <row r="1024" spans="1:4" x14ac:dyDescent="0.25">
      <c r="A1024" s="4" t="s">
        <v>5675</v>
      </c>
      <c r="B1024" s="3" t="s">
        <v>1027</v>
      </c>
      <c r="C1024" s="14">
        <v>3461.36</v>
      </c>
      <c r="D1024" s="11" t="s">
        <v>5</v>
      </c>
    </row>
    <row r="1025" spans="1:4" x14ac:dyDescent="0.25">
      <c r="A1025" s="4" t="s">
        <v>5676</v>
      </c>
      <c r="B1025" s="3" t="s">
        <v>1028</v>
      </c>
      <c r="C1025" s="14">
        <v>1192.82</v>
      </c>
      <c r="D1025" s="11" t="s">
        <v>5</v>
      </c>
    </row>
    <row r="1026" spans="1:4" x14ac:dyDescent="0.25">
      <c r="A1026" s="4" t="s">
        <v>5677</v>
      </c>
      <c r="B1026" s="3" t="s">
        <v>1029</v>
      </c>
      <c r="C1026" s="14">
        <v>1192.82</v>
      </c>
      <c r="D1026" s="11" t="s">
        <v>5</v>
      </c>
    </row>
    <row r="1027" spans="1:4" x14ac:dyDescent="0.25">
      <c r="A1027" s="4" t="s">
        <v>5678</v>
      </c>
      <c r="B1027" s="3" t="s">
        <v>1030</v>
      </c>
      <c r="C1027" s="14">
        <v>1192.82</v>
      </c>
      <c r="D1027" s="11" t="s">
        <v>5</v>
      </c>
    </row>
    <row r="1028" spans="1:4" x14ac:dyDescent="0.25">
      <c r="A1028" s="4" t="s">
        <v>5679</v>
      </c>
      <c r="B1028" s="3" t="s">
        <v>1031</v>
      </c>
      <c r="C1028" s="14">
        <v>699.84</v>
      </c>
      <c r="D1028" s="11" t="s">
        <v>5</v>
      </c>
    </row>
    <row r="1029" spans="1:4" x14ac:dyDescent="0.25">
      <c r="A1029" s="4" t="s">
        <v>5680</v>
      </c>
      <c r="B1029" s="3" t="s">
        <v>1032</v>
      </c>
      <c r="C1029" s="14">
        <v>466.56</v>
      </c>
      <c r="D1029" s="11" t="s">
        <v>5</v>
      </c>
    </row>
    <row r="1030" spans="1:4" x14ac:dyDescent="0.25">
      <c r="A1030" s="4" t="s">
        <v>5681</v>
      </c>
      <c r="B1030" s="3" t="s">
        <v>1033</v>
      </c>
      <c r="C1030" s="14">
        <v>814.91</v>
      </c>
      <c r="D1030" s="11" t="s">
        <v>5</v>
      </c>
    </row>
    <row r="1031" spans="1:4" x14ac:dyDescent="0.25">
      <c r="A1031" s="4" t="s">
        <v>5682</v>
      </c>
      <c r="B1031" s="3" t="s">
        <v>1034</v>
      </c>
      <c r="C1031" s="14">
        <v>1020.89</v>
      </c>
      <c r="D1031" s="11" t="s">
        <v>5</v>
      </c>
    </row>
    <row r="1032" spans="1:4" x14ac:dyDescent="0.25">
      <c r="A1032" s="4" t="s">
        <v>5683</v>
      </c>
      <c r="B1032" s="3" t="s">
        <v>1035</v>
      </c>
      <c r="C1032" s="14">
        <v>915.35</v>
      </c>
      <c r="D1032" s="11" t="s">
        <v>5</v>
      </c>
    </row>
    <row r="1033" spans="1:4" x14ac:dyDescent="0.25">
      <c r="A1033" s="4" t="s">
        <v>5684</v>
      </c>
      <c r="B1033" s="3" t="s">
        <v>1036</v>
      </c>
      <c r="C1033" s="14">
        <v>915.35</v>
      </c>
      <c r="D1033" s="11" t="s">
        <v>5</v>
      </c>
    </row>
    <row r="1034" spans="1:4" x14ac:dyDescent="0.25">
      <c r="A1034" s="4" t="s">
        <v>5685</v>
      </c>
      <c r="B1034" s="3" t="s">
        <v>1037</v>
      </c>
      <c r="C1034" s="14">
        <v>466.04</v>
      </c>
      <c r="D1034" s="11" t="s">
        <v>5</v>
      </c>
    </row>
    <row r="1035" spans="1:4" x14ac:dyDescent="0.25">
      <c r="A1035" s="4" t="s">
        <v>5686</v>
      </c>
      <c r="B1035" s="3" t="s">
        <v>1038</v>
      </c>
      <c r="C1035" s="14">
        <v>227.93</v>
      </c>
      <c r="D1035" s="11" t="s">
        <v>5</v>
      </c>
    </row>
    <row r="1036" spans="1:4" x14ac:dyDescent="0.25">
      <c r="A1036" s="4" t="s">
        <v>5687</v>
      </c>
      <c r="B1036" s="3" t="s">
        <v>1039</v>
      </c>
      <c r="C1036" s="14">
        <v>214.52</v>
      </c>
      <c r="D1036" s="11" t="s">
        <v>5</v>
      </c>
    </row>
    <row r="1037" spans="1:4" x14ac:dyDescent="0.25">
      <c r="A1037" s="4" t="s">
        <v>5688</v>
      </c>
      <c r="B1037" s="3" t="s">
        <v>1040</v>
      </c>
      <c r="C1037" s="14">
        <v>3242.48</v>
      </c>
      <c r="D1037" s="11" t="s">
        <v>5</v>
      </c>
    </row>
    <row r="1038" spans="1:4" x14ac:dyDescent="0.25">
      <c r="A1038" s="4" t="s">
        <v>5689</v>
      </c>
      <c r="B1038" s="3" t="s">
        <v>1041</v>
      </c>
      <c r="C1038" s="14">
        <v>2278.14</v>
      </c>
      <c r="D1038" s="11" t="s">
        <v>5</v>
      </c>
    </row>
    <row r="1039" spans="1:4" x14ac:dyDescent="0.25">
      <c r="A1039" s="4" t="s">
        <v>5690</v>
      </c>
      <c r="B1039" s="3" t="s">
        <v>1042</v>
      </c>
      <c r="C1039" s="14">
        <v>2278.14</v>
      </c>
      <c r="D1039" s="11" t="s">
        <v>5</v>
      </c>
    </row>
    <row r="1040" spans="1:4" x14ac:dyDescent="0.25">
      <c r="A1040" s="4" t="s">
        <v>5691</v>
      </c>
      <c r="B1040" s="3" t="s">
        <v>1043</v>
      </c>
      <c r="C1040" s="14">
        <v>5731.17</v>
      </c>
      <c r="D1040" s="11" t="s">
        <v>5</v>
      </c>
    </row>
    <row r="1041" spans="1:4" x14ac:dyDescent="0.25">
      <c r="A1041" s="4" t="s">
        <v>5692</v>
      </c>
      <c r="B1041" s="3" t="s">
        <v>1044</v>
      </c>
      <c r="C1041" s="14">
        <v>6552</v>
      </c>
      <c r="D1041" s="11" t="s">
        <v>5</v>
      </c>
    </row>
    <row r="1042" spans="1:4" x14ac:dyDescent="0.25">
      <c r="A1042" s="4" t="s">
        <v>5693</v>
      </c>
      <c r="B1042" s="3" t="s">
        <v>1045</v>
      </c>
      <c r="C1042" s="14">
        <v>387.35</v>
      </c>
      <c r="D1042" s="11" t="s">
        <v>5</v>
      </c>
    </row>
    <row r="1043" spans="1:4" x14ac:dyDescent="0.25">
      <c r="A1043" s="4" t="s">
        <v>5694</v>
      </c>
      <c r="B1043" s="3" t="s">
        <v>1046</v>
      </c>
      <c r="C1043" s="14">
        <v>689.91</v>
      </c>
      <c r="D1043" s="11" t="s">
        <v>5</v>
      </c>
    </row>
    <row r="1044" spans="1:4" x14ac:dyDescent="0.25">
      <c r="A1044" s="4" t="s">
        <v>5695</v>
      </c>
      <c r="B1044" s="3" t="s">
        <v>1047</v>
      </c>
      <c r="C1044" s="14">
        <v>689.91</v>
      </c>
      <c r="D1044" s="11" t="s">
        <v>5</v>
      </c>
    </row>
    <row r="1045" spans="1:4" x14ac:dyDescent="0.25">
      <c r="A1045" s="4" t="s">
        <v>5696</v>
      </c>
      <c r="B1045" s="3" t="s">
        <v>1048</v>
      </c>
      <c r="C1045" s="14">
        <v>10167.93</v>
      </c>
      <c r="D1045" s="11" t="s">
        <v>5</v>
      </c>
    </row>
    <row r="1046" spans="1:4" x14ac:dyDescent="0.25">
      <c r="A1046" s="4" t="s">
        <v>5697</v>
      </c>
      <c r="B1046" s="3" t="s">
        <v>1049</v>
      </c>
      <c r="C1046" s="14">
        <v>3560.22</v>
      </c>
      <c r="D1046" s="11" t="s">
        <v>5</v>
      </c>
    </row>
    <row r="1047" spans="1:4" x14ac:dyDescent="0.25">
      <c r="A1047" s="4" t="s">
        <v>5698</v>
      </c>
      <c r="B1047" s="3" t="s">
        <v>1050</v>
      </c>
      <c r="C1047" s="14">
        <v>984.95</v>
      </c>
      <c r="D1047" s="11" t="s">
        <v>5</v>
      </c>
    </row>
    <row r="1048" spans="1:4" x14ac:dyDescent="0.25">
      <c r="A1048" s="4" t="s">
        <v>5699</v>
      </c>
      <c r="B1048" s="3" t="s">
        <v>1051</v>
      </c>
      <c r="C1048" s="14">
        <v>5432.25</v>
      </c>
      <c r="D1048" s="11" t="s">
        <v>5</v>
      </c>
    </row>
    <row r="1049" spans="1:4" x14ac:dyDescent="0.25">
      <c r="A1049" s="4" t="s">
        <v>5700</v>
      </c>
      <c r="B1049" s="3" t="s">
        <v>1052</v>
      </c>
      <c r="C1049" s="14">
        <v>22725.21</v>
      </c>
      <c r="D1049" s="11" t="s">
        <v>5</v>
      </c>
    </row>
    <row r="1050" spans="1:4" x14ac:dyDescent="0.25">
      <c r="A1050" s="4" t="s">
        <v>5701</v>
      </c>
      <c r="B1050" s="3" t="s">
        <v>1053</v>
      </c>
      <c r="C1050" s="14">
        <v>4290</v>
      </c>
      <c r="D1050" s="11" t="s">
        <v>5</v>
      </c>
    </row>
    <row r="1051" spans="1:4" x14ac:dyDescent="0.25">
      <c r="A1051" s="4" t="s">
        <v>5702</v>
      </c>
      <c r="B1051" s="3" t="s">
        <v>1054</v>
      </c>
      <c r="C1051" s="14">
        <v>1300.8599999999999</v>
      </c>
      <c r="D1051" s="11" t="s">
        <v>5</v>
      </c>
    </row>
    <row r="1052" spans="1:4" x14ac:dyDescent="0.25">
      <c r="A1052" s="4" t="s">
        <v>5703</v>
      </c>
      <c r="B1052" s="3" t="s">
        <v>1055</v>
      </c>
      <c r="C1052" s="14">
        <v>1472.39</v>
      </c>
      <c r="D1052" s="11" t="s">
        <v>5</v>
      </c>
    </row>
    <row r="1053" spans="1:4" x14ac:dyDescent="0.25">
      <c r="A1053" s="4" t="s">
        <v>5704</v>
      </c>
      <c r="B1053" s="3" t="s">
        <v>1056</v>
      </c>
      <c r="C1053" s="14">
        <v>1809.63</v>
      </c>
      <c r="D1053" s="11" t="s">
        <v>5</v>
      </c>
    </row>
    <row r="1054" spans="1:4" x14ac:dyDescent="0.25">
      <c r="A1054" s="4" t="s">
        <v>5705</v>
      </c>
      <c r="B1054" s="3" t="s">
        <v>1057</v>
      </c>
      <c r="C1054" s="14">
        <v>2149.34</v>
      </c>
      <c r="D1054" s="11" t="s">
        <v>5</v>
      </c>
    </row>
    <row r="1055" spans="1:4" x14ac:dyDescent="0.25">
      <c r="A1055" s="4" t="s">
        <v>5706</v>
      </c>
      <c r="B1055" s="3" t="s">
        <v>1058</v>
      </c>
      <c r="C1055" s="14">
        <v>2480.67</v>
      </c>
      <c r="D1055" s="11" t="s">
        <v>5</v>
      </c>
    </row>
    <row r="1056" spans="1:4" x14ac:dyDescent="0.25">
      <c r="A1056" s="4" t="s">
        <v>5707</v>
      </c>
      <c r="B1056" s="3" t="s">
        <v>1059</v>
      </c>
      <c r="C1056" s="14">
        <v>3197.93</v>
      </c>
      <c r="D1056" s="11" t="s">
        <v>5</v>
      </c>
    </row>
    <row r="1057" spans="1:4" x14ac:dyDescent="0.25">
      <c r="A1057" s="4" t="s">
        <v>5708</v>
      </c>
      <c r="B1057" s="3" t="s">
        <v>1060</v>
      </c>
      <c r="C1057" s="14">
        <v>5224.92</v>
      </c>
      <c r="D1057" s="11" t="s">
        <v>5</v>
      </c>
    </row>
    <row r="1058" spans="1:4" x14ac:dyDescent="0.25">
      <c r="A1058" s="4" t="s">
        <v>5709</v>
      </c>
      <c r="B1058" s="3" t="s">
        <v>1061</v>
      </c>
      <c r="C1058" s="14">
        <v>748.01</v>
      </c>
      <c r="D1058" s="11" t="s">
        <v>5</v>
      </c>
    </row>
    <row r="1059" spans="1:4" x14ac:dyDescent="0.25">
      <c r="A1059" s="4" t="s">
        <v>5710</v>
      </c>
      <c r="B1059" s="3" t="s">
        <v>1062</v>
      </c>
      <c r="C1059" s="14">
        <v>842.58</v>
      </c>
      <c r="D1059" s="11" t="s">
        <v>5</v>
      </c>
    </row>
    <row r="1060" spans="1:4" x14ac:dyDescent="0.25">
      <c r="A1060" s="4" t="s">
        <v>5711</v>
      </c>
      <c r="B1060" s="3" t="s">
        <v>1063</v>
      </c>
      <c r="C1060" s="14">
        <v>1036.47</v>
      </c>
      <c r="D1060" s="11" t="s">
        <v>5</v>
      </c>
    </row>
    <row r="1061" spans="1:4" x14ac:dyDescent="0.25">
      <c r="A1061" s="4" t="s">
        <v>5712</v>
      </c>
      <c r="B1061" s="3" t="s">
        <v>1064</v>
      </c>
      <c r="C1061" s="14">
        <v>1235.19</v>
      </c>
      <c r="D1061" s="11" t="s">
        <v>5</v>
      </c>
    </row>
    <row r="1062" spans="1:4" x14ac:dyDescent="0.25">
      <c r="A1062" s="4" t="s">
        <v>5713</v>
      </c>
      <c r="B1062" s="3" t="s">
        <v>1065</v>
      </c>
      <c r="C1062" s="14">
        <v>1424.61</v>
      </c>
      <c r="D1062" s="11" t="s">
        <v>5</v>
      </c>
    </row>
    <row r="1063" spans="1:4" x14ac:dyDescent="0.25">
      <c r="A1063" s="4" t="s">
        <v>5714</v>
      </c>
      <c r="B1063" s="3" t="s">
        <v>1066</v>
      </c>
      <c r="C1063" s="14">
        <v>1839.06</v>
      </c>
      <c r="D1063" s="11" t="s">
        <v>5</v>
      </c>
    </row>
    <row r="1064" spans="1:4" x14ac:dyDescent="0.25">
      <c r="A1064" s="4" t="s">
        <v>5715</v>
      </c>
      <c r="B1064" s="3" t="s">
        <v>1067</v>
      </c>
      <c r="C1064" s="14">
        <v>735.75</v>
      </c>
      <c r="D1064" s="11" t="s">
        <v>5</v>
      </c>
    </row>
    <row r="1065" spans="1:4" x14ac:dyDescent="0.25">
      <c r="A1065" s="4" t="s">
        <v>5716</v>
      </c>
      <c r="B1065" s="3" t="s">
        <v>1068</v>
      </c>
      <c r="C1065" s="14">
        <v>764.45</v>
      </c>
      <c r="D1065" s="11" t="s">
        <v>5</v>
      </c>
    </row>
    <row r="1066" spans="1:4" x14ac:dyDescent="0.25">
      <c r="A1066" s="4" t="s">
        <v>5717</v>
      </c>
      <c r="B1066" s="3" t="s">
        <v>1069</v>
      </c>
      <c r="C1066" s="14">
        <v>3229.91</v>
      </c>
      <c r="D1066" s="11" t="s">
        <v>5</v>
      </c>
    </row>
    <row r="1067" spans="1:4" x14ac:dyDescent="0.25">
      <c r="A1067" s="4" t="s">
        <v>5718</v>
      </c>
      <c r="B1067" s="3" t="s">
        <v>1070</v>
      </c>
      <c r="C1067" s="14">
        <v>3678.81</v>
      </c>
      <c r="D1067" s="11" t="s">
        <v>5</v>
      </c>
    </row>
    <row r="1068" spans="1:4" x14ac:dyDescent="0.25">
      <c r="A1068" s="4" t="s">
        <v>5719</v>
      </c>
      <c r="B1068" s="3" t="s">
        <v>1071</v>
      </c>
      <c r="C1068" s="14">
        <v>1295.25</v>
      </c>
      <c r="D1068" s="11" t="s">
        <v>5</v>
      </c>
    </row>
    <row r="1069" spans="1:4" x14ac:dyDescent="0.25">
      <c r="A1069" s="4" t="s">
        <v>5720</v>
      </c>
      <c r="B1069" s="3" t="s">
        <v>1072</v>
      </c>
      <c r="C1069" s="14">
        <v>34.61</v>
      </c>
      <c r="D1069" s="11" t="s">
        <v>107</v>
      </c>
    </row>
    <row r="1070" spans="1:4" x14ac:dyDescent="0.25">
      <c r="A1070" s="4" t="s">
        <v>5721</v>
      </c>
      <c r="B1070" s="3" t="s">
        <v>1073</v>
      </c>
      <c r="C1070" s="14">
        <v>50.52</v>
      </c>
      <c r="D1070" s="11" t="s">
        <v>107</v>
      </c>
    </row>
    <row r="1071" spans="1:4" x14ac:dyDescent="0.25">
      <c r="A1071" s="4" t="s">
        <v>5722</v>
      </c>
      <c r="B1071" s="3" t="s">
        <v>1074</v>
      </c>
      <c r="C1071" s="14">
        <v>39.72</v>
      </c>
      <c r="D1071" s="11" t="s">
        <v>107</v>
      </c>
    </row>
    <row r="1072" spans="1:4" x14ac:dyDescent="0.25">
      <c r="A1072" s="4" t="s">
        <v>5723</v>
      </c>
      <c r="B1072" s="3" t="s">
        <v>1075</v>
      </c>
      <c r="C1072" s="14">
        <v>1261.76</v>
      </c>
      <c r="D1072" s="11" t="s">
        <v>5</v>
      </c>
    </row>
    <row r="1073" spans="1:4" x14ac:dyDescent="0.25">
      <c r="A1073" s="4" t="s">
        <v>5724</v>
      </c>
      <c r="B1073" s="3" t="s">
        <v>1076</v>
      </c>
      <c r="C1073" s="14">
        <v>13.89</v>
      </c>
      <c r="D1073" s="11" t="s">
        <v>5</v>
      </c>
    </row>
    <row r="1074" spans="1:4" x14ac:dyDescent="0.25">
      <c r="A1074" s="4" t="s">
        <v>5725</v>
      </c>
      <c r="B1074" s="3" t="s">
        <v>1077</v>
      </c>
      <c r="C1074" s="14">
        <v>60.53</v>
      </c>
      <c r="D1074" s="11" t="s">
        <v>5</v>
      </c>
    </row>
    <row r="1075" spans="1:4" x14ac:dyDescent="0.25">
      <c r="A1075" s="4" t="s">
        <v>5726</v>
      </c>
      <c r="B1075" s="3" t="s">
        <v>1078</v>
      </c>
      <c r="C1075" s="14">
        <v>137.93</v>
      </c>
      <c r="D1075" s="11" t="s">
        <v>5</v>
      </c>
    </row>
    <row r="1076" spans="1:4" x14ac:dyDescent="0.25">
      <c r="A1076" s="4" t="s">
        <v>5727</v>
      </c>
      <c r="B1076" s="3" t="s">
        <v>1079</v>
      </c>
      <c r="C1076" s="14">
        <v>27.71</v>
      </c>
      <c r="D1076" s="11" t="s">
        <v>5</v>
      </c>
    </row>
    <row r="1077" spans="1:4" x14ac:dyDescent="0.25">
      <c r="A1077" s="4" t="s">
        <v>5728</v>
      </c>
      <c r="B1077" s="3" t="s">
        <v>1080</v>
      </c>
      <c r="C1077" s="14">
        <v>15606.41</v>
      </c>
      <c r="D1077" s="11" t="s">
        <v>5</v>
      </c>
    </row>
    <row r="1078" spans="1:4" x14ac:dyDescent="0.25">
      <c r="A1078" s="4" t="s">
        <v>5729</v>
      </c>
      <c r="B1078" s="3" t="s">
        <v>1081</v>
      </c>
      <c r="C1078" s="14">
        <v>2.81</v>
      </c>
      <c r="D1078" s="11" t="s">
        <v>107</v>
      </c>
    </row>
    <row r="1079" spans="1:4" x14ac:dyDescent="0.25">
      <c r="A1079" s="4" t="s">
        <v>5730</v>
      </c>
      <c r="B1079" s="3" t="s">
        <v>1082</v>
      </c>
      <c r="C1079" s="14">
        <v>2663.76</v>
      </c>
      <c r="D1079" s="11" t="s">
        <v>5</v>
      </c>
    </row>
    <row r="1080" spans="1:4" x14ac:dyDescent="0.25">
      <c r="A1080" s="4" t="s">
        <v>5731</v>
      </c>
      <c r="B1080" s="3" t="s">
        <v>1083</v>
      </c>
      <c r="C1080" s="14">
        <v>2663.76</v>
      </c>
      <c r="D1080" s="11" t="s">
        <v>5</v>
      </c>
    </row>
    <row r="1081" spans="1:4" x14ac:dyDescent="0.25">
      <c r="A1081" s="4" t="s">
        <v>5732</v>
      </c>
      <c r="B1081" s="3" t="s">
        <v>1084</v>
      </c>
      <c r="C1081" s="14">
        <v>2663.76</v>
      </c>
      <c r="D1081" s="11" t="s">
        <v>5</v>
      </c>
    </row>
    <row r="1082" spans="1:4" x14ac:dyDescent="0.25">
      <c r="A1082" s="4" t="s">
        <v>5733</v>
      </c>
      <c r="B1082" s="3" t="s">
        <v>1085</v>
      </c>
      <c r="C1082" s="14">
        <v>17884.560000000001</v>
      </c>
      <c r="D1082" s="11" t="s">
        <v>5</v>
      </c>
    </row>
    <row r="1083" spans="1:4" x14ac:dyDescent="0.25">
      <c r="A1083" s="4" t="s">
        <v>5734</v>
      </c>
      <c r="B1083" s="3" t="s">
        <v>1086</v>
      </c>
      <c r="C1083" s="14">
        <v>14034.12</v>
      </c>
      <c r="D1083" s="11" t="s">
        <v>5</v>
      </c>
    </row>
    <row r="1084" spans="1:4" x14ac:dyDescent="0.25">
      <c r="A1084" s="4" t="s">
        <v>5735</v>
      </c>
      <c r="B1084" s="3" t="s">
        <v>1087</v>
      </c>
      <c r="C1084" s="14">
        <v>12160.94</v>
      </c>
      <c r="D1084" s="11" t="s">
        <v>5</v>
      </c>
    </row>
    <row r="1085" spans="1:4" x14ac:dyDescent="0.25">
      <c r="A1085" s="4" t="s">
        <v>5736</v>
      </c>
      <c r="B1085" s="3" t="s">
        <v>1088</v>
      </c>
      <c r="C1085" s="14">
        <v>15278</v>
      </c>
      <c r="D1085" s="11" t="s">
        <v>5</v>
      </c>
    </row>
    <row r="1086" spans="1:4" x14ac:dyDescent="0.25">
      <c r="A1086" s="4" t="s">
        <v>5737</v>
      </c>
      <c r="B1086" s="3" t="s">
        <v>1089</v>
      </c>
      <c r="C1086" s="14">
        <v>19481.93</v>
      </c>
      <c r="D1086" s="11" t="s">
        <v>5</v>
      </c>
    </row>
    <row r="1087" spans="1:4" x14ac:dyDescent="0.25">
      <c r="A1087" s="4" t="s">
        <v>5738</v>
      </c>
      <c r="B1087" s="3" t="s">
        <v>1090</v>
      </c>
      <c r="C1087" s="14">
        <v>174080.3</v>
      </c>
      <c r="D1087" s="11" t="s">
        <v>5</v>
      </c>
    </row>
    <row r="1088" spans="1:4" x14ac:dyDescent="0.25">
      <c r="A1088" s="4" t="s">
        <v>5739</v>
      </c>
      <c r="B1088" s="3" t="s">
        <v>1091</v>
      </c>
      <c r="C1088" s="14">
        <v>67360.13</v>
      </c>
      <c r="D1088" s="11" t="s">
        <v>5</v>
      </c>
    </row>
    <row r="1089" spans="1:4" x14ac:dyDescent="0.25">
      <c r="A1089" s="4" t="s">
        <v>5740</v>
      </c>
      <c r="B1089" s="3" t="s">
        <v>1092</v>
      </c>
      <c r="C1089" s="14">
        <v>49122.54</v>
      </c>
      <c r="D1089" s="11" t="s">
        <v>5</v>
      </c>
    </row>
    <row r="1090" spans="1:4" x14ac:dyDescent="0.25">
      <c r="A1090" s="4" t="s">
        <v>5741</v>
      </c>
      <c r="B1090" s="3" t="s">
        <v>1093</v>
      </c>
      <c r="C1090" s="14">
        <v>67360.13</v>
      </c>
      <c r="D1090" s="11" t="s">
        <v>5</v>
      </c>
    </row>
    <row r="1091" spans="1:4" x14ac:dyDescent="0.25">
      <c r="A1091" s="4" t="s">
        <v>5742</v>
      </c>
      <c r="B1091" s="3" t="s">
        <v>1094</v>
      </c>
      <c r="C1091" s="14">
        <v>49122.54</v>
      </c>
      <c r="D1091" s="11" t="s">
        <v>5</v>
      </c>
    </row>
    <row r="1092" spans="1:4" x14ac:dyDescent="0.25">
      <c r="A1092" s="4" t="s">
        <v>5743</v>
      </c>
      <c r="B1092" s="3" t="s">
        <v>1095</v>
      </c>
      <c r="C1092" s="14">
        <v>48350.76</v>
      </c>
      <c r="D1092" s="11" t="s">
        <v>5</v>
      </c>
    </row>
    <row r="1093" spans="1:4" x14ac:dyDescent="0.25">
      <c r="A1093" s="4" t="s">
        <v>5744</v>
      </c>
      <c r="B1093" s="3" t="s">
        <v>1096</v>
      </c>
      <c r="C1093" s="14">
        <v>34489.31</v>
      </c>
      <c r="D1093" s="11" t="s">
        <v>5</v>
      </c>
    </row>
    <row r="1094" spans="1:4" x14ac:dyDescent="0.25">
      <c r="A1094" s="4" t="s">
        <v>5745</v>
      </c>
      <c r="B1094" s="3" t="s">
        <v>1097</v>
      </c>
      <c r="C1094" s="14">
        <v>48350.76</v>
      </c>
      <c r="D1094" s="11" t="s">
        <v>5</v>
      </c>
    </row>
    <row r="1095" spans="1:4" x14ac:dyDescent="0.25">
      <c r="A1095" s="4" t="s">
        <v>5746</v>
      </c>
      <c r="B1095" s="3" t="s">
        <v>1098</v>
      </c>
      <c r="C1095" s="14">
        <v>34489.31</v>
      </c>
      <c r="D1095" s="11" t="s">
        <v>5</v>
      </c>
    </row>
    <row r="1096" spans="1:4" x14ac:dyDescent="0.25">
      <c r="A1096" s="4" t="s">
        <v>5747</v>
      </c>
      <c r="B1096" s="3" t="s">
        <v>1099</v>
      </c>
      <c r="C1096" s="14">
        <v>35249.82</v>
      </c>
      <c r="D1096" s="11" t="s">
        <v>5</v>
      </c>
    </row>
    <row r="1097" spans="1:4" x14ac:dyDescent="0.25">
      <c r="A1097" s="4" t="s">
        <v>5748</v>
      </c>
      <c r="B1097" s="3" t="s">
        <v>1100</v>
      </c>
      <c r="C1097" s="14">
        <v>35249.82</v>
      </c>
      <c r="D1097" s="11" t="s">
        <v>5</v>
      </c>
    </row>
    <row r="1098" spans="1:4" x14ac:dyDescent="0.25">
      <c r="A1098" s="4" t="s">
        <v>5749</v>
      </c>
      <c r="B1098" s="3" t="s">
        <v>1101</v>
      </c>
      <c r="C1098" s="14">
        <v>8241.06</v>
      </c>
      <c r="D1098" s="11" t="s">
        <v>5</v>
      </c>
    </row>
    <row r="1099" spans="1:4" x14ac:dyDescent="0.25">
      <c r="A1099" s="4" t="s">
        <v>5750</v>
      </c>
      <c r="B1099" s="3" t="s">
        <v>1102</v>
      </c>
      <c r="C1099" s="14">
        <v>5074.32</v>
      </c>
      <c r="D1099" s="11" t="s">
        <v>5</v>
      </c>
    </row>
    <row r="1100" spans="1:4" x14ac:dyDescent="0.25">
      <c r="A1100" s="4" t="s">
        <v>5751</v>
      </c>
      <c r="B1100" s="3" t="s">
        <v>1103</v>
      </c>
      <c r="C1100" s="14">
        <v>6973.31</v>
      </c>
      <c r="D1100" s="11" t="s">
        <v>5</v>
      </c>
    </row>
    <row r="1101" spans="1:4" x14ac:dyDescent="0.25">
      <c r="A1101" s="4" t="s">
        <v>5752</v>
      </c>
      <c r="B1101" s="3" t="s">
        <v>1104</v>
      </c>
      <c r="C1101" s="14">
        <v>10900.62</v>
      </c>
      <c r="D1101" s="11" t="s">
        <v>5</v>
      </c>
    </row>
    <row r="1102" spans="1:4" x14ac:dyDescent="0.25">
      <c r="A1102" s="4" t="s">
        <v>5753</v>
      </c>
      <c r="B1102" s="3" t="s">
        <v>1105</v>
      </c>
      <c r="C1102" s="14">
        <v>52732.11</v>
      </c>
      <c r="D1102" s="11" t="s">
        <v>5</v>
      </c>
    </row>
    <row r="1103" spans="1:4" x14ac:dyDescent="0.25">
      <c r="A1103" s="4" t="s">
        <v>5754</v>
      </c>
      <c r="B1103" s="3" t="s">
        <v>1106</v>
      </c>
      <c r="C1103" s="14">
        <v>36182.85</v>
      </c>
      <c r="D1103" s="11" t="s">
        <v>5</v>
      </c>
    </row>
    <row r="1104" spans="1:4" x14ac:dyDescent="0.25">
      <c r="A1104" s="4" t="s">
        <v>5755</v>
      </c>
      <c r="B1104" s="3" t="s">
        <v>1107</v>
      </c>
      <c r="C1104" s="14">
        <v>42268.94</v>
      </c>
      <c r="D1104" s="11" t="s">
        <v>5</v>
      </c>
    </row>
    <row r="1105" spans="1:4" x14ac:dyDescent="0.25">
      <c r="A1105" s="4" t="s">
        <v>5756</v>
      </c>
      <c r="B1105" s="3" t="s">
        <v>1108</v>
      </c>
      <c r="C1105" s="14">
        <v>49522.13</v>
      </c>
      <c r="D1105" s="11" t="s">
        <v>5</v>
      </c>
    </row>
    <row r="1106" spans="1:4" x14ac:dyDescent="0.25">
      <c r="A1106" s="4" t="s">
        <v>5757</v>
      </c>
      <c r="B1106" s="3" t="s">
        <v>1109</v>
      </c>
      <c r="C1106" s="14">
        <v>10652.93</v>
      </c>
      <c r="D1106" s="11" t="s">
        <v>5</v>
      </c>
    </row>
    <row r="1107" spans="1:4" x14ac:dyDescent="0.25">
      <c r="A1107" s="4" t="s">
        <v>5758</v>
      </c>
      <c r="B1107" s="3" t="s">
        <v>1110</v>
      </c>
      <c r="C1107" s="14">
        <v>13630.37</v>
      </c>
      <c r="D1107" s="11" t="s">
        <v>5</v>
      </c>
    </row>
    <row r="1108" spans="1:4" x14ac:dyDescent="0.25">
      <c r="A1108" s="4" t="s">
        <v>5759</v>
      </c>
      <c r="B1108" s="3" t="s">
        <v>1111</v>
      </c>
      <c r="C1108" s="14">
        <v>14821.59</v>
      </c>
      <c r="D1108" s="11" t="s">
        <v>5</v>
      </c>
    </row>
    <row r="1109" spans="1:4" x14ac:dyDescent="0.25">
      <c r="A1109" s="4" t="s">
        <v>5760</v>
      </c>
      <c r="B1109" s="3" t="s">
        <v>1112</v>
      </c>
      <c r="C1109" s="14">
        <v>799.08</v>
      </c>
      <c r="D1109" s="11" t="s">
        <v>5</v>
      </c>
    </row>
    <row r="1110" spans="1:4" x14ac:dyDescent="0.25">
      <c r="A1110" s="4" t="s">
        <v>5761</v>
      </c>
      <c r="B1110" s="3" t="s">
        <v>1113</v>
      </c>
      <c r="C1110" s="14">
        <v>892.43</v>
      </c>
      <c r="D1110" s="11" t="s">
        <v>5</v>
      </c>
    </row>
    <row r="1111" spans="1:4" x14ac:dyDescent="0.25">
      <c r="A1111" s="4" t="s">
        <v>5762</v>
      </c>
      <c r="B1111" s="3" t="s">
        <v>1114</v>
      </c>
      <c r="C1111" s="14">
        <v>29624.91</v>
      </c>
      <c r="D1111" s="11" t="s">
        <v>5</v>
      </c>
    </row>
    <row r="1112" spans="1:4" x14ac:dyDescent="0.25">
      <c r="A1112" s="4" t="s">
        <v>5763</v>
      </c>
      <c r="B1112" s="3" t="s">
        <v>1115</v>
      </c>
      <c r="C1112" s="14">
        <v>20210.93</v>
      </c>
      <c r="D1112" s="11" t="s">
        <v>5</v>
      </c>
    </row>
    <row r="1113" spans="1:4" x14ac:dyDescent="0.25">
      <c r="A1113" s="4" t="s">
        <v>5764</v>
      </c>
      <c r="B1113" s="3" t="s">
        <v>1116</v>
      </c>
      <c r="C1113" s="14">
        <v>1955.93</v>
      </c>
      <c r="D1113" s="11" t="s">
        <v>5</v>
      </c>
    </row>
    <row r="1114" spans="1:4" x14ac:dyDescent="0.25">
      <c r="A1114" s="4" t="s">
        <v>5765</v>
      </c>
      <c r="B1114" s="3" t="s">
        <v>1117</v>
      </c>
      <c r="C1114" s="14">
        <v>4204.8</v>
      </c>
      <c r="D1114" s="11" t="s">
        <v>5</v>
      </c>
    </row>
    <row r="1115" spans="1:4" x14ac:dyDescent="0.25">
      <c r="A1115" s="4" t="s">
        <v>5766</v>
      </c>
      <c r="B1115" s="3" t="s">
        <v>1118</v>
      </c>
      <c r="C1115" s="14">
        <v>11462</v>
      </c>
      <c r="D1115" s="11" t="s">
        <v>5</v>
      </c>
    </row>
    <row r="1116" spans="1:4" x14ac:dyDescent="0.25">
      <c r="A1116" s="4" t="s">
        <v>5767</v>
      </c>
      <c r="B1116" s="3" t="s">
        <v>1119</v>
      </c>
      <c r="C1116" s="14">
        <v>6327.81</v>
      </c>
      <c r="D1116" s="11" t="s">
        <v>5</v>
      </c>
    </row>
    <row r="1117" spans="1:4" x14ac:dyDescent="0.25">
      <c r="A1117" s="4" t="s">
        <v>5768</v>
      </c>
      <c r="B1117" s="3" t="s">
        <v>1120</v>
      </c>
      <c r="C1117" s="14">
        <v>9854.82</v>
      </c>
      <c r="D1117" s="11" t="s">
        <v>5</v>
      </c>
    </row>
    <row r="1118" spans="1:4" x14ac:dyDescent="0.25">
      <c r="A1118" s="4" t="s">
        <v>5769</v>
      </c>
      <c r="B1118" s="3" t="s">
        <v>1121</v>
      </c>
      <c r="C1118" s="14">
        <v>39588.71</v>
      </c>
      <c r="D1118" s="11" t="s">
        <v>5</v>
      </c>
    </row>
    <row r="1119" spans="1:4" x14ac:dyDescent="0.25">
      <c r="A1119" s="4" t="s">
        <v>5770</v>
      </c>
      <c r="B1119" s="3" t="s">
        <v>1122</v>
      </c>
      <c r="C1119" s="14">
        <v>39588.71</v>
      </c>
      <c r="D1119" s="11" t="s">
        <v>5</v>
      </c>
    </row>
    <row r="1120" spans="1:4" x14ac:dyDescent="0.25">
      <c r="A1120" s="4" t="s">
        <v>5771</v>
      </c>
      <c r="B1120" s="3" t="s">
        <v>1123</v>
      </c>
      <c r="C1120" s="14">
        <v>4978.28</v>
      </c>
      <c r="D1120" s="11" t="s">
        <v>5</v>
      </c>
    </row>
    <row r="1121" spans="1:4" x14ac:dyDescent="0.25">
      <c r="A1121" s="4" t="s">
        <v>5772</v>
      </c>
      <c r="B1121" s="3" t="s">
        <v>1124</v>
      </c>
      <c r="C1121" s="14">
        <v>6108.69</v>
      </c>
      <c r="D1121" s="11" t="s">
        <v>5</v>
      </c>
    </row>
    <row r="1122" spans="1:4" x14ac:dyDescent="0.25">
      <c r="A1122" s="4" t="s">
        <v>5773</v>
      </c>
      <c r="B1122" s="3" t="s">
        <v>1125</v>
      </c>
      <c r="C1122" s="14">
        <v>20210.93</v>
      </c>
      <c r="D1122" s="11" t="s">
        <v>5</v>
      </c>
    </row>
    <row r="1123" spans="1:4" x14ac:dyDescent="0.25">
      <c r="A1123" s="4" t="s">
        <v>5774</v>
      </c>
      <c r="B1123" s="3" t="s">
        <v>1126</v>
      </c>
      <c r="C1123" s="14">
        <v>16163.66</v>
      </c>
      <c r="D1123" s="11" t="s">
        <v>5</v>
      </c>
    </row>
    <row r="1124" spans="1:4" x14ac:dyDescent="0.25">
      <c r="A1124" s="4" t="s">
        <v>5775</v>
      </c>
      <c r="B1124" s="3" t="s">
        <v>1127</v>
      </c>
      <c r="C1124" s="14">
        <v>7792.26</v>
      </c>
      <c r="D1124" s="11" t="s">
        <v>5</v>
      </c>
    </row>
    <row r="1125" spans="1:4" x14ac:dyDescent="0.25">
      <c r="A1125" s="4" t="s">
        <v>5776</v>
      </c>
      <c r="B1125" s="3" t="s">
        <v>1128</v>
      </c>
      <c r="C1125" s="14">
        <v>2854.22</v>
      </c>
      <c r="D1125" s="11" t="s">
        <v>5</v>
      </c>
    </row>
    <row r="1126" spans="1:4" x14ac:dyDescent="0.25">
      <c r="A1126" s="4" t="s">
        <v>5777</v>
      </c>
      <c r="B1126" s="3" t="s">
        <v>1129</v>
      </c>
      <c r="C1126" s="14">
        <v>4089</v>
      </c>
      <c r="D1126" s="11" t="s">
        <v>5</v>
      </c>
    </row>
    <row r="1127" spans="1:4" x14ac:dyDescent="0.25">
      <c r="A1127" s="4" t="s">
        <v>5778</v>
      </c>
      <c r="B1127" s="3" t="s">
        <v>1130</v>
      </c>
      <c r="C1127" s="14">
        <v>4774.41</v>
      </c>
      <c r="D1127" s="11" t="s">
        <v>5</v>
      </c>
    </row>
    <row r="1128" spans="1:4" x14ac:dyDescent="0.25">
      <c r="A1128" s="4" t="s">
        <v>5779</v>
      </c>
      <c r="B1128" s="3" t="s">
        <v>1131</v>
      </c>
      <c r="C1128" s="14">
        <v>6859.92</v>
      </c>
      <c r="D1128" s="11" t="s">
        <v>5</v>
      </c>
    </row>
    <row r="1129" spans="1:4" x14ac:dyDescent="0.25">
      <c r="A1129" s="4" t="s">
        <v>5780</v>
      </c>
      <c r="B1129" s="3" t="s">
        <v>1132</v>
      </c>
      <c r="C1129" s="14">
        <v>5728.67</v>
      </c>
      <c r="D1129" s="11" t="s">
        <v>5</v>
      </c>
    </row>
    <row r="1130" spans="1:4" x14ac:dyDescent="0.25">
      <c r="A1130" s="4" t="s">
        <v>5781</v>
      </c>
      <c r="B1130" s="3" t="s">
        <v>1133</v>
      </c>
      <c r="C1130" s="14">
        <v>29789.87</v>
      </c>
      <c r="D1130" s="11" t="s">
        <v>5</v>
      </c>
    </row>
    <row r="1131" spans="1:4" x14ac:dyDescent="0.25">
      <c r="A1131" s="4" t="s">
        <v>5782</v>
      </c>
      <c r="B1131" s="3" t="s">
        <v>1134</v>
      </c>
      <c r="C1131" s="14">
        <v>29789.87</v>
      </c>
      <c r="D1131" s="11" t="s">
        <v>5</v>
      </c>
    </row>
    <row r="1132" spans="1:4" x14ac:dyDescent="0.25">
      <c r="A1132" s="4" t="s">
        <v>5783</v>
      </c>
      <c r="B1132" s="3" t="s">
        <v>1135</v>
      </c>
      <c r="C1132" s="14">
        <v>5880.78</v>
      </c>
      <c r="D1132" s="11" t="s">
        <v>5</v>
      </c>
    </row>
    <row r="1133" spans="1:4" x14ac:dyDescent="0.25">
      <c r="A1133" s="4" t="s">
        <v>5784</v>
      </c>
      <c r="B1133" s="3" t="s">
        <v>1136</v>
      </c>
      <c r="C1133" s="14">
        <v>25765.08</v>
      </c>
      <c r="D1133" s="11" t="s">
        <v>5</v>
      </c>
    </row>
    <row r="1134" spans="1:4" x14ac:dyDescent="0.25">
      <c r="A1134" s="4" t="s">
        <v>5785</v>
      </c>
      <c r="B1134" s="3" t="s">
        <v>1137</v>
      </c>
      <c r="C1134" s="14">
        <v>33230.81</v>
      </c>
      <c r="D1134" s="11" t="s">
        <v>5</v>
      </c>
    </row>
    <row r="1135" spans="1:4" x14ac:dyDescent="0.25">
      <c r="A1135" s="4" t="s">
        <v>5786</v>
      </c>
      <c r="B1135" s="3" t="s">
        <v>1138</v>
      </c>
      <c r="C1135" s="14">
        <v>23025.38</v>
      </c>
      <c r="D1135" s="11" t="s">
        <v>5</v>
      </c>
    </row>
    <row r="1136" spans="1:4" x14ac:dyDescent="0.25">
      <c r="A1136" s="4" t="s">
        <v>5787</v>
      </c>
      <c r="B1136" s="3" t="s">
        <v>1139</v>
      </c>
      <c r="C1136" s="14">
        <v>7964.67</v>
      </c>
      <c r="D1136" s="11" t="s">
        <v>5</v>
      </c>
    </row>
    <row r="1137" spans="1:4" x14ac:dyDescent="0.25">
      <c r="A1137" s="4" t="s">
        <v>5788</v>
      </c>
      <c r="B1137" s="3" t="s">
        <v>1140</v>
      </c>
      <c r="C1137" s="14">
        <v>4286.12</v>
      </c>
      <c r="D1137" s="11" t="s">
        <v>5</v>
      </c>
    </row>
    <row r="1138" spans="1:4" x14ac:dyDescent="0.25">
      <c r="A1138" s="4" t="s">
        <v>5789</v>
      </c>
      <c r="B1138" s="3" t="s">
        <v>1141</v>
      </c>
      <c r="C1138" s="14">
        <v>5008.2</v>
      </c>
      <c r="D1138" s="11" t="s">
        <v>5</v>
      </c>
    </row>
    <row r="1139" spans="1:4" x14ac:dyDescent="0.25">
      <c r="A1139" s="4" t="s">
        <v>5790</v>
      </c>
      <c r="B1139" s="3" t="s">
        <v>1142</v>
      </c>
      <c r="C1139" s="14">
        <v>5965.4</v>
      </c>
      <c r="D1139" s="11" t="s">
        <v>5</v>
      </c>
    </row>
    <row r="1140" spans="1:4" x14ac:dyDescent="0.25">
      <c r="A1140" s="4" t="s">
        <v>5791</v>
      </c>
      <c r="B1140" s="3" t="s">
        <v>1143</v>
      </c>
      <c r="C1140" s="14">
        <v>14401.77</v>
      </c>
      <c r="D1140" s="11" t="s">
        <v>5</v>
      </c>
    </row>
    <row r="1141" spans="1:4" x14ac:dyDescent="0.25">
      <c r="A1141" s="4" t="s">
        <v>5792</v>
      </c>
      <c r="B1141" s="3" t="s">
        <v>1144</v>
      </c>
      <c r="C1141" s="14">
        <v>9481.6200000000008</v>
      </c>
      <c r="D1141" s="11" t="s">
        <v>5</v>
      </c>
    </row>
    <row r="1142" spans="1:4" x14ac:dyDescent="0.25">
      <c r="A1142" s="4" t="s">
        <v>5793</v>
      </c>
      <c r="B1142" s="3" t="s">
        <v>1145</v>
      </c>
      <c r="C1142" s="14">
        <v>4970.72</v>
      </c>
      <c r="D1142" s="11" t="s">
        <v>5</v>
      </c>
    </row>
    <row r="1143" spans="1:4" x14ac:dyDescent="0.25">
      <c r="A1143" s="4" t="s">
        <v>5794</v>
      </c>
      <c r="B1143" s="3" t="s">
        <v>1146</v>
      </c>
      <c r="C1143" s="14">
        <v>2305.1999999999998</v>
      </c>
      <c r="D1143" s="11" t="s">
        <v>5</v>
      </c>
    </row>
    <row r="1144" spans="1:4" x14ac:dyDescent="0.25">
      <c r="A1144" s="4" t="s">
        <v>5795</v>
      </c>
      <c r="B1144" s="3" t="s">
        <v>1147</v>
      </c>
      <c r="C1144" s="14">
        <v>4558.9399999999996</v>
      </c>
      <c r="D1144" s="11" t="s">
        <v>5</v>
      </c>
    </row>
    <row r="1145" spans="1:4" x14ac:dyDescent="0.25">
      <c r="A1145" s="4" t="s">
        <v>5796</v>
      </c>
      <c r="B1145" s="3" t="s">
        <v>1148</v>
      </c>
      <c r="C1145" s="14">
        <v>2987.52</v>
      </c>
      <c r="D1145" s="11" t="s">
        <v>5</v>
      </c>
    </row>
    <row r="1146" spans="1:4" x14ac:dyDescent="0.25">
      <c r="A1146" s="4" t="s">
        <v>5797</v>
      </c>
      <c r="B1146" s="3" t="s">
        <v>1149</v>
      </c>
      <c r="C1146" s="14">
        <v>3528.62</v>
      </c>
      <c r="D1146" s="11" t="s">
        <v>5</v>
      </c>
    </row>
    <row r="1147" spans="1:4" x14ac:dyDescent="0.25">
      <c r="A1147" s="4" t="s">
        <v>5798</v>
      </c>
      <c r="B1147" s="3" t="s">
        <v>1150</v>
      </c>
      <c r="C1147" s="14">
        <v>2987.52</v>
      </c>
      <c r="D1147" s="11" t="s">
        <v>5</v>
      </c>
    </row>
    <row r="1148" spans="1:4" x14ac:dyDescent="0.25">
      <c r="A1148" s="4" t="s">
        <v>5799</v>
      </c>
      <c r="B1148" s="3" t="s">
        <v>1151</v>
      </c>
      <c r="C1148" s="14">
        <v>737.1</v>
      </c>
      <c r="D1148" s="11" t="s">
        <v>5</v>
      </c>
    </row>
    <row r="1149" spans="1:4" x14ac:dyDescent="0.25">
      <c r="A1149" s="4" t="s">
        <v>5800</v>
      </c>
      <c r="B1149" s="3" t="s">
        <v>1152</v>
      </c>
      <c r="C1149" s="14">
        <v>181.38</v>
      </c>
      <c r="D1149" s="11" t="s">
        <v>5</v>
      </c>
    </row>
    <row r="1150" spans="1:4" x14ac:dyDescent="0.25">
      <c r="A1150" s="4" t="s">
        <v>5801</v>
      </c>
      <c r="B1150" s="3" t="s">
        <v>1153</v>
      </c>
      <c r="C1150" s="14">
        <v>55.98</v>
      </c>
      <c r="D1150" s="11" t="s">
        <v>5</v>
      </c>
    </row>
    <row r="1151" spans="1:4" x14ac:dyDescent="0.25">
      <c r="A1151" s="4" t="s">
        <v>5802</v>
      </c>
      <c r="B1151" s="3" t="s">
        <v>1154</v>
      </c>
      <c r="C1151" s="14">
        <v>42.9</v>
      </c>
      <c r="D1151" s="11" t="s">
        <v>5</v>
      </c>
    </row>
    <row r="1152" spans="1:4" x14ac:dyDescent="0.25">
      <c r="A1152" s="4" t="s">
        <v>5803</v>
      </c>
      <c r="B1152" s="3" t="s">
        <v>1155</v>
      </c>
      <c r="C1152" s="14">
        <v>95.06</v>
      </c>
      <c r="D1152" s="11" t="s">
        <v>5</v>
      </c>
    </row>
    <row r="1153" spans="1:4" x14ac:dyDescent="0.25">
      <c r="A1153" s="4" t="s">
        <v>5804</v>
      </c>
      <c r="B1153" s="3" t="s">
        <v>1156</v>
      </c>
      <c r="C1153" s="14">
        <v>23.13</v>
      </c>
      <c r="D1153" s="11" t="s">
        <v>5</v>
      </c>
    </row>
    <row r="1154" spans="1:4" x14ac:dyDescent="0.25">
      <c r="A1154" s="4" t="s">
        <v>5805</v>
      </c>
      <c r="B1154" s="3" t="s">
        <v>1157</v>
      </c>
      <c r="C1154" s="14">
        <v>22.74</v>
      </c>
      <c r="D1154" s="11" t="s">
        <v>5</v>
      </c>
    </row>
    <row r="1155" spans="1:4" x14ac:dyDescent="0.25">
      <c r="A1155" s="4" t="s">
        <v>5806</v>
      </c>
      <c r="B1155" s="3" t="s">
        <v>1158</v>
      </c>
      <c r="C1155" s="14">
        <v>178.2</v>
      </c>
      <c r="D1155" s="11" t="s">
        <v>5</v>
      </c>
    </row>
    <row r="1156" spans="1:4" x14ac:dyDescent="0.25">
      <c r="A1156" s="4" t="s">
        <v>5807</v>
      </c>
      <c r="B1156" s="3" t="s">
        <v>1159</v>
      </c>
      <c r="C1156" s="14">
        <v>71.13</v>
      </c>
      <c r="D1156" s="11" t="s">
        <v>5</v>
      </c>
    </row>
    <row r="1157" spans="1:4" x14ac:dyDescent="0.25">
      <c r="A1157" s="4" t="s">
        <v>5808</v>
      </c>
      <c r="B1157" s="3" t="s">
        <v>1160</v>
      </c>
      <c r="C1157" s="14">
        <v>75494.789999999994</v>
      </c>
      <c r="D1157" s="11" t="s">
        <v>5</v>
      </c>
    </row>
    <row r="1158" spans="1:4" x14ac:dyDescent="0.25">
      <c r="A1158" s="4" t="s">
        <v>5809</v>
      </c>
      <c r="B1158" s="3" t="s">
        <v>1161</v>
      </c>
      <c r="C1158" s="14">
        <v>97684.04</v>
      </c>
      <c r="D1158" s="11" t="s">
        <v>5</v>
      </c>
    </row>
    <row r="1159" spans="1:4" x14ac:dyDescent="0.25">
      <c r="A1159" s="4" t="s">
        <v>5810</v>
      </c>
      <c r="B1159" s="3" t="s">
        <v>1162</v>
      </c>
      <c r="C1159" s="14">
        <v>95554.23</v>
      </c>
      <c r="D1159" s="11" t="s">
        <v>5</v>
      </c>
    </row>
    <row r="1160" spans="1:4" x14ac:dyDescent="0.25">
      <c r="A1160" s="4" t="s">
        <v>5811</v>
      </c>
      <c r="B1160" s="3" t="s">
        <v>1163</v>
      </c>
      <c r="C1160" s="14">
        <v>114112.23</v>
      </c>
      <c r="D1160" s="11" t="s">
        <v>5</v>
      </c>
    </row>
    <row r="1161" spans="1:4" x14ac:dyDescent="0.25">
      <c r="A1161" s="4" t="s">
        <v>5812</v>
      </c>
      <c r="B1161" s="3" t="s">
        <v>1164</v>
      </c>
      <c r="C1161" s="14">
        <v>7845.89</v>
      </c>
      <c r="D1161" s="11" t="s">
        <v>5</v>
      </c>
    </row>
    <row r="1162" spans="1:4" x14ac:dyDescent="0.25">
      <c r="A1162" s="4" t="s">
        <v>5813</v>
      </c>
      <c r="B1162" s="3" t="s">
        <v>1165</v>
      </c>
      <c r="C1162" s="14">
        <v>6408.69</v>
      </c>
      <c r="D1162" s="11" t="s">
        <v>5</v>
      </c>
    </row>
    <row r="1163" spans="1:4" x14ac:dyDescent="0.25">
      <c r="A1163" s="4" t="s">
        <v>5814</v>
      </c>
      <c r="B1163" s="3" t="s">
        <v>1166</v>
      </c>
      <c r="C1163" s="14">
        <v>6408.69</v>
      </c>
      <c r="D1163" s="11" t="s">
        <v>5</v>
      </c>
    </row>
    <row r="1164" spans="1:4" x14ac:dyDescent="0.25">
      <c r="A1164" s="4" t="s">
        <v>5815</v>
      </c>
      <c r="B1164" s="3" t="s">
        <v>1167</v>
      </c>
      <c r="C1164" s="14">
        <v>8603.57</v>
      </c>
      <c r="D1164" s="11" t="s">
        <v>5</v>
      </c>
    </row>
    <row r="1165" spans="1:4" x14ac:dyDescent="0.25">
      <c r="A1165" s="4" t="s">
        <v>5816</v>
      </c>
      <c r="B1165" s="3" t="s">
        <v>1168</v>
      </c>
      <c r="C1165" s="14">
        <v>6239.4</v>
      </c>
      <c r="D1165" s="11" t="s">
        <v>5</v>
      </c>
    </row>
    <row r="1166" spans="1:4" x14ac:dyDescent="0.25">
      <c r="A1166" s="4" t="s">
        <v>5817</v>
      </c>
      <c r="B1166" s="3" t="s">
        <v>1169</v>
      </c>
      <c r="C1166" s="14">
        <v>1109.57</v>
      </c>
      <c r="D1166" s="11" t="s">
        <v>5</v>
      </c>
    </row>
    <row r="1167" spans="1:4" x14ac:dyDescent="0.25">
      <c r="A1167" s="4" t="s">
        <v>5818</v>
      </c>
      <c r="B1167" s="3" t="s">
        <v>1170</v>
      </c>
      <c r="C1167" s="14">
        <v>9102.15</v>
      </c>
      <c r="D1167" s="11" t="s">
        <v>5</v>
      </c>
    </row>
    <row r="1168" spans="1:4" x14ac:dyDescent="0.25">
      <c r="A1168" s="4" t="s">
        <v>5819</v>
      </c>
      <c r="B1168" s="3" t="s">
        <v>1171</v>
      </c>
      <c r="C1168" s="14">
        <v>41915.49</v>
      </c>
      <c r="D1168" s="11" t="s">
        <v>5</v>
      </c>
    </row>
    <row r="1169" spans="1:4" x14ac:dyDescent="0.25">
      <c r="A1169" s="4" t="s">
        <v>5820</v>
      </c>
      <c r="B1169" s="3" t="s">
        <v>1172</v>
      </c>
      <c r="C1169" s="14">
        <v>340.41</v>
      </c>
      <c r="D1169" s="11" t="s">
        <v>5</v>
      </c>
    </row>
    <row r="1170" spans="1:4" x14ac:dyDescent="0.25">
      <c r="A1170" s="4" t="s">
        <v>5821</v>
      </c>
      <c r="B1170" s="3" t="s">
        <v>1173</v>
      </c>
      <c r="C1170" s="14">
        <v>5681.55</v>
      </c>
      <c r="D1170" s="11" t="s">
        <v>5</v>
      </c>
    </row>
    <row r="1171" spans="1:4" x14ac:dyDescent="0.25">
      <c r="A1171" s="4" t="s">
        <v>5822</v>
      </c>
      <c r="B1171" s="3" t="s">
        <v>1174</v>
      </c>
      <c r="C1171" s="14">
        <v>5107.01</v>
      </c>
      <c r="D1171" s="11" t="s">
        <v>5</v>
      </c>
    </row>
    <row r="1172" spans="1:4" x14ac:dyDescent="0.25">
      <c r="A1172" s="4" t="s">
        <v>5823</v>
      </c>
      <c r="B1172" s="3" t="s">
        <v>1175</v>
      </c>
      <c r="C1172" s="14">
        <v>3405.42</v>
      </c>
      <c r="D1172" s="11" t="s">
        <v>5</v>
      </c>
    </row>
    <row r="1173" spans="1:4" x14ac:dyDescent="0.25">
      <c r="A1173" s="4" t="s">
        <v>5824</v>
      </c>
      <c r="B1173" s="3" t="s">
        <v>1176</v>
      </c>
      <c r="C1173" s="14">
        <v>2689.83</v>
      </c>
      <c r="D1173" s="11" t="s">
        <v>5</v>
      </c>
    </row>
    <row r="1174" spans="1:4" x14ac:dyDescent="0.25">
      <c r="A1174" s="4" t="s">
        <v>5825</v>
      </c>
      <c r="B1174" s="3" t="s">
        <v>1177</v>
      </c>
      <c r="C1174" s="14">
        <v>2080.34</v>
      </c>
      <c r="D1174" s="11" t="s">
        <v>5</v>
      </c>
    </row>
    <row r="1175" spans="1:4" x14ac:dyDescent="0.25">
      <c r="A1175" s="4" t="s">
        <v>5826</v>
      </c>
      <c r="B1175" s="3" t="s">
        <v>1178</v>
      </c>
      <c r="C1175" s="14">
        <v>3499.46</v>
      </c>
      <c r="D1175" s="11" t="s">
        <v>5</v>
      </c>
    </row>
    <row r="1176" spans="1:4" x14ac:dyDescent="0.25">
      <c r="A1176" s="4" t="s">
        <v>5827</v>
      </c>
      <c r="B1176" s="3" t="s">
        <v>1179</v>
      </c>
      <c r="C1176" s="14">
        <v>5771.42</v>
      </c>
      <c r="D1176" s="11" t="s">
        <v>5</v>
      </c>
    </row>
    <row r="1177" spans="1:4" x14ac:dyDescent="0.25">
      <c r="A1177" s="4" t="s">
        <v>5828</v>
      </c>
      <c r="B1177" s="3" t="s">
        <v>1180</v>
      </c>
      <c r="C1177" s="14">
        <v>5440.02</v>
      </c>
      <c r="D1177" s="11" t="s">
        <v>5</v>
      </c>
    </row>
    <row r="1178" spans="1:4" x14ac:dyDescent="0.25">
      <c r="A1178" s="4" t="s">
        <v>5829</v>
      </c>
      <c r="B1178" s="3" t="s">
        <v>1181</v>
      </c>
      <c r="C1178" s="14">
        <v>2689.83</v>
      </c>
      <c r="D1178" s="11" t="s">
        <v>5</v>
      </c>
    </row>
    <row r="1179" spans="1:4" x14ac:dyDescent="0.25">
      <c r="A1179" s="4" t="s">
        <v>5830</v>
      </c>
      <c r="B1179" s="3" t="s">
        <v>1182</v>
      </c>
      <c r="C1179" s="14">
        <v>2080.34</v>
      </c>
      <c r="D1179" s="11" t="s">
        <v>5</v>
      </c>
    </row>
    <row r="1180" spans="1:4" x14ac:dyDescent="0.25">
      <c r="A1180" s="4" t="s">
        <v>5831</v>
      </c>
      <c r="B1180" s="3" t="s">
        <v>1183</v>
      </c>
      <c r="C1180" s="14">
        <v>5771.42</v>
      </c>
      <c r="D1180" s="11" t="s">
        <v>5</v>
      </c>
    </row>
    <row r="1181" spans="1:4" x14ac:dyDescent="0.25">
      <c r="A1181" s="4" t="s">
        <v>5832</v>
      </c>
      <c r="B1181" s="3" t="s">
        <v>1184</v>
      </c>
      <c r="C1181" s="14">
        <v>5440.02</v>
      </c>
      <c r="D1181" s="11" t="s">
        <v>5</v>
      </c>
    </row>
    <row r="1182" spans="1:4" x14ac:dyDescent="0.25">
      <c r="A1182" s="4" t="s">
        <v>5833</v>
      </c>
      <c r="B1182" s="3" t="s">
        <v>1185</v>
      </c>
      <c r="C1182" s="14">
        <v>2689.83</v>
      </c>
      <c r="D1182" s="11" t="s">
        <v>5</v>
      </c>
    </row>
    <row r="1183" spans="1:4" x14ac:dyDescent="0.25">
      <c r="A1183" s="4" t="s">
        <v>5834</v>
      </c>
      <c r="B1183" s="3" t="s">
        <v>1186</v>
      </c>
      <c r="C1183" s="14">
        <v>2080.34</v>
      </c>
      <c r="D1183" s="11" t="s">
        <v>5</v>
      </c>
    </row>
    <row r="1184" spans="1:4" x14ac:dyDescent="0.25">
      <c r="A1184" s="4" t="s">
        <v>5835</v>
      </c>
      <c r="B1184" s="3" t="s">
        <v>1187</v>
      </c>
      <c r="C1184" s="14">
        <v>5681.55</v>
      </c>
      <c r="D1184" s="11" t="s">
        <v>5</v>
      </c>
    </row>
    <row r="1185" spans="1:4" x14ac:dyDescent="0.25">
      <c r="A1185" s="4" t="s">
        <v>5836</v>
      </c>
      <c r="B1185" s="3" t="s">
        <v>1188</v>
      </c>
      <c r="C1185" s="14">
        <v>2080.34</v>
      </c>
      <c r="D1185" s="11" t="s">
        <v>5</v>
      </c>
    </row>
    <row r="1186" spans="1:4" x14ac:dyDescent="0.25">
      <c r="A1186" s="4" t="s">
        <v>5837</v>
      </c>
      <c r="B1186" s="3" t="s">
        <v>1189</v>
      </c>
      <c r="C1186" s="14">
        <v>5771.42</v>
      </c>
      <c r="D1186" s="11" t="s">
        <v>5</v>
      </c>
    </row>
    <row r="1187" spans="1:4" x14ac:dyDescent="0.25">
      <c r="A1187" s="4" t="s">
        <v>5838</v>
      </c>
      <c r="B1187" s="3" t="s">
        <v>1190</v>
      </c>
      <c r="C1187" s="14">
        <v>4582.67</v>
      </c>
      <c r="D1187" s="11" t="s">
        <v>5</v>
      </c>
    </row>
    <row r="1188" spans="1:4" x14ac:dyDescent="0.25">
      <c r="A1188" s="4" t="s">
        <v>5839</v>
      </c>
      <c r="B1188" s="3" t="s">
        <v>1191</v>
      </c>
      <c r="C1188" s="14">
        <v>2689.83</v>
      </c>
      <c r="D1188" s="11" t="s">
        <v>5</v>
      </c>
    </row>
    <row r="1189" spans="1:4" x14ac:dyDescent="0.25">
      <c r="A1189" s="4" t="s">
        <v>5840</v>
      </c>
      <c r="B1189" s="3" t="s">
        <v>1192</v>
      </c>
      <c r="C1189" s="14">
        <v>1908.59</v>
      </c>
      <c r="D1189" s="11" t="s">
        <v>5</v>
      </c>
    </row>
    <row r="1190" spans="1:4" x14ac:dyDescent="0.25">
      <c r="A1190" s="4" t="s">
        <v>5841</v>
      </c>
      <c r="B1190" s="3" t="s">
        <v>1193</v>
      </c>
      <c r="C1190" s="14">
        <v>5771.42</v>
      </c>
      <c r="D1190" s="11" t="s">
        <v>5</v>
      </c>
    </row>
    <row r="1191" spans="1:4" x14ac:dyDescent="0.25">
      <c r="A1191" s="4" t="s">
        <v>5842</v>
      </c>
      <c r="B1191" s="3" t="s">
        <v>1194</v>
      </c>
      <c r="C1191" s="14">
        <v>5440.02</v>
      </c>
      <c r="D1191" s="11" t="s">
        <v>5</v>
      </c>
    </row>
    <row r="1192" spans="1:4" x14ac:dyDescent="0.25">
      <c r="A1192" s="4" t="s">
        <v>5843</v>
      </c>
      <c r="B1192" s="3" t="s">
        <v>1195</v>
      </c>
      <c r="C1192" s="14">
        <v>2689.83</v>
      </c>
      <c r="D1192" s="11" t="s">
        <v>5</v>
      </c>
    </row>
    <row r="1193" spans="1:4" x14ac:dyDescent="0.25">
      <c r="A1193" s="4" t="s">
        <v>5844</v>
      </c>
      <c r="B1193" s="3" t="s">
        <v>1196</v>
      </c>
      <c r="C1193" s="14">
        <v>2080.34</v>
      </c>
      <c r="D1193" s="11" t="s">
        <v>5</v>
      </c>
    </row>
    <row r="1194" spans="1:4" x14ac:dyDescent="0.25">
      <c r="A1194" s="4" t="s">
        <v>5845</v>
      </c>
      <c r="B1194" s="3" t="s">
        <v>1197</v>
      </c>
      <c r="C1194" s="14">
        <v>4713.93</v>
      </c>
      <c r="D1194" s="11" t="s">
        <v>5</v>
      </c>
    </row>
    <row r="1195" spans="1:4" x14ac:dyDescent="0.25">
      <c r="A1195" s="4" t="s">
        <v>5846</v>
      </c>
      <c r="B1195" s="3" t="s">
        <v>1198</v>
      </c>
      <c r="C1195" s="14">
        <v>4713.93</v>
      </c>
      <c r="D1195" s="11" t="s">
        <v>5</v>
      </c>
    </row>
    <row r="1196" spans="1:4" x14ac:dyDescent="0.25">
      <c r="A1196" s="4" t="s">
        <v>5847</v>
      </c>
      <c r="B1196" s="3" t="s">
        <v>1199</v>
      </c>
      <c r="C1196" s="14">
        <v>2620.4699999999998</v>
      </c>
      <c r="D1196" s="11" t="s">
        <v>5</v>
      </c>
    </row>
    <row r="1197" spans="1:4" x14ac:dyDescent="0.25">
      <c r="A1197" s="4" t="s">
        <v>5848</v>
      </c>
      <c r="B1197" s="3" t="s">
        <v>1200</v>
      </c>
      <c r="C1197" s="14">
        <v>2620.4699999999998</v>
      </c>
      <c r="D1197" s="11" t="s">
        <v>5</v>
      </c>
    </row>
    <row r="1198" spans="1:4" x14ac:dyDescent="0.25">
      <c r="A1198" s="4" t="s">
        <v>5849</v>
      </c>
      <c r="B1198" s="3" t="s">
        <v>1201</v>
      </c>
      <c r="C1198" s="14">
        <v>3329.01</v>
      </c>
      <c r="D1198" s="11" t="s">
        <v>5</v>
      </c>
    </row>
    <row r="1199" spans="1:4" x14ac:dyDescent="0.25">
      <c r="A1199" s="4" t="s">
        <v>5850</v>
      </c>
      <c r="B1199" s="3" t="s">
        <v>1202</v>
      </c>
      <c r="C1199" s="14">
        <v>1856.9</v>
      </c>
      <c r="D1199" s="11" t="s">
        <v>5</v>
      </c>
    </row>
    <row r="1200" spans="1:4" x14ac:dyDescent="0.25">
      <c r="A1200" s="4" t="s">
        <v>5851</v>
      </c>
      <c r="B1200" s="3" t="s">
        <v>1203</v>
      </c>
      <c r="C1200" s="14">
        <v>1856.9</v>
      </c>
      <c r="D1200" s="11" t="s">
        <v>5</v>
      </c>
    </row>
    <row r="1201" spans="1:4" x14ac:dyDescent="0.25">
      <c r="A1201" s="4" t="s">
        <v>5852</v>
      </c>
      <c r="B1201" s="3" t="s">
        <v>1204</v>
      </c>
      <c r="C1201" s="14">
        <v>3302.45</v>
      </c>
      <c r="D1201" s="11" t="s">
        <v>5</v>
      </c>
    </row>
    <row r="1202" spans="1:4" x14ac:dyDescent="0.25">
      <c r="A1202" s="4" t="s">
        <v>5853</v>
      </c>
      <c r="B1202" s="3" t="s">
        <v>1205</v>
      </c>
      <c r="C1202" s="14">
        <v>5431.17</v>
      </c>
      <c r="D1202" s="11" t="s">
        <v>5</v>
      </c>
    </row>
    <row r="1203" spans="1:4" x14ac:dyDescent="0.25">
      <c r="A1203" s="4" t="s">
        <v>5854</v>
      </c>
      <c r="B1203" s="3" t="s">
        <v>1206</v>
      </c>
      <c r="C1203" s="14">
        <v>5510.03</v>
      </c>
      <c r="D1203" s="11" t="s">
        <v>5</v>
      </c>
    </row>
    <row r="1204" spans="1:4" x14ac:dyDescent="0.25">
      <c r="A1204" s="4" t="s">
        <v>5855</v>
      </c>
      <c r="B1204" s="3" t="s">
        <v>1207</v>
      </c>
      <c r="C1204" s="14">
        <v>24490.19</v>
      </c>
      <c r="D1204" s="11" t="s">
        <v>5</v>
      </c>
    </row>
    <row r="1205" spans="1:4" x14ac:dyDescent="0.25">
      <c r="A1205" s="4" t="s">
        <v>5856</v>
      </c>
      <c r="B1205" s="3" t="s">
        <v>1208</v>
      </c>
      <c r="C1205" s="14">
        <v>24489.23</v>
      </c>
      <c r="D1205" s="11" t="s">
        <v>5</v>
      </c>
    </row>
    <row r="1206" spans="1:4" x14ac:dyDescent="0.25">
      <c r="A1206" s="4" t="s">
        <v>5857</v>
      </c>
      <c r="B1206" s="3" t="s">
        <v>1209</v>
      </c>
      <c r="C1206" s="14">
        <v>16873.939999999999</v>
      </c>
      <c r="D1206" s="11" t="s">
        <v>5</v>
      </c>
    </row>
    <row r="1207" spans="1:4" x14ac:dyDescent="0.25">
      <c r="A1207" s="4" t="s">
        <v>5858</v>
      </c>
      <c r="B1207" s="3" t="s">
        <v>1210</v>
      </c>
      <c r="C1207" s="14">
        <v>2913.18</v>
      </c>
      <c r="D1207" s="11" t="s">
        <v>5</v>
      </c>
    </row>
    <row r="1208" spans="1:4" x14ac:dyDescent="0.25">
      <c r="A1208" s="4" t="s">
        <v>5859</v>
      </c>
      <c r="B1208" s="3" t="s">
        <v>1211</v>
      </c>
      <c r="C1208" s="14">
        <v>32606.42</v>
      </c>
      <c r="D1208" s="11" t="s">
        <v>5</v>
      </c>
    </row>
    <row r="1209" spans="1:4" x14ac:dyDescent="0.25">
      <c r="A1209" s="4" t="s">
        <v>5860</v>
      </c>
      <c r="B1209" s="3" t="s">
        <v>1212</v>
      </c>
      <c r="C1209" s="14">
        <v>29732.240000000002</v>
      </c>
      <c r="D1209" s="11" t="s">
        <v>5</v>
      </c>
    </row>
    <row r="1210" spans="1:4" x14ac:dyDescent="0.25">
      <c r="A1210" s="4" t="s">
        <v>5861</v>
      </c>
      <c r="B1210" s="3" t="s">
        <v>1213</v>
      </c>
      <c r="C1210" s="14">
        <v>33168.870000000003</v>
      </c>
      <c r="D1210" s="11" t="s">
        <v>5</v>
      </c>
    </row>
    <row r="1211" spans="1:4" x14ac:dyDescent="0.25">
      <c r="A1211" s="4" t="s">
        <v>5862</v>
      </c>
      <c r="B1211" s="3" t="s">
        <v>1214</v>
      </c>
      <c r="C1211" s="14">
        <v>21868.799999999999</v>
      </c>
      <c r="D1211" s="11" t="s">
        <v>5</v>
      </c>
    </row>
    <row r="1212" spans="1:4" x14ac:dyDescent="0.25">
      <c r="A1212" s="4" t="s">
        <v>5863</v>
      </c>
      <c r="B1212" s="3" t="s">
        <v>1215</v>
      </c>
      <c r="C1212" s="14">
        <v>49052.99</v>
      </c>
      <c r="D1212" s="11" t="s">
        <v>5</v>
      </c>
    </row>
    <row r="1213" spans="1:4" x14ac:dyDescent="0.25">
      <c r="A1213" s="4" t="s">
        <v>5864</v>
      </c>
      <c r="B1213" s="3" t="s">
        <v>1216</v>
      </c>
      <c r="C1213" s="14">
        <v>6731.24</v>
      </c>
      <c r="D1213" s="11" t="s">
        <v>5</v>
      </c>
    </row>
    <row r="1214" spans="1:4" x14ac:dyDescent="0.25">
      <c r="A1214" s="4" t="s">
        <v>5865</v>
      </c>
      <c r="B1214" s="3" t="s">
        <v>1217</v>
      </c>
      <c r="C1214" s="14">
        <v>9104.07</v>
      </c>
      <c r="D1214" s="11" t="s">
        <v>5</v>
      </c>
    </row>
    <row r="1215" spans="1:4" x14ac:dyDescent="0.25">
      <c r="A1215" s="4" t="s">
        <v>5866</v>
      </c>
      <c r="B1215" s="3" t="s">
        <v>1218</v>
      </c>
      <c r="C1215" s="14">
        <v>3361.35</v>
      </c>
      <c r="D1215" s="11" t="s">
        <v>5</v>
      </c>
    </row>
    <row r="1216" spans="1:4" x14ac:dyDescent="0.25">
      <c r="A1216" s="4" t="s">
        <v>5867</v>
      </c>
      <c r="B1216" s="3" t="s">
        <v>1219</v>
      </c>
      <c r="C1216" s="14">
        <v>69.69</v>
      </c>
      <c r="D1216" s="11" t="s">
        <v>5</v>
      </c>
    </row>
    <row r="1217" spans="1:4" x14ac:dyDescent="0.25">
      <c r="A1217" s="4" t="s">
        <v>5868</v>
      </c>
      <c r="B1217" s="3" t="s">
        <v>1220</v>
      </c>
      <c r="C1217" s="14">
        <v>83.48</v>
      </c>
      <c r="D1217" s="11" t="s">
        <v>5</v>
      </c>
    </row>
    <row r="1218" spans="1:4" x14ac:dyDescent="0.25">
      <c r="A1218" s="4" t="s">
        <v>5869</v>
      </c>
      <c r="B1218" s="3" t="s">
        <v>1221</v>
      </c>
      <c r="C1218" s="14">
        <v>48.83</v>
      </c>
      <c r="D1218" s="11" t="s">
        <v>5</v>
      </c>
    </row>
    <row r="1219" spans="1:4" x14ac:dyDescent="0.25">
      <c r="A1219" s="4" t="s">
        <v>5870</v>
      </c>
      <c r="B1219" s="3" t="s">
        <v>1222</v>
      </c>
      <c r="C1219" s="14">
        <v>11049.44</v>
      </c>
      <c r="D1219" s="11" t="s">
        <v>5</v>
      </c>
    </row>
    <row r="1220" spans="1:4" x14ac:dyDescent="0.25">
      <c r="A1220" s="4" t="s">
        <v>5871</v>
      </c>
      <c r="B1220" s="3" t="s">
        <v>1223</v>
      </c>
      <c r="C1220" s="14">
        <v>20079.509999999998</v>
      </c>
      <c r="D1220" s="11" t="s">
        <v>5</v>
      </c>
    </row>
    <row r="1221" spans="1:4" x14ac:dyDescent="0.25">
      <c r="A1221" s="4" t="s">
        <v>5872</v>
      </c>
      <c r="B1221" s="3" t="s">
        <v>1224</v>
      </c>
      <c r="C1221" s="14">
        <v>14491.05</v>
      </c>
      <c r="D1221" s="11" t="s">
        <v>5</v>
      </c>
    </row>
    <row r="1222" spans="1:4" x14ac:dyDescent="0.25">
      <c r="A1222" s="4" t="s">
        <v>5873</v>
      </c>
      <c r="B1222" s="3" t="s">
        <v>1225</v>
      </c>
      <c r="C1222" s="14">
        <v>26540.400000000001</v>
      </c>
      <c r="D1222" s="11" t="s">
        <v>5</v>
      </c>
    </row>
    <row r="1223" spans="1:4" x14ac:dyDescent="0.25">
      <c r="A1223" s="4" t="s">
        <v>5874</v>
      </c>
      <c r="B1223" s="3" t="s">
        <v>1226</v>
      </c>
      <c r="C1223" s="14">
        <v>1243.56</v>
      </c>
      <c r="D1223" s="11" t="s">
        <v>5</v>
      </c>
    </row>
    <row r="1224" spans="1:4" x14ac:dyDescent="0.25">
      <c r="A1224" s="4" t="s">
        <v>5875</v>
      </c>
      <c r="B1224" s="3" t="s">
        <v>1227</v>
      </c>
      <c r="C1224" s="14">
        <v>964.86</v>
      </c>
      <c r="D1224" s="11" t="s">
        <v>5</v>
      </c>
    </row>
    <row r="1225" spans="1:4" x14ac:dyDescent="0.25">
      <c r="A1225" s="4" t="s">
        <v>5876</v>
      </c>
      <c r="B1225" s="3" t="s">
        <v>1228</v>
      </c>
      <c r="C1225" s="14">
        <v>811.02</v>
      </c>
      <c r="D1225" s="11" t="s">
        <v>5</v>
      </c>
    </row>
    <row r="1226" spans="1:4" x14ac:dyDescent="0.25">
      <c r="A1226" s="4" t="s">
        <v>5877</v>
      </c>
      <c r="B1226" s="3" t="s">
        <v>1229</v>
      </c>
      <c r="C1226" s="14">
        <v>11058.77</v>
      </c>
      <c r="D1226" s="11" t="s">
        <v>5</v>
      </c>
    </row>
    <row r="1227" spans="1:4" x14ac:dyDescent="0.25">
      <c r="A1227" s="4" t="s">
        <v>5878</v>
      </c>
      <c r="B1227" s="3" t="s">
        <v>1230</v>
      </c>
      <c r="C1227" s="14">
        <v>5372.63</v>
      </c>
      <c r="D1227" s="11" t="s">
        <v>5</v>
      </c>
    </row>
    <row r="1228" spans="1:4" x14ac:dyDescent="0.25">
      <c r="A1228" s="4" t="s">
        <v>5879</v>
      </c>
      <c r="B1228" s="3" t="s">
        <v>1231</v>
      </c>
      <c r="C1228" s="14">
        <v>2004.6</v>
      </c>
      <c r="D1228" s="11" t="s">
        <v>5</v>
      </c>
    </row>
    <row r="1229" spans="1:4" x14ac:dyDescent="0.25">
      <c r="A1229" s="4" t="s">
        <v>5880</v>
      </c>
      <c r="B1229" s="3" t="s">
        <v>1232</v>
      </c>
      <c r="C1229" s="14">
        <v>1573.23</v>
      </c>
      <c r="D1229" s="11" t="s">
        <v>5</v>
      </c>
    </row>
    <row r="1230" spans="1:4" x14ac:dyDescent="0.25">
      <c r="A1230" s="4" t="s">
        <v>5881</v>
      </c>
      <c r="B1230" s="3" t="s">
        <v>1233</v>
      </c>
      <c r="C1230" s="14">
        <v>1179.93</v>
      </c>
      <c r="D1230" s="11" t="s">
        <v>5</v>
      </c>
    </row>
    <row r="1231" spans="1:4" x14ac:dyDescent="0.25">
      <c r="A1231" s="4" t="s">
        <v>5882</v>
      </c>
      <c r="B1231" s="3" t="s">
        <v>1234</v>
      </c>
      <c r="C1231" s="14">
        <v>710.49</v>
      </c>
      <c r="D1231" s="11" t="s">
        <v>5</v>
      </c>
    </row>
    <row r="1232" spans="1:4" x14ac:dyDescent="0.25">
      <c r="A1232" s="4" t="s">
        <v>5883</v>
      </c>
      <c r="B1232" s="3" t="s">
        <v>1235</v>
      </c>
      <c r="C1232" s="14">
        <v>2930.78</v>
      </c>
      <c r="D1232" s="11" t="s">
        <v>5</v>
      </c>
    </row>
    <row r="1233" spans="1:4" x14ac:dyDescent="0.25">
      <c r="A1233" s="4" t="s">
        <v>5884</v>
      </c>
      <c r="B1233" s="3" t="s">
        <v>1236</v>
      </c>
      <c r="C1233" s="14">
        <v>812</v>
      </c>
      <c r="D1233" s="11" t="s">
        <v>5</v>
      </c>
    </row>
    <row r="1234" spans="1:4" x14ac:dyDescent="0.25">
      <c r="A1234" s="4" t="s">
        <v>5885</v>
      </c>
      <c r="B1234" s="3" t="s">
        <v>1237</v>
      </c>
      <c r="C1234" s="14">
        <v>82680</v>
      </c>
      <c r="D1234" s="11" t="s">
        <v>5</v>
      </c>
    </row>
    <row r="1235" spans="1:4" x14ac:dyDescent="0.25">
      <c r="A1235" s="4" t="s">
        <v>5886</v>
      </c>
      <c r="B1235" s="3" t="s">
        <v>1238</v>
      </c>
      <c r="C1235" s="14">
        <v>18285</v>
      </c>
      <c r="D1235" s="11" t="s">
        <v>5</v>
      </c>
    </row>
    <row r="1236" spans="1:4" x14ac:dyDescent="0.25">
      <c r="A1236" s="4" t="s">
        <v>5887</v>
      </c>
      <c r="B1236" s="3" t="s">
        <v>1239</v>
      </c>
      <c r="C1236" s="14">
        <v>3088.55</v>
      </c>
      <c r="D1236" s="11" t="s">
        <v>5</v>
      </c>
    </row>
    <row r="1237" spans="1:4" x14ac:dyDescent="0.25">
      <c r="A1237" s="4" t="s">
        <v>5888</v>
      </c>
      <c r="B1237" s="3" t="s">
        <v>1240</v>
      </c>
      <c r="C1237" s="14">
        <v>955.62</v>
      </c>
      <c r="D1237" s="11" t="s">
        <v>5</v>
      </c>
    </row>
    <row r="1238" spans="1:4" x14ac:dyDescent="0.25">
      <c r="A1238" s="4" t="s">
        <v>5889</v>
      </c>
      <c r="B1238" s="3" t="s">
        <v>1241</v>
      </c>
      <c r="C1238" s="14">
        <v>955.62</v>
      </c>
      <c r="D1238" s="11" t="s">
        <v>5</v>
      </c>
    </row>
    <row r="1239" spans="1:4" x14ac:dyDescent="0.25">
      <c r="A1239" s="4" t="s">
        <v>5890</v>
      </c>
      <c r="B1239" s="3" t="s">
        <v>1242</v>
      </c>
      <c r="C1239" s="14">
        <v>740.96</v>
      </c>
      <c r="D1239" s="11" t="s">
        <v>5</v>
      </c>
    </row>
    <row r="1240" spans="1:4" x14ac:dyDescent="0.25">
      <c r="A1240" s="4" t="s">
        <v>5891</v>
      </c>
      <c r="B1240" s="3" t="s">
        <v>1243</v>
      </c>
      <c r="C1240" s="14">
        <v>824.46</v>
      </c>
      <c r="D1240" s="11" t="s">
        <v>5</v>
      </c>
    </row>
    <row r="1241" spans="1:4" x14ac:dyDescent="0.25">
      <c r="A1241" s="4" t="s">
        <v>5892</v>
      </c>
      <c r="B1241" s="3" t="s">
        <v>1244</v>
      </c>
      <c r="C1241" s="14">
        <v>921.47</v>
      </c>
      <c r="D1241" s="11" t="s">
        <v>5</v>
      </c>
    </row>
    <row r="1242" spans="1:4" x14ac:dyDescent="0.25">
      <c r="A1242" s="4" t="s">
        <v>5893</v>
      </c>
      <c r="B1242" s="3" t="s">
        <v>1245</v>
      </c>
      <c r="C1242" s="14">
        <v>1257.74</v>
      </c>
      <c r="D1242" s="11" t="s">
        <v>5</v>
      </c>
    </row>
    <row r="1243" spans="1:4" x14ac:dyDescent="0.25">
      <c r="A1243" s="4" t="s">
        <v>5894</v>
      </c>
      <c r="B1243" s="3" t="s">
        <v>1246</v>
      </c>
      <c r="C1243" s="14">
        <v>921.47</v>
      </c>
      <c r="D1243" s="11" t="s">
        <v>5</v>
      </c>
    </row>
    <row r="1244" spans="1:4" x14ac:dyDescent="0.25">
      <c r="A1244" s="4" t="s">
        <v>5895</v>
      </c>
      <c r="B1244" s="3" t="s">
        <v>1247</v>
      </c>
      <c r="C1244" s="14">
        <v>1535.15</v>
      </c>
      <c r="D1244" s="11" t="s">
        <v>5</v>
      </c>
    </row>
    <row r="1245" spans="1:4" x14ac:dyDescent="0.25">
      <c r="A1245" s="4" t="s">
        <v>5896</v>
      </c>
      <c r="B1245" s="3" t="s">
        <v>1248</v>
      </c>
      <c r="C1245" s="14">
        <v>646.22</v>
      </c>
      <c r="D1245" s="11" t="s">
        <v>5</v>
      </c>
    </row>
    <row r="1246" spans="1:4" x14ac:dyDescent="0.25">
      <c r="A1246" s="4" t="s">
        <v>5897</v>
      </c>
      <c r="B1246" s="3" t="s">
        <v>1249</v>
      </c>
      <c r="C1246" s="14">
        <v>1365.62</v>
      </c>
      <c r="D1246" s="11" t="s">
        <v>5</v>
      </c>
    </row>
    <row r="1247" spans="1:4" x14ac:dyDescent="0.25">
      <c r="A1247" s="4" t="s">
        <v>5898</v>
      </c>
      <c r="B1247" s="3" t="s">
        <v>1250</v>
      </c>
      <c r="C1247" s="14">
        <v>5478</v>
      </c>
      <c r="D1247" s="11" t="s">
        <v>5</v>
      </c>
    </row>
    <row r="1248" spans="1:4" x14ac:dyDescent="0.25">
      <c r="A1248" s="4" t="s">
        <v>5899</v>
      </c>
      <c r="B1248" s="3" t="s">
        <v>1251</v>
      </c>
      <c r="C1248" s="14">
        <v>9900</v>
      </c>
      <c r="D1248" s="11" t="s">
        <v>5</v>
      </c>
    </row>
    <row r="1249" spans="1:4" x14ac:dyDescent="0.25">
      <c r="A1249" s="4" t="s">
        <v>5900</v>
      </c>
      <c r="B1249" s="3" t="s">
        <v>1252</v>
      </c>
      <c r="C1249" s="14">
        <v>10309.92</v>
      </c>
      <c r="D1249" s="11" t="s">
        <v>5</v>
      </c>
    </row>
    <row r="1250" spans="1:4" x14ac:dyDescent="0.25">
      <c r="A1250" s="4" t="s">
        <v>5901</v>
      </c>
      <c r="B1250" s="3" t="s">
        <v>1253</v>
      </c>
      <c r="C1250" s="14">
        <v>13093.59</v>
      </c>
      <c r="D1250" s="11" t="s">
        <v>5</v>
      </c>
    </row>
    <row r="1251" spans="1:4" x14ac:dyDescent="0.25">
      <c r="A1251" s="4" t="s">
        <v>5902</v>
      </c>
      <c r="B1251" s="3" t="s">
        <v>1254</v>
      </c>
      <c r="C1251" s="14">
        <v>19285.91</v>
      </c>
      <c r="D1251" s="11" t="s">
        <v>5</v>
      </c>
    </row>
    <row r="1252" spans="1:4" x14ac:dyDescent="0.25">
      <c r="A1252" s="4" t="s">
        <v>5903</v>
      </c>
      <c r="B1252" s="3" t="s">
        <v>1255</v>
      </c>
      <c r="C1252" s="14">
        <v>26253.96</v>
      </c>
      <c r="D1252" s="11" t="s">
        <v>5</v>
      </c>
    </row>
    <row r="1253" spans="1:4" x14ac:dyDescent="0.25">
      <c r="A1253" s="4" t="s">
        <v>5904</v>
      </c>
      <c r="B1253" s="3" t="s">
        <v>1256</v>
      </c>
      <c r="C1253" s="14">
        <v>2637.83</v>
      </c>
      <c r="D1253" s="11" t="s">
        <v>5</v>
      </c>
    </row>
    <row r="1254" spans="1:4" x14ac:dyDescent="0.25">
      <c r="A1254" s="4" t="s">
        <v>5905</v>
      </c>
      <c r="B1254" s="3" t="s">
        <v>1257</v>
      </c>
      <c r="C1254" s="14">
        <v>2770.29</v>
      </c>
      <c r="D1254" s="11" t="s">
        <v>5</v>
      </c>
    </row>
    <row r="1255" spans="1:4" x14ac:dyDescent="0.25">
      <c r="A1255" s="4" t="s">
        <v>5906</v>
      </c>
      <c r="B1255" s="3" t="s">
        <v>1258</v>
      </c>
      <c r="C1255" s="14">
        <v>2901.63</v>
      </c>
      <c r="D1255" s="11" t="s">
        <v>5</v>
      </c>
    </row>
    <row r="1256" spans="1:4" x14ac:dyDescent="0.25">
      <c r="A1256" s="4" t="s">
        <v>5907</v>
      </c>
      <c r="B1256" s="3" t="s">
        <v>1259</v>
      </c>
      <c r="C1256" s="14">
        <v>2931.95</v>
      </c>
      <c r="D1256" s="11" t="s">
        <v>5</v>
      </c>
    </row>
    <row r="1257" spans="1:4" x14ac:dyDescent="0.25">
      <c r="A1257" s="4" t="s">
        <v>5908</v>
      </c>
      <c r="B1257" s="3" t="s">
        <v>1260</v>
      </c>
      <c r="C1257" s="14">
        <v>3002.61</v>
      </c>
      <c r="D1257" s="11" t="s">
        <v>5</v>
      </c>
    </row>
    <row r="1258" spans="1:4" x14ac:dyDescent="0.25">
      <c r="A1258" s="4" t="s">
        <v>5909</v>
      </c>
      <c r="B1258" s="3" t="s">
        <v>1261</v>
      </c>
      <c r="C1258" s="14">
        <v>3429.14</v>
      </c>
      <c r="D1258" s="11" t="s">
        <v>5</v>
      </c>
    </row>
    <row r="1259" spans="1:4" x14ac:dyDescent="0.25">
      <c r="A1259" s="4" t="s">
        <v>5910</v>
      </c>
      <c r="B1259" s="3" t="s">
        <v>1262</v>
      </c>
      <c r="C1259" s="14">
        <v>3693.69</v>
      </c>
      <c r="D1259" s="11" t="s">
        <v>5</v>
      </c>
    </row>
    <row r="1260" spans="1:4" x14ac:dyDescent="0.25">
      <c r="A1260" s="4" t="s">
        <v>5911</v>
      </c>
      <c r="B1260" s="3" t="s">
        <v>1263</v>
      </c>
      <c r="C1260" s="14">
        <v>4072.64</v>
      </c>
    </row>
    <row r="1261" spans="1:4" x14ac:dyDescent="0.25">
      <c r="A1261" s="4" t="s">
        <v>5912</v>
      </c>
      <c r="B1261" s="3" t="s">
        <v>1264</v>
      </c>
      <c r="C1261" s="14">
        <v>4529.3900000000003</v>
      </c>
      <c r="D1261" s="11" t="s">
        <v>5</v>
      </c>
    </row>
    <row r="1262" spans="1:4" x14ac:dyDescent="0.25">
      <c r="A1262" s="4" t="s">
        <v>5913</v>
      </c>
      <c r="B1262" s="3" t="s">
        <v>1265</v>
      </c>
      <c r="C1262" s="14">
        <v>4757.75</v>
      </c>
      <c r="D1262" s="11" t="s">
        <v>5</v>
      </c>
    </row>
    <row r="1263" spans="1:4" x14ac:dyDescent="0.25">
      <c r="A1263" s="4" t="s">
        <v>5914</v>
      </c>
      <c r="B1263" s="3" t="s">
        <v>1266</v>
      </c>
      <c r="C1263" s="14">
        <v>5125.68</v>
      </c>
      <c r="D1263" s="11" t="s">
        <v>5</v>
      </c>
    </row>
    <row r="1264" spans="1:4" x14ac:dyDescent="0.25">
      <c r="A1264" s="4" t="s">
        <v>5915</v>
      </c>
      <c r="B1264" s="3" t="s">
        <v>1267</v>
      </c>
      <c r="C1264" s="14">
        <v>5595.12</v>
      </c>
      <c r="D1264" s="11" t="s">
        <v>5</v>
      </c>
    </row>
    <row r="1265" spans="1:4" x14ac:dyDescent="0.25">
      <c r="A1265" s="4" t="s">
        <v>5916</v>
      </c>
      <c r="B1265" s="3" t="s">
        <v>1268</v>
      </c>
      <c r="C1265" s="14">
        <v>6495.92</v>
      </c>
    </row>
    <row r="1266" spans="1:4" x14ac:dyDescent="0.25">
      <c r="A1266" s="4" t="s">
        <v>5917</v>
      </c>
      <c r="B1266" s="3" t="s">
        <v>1269</v>
      </c>
      <c r="C1266" s="14">
        <v>6140.67</v>
      </c>
    </row>
    <row r="1267" spans="1:4" x14ac:dyDescent="0.25">
      <c r="A1267" s="4" t="s">
        <v>5918</v>
      </c>
      <c r="B1267" s="3" t="s">
        <v>1270</v>
      </c>
      <c r="C1267" s="14">
        <v>6419.79</v>
      </c>
    </row>
    <row r="1268" spans="1:4" x14ac:dyDescent="0.25">
      <c r="A1268" s="4" t="s">
        <v>5919</v>
      </c>
      <c r="B1268" s="3" t="s">
        <v>1271</v>
      </c>
      <c r="C1268" s="14">
        <v>6521.3</v>
      </c>
    </row>
    <row r="1269" spans="1:4" x14ac:dyDescent="0.25">
      <c r="A1269" s="4" t="s">
        <v>5920</v>
      </c>
      <c r="B1269" s="3" t="s">
        <v>1272</v>
      </c>
      <c r="C1269" s="14">
        <v>6749.67</v>
      </c>
    </row>
    <row r="1270" spans="1:4" x14ac:dyDescent="0.25">
      <c r="A1270" s="4" t="s">
        <v>5921</v>
      </c>
      <c r="B1270" s="3" t="s">
        <v>1273</v>
      </c>
      <c r="C1270" s="14">
        <v>7155.66</v>
      </c>
    </row>
    <row r="1271" spans="1:4" x14ac:dyDescent="0.25">
      <c r="A1271" s="4" t="s">
        <v>5922</v>
      </c>
      <c r="B1271" s="3" t="s">
        <v>1274</v>
      </c>
      <c r="C1271" s="14">
        <v>8348.27</v>
      </c>
    </row>
    <row r="1272" spans="1:4" x14ac:dyDescent="0.25">
      <c r="A1272" s="4" t="s">
        <v>5923</v>
      </c>
      <c r="B1272" s="3" t="s">
        <v>1275</v>
      </c>
      <c r="C1272" s="14">
        <v>3700.71</v>
      </c>
      <c r="D1272" s="11" t="s">
        <v>5</v>
      </c>
    </row>
    <row r="1273" spans="1:4" x14ac:dyDescent="0.25">
      <c r="A1273" s="4" t="s">
        <v>5924</v>
      </c>
      <c r="B1273" s="3" t="s">
        <v>1276</v>
      </c>
      <c r="C1273" s="14">
        <v>4246.71</v>
      </c>
      <c r="D1273" s="11" t="s">
        <v>5</v>
      </c>
    </row>
    <row r="1274" spans="1:4" x14ac:dyDescent="0.25">
      <c r="A1274" s="4" t="s">
        <v>5925</v>
      </c>
      <c r="B1274" s="3" t="s">
        <v>1277</v>
      </c>
      <c r="C1274" s="14">
        <v>5519</v>
      </c>
      <c r="D1274" s="11" t="s">
        <v>5</v>
      </c>
    </row>
    <row r="1275" spans="1:4" x14ac:dyDescent="0.25">
      <c r="A1275" s="4" t="s">
        <v>5926</v>
      </c>
      <c r="B1275" s="3" t="s">
        <v>1278</v>
      </c>
      <c r="C1275" s="14">
        <v>4763.99</v>
      </c>
      <c r="D1275" s="11" t="s">
        <v>5</v>
      </c>
    </row>
    <row r="1276" spans="1:4" x14ac:dyDescent="0.25">
      <c r="A1276" s="4" t="s">
        <v>5927</v>
      </c>
      <c r="B1276" s="3" t="s">
        <v>1279</v>
      </c>
      <c r="C1276" s="14">
        <v>6140.67</v>
      </c>
      <c r="D1276" s="11" t="s">
        <v>5</v>
      </c>
    </row>
    <row r="1277" spans="1:4" x14ac:dyDescent="0.25">
      <c r="A1277" s="4" t="s">
        <v>5928</v>
      </c>
      <c r="B1277" s="3" t="s">
        <v>1280</v>
      </c>
      <c r="C1277" s="14">
        <v>5324.9</v>
      </c>
      <c r="D1277" s="11" t="s">
        <v>5</v>
      </c>
    </row>
    <row r="1278" spans="1:4" x14ac:dyDescent="0.25">
      <c r="A1278" s="4" t="s">
        <v>5929</v>
      </c>
      <c r="B1278" s="3" t="s">
        <v>1281</v>
      </c>
      <c r="C1278" s="14">
        <v>6597.41</v>
      </c>
      <c r="D1278" s="11" t="s">
        <v>5</v>
      </c>
    </row>
    <row r="1279" spans="1:4" x14ac:dyDescent="0.25">
      <c r="A1279" s="4" t="s">
        <v>5930</v>
      </c>
      <c r="B1279" s="3" t="s">
        <v>1282</v>
      </c>
      <c r="C1279" s="14">
        <v>5960.31</v>
      </c>
      <c r="D1279" s="11" t="s">
        <v>5</v>
      </c>
    </row>
    <row r="1280" spans="1:4" x14ac:dyDescent="0.25">
      <c r="A1280" s="4" t="s">
        <v>5931</v>
      </c>
      <c r="B1280" s="3" t="s">
        <v>1283</v>
      </c>
      <c r="C1280" s="14">
        <v>6914.6</v>
      </c>
      <c r="D1280" s="11" t="s">
        <v>5</v>
      </c>
    </row>
    <row r="1281" spans="1:4" x14ac:dyDescent="0.25">
      <c r="A1281" s="4" t="s">
        <v>5932</v>
      </c>
      <c r="B1281" s="3" t="s">
        <v>1284</v>
      </c>
      <c r="C1281" s="14">
        <v>6457.35</v>
      </c>
      <c r="D1281" s="11" t="s">
        <v>5</v>
      </c>
    </row>
    <row r="1282" spans="1:4" x14ac:dyDescent="0.25">
      <c r="A1282" s="4" t="s">
        <v>5933</v>
      </c>
      <c r="B1282" s="3" t="s">
        <v>1285</v>
      </c>
      <c r="C1282" s="14">
        <v>8031.09</v>
      </c>
      <c r="D1282" s="11" t="s">
        <v>5</v>
      </c>
    </row>
    <row r="1283" spans="1:4" x14ac:dyDescent="0.25">
      <c r="A1283" s="4" t="s">
        <v>5934</v>
      </c>
      <c r="B1283" s="3" t="s">
        <v>1286</v>
      </c>
      <c r="C1283" s="14">
        <v>7368.42</v>
      </c>
      <c r="D1283" s="11" t="s">
        <v>5</v>
      </c>
    </row>
    <row r="1284" spans="1:4" x14ac:dyDescent="0.25">
      <c r="A1284" s="4" t="s">
        <v>5935</v>
      </c>
      <c r="B1284" s="3" t="s">
        <v>1287</v>
      </c>
      <c r="C1284" s="14">
        <v>8044.29</v>
      </c>
      <c r="D1284" s="11" t="s">
        <v>5</v>
      </c>
    </row>
    <row r="1285" spans="1:4" x14ac:dyDescent="0.25">
      <c r="A1285" s="4" t="s">
        <v>5936</v>
      </c>
      <c r="B1285" s="3" t="s">
        <v>1288</v>
      </c>
      <c r="C1285" s="14">
        <v>9008.01</v>
      </c>
      <c r="D1285" s="11" t="s">
        <v>5</v>
      </c>
    </row>
    <row r="1286" spans="1:4" x14ac:dyDescent="0.25">
      <c r="A1286" s="4" t="s">
        <v>5937</v>
      </c>
      <c r="B1286" s="3" t="s">
        <v>1289</v>
      </c>
      <c r="C1286" s="14">
        <v>5401.52</v>
      </c>
      <c r="D1286" s="11" t="s">
        <v>5</v>
      </c>
    </row>
    <row r="1287" spans="1:4" x14ac:dyDescent="0.25">
      <c r="A1287" s="4" t="s">
        <v>5938</v>
      </c>
      <c r="B1287" s="3" t="s">
        <v>1290</v>
      </c>
      <c r="C1287" s="14">
        <v>8272.14</v>
      </c>
      <c r="D1287" s="11" t="s">
        <v>5</v>
      </c>
    </row>
    <row r="1288" spans="1:4" x14ac:dyDescent="0.25">
      <c r="A1288" s="4" t="s">
        <v>5939</v>
      </c>
      <c r="B1288" s="3" t="s">
        <v>1291</v>
      </c>
      <c r="C1288" s="14">
        <v>6466.92</v>
      </c>
      <c r="D1288" s="11" t="s">
        <v>5</v>
      </c>
    </row>
    <row r="1289" spans="1:4" x14ac:dyDescent="0.25">
      <c r="A1289" s="4" t="s">
        <v>5940</v>
      </c>
      <c r="B1289" s="3" t="s">
        <v>1292</v>
      </c>
      <c r="C1289" s="14">
        <v>8640.08</v>
      </c>
      <c r="D1289" s="11" t="s">
        <v>5</v>
      </c>
    </row>
    <row r="1290" spans="1:4" x14ac:dyDescent="0.25">
      <c r="A1290" s="4" t="s">
        <v>5941</v>
      </c>
      <c r="B1290" s="3" t="s">
        <v>1293</v>
      </c>
      <c r="C1290" s="14">
        <v>6939.5</v>
      </c>
      <c r="D1290" s="11" t="s">
        <v>5</v>
      </c>
    </row>
    <row r="1291" spans="1:4" x14ac:dyDescent="0.25">
      <c r="A1291" s="4" t="s">
        <v>5942</v>
      </c>
      <c r="B1291" s="3" t="s">
        <v>1294</v>
      </c>
      <c r="C1291" s="14">
        <v>9134.8799999999992</v>
      </c>
      <c r="D1291" s="11" t="s">
        <v>5</v>
      </c>
    </row>
    <row r="1292" spans="1:4" x14ac:dyDescent="0.25">
      <c r="A1292" s="4" t="s">
        <v>5943</v>
      </c>
      <c r="B1292" s="3" t="s">
        <v>1295</v>
      </c>
      <c r="C1292" s="14">
        <v>7955.94</v>
      </c>
      <c r="D1292" s="11" t="s">
        <v>5</v>
      </c>
    </row>
    <row r="1293" spans="1:4" x14ac:dyDescent="0.25">
      <c r="A1293" s="4" t="s">
        <v>5944</v>
      </c>
      <c r="B1293" s="3" t="s">
        <v>1296</v>
      </c>
      <c r="C1293" s="14">
        <v>10035.68</v>
      </c>
      <c r="D1293" s="11" t="s">
        <v>5</v>
      </c>
    </row>
    <row r="1294" spans="1:4" x14ac:dyDescent="0.25">
      <c r="A1294" s="4" t="s">
        <v>5945</v>
      </c>
      <c r="B1294" s="3" t="s">
        <v>1297</v>
      </c>
      <c r="C1294" s="14">
        <v>8959.6200000000008</v>
      </c>
      <c r="D1294" s="11" t="s">
        <v>5</v>
      </c>
    </row>
    <row r="1295" spans="1:4" x14ac:dyDescent="0.25">
      <c r="A1295" s="4" t="s">
        <v>5946</v>
      </c>
      <c r="B1295" s="3" t="s">
        <v>1298</v>
      </c>
      <c r="C1295" s="14">
        <v>10606.61</v>
      </c>
      <c r="D1295" s="11" t="s">
        <v>5</v>
      </c>
    </row>
    <row r="1296" spans="1:4" x14ac:dyDescent="0.25">
      <c r="A1296" s="4" t="s">
        <v>5947</v>
      </c>
      <c r="B1296" s="3" t="s">
        <v>1299</v>
      </c>
      <c r="C1296" s="14">
        <v>10521</v>
      </c>
      <c r="D1296" s="11" t="s">
        <v>5</v>
      </c>
    </row>
    <row r="1297" spans="1:4" x14ac:dyDescent="0.25">
      <c r="A1297" s="4" t="s">
        <v>5948</v>
      </c>
      <c r="B1297" s="3" t="s">
        <v>1300</v>
      </c>
      <c r="C1297" s="14">
        <v>12357.47</v>
      </c>
      <c r="D1297" s="11" t="s">
        <v>5</v>
      </c>
    </row>
    <row r="1298" spans="1:4" x14ac:dyDescent="0.25">
      <c r="A1298" s="4" t="s">
        <v>5949</v>
      </c>
      <c r="B1298" s="3" t="s">
        <v>1301</v>
      </c>
      <c r="C1298" s="14">
        <v>4542.0600000000004</v>
      </c>
      <c r="D1298" s="11" t="s">
        <v>5</v>
      </c>
    </row>
    <row r="1299" spans="1:4" x14ac:dyDescent="0.25">
      <c r="A1299" s="4" t="s">
        <v>5950</v>
      </c>
      <c r="B1299" s="3" t="s">
        <v>1302</v>
      </c>
      <c r="C1299" s="14">
        <v>5176.4399999999996</v>
      </c>
      <c r="D1299" s="11" t="s">
        <v>5</v>
      </c>
    </row>
    <row r="1300" spans="1:4" x14ac:dyDescent="0.25">
      <c r="A1300" s="4" t="s">
        <v>5951</v>
      </c>
      <c r="B1300" s="3" t="s">
        <v>1303</v>
      </c>
      <c r="C1300" s="14">
        <v>5582.43</v>
      </c>
      <c r="D1300" s="11" t="s">
        <v>5</v>
      </c>
    </row>
    <row r="1301" spans="1:4" x14ac:dyDescent="0.25">
      <c r="A1301" s="4" t="s">
        <v>5952</v>
      </c>
      <c r="B1301" s="3" t="s">
        <v>1304</v>
      </c>
      <c r="C1301" s="14">
        <v>1499.43</v>
      </c>
      <c r="D1301" s="11" t="s">
        <v>5</v>
      </c>
    </row>
    <row r="1302" spans="1:4" x14ac:dyDescent="0.25">
      <c r="A1302" s="4" t="s">
        <v>5953</v>
      </c>
      <c r="B1302" s="3" t="s">
        <v>1305</v>
      </c>
      <c r="C1302" s="14">
        <v>9.86</v>
      </c>
      <c r="D1302" s="11" t="s">
        <v>107</v>
      </c>
    </row>
    <row r="1303" spans="1:4" x14ac:dyDescent="0.25">
      <c r="A1303" s="4" t="s">
        <v>5954</v>
      </c>
      <c r="B1303" s="3" t="s">
        <v>1306</v>
      </c>
      <c r="C1303" s="14">
        <v>10.25</v>
      </c>
      <c r="D1303" s="11" t="s">
        <v>107</v>
      </c>
    </row>
    <row r="1304" spans="1:4" x14ac:dyDescent="0.25">
      <c r="A1304" s="4" t="s">
        <v>5955</v>
      </c>
      <c r="B1304" s="3" t="s">
        <v>1307</v>
      </c>
      <c r="C1304" s="14">
        <v>10.52</v>
      </c>
      <c r="D1304" s="11" t="s">
        <v>107</v>
      </c>
    </row>
    <row r="1305" spans="1:4" x14ac:dyDescent="0.25">
      <c r="A1305" s="4" t="s">
        <v>5956</v>
      </c>
      <c r="B1305" s="3" t="s">
        <v>1308</v>
      </c>
      <c r="C1305" s="14">
        <v>11.27</v>
      </c>
      <c r="D1305" s="11" t="s">
        <v>107</v>
      </c>
    </row>
    <row r="1306" spans="1:4" x14ac:dyDescent="0.25">
      <c r="A1306" s="4" t="s">
        <v>5957</v>
      </c>
      <c r="B1306" s="3" t="s">
        <v>1309</v>
      </c>
      <c r="C1306" s="14">
        <v>4766.51</v>
      </c>
      <c r="D1306" s="11" t="s">
        <v>5</v>
      </c>
    </row>
    <row r="1307" spans="1:4" x14ac:dyDescent="0.25">
      <c r="A1307" s="4" t="s">
        <v>5958</v>
      </c>
      <c r="B1307" s="3" t="s">
        <v>1310</v>
      </c>
      <c r="C1307" s="14">
        <v>4440.59</v>
      </c>
      <c r="D1307" s="11" t="s">
        <v>5</v>
      </c>
    </row>
    <row r="1308" spans="1:4" x14ac:dyDescent="0.25">
      <c r="A1308" s="4" t="s">
        <v>5959</v>
      </c>
      <c r="B1308" s="3" t="s">
        <v>1311</v>
      </c>
      <c r="C1308" s="14">
        <v>2893.85</v>
      </c>
      <c r="D1308" s="11" t="s">
        <v>5</v>
      </c>
    </row>
    <row r="1309" spans="1:4" x14ac:dyDescent="0.25">
      <c r="A1309" s="4" t="s">
        <v>5960</v>
      </c>
      <c r="B1309" s="3" t="s">
        <v>1312</v>
      </c>
      <c r="C1309" s="14">
        <v>2803.91</v>
      </c>
      <c r="D1309" s="11" t="s">
        <v>5</v>
      </c>
    </row>
    <row r="1310" spans="1:4" x14ac:dyDescent="0.25">
      <c r="A1310" s="4" t="s">
        <v>5961</v>
      </c>
      <c r="B1310" s="3" t="s">
        <v>1313</v>
      </c>
      <c r="C1310" s="14">
        <v>2993.16</v>
      </c>
      <c r="D1310" s="11" t="s">
        <v>5</v>
      </c>
    </row>
    <row r="1311" spans="1:4" x14ac:dyDescent="0.25">
      <c r="A1311" s="4" t="s">
        <v>5962</v>
      </c>
      <c r="B1311" s="3" t="s">
        <v>1314</v>
      </c>
      <c r="C1311" s="14">
        <v>2905.41</v>
      </c>
      <c r="D1311" s="11" t="s">
        <v>5</v>
      </c>
    </row>
    <row r="1312" spans="1:4" x14ac:dyDescent="0.25">
      <c r="A1312" s="4" t="s">
        <v>5963</v>
      </c>
      <c r="B1312" s="3" t="s">
        <v>1315</v>
      </c>
      <c r="C1312" s="14">
        <v>3133.89</v>
      </c>
      <c r="D1312" s="11" t="s">
        <v>5</v>
      </c>
    </row>
    <row r="1313" spans="1:4" x14ac:dyDescent="0.25">
      <c r="A1313" s="4" t="s">
        <v>5964</v>
      </c>
      <c r="B1313" s="3" t="s">
        <v>1316</v>
      </c>
      <c r="C1313" s="14">
        <v>3006.9</v>
      </c>
      <c r="D1313" s="11" t="s">
        <v>5</v>
      </c>
    </row>
    <row r="1314" spans="1:4" x14ac:dyDescent="0.25">
      <c r="A1314" s="4" t="s">
        <v>5965</v>
      </c>
      <c r="B1314" s="3" t="s">
        <v>1317</v>
      </c>
      <c r="C1314" s="14">
        <v>3311.28</v>
      </c>
      <c r="D1314" s="11" t="s">
        <v>5</v>
      </c>
    </row>
    <row r="1315" spans="1:4" x14ac:dyDescent="0.25">
      <c r="A1315" s="4" t="s">
        <v>5966</v>
      </c>
      <c r="B1315" s="3" t="s">
        <v>1318</v>
      </c>
      <c r="C1315" s="14">
        <v>3133.79</v>
      </c>
      <c r="D1315" s="11" t="s">
        <v>5</v>
      </c>
    </row>
    <row r="1316" spans="1:4" x14ac:dyDescent="0.25">
      <c r="A1316" s="4" t="s">
        <v>5967</v>
      </c>
      <c r="B1316" s="3" t="s">
        <v>1319</v>
      </c>
      <c r="C1316" s="14">
        <v>3429.54</v>
      </c>
      <c r="D1316" s="11" t="s">
        <v>5</v>
      </c>
    </row>
    <row r="1317" spans="1:4" x14ac:dyDescent="0.25">
      <c r="A1317" s="4" t="s">
        <v>5968</v>
      </c>
      <c r="B1317" s="3" t="s">
        <v>1320</v>
      </c>
      <c r="C1317" s="14">
        <v>3450.95</v>
      </c>
      <c r="D1317" s="11" t="s">
        <v>5</v>
      </c>
    </row>
    <row r="1318" spans="1:4" x14ac:dyDescent="0.25">
      <c r="A1318" s="4" t="s">
        <v>5969</v>
      </c>
      <c r="B1318" s="3" t="s">
        <v>1321</v>
      </c>
      <c r="C1318" s="14">
        <v>3754.76</v>
      </c>
      <c r="D1318" s="11" t="s">
        <v>5</v>
      </c>
    </row>
    <row r="1319" spans="1:4" x14ac:dyDescent="0.25">
      <c r="A1319" s="4" t="s">
        <v>5970</v>
      </c>
      <c r="B1319" s="3" t="s">
        <v>1322</v>
      </c>
      <c r="C1319" s="14">
        <v>3920.39</v>
      </c>
      <c r="D1319" s="11" t="s">
        <v>5</v>
      </c>
    </row>
    <row r="1320" spans="1:4" x14ac:dyDescent="0.25">
      <c r="A1320" s="4" t="s">
        <v>5971</v>
      </c>
      <c r="B1320" s="3" t="s">
        <v>1323</v>
      </c>
      <c r="C1320" s="14">
        <v>4922.7</v>
      </c>
      <c r="D1320" s="11" t="s">
        <v>5</v>
      </c>
    </row>
    <row r="1321" spans="1:4" x14ac:dyDescent="0.25">
      <c r="A1321" s="4" t="s">
        <v>5972</v>
      </c>
      <c r="B1321" s="3" t="s">
        <v>1324</v>
      </c>
      <c r="C1321" s="14">
        <v>5498.85</v>
      </c>
      <c r="D1321" s="11" t="s">
        <v>5</v>
      </c>
    </row>
    <row r="1322" spans="1:4" x14ac:dyDescent="0.25">
      <c r="A1322" s="4" t="s">
        <v>5973</v>
      </c>
      <c r="B1322" s="3" t="s">
        <v>1325</v>
      </c>
      <c r="C1322" s="14">
        <v>5239.88</v>
      </c>
      <c r="D1322" s="11" t="s">
        <v>5</v>
      </c>
    </row>
    <row r="1323" spans="1:4" x14ac:dyDescent="0.25">
      <c r="A1323" s="4" t="s">
        <v>5974</v>
      </c>
      <c r="B1323" s="3" t="s">
        <v>1326</v>
      </c>
      <c r="C1323" s="14">
        <v>6415.61</v>
      </c>
      <c r="D1323" s="11" t="s">
        <v>5</v>
      </c>
    </row>
    <row r="1324" spans="1:4" x14ac:dyDescent="0.25">
      <c r="A1324" s="4" t="s">
        <v>5975</v>
      </c>
      <c r="B1324" s="3" t="s">
        <v>1327</v>
      </c>
      <c r="C1324" s="14">
        <v>5658.56</v>
      </c>
      <c r="D1324" s="11" t="s">
        <v>5</v>
      </c>
    </row>
    <row r="1325" spans="1:4" x14ac:dyDescent="0.25">
      <c r="A1325" s="4" t="s">
        <v>5976</v>
      </c>
      <c r="B1325" s="3" t="s">
        <v>1328</v>
      </c>
      <c r="C1325" s="14">
        <v>6681.69</v>
      </c>
      <c r="D1325" s="11" t="s">
        <v>5</v>
      </c>
    </row>
    <row r="1326" spans="1:4" x14ac:dyDescent="0.25">
      <c r="A1326" s="4" t="s">
        <v>5977</v>
      </c>
      <c r="B1326" s="3" t="s">
        <v>1329</v>
      </c>
      <c r="C1326" s="14">
        <v>6026.48</v>
      </c>
      <c r="D1326" s="11" t="s">
        <v>5</v>
      </c>
    </row>
    <row r="1327" spans="1:4" x14ac:dyDescent="0.25">
      <c r="A1327" s="4" t="s">
        <v>5978</v>
      </c>
      <c r="B1327" s="3" t="s">
        <v>1330</v>
      </c>
      <c r="C1327" s="14">
        <v>6918.21</v>
      </c>
      <c r="D1327" s="11" t="s">
        <v>5</v>
      </c>
    </row>
    <row r="1328" spans="1:4" x14ac:dyDescent="0.25">
      <c r="A1328" s="4" t="s">
        <v>5979</v>
      </c>
      <c r="B1328" s="3" t="s">
        <v>1331</v>
      </c>
      <c r="C1328" s="14">
        <v>6445.17</v>
      </c>
      <c r="D1328" s="11" t="s">
        <v>5</v>
      </c>
    </row>
    <row r="1329" spans="1:4" x14ac:dyDescent="0.25">
      <c r="A1329" s="4" t="s">
        <v>5980</v>
      </c>
      <c r="B1329" s="3" t="s">
        <v>1332</v>
      </c>
      <c r="C1329" s="14">
        <v>7686.9</v>
      </c>
      <c r="D1329" s="11" t="s">
        <v>5</v>
      </c>
    </row>
    <row r="1330" spans="1:4" x14ac:dyDescent="0.25">
      <c r="A1330" s="4" t="s">
        <v>5981</v>
      </c>
      <c r="B1330" s="3" t="s">
        <v>1333</v>
      </c>
      <c r="C1330" s="14">
        <v>6927.27</v>
      </c>
      <c r="D1330" s="11" t="s">
        <v>5</v>
      </c>
    </row>
    <row r="1331" spans="1:4" x14ac:dyDescent="0.25">
      <c r="A1331" s="4" t="s">
        <v>5982</v>
      </c>
      <c r="B1331" s="3" t="s">
        <v>1334</v>
      </c>
      <c r="C1331" s="14">
        <v>3907.7</v>
      </c>
      <c r="D1331" s="11" t="s">
        <v>5</v>
      </c>
    </row>
    <row r="1332" spans="1:4" x14ac:dyDescent="0.25">
      <c r="A1332" s="4" t="s">
        <v>5983</v>
      </c>
      <c r="B1332" s="3" t="s">
        <v>1335</v>
      </c>
      <c r="C1332" s="14">
        <v>4339.07</v>
      </c>
      <c r="D1332" s="11" t="s">
        <v>5</v>
      </c>
    </row>
    <row r="1333" spans="1:4" x14ac:dyDescent="0.25">
      <c r="A1333" s="4" t="s">
        <v>5984</v>
      </c>
      <c r="B1333" s="3" t="s">
        <v>1336</v>
      </c>
      <c r="C1333" s="14">
        <v>4542.0600000000004</v>
      </c>
      <c r="D1333" s="11" t="s">
        <v>5</v>
      </c>
    </row>
    <row r="1334" spans="1:4" x14ac:dyDescent="0.25">
      <c r="A1334" s="4" t="s">
        <v>5985</v>
      </c>
      <c r="B1334" s="3" t="s">
        <v>1337</v>
      </c>
      <c r="C1334" s="14">
        <v>4910</v>
      </c>
      <c r="D1334" s="11" t="s">
        <v>5</v>
      </c>
    </row>
    <row r="1335" spans="1:4" x14ac:dyDescent="0.25">
      <c r="A1335" s="4" t="s">
        <v>5986</v>
      </c>
      <c r="B1335" s="3" t="s">
        <v>1338</v>
      </c>
      <c r="C1335" s="14">
        <v>5366.73</v>
      </c>
      <c r="D1335" s="11" t="s">
        <v>5</v>
      </c>
    </row>
    <row r="1336" spans="1:4" x14ac:dyDescent="0.25">
      <c r="A1336" s="4" t="s">
        <v>5987</v>
      </c>
      <c r="B1336" s="3" t="s">
        <v>1339</v>
      </c>
      <c r="C1336" s="14">
        <v>5848.86</v>
      </c>
      <c r="D1336" s="11" t="s">
        <v>5</v>
      </c>
    </row>
    <row r="1337" spans="1:4" x14ac:dyDescent="0.25">
      <c r="A1337" s="4" t="s">
        <v>5988</v>
      </c>
      <c r="B1337" s="3" t="s">
        <v>1340</v>
      </c>
      <c r="C1337" s="14">
        <v>6749.67</v>
      </c>
      <c r="D1337" s="11" t="s">
        <v>5</v>
      </c>
    </row>
    <row r="1338" spans="1:4" x14ac:dyDescent="0.25">
      <c r="A1338" s="4" t="s">
        <v>5989</v>
      </c>
      <c r="B1338" s="3" t="s">
        <v>1341</v>
      </c>
      <c r="C1338" s="14">
        <v>7257.15</v>
      </c>
      <c r="D1338" s="11" t="s">
        <v>5</v>
      </c>
    </row>
    <row r="1339" spans="1:4" x14ac:dyDescent="0.25">
      <c r="A1339" s="4" t="s">
        <v>5990</v>
      </c>
      <c r="B1339" s="3" t="s">
        <v>1342</v>
      </c>
      <c r="C1339" s="14">
        <v>7802.72</v>
      </c>
      <c r="D1339" s="11" t="s">
        <v>5</v>
      </c>
    </row>
    <row r="1340" spans="1:4" x14ac:dyDescent="0.25">
      <c r="A1340" s="4" t="s">
        <v>5991</v>
      </c>
      <c r="B1340" s="3" t="s">
        <v>1343</v>
      </c>
      <c r="C1340" s="14">
        <v>8183.33</v>
      </c>
      <c r="D1340" s="11" t="s">
        <v>5</v>
      </c>
    </row>
    <row r="1341" spans="1:4" x14ac:dyDescent="0.25">
      <c r="A1341" s="4" t="s">
        <v>5992</v>
      </c>
      <c r="B1341" s="3" t="s">
        <v>1344</v>
      </c>
      <c r="C1341" s="14">
        <v>8906.51</v>
      </c>
      <c r="D1341" s="11" t="s">
        <v>5</v>
      </c>
    </row>
    <row r="1342" spans="1:4" x14ac:dyDescent="0.25">
      <c r="A1342" s="4" t="s">
        <v>5993</v>
      </c>
      <c r="B1342" s="3" t="s">
        <v>1345</v>
      </c>
      <c r="C1342" s="14">
        <v>10048.370000000001</v>
      </c>
      <c r="D1342" s="11" t="s">
        <v>5</v>
      </c>
    </row>
    <row r="1343" spans="1:4" x14ac:dyDescent="0.25">
      <c r="A1343" s="4" t="s">
        <v>5994</v>
      </c>
      <c r="B1343" s="3" t="s">
        <v>1346</v>
      </c>
      <c r="C1343" s="14">
        <v>3037.83</v>
      </c>
      <c r="D1343" s="11" t="s">
        <v>5</v>
      </c>
    </row>
    <row r="1344" spans="1:4" x14ac:dyDescent="0.25">
      <c r="A1344" s="4" t="s">
        <v>5995</v>
      </c>
      <c r="B1344" s="3" t="s">
        <v>1347</v>
      </c>
      <c r="C1344" s="14">
        <v>2936.58</v>
      </c>
      <c r="D1344" s="11" t="s">
        <v>5</v>
      </c>
    </row>
    <row r="1345" spans="1:4" x14ac:dyDescent="0.25">
      <c r="A1345" s="4" t="s">
        <v>5996</v>
      </c>
      <c r="B1345" s="3" t="s">
        <v>1348</v>
      </c>
      <c r="C1345" s="14">
        <v>3598.71</v>
      </c>
      <c r="D1345" s="11" t="s">
        <v>5</v>
      </c>
    </row>
    <row r="1346" spans="1:4" x14ac:dyDescent="0.25">
      <c r="A1346" s="4" t="s">
        <v>5997</v>
      </c>
      <c r="B1346" s="3" t="s">
        <v>1349</v>
      </c>
      <c r="C1346" s="14">
        <v>3761.27</v>
      </c>
      <c r="D1346" s="11" t="s">
        <v>5</v>
      </c>
    </row>
    <row r="1347" spans="1:4" x14ac:dyDescent="0.25">
      <c r="A1347" s="4" t="s">
        <v>5998</v>
      </c>
      <c r="B1347" s="3" t="s">
        <v>1350</v>
      </c>
      <c r="C1347" s="14">
        <v>3925.64</v>
      </c>
      <c r="D1347" s="11" t="s">
        <v>5</v>
      </c>
    </row>
    <row r="1348" spans="1:4" x14ac:dyDescent="0.25">
      <c r="A1348" s="4" t="s">
        <v>5999</v>
      </c>
      <c r="B1348" s="3" t="s">
        <v>1351</v>
      </c>
      <c r="C1348" s="14">
        <v>4089.66</v>
      </c>
      <c r="D1348" s="11" t="s">
        <v>5</v>
      </c>
    </row>
    <row r="1349" spans="1:4" x14ac:dyDescent="0.25">
      <c r="A1349" s="4" t="s">
        <v>6000</v>
      </c>
      <c r="B1349" s="3" t="s">
        <v>1352</v>
      </c>
      <c r="C1349" s="14">
        <v>4252.97</v>
      </c>
      <c r="D1349" s="11" t="s">
        <v>5</v>
      </c>
    </row>
    <row r="1350" spans="1:4" x14ac:dyDescent="0.25">
      <c r="A1350" s="4" t="s">
        <v>6001</v>
      </c>
      <c r="B1350" s="3" t="s">
        <v>1353</v>
      </c>
      <c r="C1350" s="14">
        <v>5051.45</v>
      </c>
      <c r="D1350" s="11" t="s">
        <v>5</v>
      </c>
    </row>
    <row r="1351" spans="1:4" x14ac:dyDescent="0.25">
      <c r="A1351" s="4" t="s">
        <v>6002</v>
      </c>
      <c r="B1351" s="3" t="s">
        <v>1354</v>
      </c>
      <c r="C1351" s="14">
        <v>5475.32</v>
      </c>
      <c r="D1351" s="11" t="s">
        <v>5</v>
      </c>
    </row>
    <row r="1352" spans="1:4" x14ac:dyDescent="0.25">
      <c r="A1352" s="4" t="s">
        <v>6003</v>
      </c>
      <c r="B1352" s="3" t="s">
        <v>1355</v>
      </c>
      <c r="C1352" s="14">
        <v>5263.44</v>
      </c>
      <c r="D1352" s="11" t="s">
        <v>5</v>
      </c>
    </row>
    <row r="1353" spans="1:4" x14ac:dyDescent="0.25">
      <c r="A1353" s="4" t="s">
        <v>6004</v>
      </c>
      <c r="B1353" s="3" t="s">
        <v>1356</v>
      </c>
      <c r="C1353" s="14">
        <v>5567.87</v>
      </c>
      <c r="D1353" s="11" t="s">
        <v>5</v>
      </c>
    </row>
    <row r="1354" spans="1:4" x14ac:dyDescent="0.25">
      <c r="A1354" s="4" t="s">
        <v>6005</v>
      </c>
      <c r="B1354" s="3" t="s">
        <v>1357</v>
      </c>
      <c r="C1354" s="14">
        <v>5764.5</v>
      </c>
      <c r="D1354" s="11" t="s">
        <v>5</v>
      </c>
    </row>
    <row r="1355" spans="1:4" x14ac:dyDescent="0.25">
      <c r="A1355" s="4" t="s">
        <v>6006</v>
      </c>
      <c r="B1355" s="3" t="s">
        <v>1358</v>
      </c>
      <c r="C1355" s="14">
        <v>5961.95</v>
      </c>
      <c r="D1355" s="11" t="s">
        <v>5</v>
      </c>
    </row>
    <row r="1356" spans="1:4" x14ac:dyDescent="0.25">
      <c r="A1356" s="4" t="s">
        <v>6007</v>
      </c>
      <c r="B1356" s="3" t="s">
        <v>1359</v>
      </c>
      <c r="C1356" s="14">
        <v>6535.11</v>
      </c>
      <c r="D1356" s="11" t="s">
        <v>5</v>
      </c>
    </row>
    <row r="1357" spans="1:4" x14ac:dyDescent="0.25">
      <c r="A1357" s="4" t="s">
        <v>6008</v>
      </c>
      <c r="B1357" s="3" t="s">
        <v>1360</v>
      </c>
      <c r="C1357" s="14">
        <v>7064.96</v>
      </c>
      <c r="D1357" s="11" t="s">
        <v>5</v>
      </c>
    </row>
    <row r="1358" spans="1:4" x14ac:dyDescent="0.25">
      <c r="A1358" s="4" t="s">
        <v>6009</v>
      </c>
      <c r="B1358" s="3" t="s">
        <v>1361</v>
      </c>
      <c r="C1358" s="14">
        <v>7418.19</v>
      </c>
      <c r="D1358" s="11" t="s">
        <v>5</v>
      </c>
    </row>
    <row r="1359" spans="1:4" x14ac:dyDescent="0.25">
      <c r="A1359" s="4" t="s">
        <v>6010</v>
      </c>
      <c r="B1359" s="3" t="s">
        <v>1362</v>
      </c>
      <c r="C1359" s="14">
        <v>7574.34</v>
      </c>
      <c r="D1359" s="11" t="s">
        <v>5</v>
      </c>
    </row>
    <row r="1360" spans="1:4" x14ac:dyDescent="0.25">
      <c r="A1360" s="4" t="s">
        <v>6011</v>
      </c>
      <c r="B1360" s="3" t="s">
        <v>1363</v>
      </c>
      <c r="C1360" s="14">
        <v>8525.8799999999992</v>
      </c>
      <c r="D1360" s="11" t="s">
        <v>5</v>
      </c>
    </row>
    <row r="1361" spans="1:4" x14ac:dyDescent="0.25">
      <c r="A1361" s="4" t="s">
        <v>6012</v>
      </c>
      <c r="B1361" s="3" t="s">
        <v>1364</v>
      </c>
      <c r="C1361" s="14">
        <v>504.9</v>
      </c>
      <c r="D1361" s="11" t="s">
        <v>5</v>
      </c>
    </row>
    <row r="1362" spans="1:4" x14ac:dyDescent="0.25">
      <c r="A1362" s="4" t="s">
        <v>6013</v>
      </c>
      <c r="B1362" s="3" t="s">
        <v>1365</v>
      </c>
      <c r="C1362" s="14">
        <v>1335.68</v>
      </c>
      <c r="D1362" s="11" t="s">
        <v>5</v>
      </c>
    </row>
    <row r="1363" spans="1:4" x14ac:dyDescent="0.25">
      <c r="A1363" s="4" t="s">
        <v>6014</v>
      </c>
      <c r="B1363" s="3" t="s">
        <v>1366</v>
      </c>
      <c r="C1363" s="14">
        <v>617.96</v>
      </c>
      <c r="D1363" s="11" t="s">
        <v>5</v>
      </c>
    </row>
    <row r="1364" spans="1:4" x14ac:dyDescent="0.25">
      <c r="A1364" s="4" t="s">
        <v>6015</v>
      </c>
      <c r="B1364" s="3" t="s">
        <v>1367</v>
      </c>
      <c r="C1364" s="14">
        <v>1485.9</v>
      </c>
      <c r="D1364" s="11" t="s">
        <v>5</v>
      </c>
    </row>
    <row r="1365" spans="1:4" x14ac:dyDescent="0.25">
      <c r="A1365" s="4" t="s">
        <v>6016</v>
      </c>
      <c r="B1365" s="3" t="s">
        <v>1368</v>
      </c>
      <c r="C1365" s="14">
        <v>1695.54</v>
      </c>
      <c r="D1365" s="11" t="s">
        <v>5</v>
      </c>
    </row>
    <row r="1366" spans="1:4" x14ac:dyDescent="0.25">
      <c r="A1366" s="4" t="s">
        <v>6017</v>
      </c>
      <c r="B1366" s="3" t="s">
        <v>1369</v>
      </c>
      <c r="C1366" s="14">
        <v>715.92</v>
      </c>
      <c r="D1366" s="11" t="s">
        <v>5</v>
      </c>
    </row>
    <row r="1367" spans="1:4" x14ac:dyDescent="0.25">
      <c r="A1367" s="4" t="s">
        <v>6018</v>
      </c>
      <c r="B1367" s="3" t="s">
        <v>1370</v>
      </c>
      <c r="C1367" s="14">
        <v>1895.19</v>
      </c>
      <c r="D1367" s="11" t="s">
        <v>5</v>
      </c>
    </row>
    <row r="1368" spans="1:4" x14ac:dyDescent="0.25">
      <c r="A1368" s="4" t="s">
        <v>6019</v>
      </c>
      <c r="B1368" s="3" t="s">
        <v>1371</v>
      </c>
      <c r="C1368" s="14">
        <v>821.43</v>
      </c>
      <c r="D1368" s="11" t="s">
        <v>5</v>
      </c>
    </row>
    <row r="1369" spans="1:4" x14ac:dyDescent="0.25">
      <c r="A1369" s="4" t="s">
        <v>6020</v>
      </c>
      <c r="B1369" s="3" t="s">
        <v>1372</v>
      </c>
      <c r="C1369" s="14">
        <v>926.88</v>
      </c>
      <c r="D1369" s="11" t="s">
        <v>5</v>
      </c>
    </row>
    <row r="1370" spans="1:4" x14ac:dyDescent="0.25">
      <c r="A1370" s="4" t="s">
        <v>6021</v>
      </c>
      <c r="B1370" s="3" t="s">
        <v>1373</v>
      </c>
      <c r="C1370" s="14">
        <v>3061.64</v>
      </c>
      <c r="D1370" s="11" t="s">
        <v>5</v>
      </c>
    </row>
    <row r="1371" spans="1:4" x14ac:dyDescent="0.25">
      <c r="A1371" s="4" t="s">
        <v>6022</v>
      </c>
      <c r="B1371" s="3" t="s">
        <v>1374</v>
      </c>
      <c r="C1371" s="14">
        <v>3351.87</v>
      </c>
      <c r="D1371" s="11" t="s">
        <v>5</v>
      </c>
    </row>
    <row r="1372" spans="1:4" x14ac:dyDescent="0.25">
      <c r="A1372" s="4" t="s">
        <v>6023</v>
      </c>
      <c r="B1372" s="3" t="s">
        <v>1375</v>
      </c>
      <c r="C1372" s="14">
        <v>15922.61</v>
      </c>
      <c r="D1372" s="11" t="s">
        <v>5</v>
      </c>
    </row>
    <row r="1373" spans="1:4" x14ac:dyDescent="0.25">
      <c r="A1373" s="4" t="s">
        <v>6024</v>
      </c>
      <c r="B1373" s="3" t="s">
        <v>1376</v>
      </c>
      <c r="C1373" s="14">
        <v>13099.97</v>
      </c>
      <c r="D1373" s="11" t="s">
        <v>5</v>
      </c>
    </row>
    <row r="1374" spans="1:4" x14ac:dyDescent="0.25">
      <c r="A1374" s="4" t="s">
        <v>6025</v>
      </c>
      <c r="B1374" s="3" t="s">
        <v>1377</v>
      </c>
      <c r="C1374" s="14">
        <v>15128.99</v>
      </c>
      <c r="D1374" s="11" t="s">
        <v>5</v>
      </c>
    </row>
    <row r="1375" spans="1:4" x14ac:dyDescent="0.25">
      <c r="A1375" s="4" t="s">
        <v>6026</v>
      </c>
      <c r="B1375" s="3" t="s">
        <v>1378</v>
      </c>
      <c r="C1375" s="14">
        <v>8796.69</v>
      </c>
      <c r="D1375" s="11" t="s">
        <v>5</v>
      </c>
    </row>
    <row r="1376" spans="1:4" x14ac:dyDescent="0.25">
      <c r="A1376" s="4" t="s">
        <v>6027</v>
      </c>
      <c r="B1376" s="3" t="s">
        <v>1379</v>
      </c>
      <c r="C1376" s="14">
        <v>9213.2999999999993</v>
      </c>
      <c r="D1376" s="11" t="s">
        <v>5</v>
      </c>
    </row>
    <row r="1377" spans="1:4" x14ac:dyDescent="0.25">
      <c r="A1377" s="4" t="s">
        <v>6028</v>
      </c>
      <c r="B1377" s="3" t="s">
        <v>1380</v>
      </c>
      <c r="C1377" s="14">
        <v>21795.89</v>
      </c>
      <c r="D1377" s="11" t="s">
        <v>5</v>
      </c>
    </row>
    <row r="1378" spans="1:4" x14ac:dyDescent="0.25">
      <c r="A1378" s="4" t="s">
        <v>6029</v>
      </c>
      <c r="B1378" s="3" t="s">
        <v>1381</v>
      </c>
      <c r="C1378" s="14">
        <v>75644.929999999993</v>
      </c>
      <c r="D1378" s="11" t="s">
        <v>5</v>
      </c>
    </row>
    <row r="1379" spans="1:4" x14ac:dyDescent="0.25">
      <c r="A1379" s="4" t="s">
        <v>6030</v>
      </c>
      <c r="B1379" s="3" t="s">
        <v>1382</v>
      </c>
      <c r="C1379" s="14">
        <v>60515.94</v>
      </c>
      <c r="D1379" s="11" t="s">
        <v>5</v>
      </c>
    </row>
    <row r="1380" spans="1:4" x14ac:dyDescent="0.25">
      <c r="A1380" s="4" t="s">
        <v>6031</v>
      </c>
      <c r="B1380" s="3" t="s">
        <v>1383</v>
      </c>
      <c r="C1380" s="14">
        <v>12871.46</v>
      </c>
      <c r="D1380" s="11" t="s">
        <v>5</v>
      </c>
    </row>
    <row r="1381" spans="1:4" x14ac:dyDescent="0.25">
      <c r="A1381" s="4" t="s">
        <v>6032</v>
      </c>
      <c r="B1381" s="3" t="s">
        <v>1384</v>
      </c>
      <c r="C1381" s="14">
        <v>100859.91</v>
      </c>
      <c r="D1381" s="11" t="s">
        <v>5</v>
      </c>
    </row>
    <row r="1382" spans="1:4" x14ac:dyDescent="0.25">
      <c r="A1382" s="4" t="s">
        <v>6033</v>
      </c>
      <c r="B1382" s="3" t="s">
        <v>1385</v>
      </c>
      <c r="C1382" s="14">
        <v>15761.03</v>
      </c>
      <c r="D1382" s="11" t="s">
        <v>5</v>
      </c>
    </row>
    <row r="1383" spans="1:4" x14ac:dyDescent="0.25">
      <c r="A1383" s="4" t="s">
        <v>6034</v>
      </c>
      <c r="B1383" s="3" t="s">
        <v>1386</v>
      </c>
      <c r="C1383" s="14">
        <v>8651.73</v>
      </c>
      <c r="D1383" s="11" t="s">
        <v>5</v>
      </c>
    </row>
    <row r="1384" spans="1:4" x14ac:dyDescent="0.25">
      <c r="A1384" s="4" t="s">
        <v>6035</v>
      </c>
      <c r="B1384" s="3" t="s">
        <v>1387</v>
      </c>
      <c r="C1384" s="14">
        <v>9061.76</v>
      </c>
      <c r="D1384" s="11" t="s">
        <v>5</v>
      </c>
    </row>
    <row r="1385" spans="1:4" x14ac:dyDescent="0.25">
      <c r="A1385" s="4" t="s">
        <v>6036</v>
      </c>
      <c r="B1385" s="3" t="s">
        <v>1388</v>
      </c>
      <c r="C1385" s="14">
        <v>13395.45</v>
      </c>
      <c r="D1385" s="11" t="s">
        <v>5</v>
      </c>
    </row>
    <row r="1386" spans="1:4" x14ac:dyDescent="0.25">
      <c r="A1386" s="4" t="s">
        <v>6037</v>
      </c>
      <c r="B1386" s="3" t="s">
        <v>1389</v>
      </c>
      <c r="C1386" s="14">
        <v>14183.43</v>
      </c>
      <c r="D1386" s="11" t="s">
        <v>5</v>
      </c>
    </row>
    <row r="1387" spans="1:4" x14ac:dyDescent="0.25">
      <c r="A1387" s="4" t="s">
        <v>6038</v>
      </c>
      <c r="B1387" s="3" t="s">
        <v>1390</v>
      </c>
      <c r="C1387" s="14">
        <v>44982.3</v>
      </c>
      <c r="D1387" s="11" t="s">
        <v>5</v>
      </c>
    </row>
    <row r="1388" spans="1:4" x14ac:dyDescent="0.25">
      <c r="A1388" s="4" t="s">
        <v>6039</v>
      </c>
      <c r="B1388" s="3" t="s">
        <v>1391</v>
      </c>
      <c r="C1388" s="14">
        <v>2885.91</v>
      </c>
      <c r="D1388" s="11" t="s">
        <v>5</v>
      </c>
    </row>
    <row r="1389" spans="1:4" x14ac:dyDescent="0.25">
      <c r="A1389" s="4" t="s">
        <v>6040</v>
      </c>
      <c r="B1389" s="3" t="s">
        <v>1392</v>
      </c>
      <c r="C1389" s="14">
        <v>2824.28</v>
      </c>
      <c r="D1389" s="11" t="s">
        <v>5</v>
      </c>
    </row>
    <row r="1390" spans="1:4" x14ac:dyDescent="0.25">
      <c r="A1390" s="4" t="s">
        <v>6041</v>
      </c>
      <c r="B1390" s="3" t="s">
        <v>1393</v>
      </c>
      <c r="C1390" s="14">
        <v>1772.55</v>
      </c>
      <c r="D1390" s="11" t="s">
        <v>5</v>
      </c>
    </row>
    <row r="1391" spans="1:4" x14ac:dyDescent="0.25">
      <c r="A1391" s="4" t="s">
        <v>6042</v>
      </c>
      <c r="B1391" s="3" t="s">
        <v>1394</v>
      </c>
      <c r="C1391" s="14">
        <v>2080.4299999999998</v>
      </c>
      <c r="D1391" s="11" t="s">
        <v>5</v>
      </c>
    </row>
    <row r="1392" spans="1:4" x14ac:dyDescent="0.25">
      <c r="A1392" s="4" t="s">
        <v>6043</v>
      </c>
      <c r="B1392" s="3" t="s">
        <v>1395</v>
      </c>
      <c r="C1392" s="14">
        <v>2080.4299999999998</v>
      </c>
      <c r="D1392" s="11" t="s">
        <v>5</v>
      </c>
    </row>
    <row r="1393" spans="1:4" x14ac:dyDescent="0.25">
      <c r="A1393" s="4" t="s">
        <v>6044</v>
      </c>
      <c r="B1393" s="3" t="s">
        <v>1396</v>
      </c>
      <c r="C1393" s="14">
        <v>1170</v>
      </c>
      <c r="D1393" s="11" t="s">
        <v>5</v>
      </c>
    </row>
    <row r="1394" spans="1:4" x14ac:dyDescent="0.25">
      <c r="A1394" s="4" t="s">
        <v>6045</v>
      </c>
      <c r="B1394" s="3" t="s">
        <v>1397</v>
      </c>
      <c r="C1394" s="14">
        <v>1435.2</v>
      </c>
      <c r="D1394" s="11" t="s">
        <v>5</v>
      </c>
    </row>
    <row r="1395" spans="1:4" x14ac:dyDescent="0.25">
      <c r="A1395" s="4" t="s">
        <v>6046</v>
      </c>
      <c r="B1395" s="3" t="s">
        <v>1398</v>
      </c>
      <c r="C1395" s="14">
        <v>1095.1400000000001</v>
      </c>
      <c r="D1395" s="11" t="s">
        <v>5</v>
      </c>
    </row>
    <row r="1396" spans="1:4" x14ac:dyDescent="0.25">
      <c r="A1396" s="4" t="s">
        <v>6047</v>
      </c>
      <c r="B1396" s="3" t="s">
        <v>1399</v>
      </c>
      <c r="C1396" s="14">
        <v>1316.28</v>
      </c>
      <c r="D1396" s="11" t="s">
        <v>5</v>
      </c>
    </row>
    <row r="1397" spans="1:4" x14ac:dyDescent="0.25">
      <c r="A1397" s="4" t="s">
        <v>6048</v>
      </c>
      <c r="B1397" s="3" t="s">
        <v>1400</v>
      </c>
      <c r="C1397" s="14">
        <v>592.04999999999995</v>
      </c>
      <c r="D1397" s="11" t="s">
        <v>5</v>
      </c>
    </row>
    <row r="1398" spans="1:4" x14ac:dyDescent="0.25">
      <c r="A1398" s="4" t="s">
        <v>6049</v>
      </c>
      <c r="B1398" s="3" t="s">
        <v>1401</v>
      </c>
      <c r="C1398" s="14">
        <v>5743.73</v>
      </c>
      <c r="D1398" s="11" t="s">
        <v>5</v>
      </c>
    </row>
    <row r="1399" spans="1:4" x14ac:dyDescent="0.25">
      <c r="A1399" s="4" t="s">
        <v>6050</v>
      </c>
      <c r="B1399" s="3" t="s">
        <v>1402</v>
      </c>
      <c r="C1399" s="14">
        <v>940.94</v>
      </c>
      <c r="D1399" s="11" t="s">
        <v>5</v>
      </c>
    </row>
    <row r="1400" spans="1:4" x14ac:dyDescent="0.25">
      <c r="A1400" s="4" t="s">
        <v>6051</v>
      </c>
      <c r="B1400" s="3" t="s">
        <v>1403</v>
      </c>
      <c r="C1400" s="14">
        <v>924.84</v>
      </c>
      <c r="D1400" s="11" t="s">
        <v>5</v>
      </c>
    </row>
    <row r="1401" spans="1:4" x14ac:dyDescent="0.25">
      <c r="A1401" s="4" t="s">
        <v>6052</v>
      </c>
      <c r="B1401" s="3" t="s">
        <v>1404</v>
      </c>
      <c r="C1401" s="14">
        <v>1036.92</v>
      </c>
      <c r="D1401" s="11" t="s">
        <v>5</v>
      </c>
    </row>
    <row r="1402" spans="1:4" x14ac:dyDescent="0.25">
      <c r="A1402" s="4" t="s">
        <v>6053</v>
      </c>
      <c r="B1402" s="3" t="s">
        <v>1405</v>
      </c>
      <c r="C1402" s="14">
        <v>1379.07</v>
      </c>
      <c r="D1402" s="11" t="s">
        <v>5</v>
      </c>
    </row>
    <row r="1403" spans="1:4" x14ac:dyDescent="0.25">
      <c r="A1403" s="4" t="s">
        <v>6054</v>
      </c>
      <c r="B1403" s="3" t="s">
        <v>1406</v>
      </c>
      <c r="C1403" s="14">
        <v>682.95</v>
      </c>
      <c r="D1403" s="11" t="s">
        <v>5</v>
      </c>
    </row>
    <row r="1404" spans="1:4" x14ac:dyDescent="0.25">
      <c r="A1404" s="4" t="s">
        <v>6055</v>
      </c>
      <c r="B1404" s="3" t="s">
        <v>1407</v>
      </c>
      <c r="C1404" s="14">
        <v>1188.1199999999999</v>
      </c>
      <c r="D1404" s="11" t="s">
        <v>5</v>
      </c>
    </row>
    <row r="1405" spans="1:4" x14ac:dyDescent="0.25">
      <c r="A1405" s="4" t="s">
        <v>6056</v>
      </c>
      <c r="B1405" s="3" t="s">
        <v>1408</v>
      </c>
      <c r="C1405" s="14">
        <v>1072.08</v>
      </c>
      <c r="D1405" s="11" t="s">
        <v>5</v>
      </c>
    </row>
    <row r="1406" spans="1:4" x14ac:dyDescent="0.25">
      <c r="A1406" s="4" t="s">
        <v>6057</v>
      </c>
      <c r="B1406" s="3" t="s">
        <v>1409</v>
      </c>
      <c r="C1406" s="14">
        <v>3075</v>
      </c>
      <c r="D1406" s="11" t="s">
        <v>5</v>
      </c>
    </row>
    <row r="1407" spans="1:4" x14ac:dyDescent="0.25">
      <c r="A1407" s="4" t="s">
        <v>6058</v>
      </c>
      <c r="B1407" s="3" t="s">
        <v>1410</v>
      </c>
      <c r="C1407" s="14">
        <v>5743.73</v>
      </c>
      <c r="D1407" s="11" t="s">
        <v>5</v>
      </c>
    </row>
    <row r="1408" spans="1:4" x14ac:dyDescent="0.25">
      <c r="A1408" s="4" t="s">
        <v>6059</v>
      </c>
      <c r="B1408" s="3" t="s">
        <v>1411</v>
      </c>
      <c r="C1408" s="14">
        <v>598.16</v>
      </c>
      <c r="D1408" s="11" t="s">
        <v>5</v>
      </c>
    </row>
    <row r="1409" spans="1:4" x14ac:dyDescent="0.25">
      <c r="A1409" s="4" t="s">
        <v>6060</v>
      </c>
      <c r="B1409" s="3" t="s">
        <v>1412</v>
      </c>
      <c r="C1409" s="14">
        <v>994.95</v>
      </c>
      <c r="D1409" s="11" t="s">
        <v>5</v>
      </c>
    </row>
    <row r="1410" spans="1:4" x14ac:dyDescent="0.25">
      <c r="A1410" s="4" t="s">
        <v>6061</v>
      </c>
      <c r="B1410" s="3" t="s">
        <v>1413</v>
      </c>
      <c r="C1410" s="14">
        <v>864.65</v>
      </c>
      <c r="D1410" s="11" t="s">
        <v>5</v>
      </c>
    </row>
    <row r="1411" spans="1:4" x14ac:dyDescent="0.25">
      <c r="A1411" s="4" t="s">
        <v>6062</v>
      </c>
      <c r="B1411" s="3" t="s">
        <v>1414</v>
      </c>
      <c r="C1411" s="14">
        <v>7331.9</v>
      </c>
      <c r="D1411" s="11" t="s">
        <v>5</v>
      </c>
    </row>
    <row r="1412" spans="1:4" x14ac:dyDescent="0.25">
      <c r="A1412" s="4" t="s">
        <v>6063</v>
      </c>
      <c r="B1412" s="3" t="s">
        <v>1415</v>
      </c>
      <c r="C1412" s="14">
        <v>742.5</v>
      </c>
      <c r="D1412" s="11" t="s">
        <v>5</v>
      </c>
    </row>
    <row r="1413" spans="1:4" x14ac:dyDescent="0.25">
      <c r="A1413" s="4" t="s">
        <v>6064</v>
      </c>
      <c r="B1413" s="3" t="s">
        <v>1416</v>
      </c>
      <c r="C1413" s="14">
        <v>1131.24</v>
      </c>
      <c r="D1413" s="11" t="s">
        <v>5</v>
      </c>
    </row>
    <row r="1414" spans="1:4" x14ac:dyDescent="0.25">
      <c r="A1414" s="4" t="s">
        <v>6065</v>
      </c>
      <c r="B1414" s="3" t="s">
        <v>1417</v>
      </c>
      <c r="C1414" s="14">
        <v>1141.3699999999999</v>
      </c>
      <c r="D1414" s="11" t="s">
        <v>5</v>
      </c>
    </row>
    <row r="1415" spans="1:4" x14ac:dyDescent="0.25">
      <c r="A1415" s="4" t="s">
        <v>6066</v>
      </c>
      <c r="B1415" s="3" t="s">
        <v>1418</v>
      </c>
      <c r="C1415" s="14">
        <v>1657.38</v>
      </c>
      <c r="D1415" s="11" t="s">
        <v>5</v>
      </c>
    </row>
    <row r="1416" spans="1:4" x14ac:dyDescent="0.25">
      <c r="A1416" s="4" t="s">
        <v>6067</v>
      </c>
      <c r="B1416" s="3" t="s">
        <v>1419</v>
      </c>
      <c r="C1416" s="14">
        <v>1996.71</v>
      </c>
      <c r="D1416" s="11" t="s">
        <v>5</v>
      </c>
    </row>
    <row r="1417" spans="1:4" x14ac:dyDescent="0.25">
      <c r="A1417" s="4" t="s">
        <v>6068</v>
      </c>
      <c r="B1417" s="3" t="s">
        <v>1420</v>
      </c>
      <c r="C1417" s="14">
        <v>1053.23</v>
      </c>
      <c r="D1417" s="11" t="s">
        <v>5</v>
      </c>
    </row>
    <row r="1418" spans="1:4" x14ac:dyDescent="0.25">
      <c r="A1418" s="4" t="s">
        <v>6069</v>
      </c>
      <c r="B1418" s="3" t="s">
        <v>1421</v>
      </c>
      <c r="C1418" s="14">
        <v>174528.68</v>
      </c>
      <c r="D1418" s="11" t="s">
        <v>5</v>
      </c>
    </row>
    <row r="1419" spans="1:4" x14ac:dyDescent="0.25">
      <c r="A1419" s="4" t="s">
        <v>6070</v>
      </c>
      <c r="B1419" s="3" t="s">
        <v>1422</v>
      </c>
      <c r="C1419" s="14">
        <v>9829.7000000000007</v>
      </c>
      <c r="D1419" s="11" t="s">
        <v>5</v>
      </c>
    </row>
    <row r="1420" spans="1:4" x14ac:dyDescent="0.25">
      <c r="A1420" s="4" t="s">
        <v>6071</v>
      </c>
      <c r="B1420" s="3" t="s">
        <v>1423</v>
      </c>
      <c r="C1420" s="14">
        <v>12572.43</v>
      </c>
      <c r="D1420" s="11" t="s">
        <v>5</v>
      </c>
    </row>
    <row r="1421" spans="1:4" x14ac:dyDescent="0.25">
      <c r="A1421" s="4" t="s">
        <v>6072</v>
      </c>
      <c r="B1421" s="3" t="s">
        <v>1424</v>
      </c>
      <c r="C1421" s="14">
        <v>16777.009999999998</v>
      </c>
      <c r="D1421" s="11" t="s">
        <v>5</v>
      </c>
    </row>
    <row r="1422" spans="1:4" x14ac:dyDescent="0.25">
      <c r="A1422" s="4" t="s">
        <v>6073</v>
      </c>
      <c r="B1422" s="3" t="s">
        <v>1425</v>
      </c>
      <c r="C1422" s="14">
        <v>26703.56</v>
      </c>
      <c r="D1422" s="11" t="s">
        <v>5</v>
      </c>
    </row>
    <row r="1423" spans="1:4" x14ac:dyDescent="0.25">
      <c r="A1423" s="4" t="s">
        <v>6074</v>
      </c>
      <c r="B1423" s="3" t="s">
        <v>1426</v>
      </c>
      <c r="C1423" s="14">
        <v>33080.1</v>
      </c>
      <c r="D1423" s="11" t="s">
        <v>5</v>
      </c>
    </row>
    <row r="1424" spans="1:4" x14ac:dyDescent="0.25">
      <c r="A1424" s="4" t="s">
        <v>6075</v>
      </c>
      <c r="B1424" s="3" t="s">
        <v>1427</v>
      </c>
      <c r="C1424" s="14">
        <v>51080.51</v>
      </c>
      <c r="D1424" s="11" t="s">
        <v>5</v>
      </c>
    </row>
    <row r="1425" spans="1:4" x14ac:dyDescent="0.25">
      <c r="A1425" s="4" t="s">
        <v>6076</v>
      </c>
      <c r="B1425" s="3" t="s">
        <v>1428</v>
      </c>
      <c r="C1425" s="14">
        <v>87305.79</v>
      </c>
      <c r="D1425" s="11" t="s">
        <v>5</v>
      </c>
    </row>
    <row r="1426" spans="1:4" x14ac:dyDescent="0.25">
      <c r="A1426" s="4" t="s">
        <v>6077</v>
      </c>
      <c r="B1426" s="3" t="s">
        <v>1429</v>
      </c>
      <c r="C1426" s="14">
        <v>124074.56</v>
      </c>
      <c r="D1426" s="11" t="s">
        <v>5</v>
      </c>
    </row>
    <row r="1427" spans="1:4" x14ac:dyDescent="0.25">
      <c r="A1427" s="4" t="s">
        <v>6078</v>
      </c>
      <c r="B1427" s="3" t="s">
        <v>1430</v>
      </c>
      <c r="C1427" s="14">
        <v>16824.98</v>
      </c>
      <c r="D1427" s="11" t="s">
        <v>5</v>
      </c>
    </row>
    <row r="1428" spans="1:4" x14ac:dyDescent="0.25">
      <c r="A1428" s="4" t="s">
        <v>6079</v>
      </c>
      <c r="B1428" s="3" t="s">
        <v>1431</v>
      </c>
      <c r="C1428" s="14">
        <v>15710.45</v>
      </c>
      <c r="D1428" s="11" t="s">
        <v>5</v>
      </c>
    </row>
    <row r="1429" spans="1:4" x14ac:dyDescent="0.25">
      <c r="A1429" s="4" t="s">
        <v>6080</v>
      </c>
      <c r="B1429" s="3" t="s">
        <v>1432</v>
      </c>
      <c r="C1429" s="14">
        <v>383.78</v>
      </c>
      <c r="D1429" s="11" t="s">
        <v>5</v>
      </c>
    </row>
    <row r="1430" spans="1:4" x14ac:dyDescent="0.25">
      <c r="A1430" s="4" t="s">
        <v>6081</v>
      </c>
      <c r="B1430" s="3" t="s">
        <v>1433</v>
      </c>
      <c r="C1430" s="14">
        <v>305.97000000000003</v>
      </c>
      <c r="D1430" s="11" t="s">
        <v>5</v>
      </c>
    </row>
    <row r="1431" spans="1:4" x14ac:dyDescent="0.25">
      <c r="A1431" s="4" t="s">
        <v>6082</v>
      </c>
      <c r="B1431" s="3" t="s">
        <v>1434</v>
      </c>
      <c r="C1431" s="14">
        <v>228.38</v>
      </c>
      <c r="D1431" s="11" t="s">
        <v>5</v>
      </c>
    </row>
    <row r="1432" spans="1:4" x14ac:dyDescent="0.25">
      <c r="A1432" s="4" t="s">
        <v>6083</v>
      </c>
      <c r="B1432" s="3" t="s">
        <v>1435</v>
      </c>
      <c r="C1432" s="14">
        <v>465.15</v>
      </c>
      <c r="D1432" s="11" t="s">
        <v>5</v>
      </c>
    </row>
    <row r="1433" spans="1:4" x14ac:dyDescent="0.25">
      <c r="A1433" s="4" t="s">
        <v>6084</v>
      </c>
      <c r="B1433" s="3" t="s">
        <v>1436</v>
      </c>
      <c r="C1433" s="14">
        <v>385.04</v>
      </c>
      <c r="D1433" s="11" t="s">
        <v>5</v>
      </c>
    </row>
    <row r="1434" spans="1:4" x14ac:dyDescent="0.25">
      <c r="A1434" s="4" t="s">
        <v>6085</v>
      </c>
      <c r="B1434" s="3" t="s">
        <v>1437</v>
      </c>
      <c r="C1434" s="14">
        <v>291.8</v>
      </c>
      <c r="D1434" s="11" t="s">
        <v>5</v>
      </c>
    </row>
    <row r="1435" spans="1:4" x14ac:dyDescent="0.25">
      <c r="A1435" s="4" t="s">
        <v>6086</v>
      </c>
      <c r="B1435" s="3" t="s">
        <v>1438</v>
      </c>
      <c r="C1435" s="14">
        <v>572.34</v>
      </c>
      <c r="D1435" s="11" t="s">
        <v>5</v>
      </c>
    </row>
    <row r="1436" spans="1:4" x14ac:dyDescent="0.25">
      <c r="A1436" s="4" t="s">
        <v>6087</v>
      </c>
      <c r="B1436" s="3" t="s">
        <v>1439</v>
      </c>
      <c r="C1436" s="14">
        <v>465.78</v>
      </c>
      <c r="D1436" s="11" t="s">
        <v>5</v>
      </c>
    </row>
    <row r="1437" spans="1:4" x14ac:dyDescent="0.25">
      <c r="A1437" s="4" t="s">
        <v>6088</v>
      </c>
      <c r="B1437" s="3" t="s">
        <v>1440</v>
      </c>
      <c r="C1437" s="14">
        <v>342.57</v>
      </c>
      <c r="D1437" s="11" t="s">
        <v>5</v>
      </c>
    </row>
    <row r="1438" spans="1:4" x14ac:dyDescent="0.25">
      <c r="A1438" s="4" t="s">
        <v>6089</v>
      </c>
      <c r="B1438" s="3" t="s">
        <v>1441</v>
      </c>
      <c r="C1438" s="14">
        <v>163.62</v>
      </c>
      <c r="D1438" s="11" t="s">
        <v>5</v>
      </c>
    </row>
    <row r="1439" spans="1:4" x14ac:dyDescent="0.25">
      <c r="A1439" s="4" t="s">
        <v>6090</v>
      </c>
      <c r="B1439" s="3" t="s">
        <v>1442</v>
      </c>
      <c r="C1439" s="14">
        <v>1155.44</v>
      </c>
      <c r="D1439" s="11" t="s">
        <v>5</v>
      </c>
    </row>
    <row r="1440" spans="1:4" x14ac:dyDescent="0.25">
      <c r="A1440" s="4" t="s">
        <v>6091</v>
      </c>
      <c r="B1440" s="3" t="s">
        <v>1443</v>
      </c>
      <c r="C1440" s="14">
        <v>575.17999999999995</v>
      </c>
      <c r="D1440" s="11" t="s">
        <v>5</v>
      </c>
    </row>
    <row r="1441" spans="1:4" x14ac:dyDescent="0.25">
      <c r="A1441" s="4" t="s">
        <v>6092</v>
      </c>
      <c r="B1441" s="3" t="s">
        <v>1444</v>
      </c>
      <c r="C1441" s="14">
        <v>393.32</v>
      </c>
      <c r="D1441" s="11" t="s">
        <v>5</v>
      </c>
    </row>
    <row r="1442" spans="1:4" x14ac:dyDescent="0.25">
      <c r="A1442" s="4" t="s">
        <v>6093</v>
      </c>
      <c r="B1442" s="3" t="s">
        <v>1445</v>
      </c>
      <c r="C1442" s="14">
        <v>1155.44</v>
      </c>
      <c r="D1442" s="11" t="s">
        <v>5</v>
      </c>
    </row>
    <row r="1443" spans="1:4" x14ac:dyDescent="0.25">
      <c r="A1443" s="4" t="s">
        <v>6094</v>
      </c>
      <c r="B1443" s="3" t="s">
        <v>1446</v>
      </c>
      <c r="C1443" s="14">
        <v>626.54999999999995</v>
      </c>
      <c r="D1443" s="11" t="s">
        <v>5</v>
      </c>
    </row>
    <row r="1444" spans="1:4" x14ac:dyDescent="0.25">
      <c r="A1444" s="4" t="s">
        <v>6095</v>
      </c>
      <c r="B1444" s="3" t="s">
        <v>1447</v>
      </c>
      <c r="C1444" s="14">
        <v>418.68</v>
      </c>
      <c r="D1444" s="11" t="s">
        <v>5</v>
      </c>
    </row>
    <row r="1445" spans="1:4" x14ac:dyDescent="0.25">
      <c r="A1445" s="4" t="s">
        <v>6096</v>
      </c>
      <c r="B1445" s="3" t="s">
        <v>1448</v>
      </c>
      <c r="C1445" s="14">
        <v>2121.15</v>
      </c>
      <c r="D1445" s="11" t="s">
        <v>5</v>
      </c>
    </row>
    <row r="1446" spans="1:4" x14ac:dyDescent="0.25">
      <c r="A1446" s="4" t="s">
        <v>6097</v>
      </c>
      <c r="B1446" s="3" t="s">
        <v>1449</v>
      </c>
      <c r="C1446" s="14">
        <v>831.93</v>
      </c>
      <c r="D1446" s="11" t="s">
        <v>5</v>
      </c>
    </row>
    <row r="1447" spans="1:4" x14ac:dyDescent="0.25">
      <c r="A1447" s="4" t="s">
        <v>6098</v>
      </c>
      <c r="B1447" s="3" t="s">
        <v>1450</v>
      </c>
      <c r="C1447" s="14">
        <v>1768.04</v>
      </c>
      <c r="D1447" s="11" t="s">
        <v>5</v>
      </c>
    </row>
    <row r="1448" spans="1:4" x14ac:dyDescent="0.25">
      <c r="A1448" s="4" t="s">
        <v>6099</v>
      </c>
      <c r="B1448" s="3" t="s">
        <v>1451</v>
      </c>
      <c r="C1448" s="14">
        <v>558.24</v>
      </c>
      <c r="D1448" s="11" t="s">
        <v>5</v>
      </c>
    </row>
    <row r="1449" spans="1:4" x14ac:dyDescent="0.25">
      <c r="A1449" s="4" t="s">
        <v>6100</v>
      </c>
      <c r="B1449" s="3" t="s">
        <v>1452</v>
      </c>
      <c r="C1449" s="14">
        <v>1592.33</v>
      </c>
      <c r="D1449" s="11" t="s">
        <v>5</v>
      </c>
    </row>
    <row r="1450" spans="1:4" x14ac:dyDescent="0.25">
      <c r="A1450" s="4" t="s">
        <v>6101</v>
      </c>
      <c r="B1450" s="3" t="s">
        <v>1453</v>
      </c>
      <c r="C1450" s="14">
        <v>983</v>
      </c>
      <c r="D1450" s="11" t="s">
        <v>5</v>
      </c>
    </row>
    <row r="1451" spans="1:4" x14ac:dyDescent="0.25">
      <c r="A1451" s="4" t="s">
        <v>6102</v>
      </c>
      <c r="B1451" s="3" t="s">
        <v>1454</v>
      </c>
      <c r="C1451" s="14">
        <v>659.73</v>
      </c>
      <c r="D1451" s="11" t="s">
        <v>5</v>
      </c>
    </row>
    <row r="1452" spans="1:4" x14ac:dyDescent="0.25">
      <c r="A1452" s="4" t="s">
        <v>6103</v>
      </c>
      <c r="B1452" s="3" t="s">
        <v>1455</v>
      </c>
      <c r="C1452" s="14">
        <v>4006.53</v>
      </c>
      <c r="D1452" s="11" t="s">
        <v>5</v>
      </c>
    </row>
    <row r="1453" spans="1:4" x14ac:dyDescent="0.25">
      <c r="A1453" s="4" t="s">
        <v>6104</v>
      </c>
      <c r="B1453" s="3" t="s">
        <v>1456</v>
      </c>
      <c r="C1453" s="14">
        <v>2957.33</v>
      </c>
      <c r="D1453" s="11" t="s">
        <v>5</v>
      </c>
    </row>
    <row r="1454" spans="1:4" x14ac:dyDescent="0.25">
      <c r="A1454" s="4" t="s">
        <v>6105</v>
      </c>
      <c r="B1454" s="3" t="s">
        <v>1457</v>
      </c>
      <c r="C1454" s="14">
        <v>4006.53</v>
      </c>
      <c r="D1454" s="11" t="s">
        <v>5</v>
      </c>
    </row>
    <row r="1455" spans="1:4" x14ac:dyDescent="0.25">
      <c r="A1455" s="4" t="s">
        <v>6106</v>
      </c>
      <c r="B1455" s="3" t="s">
        <v>1458</v>
      </c>
      <c r="C1455" s="14">
        <v>3042</v>
      </c>
      <c r="D1455" s="11" t="s">
        <v>5</v>
      </c>
    </row>
    <row r="1456" spans="1:4" x14ac:dyDescent="0.25">
      <c r="A1456" s="4" t="s">
        <v>6107</v>
      </c>
      <c r="B1456" s="3" t="s">
        <v>1459</v>
      </c>
      <c r="C1456" s="14">
        <v>6644.7</v>
      </c>
      <c r="D1456" s="11" t="s">
        <v>5</v>
      </c>
    </row>
    <row r="1457" spans="1:4" x14ac:dyDescent="0.25">
      <c r="A1457" s="4" t="s">
        <v>6108</v>
      </c>
      <c r="B1457" s="3" t="s">
        <v>1460</v>
      </c>
      <c r="C1457" s="14">
        <v>6841.31</v>
      </c>
      <c r="D1457" s="11" t="s">
        <v>5</v>
      </c>
    </row>
    <row r="1458" spans="1:4" x14ac:dyDescent="0.25">
      <c r="A1458" s="4" t="s">
        <v>6109</v>
      </c>
      <c r="B1458" s="3" t="s">
        <v>1461</v>
      </c>
      <c r="C1458" s="14">
        <v>11019.35</v>
      </c>
      <c r="D1458" s="11" t="s">
        <v>5</v>
      </c>
    </row>
    <row r="1459" spans="1:4" x14ac:dyDescent="0.25">
      <c r="A1459" s="4" t="s">
        <v>6110</v>
      </c>
      <c r="B1459" s="3" t="s">
        <v>1462</v>
      </c>
      <c r="C1459" s="14">
        <v>11346.26</v>
      </c>
      <c r="D1459" s="11" t="s">
        <v>5</v>
      </c>
    </row>
    <row r="1460" spans="1:4" x14ac:dyDescent="0.25">
      <c r="A1460" s="4" t="s">
        <v>6111</v>
      </c>
      <c r="B1460" s="3" t="s">
        <v>1463</v>
      </c>
      <c r="C1460" s="14">
        <v>7398.18</v>
      </c>
      <c r="D1460" s="11" t="s">
        <v>5</v>
      </c>
    </row>
    <row r="1461" spans="1:4" x14ac:dyDescent="0.25">
      <c r="A1461" s="4" t="s">
        <v>6112</v>
      </c>
      <c r="B1461" s="3" t="s">
        <v>1464</v>
      </c>
      <c r="C1461" s="14">
        <v>1543.41</v>
      </c>
      <c r="D1461" s="11" t="s">
        <v>5</v>
      </c>
    </row>
    <row r="1462" spans="1:4" x14ac:dyDescent="0.25">
      <c r="A1462" s="4" t="s">
        <v>6113</v>
      </c>
      <c r="B1462" s="3" t="s">
        <v>1465</v>
      </c>
      <c r="C1462" s="14">
        <v>32046.45</v>
      </c>
      <c r="D1462" s="11" t="s">
        <v>5</v>
      </c>
    </row>
    <row r="1463" spans="1:4" x14ac:dyDescent="0.25">
      <c r="A1463" s="4" t="s">
        <v>6114</v>
      </c>
      <c r="B1463" s="3" t="s">
        <v>1466</v>
      </c>
      <c r="C1463" s="14">
        <v>30414.23</v>
      </c>
      <c r="D1463" s="11" t="s">
        <v>5</v>
      </c>
    </row>
    <row r="1464" spans="1:4" x14ac:dyDescent="0.25">
      <c r="A1464" s="4" t="s">
        <v>6115</v>
      </c>
      <c r="B1464" s="3" t="s">
        <v>1467</v>
      </c>
      <c r="C1464" s="14">
        <v>491.67</v>
      </c>
      <c r="D1464" s="11" t="s">
        <v>5</v>
      </c>
    </row>
    <row r="1465" spans="1:4" x14ac:dyDescent="0.25">
      <c r="A1465" s="4" t="s">
        <v>6116</v>
      </c>
      <c r="B1465" s="3" t="s">
        <v>1468</v>
      </c>
      <c r="C1465" s="14">
        <v>483.42</v>
      </c>
      <c r="D1465" s="11" t="s">
        <v>5</v>
      </c>
    </row>
    <row r="1466" spans="1:4" x14ac:dyDescent="0.25">
      <c r="A1466" s="4" t="s">
        <v>6117</v>
      </c>
      <c r="B1466" s="3" t="s">
        <v>1469</v>
      </c>
      <c r="C1466" s="14">
        <v>355.26</v>
      </c>
      <c r="D1466" s="11" t="s">
        <v>5</v>
      </c>
    </row>
    <row r="1467" spans="1:4" x14ac:dyDescent="0.25">
      <c r="A1467" s="4" t="s">
        <v>6118</v>
      </c>
      <c r="B1467" s="3" t="s">
        <v>1470</v>
      </c>
      <c r="C1467" s="14">
        <v>221.09</v>
      </c>
      <c r="D1467" s="11" t="s">
        <v>5</v>
      </c>
    </row>
    <row r="1468" spans="1:4" x14ac:dyDescent="0.25">
      <c r="A1468" s="4" t="s">
        <v>6119</v>
      </c>
      <c r="B1468" s="3" t="s">
        <v>1471</v>
      </c>
      <c r="C1468" s="14">
        <v>213.86</v>
      </c>
      <c r="D1468" s="11" t="s">
        <v>5</v>
      </c>
    </row>
    <row r="1469" spans="1:4" x14ac:dyDescent="0.25">
      <c r="A1469" s="4" t="s">
        <v>6120</v>
      </c>
      <c r="B1469" s="3" t="s">
        <v>1472</v>
      </c>
      <c r="C1469" s="14">
        <v>164.94</v>
      </c>
      <c r="D1469" s="11" t="s">
        <v>5</v>
      </c>
    </row>
    <row r="1470" spans="1:4" x14ac:dyDescent="0.25">
      <c r="A1470" s="4" t="s">
        <v>6121</v>
      </c>
      <c r="B1470" s="3" t="s">
        <v>1473</v>
      </c>
      <c r="C1470" s="14">
        <v>142.65</v>
      </c>
      <c r="D1470" s="11" t="s">
        <v>5</v>
      </c>
    </row>
    <row r="1471" spans="1:4" x14ac:dyDescent="0.25">
      <c r="A1471" s="4" t="s">
        <v>6122</v>
      </c>
      <c r="B1471" s="3" t="s">
        <v>1474</v>
      </c>
      <c r="C1471" s="14">
        <v>1116.48</v>
      </c>
      <c r="D1471" s="11" t="s">
        <v>5</v>
      </c>
    </row>
    <row r="1472" spans="1:4" x14ac:dyDescent="0.25">
      <c r="A1472" s="4" t="s">
        <v>6123</v>
      </c>
      <c r="B1472" s="3" t="s">
        <v>1475</v>
      </c>
      <c r="C1472" s="14">
        <v>1281.42</v>
      </c>
      <c r="D1472" s="11" t="s">
        <v>5</v>
      </c>
    </row>
    <row r="1473" spans="1:4" x14ac:dyDescent="0.25">
      <c r="A1473" s="4" t="s">
        <v>6124</v>
      </c>
      <c r="B1473" s="3" t="s">
        <v>1476</v>
      </c>
      <c r="C1473" s="14">
        <v>1556.46</v>
      </c>
      <c r="D1473" s="11" t="s">
        <v>5</v>
      </c>
    </row>
    <row r="1474" spans="1:4" x14ac:dyDescent="0.25">
      <c r="A1474" s="4" t="s">
        <v>6125</v>
      </c>
      <c r="B1474" s="3" t="s">
        <v>1477</v>
      </c>
      <c r="C1474" s="14">
        <v>1232.97</v>
      </c>
      <c r="D1474" s="11" t="s">
        <v>5</v>
      </c>
    </row>
    <row r="1475" spans="1:4" x14ac:dyDescent="0.25">
      <c r="A1475" s="4" t="s">
        <v>6126</v>
      </c>
      <c r="B1475" s="3" t="s">
        <v>1478</v>
      </c>
      <c r="C1475" s="14">
        <v>1789.49</v>
      </c>
      <c r="D1475" s="11" t="s">
        <v>5</v>
      </c>
    </row>
    <row r="1476" spans="1:4" x14ac:dyDescent="0.25">
      <c r="A1476" s="4" t="s">
        <v>6127</v>
      </c>
      <c r="B1476" s="3" t="s">
        <v>1479</v>
      </c>
      <c r="C1476" s="14">
        <v>616.07000000000005</v>
      </c>
      <c r="D1476" s="11" t="s">
        <v>5</v>
      </c>
    </row>
    <row r="1477" spans="1:4" x14ac:dyDescent="0.25">
      <c r="A1477" s="4" t="s">
        <v>6128</v>
      </c>
      <c r="B1477" s="3" t="s">
        <v>1480</v>
      </c>
      <c r="C1477" s="14">
        <v>611.91</v>
      </c>
      <c r="D1477" s="11" t="s">
        <v>5</v>
      </c>
    </row>
    <row r="1478" spans="1:4" x14ac:dyDescent="0.25">
      <c r="A1478" s="4" t="s">
        <v>6129</v>
      </c>
      <c r="B1478" s="3" t="s">
        <v>1481</v>
      </c>
      <c r="C1478" s="14">
        <v>456.74</v>
      </c>
      <c r="D1478" s="11" t="s">
        <v>5</v>
      </c>
    </row>
    <row r="1479" spans="1:4" x14ac:dyDescent="0.25">
      <c r="A1479" s="4" t="s">
        <v>6130</v>
      </c>
      <c r="B1479" s="3" t="s">
        <v>1482</v>
      </c>
      <c r="C1479" s="14">
        <v>352.14</v>
      </c>
      <c r="D1479" s="11" t="s">
        <v>5</v>
      </c>
    </row>
    <row r="1480" spans="1:4" x14ac:dyDescent="0.25">
      <c r="A1480" s="4" t="s">
        <v>6131</v>
      </c>
      <c r="B1480" s="3" t="s">
        <v>1483</v>
      </c>
      <c r="C1480" s="14">
        <v>348.69</v>
      </c>
      <c r="D1480" s="11" t="s">
        <v>5</v>
      </c>
    </row>
    <row r="1481" spans="1:4" x14ac:dyDescent="0.25">
      <c r="A1481" s="4" t="s">
        <v>6132</v>
      </c>
      <c r="B1481" s="3" t="s">
        <v>1484</v>
      </c>
      <c r="C1481" s="14">
        <v>266.45</v>
      </c>
      <c r="D1481" s="11" t="s">
        <v>5</v>
      </c>
    </row>
    <row r="1482" spans="1:4" x14ac:dyDescent="0.25">
      <c r="A1482" s="4" t="s">
        <v>6133</v>
      </c>
      <c r="B1482" s="3" t="s">
        <v>1485</v>
      </c>
      <c r="C1482" s="14">
        <v>201.42</v>
      </c>
      <c r="D1482" s="11" t="s">
        <v>5</v>
      </c>
    </row>
    <row r="1483" spans="1:4" x14ac:dyDescent="0.25">
      <c r="A1483" s="4" t="s">
        <v>6134</v>
      </c>
      <c r="B1483" s="3" t="s">
        <v>1486</v>
      </c>
      <c r="C1483" s="14">
        <v>1509.8</v>
      </c>
      <c r="D1483" s="11" t="s">
        <v>5</v>
      </c>
    </row>
    <row r="1484" spans="1:4" x14ac:dyDescent="0.25">
      <c r="A1484" s="4" t="s">
        <v>6135</v>
      </c>
      <c r="B1484" s="3" t="s">
        <v>1487</v>
      </c>
      <c r="C1484" s="14">
        <v>1509.8</v>
      </c>
      <c r="D1484" s="11" t="s">
        <v>5</v>
      </c>
    </row>
    <row r="1485" spans="1:4" x14ac:dyDescent="0.25">
      <c r="A1485" s="4" t="s">
        <v>6136</v>
      </c>
      <c r="B1485" s="3" t="s">
        <v>1488</v>
      </c>
      <c r="C1485" s="14">
        <v>2109.9</v>
      </c>
      <c r="D1485" s="11" t="s">
        <v>5</v>
      </c>
    </row>
    <row r="1486" spans="1:4" x14ac:dyDescent="0.25">
      <c r="A1486" s="4" t="s">
        <v>6137</v>
      </c>
      <c r="B1486" s="3" t="s">
        <v>1489</v>
      </c>
      <c r="C1486" s="14">
        <v>2439.54</v>
      </c>
      <c r="D1486" s="11" t="s">
        <v>5</v>
      </c>
    </row>
    <row r="1487" spans="1:4" x14ac:dyDescent="0.25">
      <c r="A1487" s="4" t="s">
        <v>6138</v>
      </c>
      <c r="B1487" s="3" t="s">
        <v>1490</v>
      </c>
      <c r="C1487" s="14">
        <v>671.49</v>
      </c>
      <c r="D1487" s="11" t="s">
        <v>5</v>
      </c>
    </row>
    <row r="1488" spans="1:4" x14ac:dyDescent="0.25">
      <c r="A1488" s="4" t="s">
        <v>6139</v>
      </c>
      <c r="B1488" s="3" t="s">
        <v>1491</v>
      </c>
      <c r="C1488" s="14">
        <v>479.78</v>
      </c>
      <c r="D1488" s="11" t="s">
        <v>5</v>
      </c>
    </row>
    <row r="1489" spans="1:4" x14ac:dyDescent="0.25">
      <c r="A1489" s="4" t="s">
        <v>6140</v>
      </c>
      <c r="B1489" s="3" t="s">
        <v>1492</v>
      </c>
      <c r="C1489" s="14">
        <v>304.5</v>
      </c>
      <c r="D1489" s="11" t="s">
        <v>5</v>
      </c>
    </row>
    <row r="1490" spans="1:4" x14ac:dyDescent="0.25">
      <c r="A1490" s="4" t="s">
        <v>6141</v>
      </c>
      <c r="B1490" s="3" t="s">
        <v>1493</v>
      </c>
      <c r="C1490" s="14">
        <v>1611.29</v>
      </c>
      <c r="D1490" s="11" t="s">
        <v>5</v>
      </c>
    </row>
    <row r="1491" spans="1:4" x14ac:dyDescent="0.25">
      <c r="A1491" s="4" t="s">
        <v>6142</v>
      </c>
      <c r="B1491" s="3" t="s">
        <v>1494</v>
      </c>
      <c r="C1491" s="14">
        <v>1611.29</v>
      </c>
      <c r="D1491" s="11" t="s">
        <v>5</v>
      </c>
    </row>
    <row r="1492" spans="1:4" x14ac:dyDescent="0.25">
      <c r="A1492" s="4" t="s">
        <v>6143</v>
      </c>
      <c r="B1492" s="3" t="s">
        <v>1495</v>
      </c>
      <c r="C1492" s="14">
        <v>2241.11</v>
      </c>
      <c r="D1492" s="11" t="s">
        <v>5</v>
      </c>
    </row>
    <row r="1493" spans="1:4" x14ac:dyDescent="0.25">
      <c r="A1493" s="4" t="s">
        <v>6144</v>
      </c>
      <c r="B1493" s="3" t="s">
        <v>1496</v>
      </c>
      <c r="C1493" s="14">
        <v>2525.5700000000002</v>
      </c>
      <c r="D1493" s="11" t="s">
        <v>5</v>
      </c>
    </row>
    <row r="1494" spans="1:4" x14ac:dyDescent="0.25">
      <c r="A1494" s="4" t="s">
        <v>6145</v>
      </c>
      <c r="B1494" s="3" t="s">
        <v>1497</v>
      </c>
      <c r="C1494" s="14">
        <v>917.85</v>
      </c>
      <c r="D1494" s="11" t="s">
        <v>5</v>
      </c>
    </row>
    <row r="1495" spans="1:4" x14ac:dyDescent="0.25">
      <c r="A1495" s="4" t="s">
        <v>6146</v>
      </c>
      <c r="B1495" s="3" t="s">
        <v>1498</v>
      </c>
      <c r="C1495" s="14">
        <v>685.13</v>
      </c>
      <c r="D1495" s="11" t="s">
        <v>5</v>
      </c>
    </row>
    <row r="1496" spans="1:4" x14ac:dyDescent="0.25">
      <c r="A1496" s="4" t="s">
        <v>6147</v>
      </c>
      <c r="B1496" s="3" t="s">
        <v>1499</v>
      </c>
      <c r="C1496" s="14">
        <v>927.96</v>
      </c>
      <c r="D1496" s="11" t="s">
        <v>5</v>
      </c>
    </row>
    <row r="1497" spans="1:4" x14ac:dyDescent="0.25">
      <c r="A1497" s="4" t="s">
        <v>6148</v>
      </c>
      <c r="B1497" s="3" t="s">
        <v>1500</v>
      </c>
      <c r="C1497" s="14">
        <v>517.07000000000005</v>
      </c>
      <c r="D1497" s="11" t="s">
        <v>5</v>
      </c>
    </row>
    <row r="1498" spans="1:4" x14ac:dyDescent="0.25">
      <c r="A1498" s="4" t="s">
        <v>6149</v>
      </c>
      <c r="B1498" s="3" t="s">
        <v>1501</v>
      </c>
      <c r="C1498" s="14">
        <v>393.32</v>
      </c>
      <c r="D1498" s="11" t="s">
        <v>5</v>
      </c>
    </row>
    <row r="1499" spans="1:4" x14ac:dyDescent="0.25">
      <c r="A1499" s="4" t="s">
        <v>6150</v>
      </c>
      <c r="B1499" s="3" t="s">
        <v>1502</v>
      </c>
      <c r="C1499" s="14">
        <v>535.85</v>
      </c>
      <c r="D1499" s="11" t="s">
        <v>5</v>
      </c>
    </row>
    <row r="1500" spans="1:4" x14ac:dyDescent="0.25">
      <c r="A1500" s="4" t="s">
        <v>6151</v>
      </c>
      <c r="B1500" s="3" t="s">
        <v>1503</v>
      </c>
      <c r="C1500" s="14">
        <v>3019.59</v>
      </c>
      <c r="D1500" s="11" t="s">
        <v>5</v>
      </c>
    </row>
    <row r="1501" spans="1:4" x14ac:dyDescent="0.25">
      <c r="A1501" s="4" t="s">
        <v>6152</v>
      </c>
      <c r="B1501" s="3" t="s">
        <v>1504</v>
      </c>
      <c r="C1501" s="14">
        <v>3019.59</v>
      </c>
      <c r="D1501" s="11" t="s">
        <v>5</v>
      </c>
    </row>
    <row r="1502" spans="1:4" x14ac:dyDescent="0.25">
      <c r="A1502" s="4" t="s">
        <v>6153</v>
      </c>
      <c r="B1502" s="3" t="s">
        <v>1505</v>
      </c>
      <c r="C1502" s="14">
        <v>4198.5200000000004</v>
      </c>
      <c r="D1502" s="11" t="s">
        <v>5</v>
      </c>
    </row>
    <row r="1503" spans="1:4" x14ac:dyDescent="0.25">
      <c r="A1503" s="4" t="s">
        <v>6154</v>
      </c>
      <c r="B1503" s="3" t="s">
        <v>1506</v>
      </c>
      <c r="C1503" s="14">
        <v>4785.8100000000004</v>
      </c>
      <c r="D1503" s="11" t="s">
        <v>5</v>
      </c>
    </row>
    <row r="1504" spans="1:4" x14ac:dyDescent="0.25">
      <c r="A1504" s="4" t="s">
        <v>6155</v>
      </c>
      <c r="B1504" s="3" t="s">
        <v>1507</v>
      </c>
      <c r="C1504" s="14">
        <v>380.61</v>
      </c>
      <c r="D1504" s="11" t="s">
        <v>5</v>
      </c>
    </row>
    <row r="1505" spans="1:4" x14ac:dyDescent="0.25">
      <c r="A1505" s="4" t="s">
        <v>6156</v>
      </c>
      <c r="B1505" s="3" t="s">
        <v>1508</v>
      </c>
      <c r="C1505" s="14">
        <v>482.13</v>
      </c>
      <c r="D1505" s="11" t="s">
        <v>5</v>
      </c>
    </row>
    <row r="1506" spans="1:4" x14ac:dyDescent="0.25">
      <c r="A1506" s="4" t="s">
        <v>6157</v>
      </c>
      <c r="B1506" s="3" t="s">
        <v>1509</v>
      </c>
      <c r="C1506" s="14">
        <v>3521.28</v>
      </c>
      <c r="D1506" s="11" t="s">
        <v>5</v>
      </c>
    </row>
    <row r="1507" spans="1:4" x14ac:dyDescent="0.25">
      <c r="A1507" s="4" t="s">
        <v>6158</v>
      </c>
      <c r="B1507" s="3" t="s">
        <v>1510</v>
      </c>
      <c r="C1507" s="14">
        <v>3775.34</v>
      </c>
      <c r="D1507" s="11" t="s">
        <v>5</v>
      </c>
    </row>
    <row r="1508" spans="1:4" x14ac:dyDescent="0.25">
      <c r="A1508" s="4" t="s">
        <v>6159</v>
      </c>
      <c r="B1508" s="3" t="s">
        <v>1511</v>
      </c>
      <c r="C1508" s="14">
        <v>1584.26</v>
      </c>
      <c r="D1508" s="11" t="s">
        <v>5</v>
      </c>
    </row>
    <row r="1509" spans="1:4" x14ac:dyDescent="0.25">
      <c r="A1509" s="4" t="s">
        <v>6160</v>
      </c>
      <c r="B1509" s="3" t="s">
        <v>1512</v>
      </c>
      <c r="C1509" s="14">
        <v>1141.79</v>
      </c>
      <c r="D1509" s="11" t="s">
        <v>5</v>
      </c>
    </row>
    <row r="1510" spans="1:4" x14ac:dyDescent="0.25">
      <c r="A1510" s="4" t="s">
        <v>6161</v>
      </c>
      <c r="B1510" s="3" t="s">
        <v>1513</v>
      </c>
      <c r="C1510" s="14">
        <v>862.74</v>
      </c>
      <c r="D1510" s="11" t="s">
        <v>5</v>
      </c>
    </row>
    <row r="1511" spans="1:4" x14ac:dyDescent="0.25">
      <c r="A1511" s="4" t="s">
        <v>6162</v>
      </c>
      <c r="B1511" s="3" t="s">
        <v>1514</v>
      </c>
      <c r="C1511" s="14">
        <v>1188.3800000000001</v>
      </c>
      <c r="D1511" s="11" t="s">
        <v>5</v>
      </c>
    </row>
    <row r="1512" spans="1:4" x14ac:dyDescent="0.25">
      <c r="A1512" s="4" t="s">
        <v>6163</v>
      </c>
      <c r="B1512" s="3" t="s">
        <v>1515</v>
      </c>
      <c r="C1512" s="14">
        <v>2781.47</v>
      </c>
      <c r="D1512" s="11" t="s">
        <v>5</v>
      </c>
    </row>
    <row r="1513" spans="1:4" x14ac:dyDescent="0.25">
      <c r="A1513" s="4" t="s">
        <v>6164</v>
      </c>
      <c r="B1513" s="3" t="s">
        <v>1516</v>
      </c>
      <c r="C1513" s="14">
        <v>1973.94</v>
      </c>
      <c r="D1513" s="11" t="s">
        <v>5</v>
      </c>
    </row>
    <row r="1514" spans="1:4" x14ac:dyDescent="0.25">
      <c r="A1514" s="4" t="s">
        <v>6165</v>
      </c>
      <c r="B1514" s="3" t="s">
        <v>1517</v>
      </c>
      <c r="C1514" s="14">
        <v>1484.42</v>
      </c>
      <c r="D1514" s="11" t="s">
        <v>5</v>
      </c>
    </row>
    <row r="1515" spans="1:4" x14ac:dyDescent="0.25">
      <c r="A1515" s="4" t="s">
        <v>6166</v>
      </c>
      <c r="B1515" s="3" t="s">
        <v>1518</v>
      </c>
      <c r="C1515" s="14">
        <v>2227.04</v>
      </c>
      <c r="D1515" s="11" t="s">
        <v>5</v>
      </c>
    </row>
    <row r="1516" spans="1:4" x14ac:dyDescent="0.25">
      <c r="A1516" s="4" t="s">
        <v>6167</v>
      </c>
      <c r="B1516" s="3" t="s">
        <v>1519</v>
      </c>
      <c r="C1516" s="14">
        <v>4372.28</v>
      </c>
      <c r="D1516" s="11" t="s">
        <v>5</v>
      </c>
    </row>
    <row r="1517" spans="1:4" x14ac:dyDescent="0.25">
      <c r="A1517" s="4" t="s">
        <v>6168</v>
      </c>
      <c r="B1517" s="3" t="s">
        <v>1520</v>
      </c>
      <c r="C1517" s="14">
        <v>3270.59</v>
      </c>
      <c r="D1517" s="11" t="s">
        <v>5</v>
      </c>
    </row>
    <row r="1518" spans="1:4" x14ac:dyDescent="0.25">
      <c r="A1518" s="4" t="s">
        <v>6169</v>
      </c>
      <c r="B1518" s="3" t="s">
        <v>1521</v>
      </c>
      <c r="C1518" s="14">
        <v>2461.35</v>
      </c>
      <c r="D1518" s="11" t="s">
        <v>5</v>
      </c>
    </row>
    <row r="1519" spans="1:4" x14ac:dyDescent="0.25">
      <c r="A1519" s="4" t="s">
        <v>6170</v>
      </c>
      <c r="B1519" s="3" t="s">
        <v>1522</v>
      </c>
      <c r="C1519" s="14">
        <v>3343.17</v>
      </c>
      <c r="D1519" s="11" t="s">
        <v>5</v>
      </c>
    </row>
    <row r="1520" spans="1:4" x14ac:dyDescent="0.25">
      <c r="A1520" s="4" t="s">
        <v>6171</v>
      </c>
      <c r="B1520" s="3" t="s">
        <v>1523</v>
      </c>
      <c r="C1520" s="14">
        <v>11264.63</v>
      </c>
      <c r="D1520" s="11" t="s">
        <v>5</v>
      </c>
    </row>
    <row r="1521" spans="1:4" x14ac:dyDescent="0.25">
      <c r="A1521" s="4" t="s">
        <v>6172</v>
      </c>
      <c r="B1521" s="3" t="s">
        <v>1524</v>
      </c>
      <c r="C1521" s="14">
        <v>8017.37</v>
      </c>
      <c r="D1521" s="11" t="s">
        <v>5</v>
      </c>
    </row>
    <row r="1522" spans="1:4" x14ac:dyDescent="0.25">
      <c r="A1522" s="4" t="s">
        <v>6173</v>
      </c>
      <c r="B1522" s="3" t="s">
        <v>1525</v>
      </c>
      <c r="C1522" s="14">
        <v>20029.28</v>
      </c>
      <c r="D1522" s="11" t="s">
        <v>5</v>
      </c>
    </row>
    <row r="1523" spans="1:4" x14ac:dyDescent="0.25">
      <c r="A1523" s="4" t="s">
        <v>6174</v>
      </c>
      <c r="B1523" s="3" t="s">
        <v>1526</v>
      </c>
      <c r="C1523" s="14">
        <v>19920.29</v>
      </c>
      <c r="D1523" s="11" t="s">
        <v>5</v>
      </c>
    </row>
    <row r="1524" spans="1:4" x14ac:dyDescent="0.25">
      <c r="A1524" s="4" t="s">
        <v>6175</v>
      </c>
      <c r="B1524" s="3" t="s">
        <v>1527</v>
      </c>
      <c r="C1524" s="14">
        <v>1541.73</v>
      </c>
      <c r="D1524" s="11" t="s">
        <v>5</v>
      </c>
    </row>
    <row r="1525" spans="1:4" x14ac:dyDescent="0.25">
      <c r="A1525" s="4" t="s">
        <v>6176</v>
      </c>
      <c r="B1525" s="3" t="s">
        <v>1528</v>
      </c>
      <c r="C1525" s="14">
        <v>1793.79</v>
      </c>
      <c r="D1525" s="11" t="s">
        <v>5</v>
      </c>
    </row>
    <row r="1526" spans="1:4" x14ac:dyDescent="0.25">
      <c r="A1526" s="4" t="s">
        <v>6177</v>
      </c>
      <c r="B1526" s="3" t="s">
        <v>1529</v>
      </c>
      <c r="C1526" s="14">
        <v>2229.89</v>
      </c>
      <c r="D1526" s="11" t="s">
        <v>5</v>
      </c>
    </row>
    <row r="1527" spans="1:4" x14ac:dyDescent="0.25">
      <c r="A1527" s="4" t="s">
        <v>6178</v>
      </c>
      <c r="B1527" s="3" t="s">
        <v>1530</v>
      </c>
      <c r="C1527" s="14">
        <v>2352.96</v>
      </c>
      <c r="D1527" s="11" t="s">
        <v>5</v>
      </c>
    </row>
    <row r="1528" spans="1:4" x14ac:dyDescent="0.25">
      <c r="A1528" s="4" t="s">
        <v>6179</v>
      </c>
      <c r="B1528" s="3" t="s">
        <v>1531</v>
      </c>
      <c r="C1528" s="14">
        <v>2524.61</v>
      </c>
      <c r="D1528" s="11" t="s">
        <v>5</v>
      </c>
    </row>
    <row r="1529" spans="1:4" x14ac:dyDescent="0.25">
      <c r="A1529" s="4" t="s">
        <v>6180</v>
      </c>
      <c r="B1529" s="3" t="s">
        <v>1532</v>
      </c>
      <c r="C1529" s="14">
        <v>4212.17</v>
      </c>
      <c r="D1529" s="11" t="s">
        <v>5</v>
      </c>
    </row>
    <row r="1530" spans="1:4" x14ac:dyDescent="0.25">
      <c r="A1530" s="4" t="s">
        <v>6181</v>
      </c>
      <c r="B1530" s="3" t="s">
        <v>1533</v>
      </c>
      <c r="C1530" s="14">
        <v>5349.92</v>
      </c>
      <c r="D1530" s="11" t="s">
        <v>5</v>
      </c>
    </row>
    <row r="1531" spans="1:4" x14ac:dyDescent="0.25">
      <c r="A1531" s="4" t="s">
        <v>6182</v>
      </c>
      <c r="B1531" s="3" t="s">
        <v>1534</v>
      </c>
      <c r="C1531" s="14">
        <v>3681.57</v>
      </c>
      <c r="D1531" s="11" t="s">
        <v>5</v>
      </c>
    </row>
    <row r="1532" spans="1:4" x14ac:dyDescent="0.25">
      <c r="A1532" s="4" t="s">
        <v>6183</v>
      </c>
      <c r="B1532" s="3" t="s">
        <v>1535</v>
      </c>
      <c r="C1532" s="14">
        <v>3625.4</v>
      </c>
      <c r="D1532" s="11" t="s">
        <v>5</v>
      </c>
    </row>
    <row r="1533" spans="1:4" x14ac:dyDescent="0.25">
      <c r="A1533" s="4" t="s">
        <v>6184</v>
      </c>
      <c r="B1533" s="3" t="s">
        <v>1536</v>
      </c>
      <c r="C1533" s="14">
        <v>509.91</v>
      </c>
      <c r="D1533" s="11" t="s">
        <v>5</v>
      </c>
    </row>
    <row r="1534" spans="1:4" x14ac:dyDescent="0.25">
      <c r="A1534" s="4" t="s">
        <v>6185</v>
      </c>
      <c r="B1534" s="3" t="s">
        <v>1537</v>
      </c>
      <c r="C1534" s="14">
        <v>285.63</v>
      </c>
      <c r="D1534" s="11" t="s">
        <v>5</v>
      </c>
    </row>
    <row r="1535" spans="1:4" x14ac:dyDescent="0.25">
      <c r="A1535" s="4" t="s">
        <v>6186</v>
      </c>
      <c r="B1535" s="3" t="s">
        <v>1538</v>
      </c>
      <c r="C1535" s="14">
        <v>669.9</v>
      </c>
      <c r="D1535" s="11" t="s">
        <v>5</v>
      </c>
    </row>
    <row r="1536" spans="1:4" x14ac:dyDescent="0.25">
      <c r="A1536" s="4" t="s">
        <v>6187</v>
      </c>
      <c r="B1536" s="3" t="s">
        <v>1539</v>
      </c>
      <c r="C1536" s="14">
        <v>454.83</v>
      </c>
      <c r="D1536" s="11" t="s">
        <v>5</v>
      </c>
    </row>
    <row r="1537" spans="1:4" x14ac:dyDescent="0.25">
      <c r="A1537" s="4" t="s">
        <v>6188</v>
      </c>
      <c r="B1537" s="3" t="s">
        <v>1540</v>
      </c>
      <c r="C1537" s="14">
        <v>985.61</v>
      </c>
      <c r="D1537" s="11" t="s">
        <v>5</v>
      </c>
    </row>
    <row r="1538" spans="1:4" x14ac:dyDescent="0.25">
      <c r="A1538" s="4" t="s">
        <v>6189</v>
      </c>
      <c r="B1538" s="3" t="s">
        <v>1541</v>
      </c>
      <c r="C1538" s="14">
        <v>972.74</v>
      </c>
      <c r="D1538" s="11" t="s">
        <v>5</v>
      </c>
    </row>
    <row r="1539" spans="1:4" x14ac:dyDescent="0.25">
      <c r="A1539" s="4" t="s">
        <v>6190</v>
      </c>
      <c r="B1539" s="3" t="s">
        <v>1542</v>
      </c>
      <c r="C1539" s="14">
        <v>14534.85</v>
      </c>
      <c r="D1539" s="11" t="s">
        <v>5</v>
      </c>
    </row>
    <row r="1540" spans="1:4" x14ac:dyDescent="0.25">
      <c r="A1540" s="4" t="s">
        <v>6191</v>
      </c>
      <c r="B1540" s="3" t="s">
        <v>1543</v>
      </c>
      <c r="C1540" s="14">
        <v>15698.79</v>
      </c>
      <c r="D1540" s="11" t="s">
        <v>5</v>
      </c>
    </row>
    <row r="1541" spans="1:4" x14ac:dyDescent="0.25">
      <c r="A1541" s="4" t="s">
        <v>6192</v>
      </c>
      <c r="B1541" s="3" t="s">
        <v>1544</v>
      </c>
      <c r="C1541" s="14">
        <v>159.29</v>
      </c>
      <c r="D1541" s="11" t="s">
        <v>5</v>
      </c>
    </row>
    <row r="1542" spans="1:4" x14ac:dyDescent="0.25">
      <c r="A1542" s="4" t="s">
        <v>6193</v>
      </c>
      <c r="B1542" s="3" t="s">
        <v>1545</v>
      </c>
      <c r="C1542" s="14">
        <v>126.87</v>
      </c>
      <c r="D1542" s="11" t="s">
        <v>5</v>
      </c>
    </row>
    <row r="1543" spans="1:4" x14ac:dyDescent="0.25">
      <c r="A1543" s="4" t="s">
        <v>6194</v>
      </c>
      <c r="B1543" s="3" t="s">
        <v>1546</v>
      </c>
      <c r="C1543" s="14">
        <v>170.45</v>
      </c>
      <c r="D1543" s="11" t="s">
        <v>5</v>
      </c>
    </row>
    <row r="1544" spans="1:4" x14ac:dyDescent="0.25">
      <c r="A1544" s="4" t="s">
        <v>6195</v>
      </c>
      <c r="B1544" s="3" t="s">
        <v>1547</v>
      </c>
      <c r="C1544" s="14">
        <v>251.15</v>
      </c>
      <c r="D1544" s="11" t="s">
        <v>5</v>
      </c>
    </row>
    <row r="1545" spans="1:4" x14ac:dyDescent="0.25">
      <c r="A1545" s="4" t="s">
        <v>6196</v>
      </c>
      <c r="B1545" s="3" t="s">
        <v>1548</v>
      </c>
      <c r="C1545" s="14">
        <v>190.31</v>
      </c>
      <c r="D1545" s="11" t="s">
        <v>5</v>
      </c>
    </row>
    <row r="1546" spans="1:4" x14ac:dyDescent="0.25">
      <c r="A1546" s="4" t="s">
        <v>6197</v>
      </c>
      <c r="B1546" s="3" t="s">
        <v>1549</v>
      </c>
      <c r="C1546" s="14">
        <v>268.67</v>
      </c>
      <c r="D1546" s="11" t="s">
        <v>5</v>
      </c>
    </row>
    <row r="1547" spans="1:4" x14ac:dyDescent="0.25">
      <c r="A1547" s="4" t="s">
        <v>6198</v>
      </c>
      <c r="B1547" s="3" t="s">
        <v>1550</v>
      </c>
      <c r="C1547" s="14">
        <v>305.97000000000003</v>
      </c>
      <c r="D1547" s="11" t="s">
        <v>5</v>
      </c>
    </row>
    <row r="1548" spans="1:4" x14ac:dyDescent="0.25">
      <c r="A1548" s="4" t="s">
        <v>6199</v>
      </c>
      <c r="B1548" s="3" t="s">
        <v>1551</v>
      </c>
      <c r="C1548" s="14">
        <v>228.38</v>
      </c>
      <c r="D1548" s="11" t="s">
        <v>5</v>
      </c>
    </row>
    <row r="1549" spans="1:4" x14ac:dyDescent="0.25">
      <c r="A1549" s="4" t="s">
        <v>6200</v>
      </c>
      <c r="B1549" s="3" t="s">
        <v>1552</v>
      </c>
      <c r="C1549" s="14">
        <v>505.05</v>
      </c>
      <c r="D1549" s="11" t="s">
        <v>5</v>
      </c>
    </row>
    <row r="1550" spans="1:4" x14ac:dyDescent="0.25">
      <c r="A1550" s="4" t="s">
        <v>6201</v>
      </c>
      <c r="B1550" s="3" t="s">
        <v>1553</v>
      </c>
      <c r="C1550" s="14">
        <v>348.78</v>
      </c>
      <c r="D1550" s="11" t="s">
        <v>5</v>
      </c>
    </row>
    <row r="1551" spans="1:4" x14ac:dyDescent="0.25">
      <c r="A1551" s="4" t="s">
        <v>6202</v>
      </c>
      <c r="B1551" s="3" t="s">
        <v>1554</v>
      </c>
      <c r="C1551" s="14">
        <v>266.45</v>
      </c>
      <c r="D1551" s="11" t="s">
        <v>5</v>
      </c>
    </row>
    <row r="1552" spans="1:4" x14ac:dyDescent="0.25">
      <c r="A1552" s="4" t="s">
        <v>6203</v>
      </c>
      <c r="B1552" s="3" t="s">
        <v>1555</v>
      </c>
      <c r="C1552" s="14">
        <v>377.27</v>
      </c>
      <c r="D1552" s="11" t="s">
        <v>5</v>
      </c>
    </row>
    <row r="1553" spans="1:4" x14ac:dyDescent="0.25">
      <c r="A1553" s="4" t="s">
        <v>6204</v>
      </c>
      <c r="B1553" s="3" t="s">
        <v>1556</v>
      </c>
      <c r="C1553" s="14">
        <v>385.04</v>
      </c>
      <c r="D1553" s="11" t="s">
        <v>5</v>
      </c>
    </row>
    <row r="1554" spans="1:4" x14ac:dyDescent="0.25">
      <c r="A1554" s="4" t="s">
        <v>6205</v>
      </c>
      <c r="B1554" s="3" t="s">
        <v>1557</v>
      </c>
      <c r="C1554" s="14">
        <v>291.8</v>
      </c>
      <c r="D1554" s="11" t="s">
        <v>5</v>
      </c>
    </row>
    <row r="1555" spans="1:4" x14ac:dyDescent="0.25">
      <c r="A1555" s="4" t="s">
        <v>6206</v>
      </c>
      <c r="B1555" s="3" t="s">
        <v>1558</v>
      </c>
      <c r="C1555" s="14">
        <v>654.87</v>
      </c>
      <c r="D1555" s="11" t="s">
        <v>5</v>
      </c>
    </row>
    <row r="1556" spans="1:4" x14ac:dyDescent="0.25">
      <c r="A1556" s="4" t="s">
        <v>6207</v>
      </c>
      <c r="B1556" s="3" t="s">
        <v>1559</v>
      </c>
      <c r="C1556" s="14">
        <v>465.78</v>
      </c>
      <c r="D1556" s="11" t="s">
        <v>5</v>
      </c>
    </row>
    <row r="1557" spans="1:4" x14ac:dyDescent="0.25">
      <c r="A1557" s="4" t="s">
        <v>6208</v>
      </c>
      <c r="B1557" s="3" t="s">
        <v>1560</v>
      </c>
      <c r="C1557" s="14">
        <v>342.57</v>
      </c>
      <c r="D1557" s="11" t="s">
        <v>5</v>
      </c>
    </row>
    <row r="1558" spans="1:4" x14ac:dyDescent="0.25">
      <c r="A1558" s="4" t="s">
        <v>6209</v>
      </c>
      <c r="B1558" s="3" t="s">
        <v>1561</v>
      </c>
      <c r="C1558" s="14">
        <v>745.52</v>
      </c>
      <c r="D1558" s="11" t="s">
        <v>5</v>
      </c>
    </row>
    <row r="1559" spans="1:4" x14ac:dyDescent="0.25">
      <c r="A1559" s="4" t="s">
        <v>6210</v>
      </c>
      <c r="B1559" s="3" t="s">
        <v>1562</v>
      </c>
      <c r="C1559" s="14">
        <v>644.22</v>
      </c>
      <c r="D1559" s="11" t="s">
        <v>5</v>
      </c>
    </row>
    <row r="1560" spans="1:4" x14ac:dyDescent="0.25">
      <c r="A1560" s="4" t="s">
        <v>6211</v>
      </c>
      <c r="B1560" s="3" t="s">
        <v>1563</v>
      </c>
      <c r="C1560" s="14">
        <v>431.37</v>
      </c>
      <c r="D1560" s="11" t="s">
        <v>5</v>
      </c>
    </row>
    <row r="1561" spans="1:4" x14ac:dyDescent="0.25">
      <c r="A1561" s="4" t="s">
        <v>6212</v>
      </c>
      <c r="B1561" s="3" t="s">
        <v>1564</v>
      </c>
      <c r="C1561" s="14">
        <v>930.9</v>
      </c>
      <c r="D1561" s="11" t="s">
        <v>5</v>
      </c>
    </row>
    <row r="1562" spans="1:4" x14ac:dyDescent="0.25">
      <c r="A1562" s="4" t="s">
        <v>6213</v>
      </c>
      <c r="B1562" s="3" t="s">
        <v>1565</v>
      </c>
      <c r="C1562" s="14">
        <v>575.17999999999995</v>
      </c>
      <c r="D1562" s="11" t="s">
        <v>5</v>
      </c>
    </row>
    <row r="1563" spans="1:4" x14ac:dyDescent="0.25">
      <c r="A1563" s="4" t="s">
        <v>6214</v>
      </c>
      <c r="B1563" s="3" t="s">
        <v>1566</v>
      </c>
      <c r="C1563" s="14">
        <v>380.61</v>
      </c>
      <c r="D1563" s="11" t="s">
        <v>5</v>
      </c>
    </row>
    <row r="1564" spans="1:4" x14ac:dyDescent="0.25">
      <c r="A1564" s="4" t="s">
        <v>6215</v>
      </c>
      <c r="B1564" s="3" t="s">
        <v>1567</v>
      </c>
      <c r="C1564" s="14">
        <v>626.54999999999995</v>
      </c>
      <c r="D1564" s="11" t="s">
        <v>5</v>
      </c>
    </row>
    <row r="1565" spans="1:4" x14ac:dyDescent="0.25">
      <c r="A1565" s="4" t="s">
        <v>6216</v>
      </c>
      <c r="B1565" s="3" t="s">
        <v>1568</v>
      </c>
      <c r="C1565" s="14">
        <v>418.68</v>
      </c>
      <c r="D1565" s="11" t="s">
        <v>5</v>
      </c>
    </row>
    <row r="1566" spans="1:4" x14ac:dyDescent="0.25">
      <c r="A1566" s="4" t="s">
        <v>6217</v>
      </c>
      <c r="B1566" s="3" t="s">
        <v>1569</v>
      </c>
      <c r="C1566" s="14">
        <v>1040.6300000000001</v>
      </c>
      <c r="D1566" s="11" t="s">
        <v>5</v>
      </c>
    </row>
    <row r="1567" spans="1:4" x14ac:dyDescent="0.25">
      <c r="A1567" s="4" t="s">
        <v>6218</v>
      </c>
      <c r="B1567" s="3" t="s">
        <v>1570</v>
      </c>
      <c r="C1567" s="14">
        <v>710.49</v>
      </c>
      <c r="D1567" s="11" t="s">
        <v>5</v>
      </c>
    </row>
    <row r="1568" spans="1:4" x14ac:dyDescent="0.25">
      <c r="A1568" s="4" t="s">
        <v>6219</v>
      </c>
      <c r="B1568" s="3" t="s">
        <v>1571</v>
      </c>
      <c r="C1568" s="14">
        <v>1556.54</v>
      </c>
      <c r="D1568" s="11" t="s">
        <v>5</v>
      </c>
    </row>
    <row r="1569" spans="1:4" x14ac:dyDescent="0.25">
      <c r="A1569" s="4" t="s">
        <v>6220</v>
      </c>
      <c r="B1569" s="3" t="s">
        <v>1572</v>
      </c>
      <c r="C1569" s="14">
        <v>831.93</v>
      </c>
      <c r="D1569" s="11" t="s">
        <v>5</v>
      </c>
    </row>
    <row r="1570" spans="1:4" x14ac:dyDescent="0.25">
      <c r="A1570" s="4" t="s">
        <v>6221</v>
      </c>
      <c r="B1570" s="3" t="s">
        <v>1573</v>
      </c>
      <c r="C1570" s="14">
        <v>558.24</v>
      </c>
      <c r="D1570" s="11" t="s">
        <v>5</v>
      </c>
    </row>
    <row r="1571" spans="1:4" x14ac:dyDescent="0.25">
      <c r="A1571" s="4" t="s">
        <v>6222</v>
      </c>
      <c r="B1571" s="3" t="s">
        <v>1574</v>
      </c>
      <c r="C1571" s="14">
        <v>983</v>
      </c>
      <c r="D1571" s="11" t="s">
        <v>5</v>
      </c>
    </row>
    <row r="1572" spans="1:4" x14ac:dyDescent="0.25">
      <c r="A1572" s="4" t="s">
        <v>6223</v>
      </c>
      <c r="B1572" s="3" t="s">
        <v>1575</v>
      </c>
      <c r="C1572" s="14">
        <v>2316.5300000000002</v>
      </c>
      <c r="D1572" s="11" t="s">
        <v>5</v>
      </c>
    </row>
    <row r="1573" spans="1:4" x14ac:dyDescent="0.25">
      <c r="A1573" s="4" t="s">
        <v>6224</v>
      </c>
      <c r="B1573" s="3" t="s">
        <v>1576</v>
      </c>
      <c r="C1573" s="14">
        <v>1573.23</v>
      </c>
      <c r="D1573" s="11" t="s">
        <v>5</v>
      </c>
    </row>
    <row r="1574" spans="1:4" x14ac:dyDescent="0.25">
      <c r="A1574" s="4" t="s">
        <v>6225</v>
      </c>
      <c r="B1574" s="3" t="s">
        <v>1577</v>
      </c>
      <c r="C1574" s="14">
        <v>2738.99</v>
      </c>
      <c r="D1574" s="11" t="s">
        <v>5</v>
      </c>
    </row>
    <row r="1575" spans="1:4" x14ac:dyDescent="0.25">
      <c r="A1575" s="4" t="s">
        <v>6226</v>
      </c>
      <c r="B1575" s="3" t="s">
        <v>1578</v>
      </c>
      <c r="C1575" s="14">
        <v>2957.33</v>
      </c>
      <c r="D1575" s="11" t="s">
        <v>5</v>
      </c>
    </row>
    <row r="1576" spans="1:4" x14ac:dyDescent="0.25">
      <c r="A1576" s="4" t="s">
        <v>6227</v>
      </c>
      <c r="B1576" s="3" t="s">
        <v>1579</v>
      </c>
      <c r="C1576" s="14">
        <v>3042</v>
      </c>
      <c r="D1576" s="11" t="s">
        <v>5</v>
      </c>
    </row>
    <row r="1577" spans="1:4" x14ac:dyDescent="0.25">
      <c r="A1577" s="4" t="s">
        <v>6228</v>
      </c>
      <c r="B1577" s="3" t="s">
        <v>1580</v>
      </c>
      <c r="C1577" s="14">
        <v>7091.25</v>
      </c>
      <c r="D1577" s="11" t="s">
        <v>5</v>
      </c>
    </row>
    <row r="1578" spans="1:4" x14ac:dyDescent="0.25">
      <c r="A1578" s="4" t="s">
        <v>6229</v>
      </c>
      <c r="B1578" s="3" t="s">
        <v>1581</v>
      </c>
      <c r="C1578" s="14">
        <v>11934.41</v>
      </c>
      <c r="D1578" s="11" t="s">
        <v>5</v>
      </c>
    </row>
    <row r="1579" spans="1:4" x14ac:dyDescent="0.25">
      <c r="A1579" s="4" t="s">
        <v>6230</v>
      </c>
      <c r="B1579" s="3" t="s">
        <v>1582</v>
      </c>
      <c r="C1579" s="14">
        <v>724.52</v>
      </c>
      <c r="D1579" s="11" t="s">
        <v>5</v>
      </c>
    </row>
    <row r="1580" spans="1:4" x14ac:dyDescent="0.25">
      <c r="A1580" s="4" t="s">
        <v>6231</v>
      </c>
      <c r="B1580" s="3" t="s">
        <v>1583</v>
      </c>
      <c r="C1580" s="14">
        <v>799.29</v>
      </c>
      <c r="D1580" s="11" t="s">
        <v>5</v>
      </c>
    </row>
    <row r="1581" spans="1:4" x14ac:dyDescent="0.25">
      <c r="A1581" s="4" t="s">
        <v>6232</v>
      </c>
      <c r="B1581" s="3" t="s">
        <v>1584</v>
      </c>
      <c r="C1581" s="14">
        <v>923.55</v>
      </c>
      <c r="D1581" s="11" t="s">
        <v>5</v>
      </c>
    </row>
    <row r="1582" spans="1:4" x14ac:dyDescent="0.25">
      <c r="A1582" s="4" t="s">
        <v>6233</v>
      </c>
      <c r="B1582" s="3" t="s">
        <v>1585</v>
      </c>
      <c r="C1582" s="14">
        <v>989.7</v>
      </c>
      <c r="D1582" s="11" t="s">
        <v>5</v>
      </c>
    </row>
    <row r="1583" spans="1:4" x14ac:dyDescent="0.25">
      <c r="A1583" s="4" t="s">
        <v>6234</v>
      </c>
      <c r="B1583" s="3" t="s">
        <v>1586</v>
      </c>
      <c r="C1583" s="14">
        <v>735.87</v>
      </c>
      <c r="D1583" s="11" t="s">
        <v>5</v>
      </c>
    </row>
    <row r="1584" spans="1:4" x14ac:dyDescent="0.25">
      <c r="A1584" s="4" t="s">
        <v>6235</v>
      </c>
      <c r="B1584" s="3" t="s">
        <v>1587</v>
      </c>
      <c r="C1584" s="14">
        <v>1185.5999999999999</v>
      </c>
      <c r="D1584" s="11" t="s">
        <v>5</v>
      </c>
    </row>
    <row r="1585" spans="1:4" x14ac:dyDescent="0.25">
      <c r="A1585" s="4" t="s">
        <v>6236</v>
      </c>
      <c r="B1585" s="3" t="s">
        <v>1588</v>
      </c>
      <c r="C1585" s="14">
        <v>1401.3</v>
      </c>
      <c r="D1585" s="11" t="s">
        <v>5</v>
      </c>
    </row>
    <row r="1586" spans="1:4" x14ac:dyDescent="0.25">
      <c r="A1586" s="4" t="s">
        <v>6237</v>
      </c>
      <c r="B1586" s="3" t="s">
        <v>1589</v>
      </c>
      <c r="C1586" s="14">
        <v>1053.05</v>
      </c>
      <c r="D1586" s="11" t="s">
        <v>5</v>
      </c>
    </row>
    <row r="1587" spans="1:4" x14ac:dyDescent="0.25">
      <c r="A1587" s="4" t="s">
        <v>6238</v>
      </c>
      <c r="B1587" s="3" t="s">
        <v>1590</v>
      </c>
      <c r="C1587" s="14">
        <v>1733.96</v>
      </c>
      <c r="D1587" s="11" t="s">
        <v>5</v>
      </c>
    </row>
    <row r="1588" spans="1:4" x14ac:dyDescent="0.25">
      <c r="A1588" s="4" t="s">
        <v>6239</v>
      </c>
      <c r="B1588" s="3" t="s">
        <v>1591</v>
      </c>
      <c r="C1588" s="14">
        <v>959.37</v>
      </c>
      <c r="D1588" s="11" t="s">
        <v>5</v>
      </c>
    </row>
    <row r="1589" spans="1:4" x14ac:dyDescent="0.25">
      <c r="A1589" s="4" t="s">
        <v>6240</v>
      </c>
      <c r="B1589" s="3" t="s">
        <v>1592</v>
      </c>
      <c r="C1589" s="14">
        <v>532.88</v>
      </c>
      <c r="D1589" s="11" t="s">
        <v>5</v>
      </c>
    </row>
    <row r="1590" spans="1:4" x14ac:dyDescent="0.25">
      <c r="A1590" s="4" t="s">
        <v>6241</v>
      </c>
      <c r="B1590" s="3" t="s">
        <v>1593</v>
      </c>
      <c r="C1590" s="14">
        <v>0.59</v>
      </c>
      <c r="D1590" s="11" t="s">
        <v>107</v>
      </c>
    </row>
    <row r="1591" spans="1:4" x14ac:dyDescent="0.25">
      <c r="A1591" s="4" t="s">
        <v>6242</v>
      </c>
      <c r="B1591" s="3" t="s">
        <v>1594</v>
      </c>
      <c r="C1591" s="14">
        <v>761.25</v>
      </c>
      <c r="D1591" s="11" t="s">
        <v>5</v>
      </c>
    </row>
    <row r="1592" spans="1:4" x14ac:dyDescent="0.25">
      <c r="A1592" s="4" t="s">
        <v>6243</v>
      </c>
      <c r="B1592" s="3" t="s">
        <v>1595</v>
      </c>
      <c r="C1592" s="14">
        <v>0.78</v>
      </c>
      <c r="D1592" s="11" t="s">
        <v>107</v>
      </c>
    </row>
    <row r="1593" spans="1:4" x14ac:dyDescent="0.25">
      <c r="A1593" s="4" t="s">
        <v>6244</v>
      </c>
      <c r="B1593" s="3" t="s">
        <v>1596</v>
      </c>
      <c r="C1593" s="14">
        <v>1522.47</v>
      </c>
      <c r="D1593" s="11" t="s">
        <v>5</v>
      </c>
    </row>
    <row r="1594" spans="1:4" x14ac:dyDescent="0.25">
      <c r="A1594" s="4" t="s">
        <v>6245</v>
      </c>
      <c r="B1594" s="3" t="s">
        <v>1597</v>
      </c>
      <c r="C1594" s="14">
        <v>703.65</v>
      </c>
      <c r="D1594" s="11" t="s">
        <v>5</v>
      </c>
    </row>
    <row r="1595" spans="1:4" x14ac:dyDescent="0.25">
      <c r="A1595" s="4" t="s">
        <v>6246</v>
      </c>
      <c r="B1595" s="3" t="s">
        <v>1598</v>
      </c>
      <c r="C1595" s="14">
        <v>1016</v>
      </c>
      <c r="D1595" s="11" t="s">
        <v>5</v>
      </c>
    </row>
    <row r="1596" spans="1:4" x14ac:dyDescent="0.25">
      <c r="A1596" s="4" t="s">
        <v>6247</v>
      </c>
      <c r="B1596" s="3" t="s">
        <v>1599</v>
      </c>
      <c r="C1596" s="14">
        <v>956.76</v>
      </c>
      <c r="D1596" s="11" t="s">
        <v>5</v>
      </c>
    </row>
    <row r="1597" spans="1:4" x14ac:dyDescent="0.25">
      <c r="A1597" s="4" t="s">
        <v>6248</v>
      </c>
      <c r="B1597" s="3" t="s">
        <v>1600</v>
      </c>
      <c r="C1597" s="14">
        <v>723.18</v>
      </c>
      <c r="D1597" s="11" t="s">
        <v>5</v>
      </c>
    </row>
    <row r="1598" spans="1:4" x14ac:dyDescent="0.25">
      <c r="A1598" s="4" t="s">
        <v>6249</v>
      </c>
      <c r="B1598" s="3" t="s">
        <v>1601</v>
      </c>
      <c r="C1598" s="14">
        <v>1214.0999999999999</v>
      </c>
      <c r="D1598" s="11" t="s">
        <v>5</v>
      </c>
    </row>
    <row r="1599" spans="1:4" x14ac:dyDescent="0.25">
      <c r="A1599" s="4" t="s">
        <v>6250</v>
      </c>
      <c r="B1599" s="3" t="s">
        <v>1602</v>
      </c>
      <c r="C1599" s="14">
        <v>989.63</v>
      </c>
      <c r="D1599" s="11" t="s">
        <v>5</v>
      </c>
    </row>
    <row r="1600" spans="1:4" x14ac:dyDescent="0.25">
      <c r="A1600" s="4" t="s">
        <v>6251</v>
      </c>
      <c r="B1600" s="3" t="s">
        <v>1603</v>
      </c>
      <c r="C1600" s="14">
        <v>1517.64</v>
      </c>
      <c r="D1600" s="11" t="s">
        <v>5</v>
      </c>
    </row>
    <row r="1601" spans="1:4" x14ac:dyDescent="0.25">
      <c r="A1601" s="4" t="s">
        <v>6252</v>
      </c>
      <c r="B1601" s="3" t="s">
        <v>1604</v>
      </c>
      <c r="C1601" s="14">
        <v>1408.31</v>
      </c>
      <c r="D1601" s="11" t="s">
        <v>5</v>
      </c>
    </row>
    <row r="1602" spans="1:4" x14ac:dyDescent="0.25">
      <c r="A1602" s="4" t="s">
        <v>6253</v>
      </c>
      <c r="B1602" s="3" t="s">
        <v>1605</v>
      </c>
      <c r="C1602" s="14">
        <v>76.13</v>
      </c>
      <c r="D1602" s="11" t="s">
        <v>5</v>
      </c>
    </row>
    <row r="1603" spans="1:4" x14ac:dyDescent="0.25">
      <c r="A1603" s="4" t="s">
        <v>6254</v>
      </c>
      <c r="B1603" s="3" t="s">
        <v>1606</v>
      </c>
      <c r="C1603" s="14">
        <v>114.2</v>
      </c>
      <c r="D1603" s="11" t="s">
        <v>5</v>
      </c>
    </row>
    <row r="1604" spans="1:4" x14ac:dyDescent="0.25">
      <c r="A1604" s="4" t="s">
        <v>6255</v>
      </c>
      <c r="B1604" s="3" t="s">
        <v>1607</v>
      </c>
      <c r="C1604" s="14">
        <v>152.24</v>
      </c>
      <c r="D1604" s="11" t="s">
        <v>5</v>
      </c>
    </row>
    <row r="1605" spans="1:4" x14ac:dyDescent="0.25">
      <c r="A1605" s="4" t="s">
        <v>6256</v>
      </c>
      <c r="B1605" s="3" t="s">
        <v>1608</v>
      </c>
      <c r="C1605" s="14">
        <v>11690.1</v>
      </c>
      <c r="D1605" s="11" t="s">
        <v>5</v>
      </c>
    </row>
    <row r="1606" spans="1:4" x14ac:dyDescent="0.25">
      <c r="A1606" s="4" t="s">
        <v>6257</v>
      </c>
      <c r="B1606" s="3" t="s">
        <v>1609</v>
      </c>
      <c r="C1606" s="14">
        <v>11025.29</v>
      </c>
      <c r="D1606" s="11" t="s">
        <v>5</v>
      </c>
    </row>
    <row r="1607" spans="1:4" x14ac:dyDescent="0.25">
      <c r="A1607" s="4" t="s">
        <v>6258</v>
      </c>
      <c r="B1607" s="3" t="s">
        <v>1610</v>
      </c>
      <c r="C1607" s="14">
        <v>10935.72</v>
      </c>
      <c r="D1607" s="11" t="s">
        <v>5</v>
      </c>
    </row>
    <row r="1608" spans="1:4" x14ac:dyDescent="0.25">
      <c r="A1608" s="4" t="s">
        <v>6259</v>
      </c>
      <c r="B1608" s="3" t="s">
        <v>1611</v>
      </c>
      <c r="C1608" s="14">
        <v>12055.1</v>
      </c>
      <c r="D1608" s="11" t="s">
        <v>5</v>
      </c>
    </row>
    <row r="1609" spans="1:4" x14ac:dyDescent="0.25">
      <c r="A1609" s="4" t="s">
        <v>6260</v>
      </c>
      <c r="B1609" s="3" t="s">
        <v>1612</v>
      </c>
      <c r="C1609" s="14">
        <v>12255.96</v>
      </c>
      <c r="D1609" s="11" t="s">
        <v>5</v>
      </c>
    </row>
    <row r="1610" spans="1:4" x14ac:dyDescent="0.25">
      <c r="A1610" s="4" t="s">
        <v>6261</v>
      </c>
      <c r="B1610" s="3" t="s">
        <v>1613</v>
      </c>
      <c r="C1610" s="14">
        <v>11654.69</v>
      </c>
      <c r="D1610" s="11" t="s">
        <v>5</v>
      </c>
    </row>
    <row r="1611" spans="1:4" x14ac:dyDescent="0.25">
      <c r="A1611" s="4" t="s">
        <v>6262</v>
      </c>
      <c r="B1611" s="3" t="s">
        <v>1614</v>
      </c>
      <c r="C1611" s="14">
        <v>12241.89</v>
      </c>
      <c r="D1611" s="11" t="s">
        <v>5</v>
      </c>
    </row>
    <row r="1612" spans="1:4" x14ac:dyDescent="0.25">
      <c r="A1612" s="4" t="s">
        <v>6263</v>
      </c>
      <c r="B1612" s="3" t="s">
        <v>1615</v>
      </c>
      <c r="C1612" s="14">
        <v>14894.94</v>
      </c>
      <c r="D1612" s="11" t="s">
        <v>5</v>
      </c>
    </row>
    <row r="1613" spans="1:4" x14ac:dyDescent="0.25">
      <c r="A1613" s="4" t="s">
        <v>6264</v>
      </c>
      <c r="B1613" s="3" t="s">
        <v>1616</v>
      </c>
      <c r="C1613" s="14">
        <v>12807.2</v>
      </c>
      <c r="D1613" s="11" t="s">
        <v>5</v>
      </c>
    </row>
    <row r="1614" spans="1:4" x14ac:dyDescent="0.25">
      <c r="A1614" s="4" t="s">
        <v>6265</v>
      </c>
      <c r="B1614" s="3" t="s">
        <v>1617</v>
      </c>
      <c r="C1614" s="14">
        <v>1835.51</v>
      </c>
      <c r="D1614" s="11" t="s">
        <v>5</v>
      </c>
    </row>
    <row r="1615" spans="1:4" x14ac:dyDescent="0.25">
      <c r="A1615" s="4" t="s">
        <v>6266</v>
      </c>
      <c r="B1615" s="3" t="s">
        <v>1618</v>
      </c>
      <c r="C1615" s="14">
        <v>2104.13</v>
      </c>
      <c r="D1615" s="11" t="s">
        <v>5</v>
      </c>
    </row>
    <row r="1616" spans="1:4" x14ac:dyDescent="0.25">
      <c r="A1616" s="4" t="s">
        <v>6267</v>
      </c>
      <c r="B1616" s="3" t="s">
        <v>1619</v>
      </c>
      <c r="C1616" s="14">
        <v>1835.51</v>
      </c>
      <c r="D1616" s="11" t="s">
        <v>5</v>
      </c>
    </row>
    <row r="1617" spans="1:4" x14ac:dyDescent="0.25">
      <c r="A1617" s="4" t="s">
        <v>6268</v>
      </c>
      <c r="B1617" s="3" t="s">
        <v>1620</v>
      </c>
      <c r="C1617" s="14">
        <v>2104.13</v>
      </c>
      <c r="D1617" s="11" t="s">
        <v>5</v>
      </c>
    </row>
    <row r="1618" spans="1:4" x14ac:dyDescent="0.25">
      <c r="A1618" s="4" t="s">
        <v>6269</v>
      </c>
      <c r="B1618" s="3" t="s">
        <v>1621</v>
      </c>
      <c r="C1618" s="14">
        <v>1835.51</v>
      </c>
      <c r="D1618" s="11" t="s">
        <v>5</v>
      </c>
    </row>
    <row r="1619" spans="1:4" x14ac:dyDescent="0.25">
      <c r="A1619" s="4" t="s">
        <v>6270</v>
      </c>
      <c r="B1619" s="3" t="s">
        <v>1622</v>
      </c>
      <c r="C1619" s="14">
        <v>1835.51</v>
      </c>
      <c r="D1619" s="11" t="s">
        <v>5</v>
      </c>
    </row>
    <row r="1620" spans="1:4" x14ac:dyDescent="0.25">
      <c r="A1620" s="4" t="s">
        <v>6271</v>
      </c>
      <c r="B1620" s="3" t="s">
        <v>1623</v>
      </c>
      <c r="C1620" s="14">
        <v>1835.51</v>
      </c>
      <c r="D1620" s="11" t="s">
        <v>5</v>
      </c>
    </row>
    <row r="1621" spans="1:4" x14ac:dyDescent="0.25">
      <c r="A1621" s="4" t="s">
        <v>6272</v>
      </c>
      <c r="B1621" s="3" t="s">
        <v>1624</v>
      </c>
      <c r="C1621" s="14">
        <v>2227.98</v>
      </c>
      <c r="D1621" s="11" t="s">
        <v>5</v>
      </c>
    </row>
    <row r="1622" spans="1:4" x14ac:dyDescent="0.25">
      <c r="A1622" s="4" t="s">
        <v>6273</v>
      </c>
      <c r="B1622" s="3" t="s">
        <v>1625</v>
      </c>
      <c r="C1622" s="14">
        <v>11124.05</v>
      </c>
      <c r="D1622" s="11" t="s">
        <v>5</v>
      </c>
    </row>
    <row r="1623" spans="1:4" x14ac:dyDescent="0.25">
      <c r="A1623" s="4" t="s">
        <v>6274</v>
      </c>
      <c r="B1623" s="3" t="s">
        <v>1626</v>
      </c>
      <c r="C1623" s="14">
        <v>159.29</v>
      </c>
      <c r="D1623" s="11" t="s">
        <v>5</v>
      </c>
    </row>
    <row r="1624" spans="1:4" x14ac:dyDescent="0.25">
      <c r="A1624" s="4" t="s">
        <v>6275</v>
      </c>
      <c r="B1624" s="3" t="s">
        <v>1627</v>
      </c>
      <c r="C1624" s="14">
        <v>126.87</v>
      </c>
      <c r="D1624" s="11" t="s">
        <v>5</v>
      </c>
    </row>
    <row r="1625" spans="1:4" x14ac:dyDescent="0.25">
      <c r="A1625" s="4" t="s">
        <v>6276</v>
      </c>
      <c r="B1625" s="3" t="s">
        <v>1628</v>
      </c>
      <c r="C1625" s="14">
        <v>185.58</v>
      </c>
      <c r="D1625" s="11" t="s">
        <v>5</v>
      </c>
    </row>
    <row r="1626" spans="1:4" x14ac:dyDescent="0.25">
      <c r="A1626" s="4" t="s">
        <v>6277</v>
      </c>
      <c r="B1626" s="3" t="s">
        <v>1629</v>
      </c>
      <c r="C1626" s="14">
        <v>262.88</v>
      </c>
      <c r="D1626" s="11" t="s">
        <v>5</v>
      </c>
    </row>
    <row r="1627" spans="1:4" x14ac:dyDescent="0.25">
      <c r="A1627" s="4" t="s">
        <v>6278</v>
      </c>
      <c r="B1627" s="3" t="s">
        <v>1630</v>
      </c>
      <c r="C1627" s="14">
        <v>203</v>
      </c>
      <c r="D1627" s="11" t="s">
        <v>5</v>
      </c>
    </row>
    <row r="1628" spans="1:4" x14ac:dyDescent="0.25">
      <c r="A1628" s="4" t="s">
        <v>6279</v>
      </c>
      <c r="B1628" s="3" t="s">
        <v>1631</v>
      </c>
      <c r="C1628" s="14">
        <v>305.87</v>
      </c>
      <c r="D1628" s="11" t="s">
        <v>5</v>
      </c>
    </row>
    <row r="1629" spans="1:4" x14ac:dyDescent="0.25">
      <c r="A1629" s="4" t="s">
        <v>6280</v>
      </c>
      <c r="B1629" s="3" t="s">
        <v>1632</v>
      </c>
      <c r="C1629" s="14">
        <v>381.54</v>
      </c>
      <c r="D1629" s="11" t="s">
        <v>5</v>
      </c>
    </row>
    <row r="1630" spans="1:4" x14ac:dyDescent="0.25">
      <c r="A1630" s="4" t="s">
        <v>6281</v>
      </c>
      <c r="B1630" s="3" t="s">
        <v>1633</v>
      </c>
      <c r="C1630" s="14">
        <v>291.8</v>
      </c>
      <c r="D1630" s="11" t="s">
        <v>5</v>
      </c>
    </row>
    <row r="1631" spans="1:4" x14ac:dyDescent="0.25">
      <c r="A1631" s="4" t="s">
        <v>6282</v>
      </c>
      <c r="B1631" s="3" t="s">
        <v>1634</v>
      </c>
      <c r="C1631" s="14">
        <v>436.73</v>
      </c>
      <c r="D1631" s="11" t="s">
        <v>5</v>
      </c>
    </row>
    <row r="1632" spans="1:4" x14ac:dyDescent="0.25">
      <c r="A1632" s="4" t="s">
        <v>6283</v>
      </c>
      <c r="B1632" s="3" t="s">
        <v>1635</v>
      </c>
      <c r="C1632" s="14">
        <v>710.84</v>
      </c>
      <c r="D1632" s="11" t="s">
        <v>5</v>
      </c>
    </row>
    <row r="1633" spans="1:4" x14ac:dyDescent="0.25">
      <c r="A1633" s="4" t="s">
        <v>6284</v>
      </c>
      <c r="B1633" s="3" t="s">
        <v>1636</v>
      </c>
      <c r="C1633" s="14">
        <v>925.89</v>
      </c>
      <c r="D1633" s="11" t="s">
        <v>5</v>
      </c>
    </row>
    <row r="1634" spans="1:4" x14ac:dyDescent="0.25">
      <c r="A1634" s="4" t="s">
        <v>6285</v>
      </c>
      <c r="B1634" s="3" t="s">
        <v>1637</v>
      </c>
      <c r="C1634" s="14">
        <v>925.55</v>
      </c>
      <c r="D1634" s="11" t="s">
        <v>5</v>
      </c>
    </row>
    <row r="1635" spans="1:4" x14ac:dyDescent="0.25">
      <c r="A1635" s="4" t="s">
        <v>6286</v>
      </c>
      <c r="B1635" s="3" t="s">
        <v>1638</v>
      </c>
      <c r="C1635" s="14">
        <v>1782.62</v>
      </c>
      <c r="D1635" s="11" t="s">
        <v>5</v>
      </c>
    </row>
    <row r="1636" spans="1:4" x14ac:dyDescent="0.25">
      <c r="A1636" s="4" t="s">
        <v>6287</v>
      </c>
      <c r="B1636" s="3" t="s">
        <v>1639</v>
      </c>
      <c r="C1636" s="14">
        <v>2008.49</v>
      </c>
      <c r="D1636" s="11" t="s">
        <v>5</v>
      </c>
    </row>
    <row r="1637" spans="1:4" x14ac:dyDescent="0.25">
      <c r="A1637" s="4" t="s">
        <v>6288</v>
      </c>
      <c r="B1637" s="3" t="s">
        <v>1640</v>
      </c>
      <c r="C1637" s="14">
        <v>2665.67</v>
      </c>
      <c r="D1637" s="11" t="s">
        <v>5</v>
      </c>
    </row>
    <row r="1638" spans="1:4" x14ac:dyDescent="0.25">
      <c r="A1638" s="4" t="s">
        <v>6289</v>
      </c>
      <c r="B1638" s="3" t="s">
        <v>1641</v>
      </c>
      <c r="C1638" s="14">
        <v>7010.37</v>
      </c>
      <c r="D1638" s="11" t="s">
        <v>5</v>
      </c>
    </row>
    <row r="1639" spans="1:4" x14ac:dyDescent="0.25">
      <c r="A1639" s="4" t="s">
        <v>6290</v>
      </c>
      <c r="B1639" s="3" t="s">
        <v>1642</v>
      </c>
      <c r="C1639" s="14">
        <v>7710.68</v>
      </c>
      <c r="D1639" s="11" t="s">
        <v>5</v>
      </c>
    </row>
    <row r="1640" spans="1:4" x14ac:dyDescent="0.25">
      <c r="A1640" s="4" t="s">
        <v>6291</v>
      </c>
      <c r="B1640" s="3" t="s">
        <v>1643</v>
      </c>
      <c r="C1640" s="14">
        <v>792.86</v>
      </c>
      <c r="D1640" s="11" t="s">
        <v>5</v>
      </c>
    </row>
    <row r="1641" spans="1:4" x14ac:dyDescent="0.25">
      <c r="A1641" s="4" t="s">
        <v>6292</v>
      </c>
      <c r="B1641" s="3" t="s">
        <v>1644</v>
      </c>
      <c r="C1641" s="14">
        <v>20538.900000000001</v>
      </c>
      <c r="D1641" s="11" t="s">
        <v>5</v>
      </c>
    </row>
    <row r="1642" spans="1:4" x14ac:dyDescent="0.25">
      <c r="A1642" s="4" t="s">
        <v>6293</v>
      </c>
      <c r="B1642" s="3" t="s">
        <v>1645</v>
      </c>
      <c r="C1642" s="14">
        <v>35346.69</v>
      </c>
      <c r="D1642" s="11" t="s">
        <v>5</v>
      </c>
    </row>
    <row r="1643" spans="1:4" x14ac:dyDescent="0.25">
      <c r="A1643" s="4" t="s">
        <v>6294</v>
      </c>
      <c r="B1643" s="3" t="s">
        <v>1646</v>
      </c>
      <c r="C1643" s="14">
        <v>30598.14</v>
      </c>
      <c r="D1643" s="11" t="s">
        <v>5</v>
      </c>
    </row>
    <row r="1644" spans="1:4" x14ac:dyDescent="0.25">
      <c r="A1644" s="4" t="s">
        <v>6295</v>
      </c>
      <c r="B1644" s="3" t="s">
        <v>1647</v>
      </c>
      <c r="C1644" s="14">
        <v>282.62</v>
      </c>
      <c r="D1644" s="11" t="s">
        <v>5</v>
      </c>
    </row>
    <row r="1645" spans="1:4" x14ac:dyDescent="0.25">
      <c r="A1645" s="4" t="s">
        <v>6296</v>
      </c>
      <c r="B1645" s="3" t="s">
        <v>1648</v>
      </c>
      <c r="C1645" s="14">
        <v>215.69</v>
      </c>
      <c r="D1645" s="11" t="s">
        <v>5</v>
      </c>
    </row>
    <row r="1646" spans="1:4" x14ac:dyDescent="0.25">
      <c r="A1646" s="4" t="s">
        <v>6297</v>
      </c>
      <c r="B1646" s="3" t="s">
        <v>1649</v>
      </c>
      <c r="C1646" s="14">
        <v>287.72000000000003</v>
      </c>
      <c r="D1646" s="11" t="s">
        <v>5</v>
      </c>
    </row>
    <row r="1647" spans="1:4" x14ac:dyDescent="0.25">
      <c r="A1647" s="4" t="s">
        <v>6298</v>
      </c>
      <c r="B1647" s="3" t="s">
        <v>1650</v>
      </c>
      <c r="C1647" s="14">
        <v>1420.98</v>
      </c>
      <c r="D1647" s="11" t="s">
        <v>5</v>
      </c>
    </row>
    <row r="1648" spans="1:4" x14ac:dyDescent="0.25">
      <c r="A1648" s="4" t="s">
        <v>6299</v>
      </c>
      <c r="B1648" s="3" t="s">
        <v>1651</v>
      </c>
      <c r="C1648" s="14">
        <v>2318.9899999999998</v>
      </c>
      <c r="D1648" s="11" t="s">
        <v>5</v>
      </c>
    </row>
    <row r="1649" spans="1:4" x14ac:dyDescent="0.25">
      <c r="A1649" s="4" t="s">
        <v>6300</v>
      </c>
      <c r="B1649" s="3" t="s">
        <v>1652</v>
      </c>
      <c r="C1649" s="14">
        <v>1971.29</v>
      </c>
      <c r="D1649" s="11" t="s">
        <v>5</v>
      </c>
    </row>
    <row r="1650" spans="1:4" x14ac:dyDescent="0.25">
      <c r="A1650" s="4" t="s">
        <v>6301</v>
      </c>
      <c r="B1650" s="3" t="s">
        <v>1653</v>
      </c>
      <c r="C1650" s="14">
        <v>2290.71</v>
      </c>
      <c r="D1650" s="11" t="s">
        <v>5</v>
      </c>
    </row>
    <row r="1651" spans="1:4" x14ac:dyDescent="0.25">
      <c r="A1651" s="4" t="s">
        <v>6302</v>
      </c>
      <c r="B1651" s="3" t="s">
        <v>1654</v>
      </c>
      <c r="C1651" s="14">
        <v>2240.0100000000002</v>
      </c>
      <c r="D1651" s="11" t="s">
        <v>5</v>
      </c>
    </row>
    <row r="1652" spans="1:4" x14ac:dyDescent="0.25">
      <c r="A1652" s="4" t="s">
        <v>6303</v>
      </c>
      <c r="B1652" s="3" t="s">
        <v>1655</v>
      </c>
      <c r="C1652" s="14">
        <v>1611.29</v>
      </c>
      <c r="D1652" s="11" t="s">
        <v>5</v>
      </c>
    </row>
    <row r="1653" spans="1:4" x14ac:dyDescent="0.25">
      <c r="A1653" s="4" t="s">
        <v>6304</v>
      </c>
      <c r="B1653" s="3" t="s">
        <v>1656</v>
      </c>
      <c r="C1653" s="14">
        <v>465.78</v>
      </c>
      <c r="D1653" s="11" t="s">
        <v>5</v>
      </c>
    </row>
    <row r="1654" spans="1:4" x14ac:dyDescent="0.25">
      <c r="A1654" s="4" t="s">
        <v>6305</v>
      </c>
      <c r="B1654" s="3" t="s">
        <v>1657</v>
      </c>
      <c r="C1654" s="14">
        <v>355.26</v>
      </c>
      <c r="D1654" s="11" t="s">
        <v>5</v>
      </c>
    </row>
    <row r="1655" spans="1:4" x14ac:dyDescent="0.25">
      <c r="A1655" s="4" t="s">
        <v>6306</v>
      </c>
      <c r="B1655" s="3" t="s">
        <v>1658</v>
      </c>
      <c r="C1655" s="14">
        <v>510.66</v>
      </c>
      <c r="D1655" s="11" t="s">
        <v>5</v>
      </c>
    </row>
    <row r="1656" spans="1:4" x14ac:dyDescent="0.25">
      <c r="A1656" s="4" t="s">
        <v>6307</v>
      </c>
      <c r="B1656" s="3" t="s">
        <v>1659</v>
      </c>
      <c r="C1656" s="14">
        <v>2567.33</v>
      </c>
      <c r="D1656" s="11" t="s">
        <v>5</v>
      </c>
    </row>
    <row r="1657" spans="1:4" x14ac:dyDescent="0.25">
      <c r="A1657" s="4" t="s">
        <v>6308</v>
      </c>
      <c r="B1657" s="3" t="s">
        <v>1660</v>
      </c>
      <c r="C1657" s="14">
        <v>2181.56</v>
      </c>
      <c r="D1657" s="11" t="s">
        <v>5</v>
      </c>
    </row>
    <row r="1658" spans="1:4" x14ac:dyDescent="0.25">
      <c r="A1658" s="4" t="s">
        <v>6309</v>
      </c>
      <c r="B1658" s="3" t="s">
        <v>1661</v>
      </c>
      <c r="C1658" s="14">
        <v>2436.29</v>
      </c>
      <c r="D1658" s="11" t="s">
        <v>5</v>
      </c>
    </row>
    <row r="1659" spans="1:4" x14ac:dyDescent="0.25">
      <c r="A1659" s="4" t="s">
        <v>6310</v>
      </c>
      <c r="B1659" s="3" t="s">
        <v>1662</v>
      </c>
      <c r="C1659" s="14">
        <v>2941.13</v>
      </c>
      <c r="D1659" s="11" t="s">
        <v>5</v>
      </c>
    </row>
    <row r="1660" spans="1:4" x14ac:dyDescent="0.25">
      <c r="A1660" s="4" t="s">
        <v>6311</v>
      </c>
      <c r="B1660" s="3" t="s">
        <v>1663</v>
      </c>
      <c r="C1660" s="14">
        <v>516.99</v>
      </c>
      <c r="D1660" s="11" t="s">
        <v>5</v>
      </c>
    </row>
    <row r="1661" spans="1:4" x14ac:dyDescent="0.25">
      <c r="A1661" s="4" t="s">
        <v>6312</v>
      </c>
      <c r="B1661" s="3" t="s">
        <v>1664</v>
      </c>
      <c r="C1661" s="14">
        <v>393.32</v>
      </c>
      <c r="D1661" s="11" t="s">
        <v>5</v>
      </c>
    </row>
    <row r="1662" spans="1:4" x14ac:dyDescent="0.25">
      <c r="A1662" s="4" t="s">
        <v>6313</v>
      </c>
      <c r="B1662" s="3" t="s">
        <v>1665</v>
      </c>
      <c r="C1662" s="14">
        <v>492.92</v>
      </c>
      <c r="D1662" s="11" t="s">
        <v>5</v>
      </c>
    </row>
    <row r="1663" spans="1:4" x14ac:dyDescent="0.25">
      <c r="A1663" s="4" t="s">
        <v>6314</v>
      </c>
      <c r="B1663" s="3" t="s">
        <v>1666</v>
      </c>
      <c r="C1663" s="14">
        <v>701.55</v>
      </c>
      <c r="D1663" s="11" t="s">
        <v>5</v>
      </c>
    </row>
    <row r="1664" spans="1:4" x14ac:dyDescent="0.25">
      <c r="A1664" s="4" t="s">
        <v>6315</v>
      </c>
      <c r="B1664" s="3" t="s">
        <v>1667</v>
      </c>
      <c r="C1664" s="14">
        <v>1001.24</v>
      </c>
      <c r="D1664" s="11" t="s">
        <v>5</v>
      </c>
    </row>
    <row r="1665" spans="1:4" x14ac:dyDescent="0.25">
      <c r="A1665" s="4" t="s">
        <v>6316</v>
      </c>
      <c r="B1665" s="3" t="s">
        <v>1668</v>
      </c>
      <c r="C1665" s="14">
        <v>3201.2</v>
      </c>
      <c r="D1665" s="11" t="s">
        <v>5</v>
      </c>
    </row>
    <row r="1666" spans="1:4" x14ac:dyDescent="0.25">
      <c r="A1666" s="4" t="s">
        <v>6317</v>
      </c>
      <c r="B1666" s="3" t="s">
        <v>1669</v>
      </c>
      <c r="C1666" s="14">
        <v>2741.03</v>
      </c>
      <c r="D1666" s="11" t="s">
        <v>5</v>
      </c>
    </row>
    <row r="1667" spans="1:4" x14ac:dyDescent="0.25">
      <c r="A1667" s="4" t="s">
        <v>6318</v>
      </c>
      <c r="B1667" s="3" t="s">
        <v>1670</v>
      </c>
      <c r="C1667" s="14">
        <v>1966.53</v>
      </c>
      <c r="D1667" s="11" t="s">
        <v>5</v>
      </c>
    </row>
    <row r="1668" spans="1:4" x14ac:dyDescent="0.25">
      <c r="A1668" s="4" t="s">
        <v>6319</v>
      </c>
      <c r="B1668" s="3" t="s">
        <v>1671</v>
      </c>
      <c r="C1668" s="14">
        <v>2637.47</v>
      </c>
      <c r="D1668" s="11" t="s">
        <v>5</v>
      </c>
    </row>
    <row r="1669" spans="1:4" x14ac:dyDescent="0.25">
      <c r="A1669" s="4" t="s">
        <v>6320</v>
      </c>
      <c r="B1669" s="3" t="s">
        <v>1672</v>
      </c>
      <c r="C1669" s="14">
        <v>3104.94</v>
      </c>
      <c r="D1669" s="11" t="s">
        <v>5</v>
      </c>
    </row>
    <row r="1670" spans="1:4" x14ac:dyDescent="0.25">
      <c r="A1670" s="4" t="s">
        <v>6321</v>
      </c>
      <c r="B1670" s="3" t="s">
        <v>1673</v>
      </c>
      <c r="C1670" s="14">
        <v>2232.98</v>
      </c>
      <c r="D1670" s="11" t="s">
        <v>5</v>
      </c>
    </row>
    <row r="1671" spans="1:4" x14ac:dyDescent="0.25">
      <c r="A1671" s="4" t="s">
        <v>6322</v>
      </c>
      <c r="B1671" s="3" t="s">
        <v>1674</v>
      </c>
      <c r="C1671" s="14">
        <v>753.95</v>
      </c>
      <c r="D1671" s="11" t="s">
        <v>5</v>
      </c>
    </row>
    <row r="1672" spans="1:4" x14ac:dyDescent="0.25">
      <c r="A1672" s="4" t="s">
        <v>6323</v>
      </c>
      <c r="B1672" s="3" t="s">
        <v>1675</v>
      </c>
      <c r="C1672" s="14">
        <v>570.91999999999996</v>
      </c>
      <c r="D1672" s="11" t="s">
        <v>5</v>
      </c>
    </row>
    <row r="1673" spans="1:4" x14ac:dyDescent="0.25">
      <c r="A1673" s="4" t="s">
        <v>6324</v>
      </c>
      <c r="B1673" s="3" t="s">
        <v>1676</v>
      </c>
      <c r="C1673" s="14">
        <v>806.9</v>
      </c>
      <c r="D1673" s="11" t="s">
        <v>5</v>
      </c>
    </row>
    <row r="1674" spans="1:4" x14ac:dyDescent="0.25">
      <c r="A1674" s="4" t="s">
        <v>6325</v>
      </c>
      <c r="B1674" s="3" t="s">
        <v>1677</v>
      </c>
      <c r="C1674" s="14">
        <v>4295.8500000000004</v>
      </c>
      <c r="D1674" s="11" t="s">
        <v>5</v>
      </c>
    </row>
    <row r="1675" spans="1:4" x14ac:dyDescent="0.25">
      <c r="A1675" s="4" t="s">
        <v>6326</v>
      </c>
      <c r="B1675" s="3" t="s">
        <v>1678</v>
      </c>
      <c r="C1675" s="14">
        <v>4418.93</v>
      </c>
      <c r="D1675" s="11" t="s">
        <v>5</v>
      </c>
    </row>
    <row r="1676" spans="1:4" x14ac:dyDescent="0.25">
      <c r="A1676" s="4" t="s">
        <v>6327</v>
      </c>
      <c r="B1676" s="3" t="s">
        <v>1679</v>
      </c>
      <c r="C1676" s="14">
        <v>3171.83</v>
      </c>
      <c r="D1676" s="11" t="s">
        <v>5</v>
      </c>
    </row>
    <row r="1677" spans="1:4" x14ac:dyDescent="0.25">
      <c r="A1677" s="4" t="s">
        <v>6328</v>
      </c>
      <c r="B1677" s="3" t="s">
        <v>1680</v>
      </c>
      <c r="C1677" s="14">
        <v>6174.44</v>
      </c>
      <c r="D1677" s="11" t="s">
        <v>5</v>
      </c>
    </row>
    <row r="1678" spans="1:4" x14ac:dyDescent="0.25">
      <c r="A1678" s="4" t="s">
        <v>6329</v>
      </c>
      <c r="B1678" s="3" t="s">
        <v>1681</v>
      </c>
      <c r="C1678" s="14">
        <v>5800.65</v>
      </c>
      <c r="D1678" s="11" t="s">
        <v>5</v>
      </c>
    </row>
    <row r="1679" spans="1:4" x14ac:dyDescent="0.25">
      <c r="A1679" s="4" t="s">
        <v>6330</v>
      </c>
      <c r="B1679" s="3" t="s">
        <v>1682</v>
      </c>
      <c r="C1679" s="14">
        <v>4161.45</v>
      </c>
      <c r="D1679" s="11" t="s">
        <v>5</v>
      </c>
    </row>
    <row r="1680" spans="1:4" x14ac:dyDescent="0.25">
      <c r="A1680" s="4" t="s">
        <v>6331</v>
      </c>
      <c r="B1680" s="3" t="s">
        <v>1683</v>
      </c>
      <c r="C1680" s="14">
        <v>5093.93</v>
      </c>
      <c r="D1680" s="11" t="s">
        <v>5</v>
      </c>
    </row>
    <row r="1681" spans="1:4" x14ac:dyDescent="0.25">
      <c r="A1681" s="4" t="s">
        <v>6332</v>
      </c>
      <c r="B1681" s="3" t="s">
        <v>1684</v>
      </c>
      <c r="C1681" s="14">
        <v>5084.78</v>
      </c>
      <c r="D1681" s="11" t="s">
        <v>5</v>
      </c>
    </row>
    <row r="1682" spans="1:4" x14ac:dyDescent="0.25">
      <c r="A1682" s="4" t="s">
        <v>6333</v>
      </c>
      <c r="B1682" s="3" t="s">
        <v>1685</v>
      </c>
      <c r="C1682" s="14">
        <v>929.69</v>
      </c>
      <c r="D1682" s="11" t="s">
        <v>5</v>
      </c>
    </row>
    <row r="1683" spans="1:4" x14ac:dyDescent="0.25">
      <c r="A1683" s="4" t="s">
        <v>6334</v>
      </c>
      <c r="B1683" s="3" t="s">
        <v>1686</v>
      </c>
      <c r="C1683" s="14">
        <v>697.8</v>
      </c>
      <c r="D1683" s="11" t="s">
        <v>5</v>
      </c>
    </row>
    <row r="1684" spans="1:4" x14ac:dyDescent="0.25">
      <c r="A1684" s="4" t="s">
        <v>6335</v>
      </c>
      <c r="B1684" s="3" t="s">
        <v>1687</v>
      </c>
      <c r="C1684" s="14">
        <v>990.48</v>
      </c>
      <c r="D1684" s="11" t="s">
        <v>5</v>
      </c>
    </row>
    <row r="1685" spans="1:4" x14ac:dyDescent="0.25">
      <c r="A1685" s="4" t="s">
        <v>6336</v>
      </c>
      <c r="B1685" s="3" t="s">
        <v>1688</v>
      </c>
      <c r="C1685" s="14">
        <v>1412.81</v>
      </c>
      <c r="D1685" s="11" t="s">
        <v>5</v>
      </c>
    </row>
    <row r="1686" spans="1:4" x14ac:dyDescent="0.25">
      <c r="A1686" s="4" t="s">
        <v>6337</v>
      </c>
      <c r="B1686" s="3" t="s">
        <v>1689</v>
      </c>
      <c r="C1686" s="14">
        <v>1202.0999999999999</v>
      </c>
      <c r="D1686" s="11" t="s">
        <v>5</v>
      </c>
    </row>
    <row r="1687" spans="1:4" x14ac:dyDescent="0.25">
      <c r="A1687" s="4" t="s">
        <v>6338</v>
      </c>
      <c r="B1687" s="3" t="s">
        <v>1690</v>
      </c>
      <c r="C1687" s="14">
        <v>892.07</v>
      </c>
      <c r="D1687" s="11" t="s">
        <v>5</v>
      </c>
    </row>
    <row r="1688" spans="1:4" x14ac:dyDescent="0.25">
      <c r="A1688" s="4" t="s">
        <v>6339</v>
      </c>
      <c r="B1688" s="3" t="s">
        <v>1691</v>
      </c>
      <c r="C1688" s="14">
        <v>672.44</v>
      </c>
      <c r="D1688" s="11" t="s">
        <v>5</v>
      </c>
    </row>
    <row r="1689" spans="1:4" x14ac:dyDescent="0.25">
      <c r="A1689" s="4" t="s">
        <v>6340</v>
      </c>
      <c r="B1689" s="3" t="s">
        <v>1692</v>
      </c>
      <c r="C1689" s="14">
        <v>917.28</v>
      </c>
      <c r="D1689" s="11" t="s">
        <v>5</v>
      </c>
    </row>
    <row r="1690" spans="1:4" x14ac:dyDescent="0.25">
      <c r="A1690" s="4" t="s">
        <v>6341</v>
      </c>
      <c r="B1690" s="3" t="s">
        <v>1693</v>
      </c>
      <c r="C1690" s="14">
        <v>1202.0999999999999</v>
      </c>
      <c r="D1690" s="11" t="s">
        <v>5</v>
      </c>
    </row>
    <row r="1691" spans="1:4" x14ac:dyDescent="0.25">
      <c r="A1691" s="4" t="s">
        <v>6342</v>
      </c>
      <c r="B1691" s="3" t="s">
        <v>1694</v>
      </c>
      <c r="C1691" s="14">
        <v>1804.59</v>
      </c>
      <c r="D1691" s="11" t="s">
        <v>5</v>
      </c>
    </row>
    <row r="1692" spans="1:4" x14ac:dyDescent="0.25">
      <c r="A1692" s="4" t="s">
        <v>6343</v>
      </c>
      <c r="B1692" s="3" t="s">
        <v>1695</v>
      </c>
      <c r="C1692" s="14">
        <v>4665.62</v>
      </c>
      <c r="D1692" s="11" t="s">
        <v>5</v>
      </c>
    </row>
    <row r="1693" spans="1:4" x14ac:dyDescent="0.25">
      <c r="A1693" s="4" t="s">
        <v>6344</v>
      </c>
      <c r="B1693" s="3" t="s">
        <v>1696</v>
      </c>
      <c r="C1693" s="14">
        <v>3393.77</v>
      </c>
      <c r="D1693" s="11" t="s">
        <v>5</v>
      </c>
    </row>
    <row r="1694" spans="1:4" x14ac:dyDescent="0.25">
      <c r="A1694" s="4" t="s">
        <v>6345</v>
      </c>
      <c r="B1694" s="3" t="s">
        <v>1697</v>
      </c>
      <c r="C1694" s="14">
        <v>4074.21</v>
      </c>
      <c r="D1694" s="11" t="s">
        <v>5</v>
      </c>
    </row>
    <row r="1695" spans="1:4" x14ac:dyDescent="0.25">
      <c r="A1695" s="4" t="s">
        <v>6346</v>
      </c>
      <c r="B1695" s="3" t="s">
        <v>1698</v>
      </c>
      <c r="C1695" s="14">
        <v>3709.01</v>
      </c>
      <c r="D1695" s="11" t="s">
        <v>5</v>
      </c>
    </row>
    <row r="1696" spans="1:4" x14ac:dyDescent="0.25">
      <c r="A1696" s="4" t="s">
        <v>6347</v>
      </c>
      <c r="B1696" s="3" t="s">
        <v>1699</v>
      </c>
      <c r="C1696" s="14">
        <v>1302.95</v>
      </c>
      <c r="D1696" s="11" t="s">
        <v>5</v>
      </c>
    </row>
    <row r="1697" spans="1:4" x14ac:dyDescent="0.25">
      <c r="A1697" s="4" t="s">
        <v>6348</v>
      </c>
      <c r="B1697" s="3" t="s">
        <v>1700</v>
      </c>
      <c r="C1697" s="14">
        <v>1233.71</v>
      </c>
      <c r="D1697" s="11" t="s">
        <v>5</v>
      </c>
    </row>
    <row r="1698" spans="1:4" x14ac:dyDescent="0.25">
      <c r="A1698" s="4" t="s">
        <v>6349</v>
      </c>
      <c r="B1698" s="3" t="s">
        <v>1701</v>
      </c>
      <c r="C1698" s="14">
        <v>1596.14</v>
      </c>
      <c r="D1698" s="11" t="s">
        <v>5</v>
      </c>
    </row>
    <row r="1699" spans="1:4" x14ac:dyDescent="0.25">
      <c r="A1699" s="4" t="s">
        <v>6350</v>
      </c>
      <c r="B1699" s="3" t="s">
        <v>1702</v>
      </c>
      <c r="C1699" s="14">
        <v>1205.28</v>
      </c>
      <c r="D1699" s="11" t="s">
        <v>5</v>
      </c>
    </row>
    <row r="1700" spans="1:4" x14ac:dyDescent="0.25">
      <c r="A1700" s="4" t="s">
        <v>6351</v>
      </c>
      <c r="B1700" s="3" t="s">
        <v>1703</v>
      </c>
      <c r="C1700" s="14">
        <v>1774.52</v>
      </c>
      <c r="D1700" s="11" t="s">
        <v>5</v>
      </c>
    </row>
    <row r="1701" spans="1:4" x14ac:dyDescent="0.25">
      <c r="A1701" s="4" t="s">
        <v>6352</v>
      </c>
      <c r="B1701" s="3" t="s">
        <v>1704</v>
      </c>
      <c r="C1701" s="14">
        <v>1664.52</v>
      </c>
      <c r="D1701" s="11" t="s">
        <v>5</v>
      </c>
    </row>
    <row r="1702" spans="1:4" x14ac:dyDescent="0.25">
      <c r="A1702" s="4" t="s">
        <v>6353</v>
      </c>
      <c r="B1702" s="3" t="s">
        <v>1705</v>
      </c>
      <c r="C1702" s="14">
        <v>1785.41</v>
      </c>
      <c r="D1702" s="11" t="s">
        <v>5</v>
      </c>
    </row>
    <row r="1703" spans="1:4" x14ac:dyDescent="0.25">
      <c r="A1703" s="4" t="s">
        <v>6354</v>
      </c>
      <c r="B1703" s="3" t="s">
        <v>1706</v>
      </c>
      <c r="C1703" s="14">
        <v>1544.21</v>
      </c>
      <c r="D1703" s="11" t="s">
        <v>5</v>
      </c>
    </row>
    <row r="1704" spans="1:4" x14ac:dyDescent="0.25">
      <c r="A1704" s="4" t="s">
        <v>6355</v>
      </c>
      <c r="B1704" s="3" t="s">
        <v>1707</v>
      </c>
      <c r="C1704" s="14">
        <v>1638.72</v>
      </c>
      <c r="D1704" s="11" t="s">
        <v>5</v>
      </c>
    </row>
    <row r="1705" spans="1:4" x14ac:dyDescent="0.25">
      <c r="A1705" s="4" t="s">
        <v>6356</v>
      </c>
      <c r="B1705" s="3" t="s">
        <v>1708</v>
      </c>
      <c r="C1705" s="14">
        <v>2872.92</v>
      </c>
      <c r="D1705" s="11" t="s">
        <v>5</v>
      </c>
    </row>
    <row r="1706" spans="1:4" x14ac:dyDescent="0.25">
      <c r="A1706" s="4" t="s">
        <v>6357</v>
      </c>
      <c r="B1706" s="3" t="s">
        <v>1709</v>
      </c>
      <c r="C1706" s="14">
        <v>2156.85</v>
      </c>
      <c r="D1706" s="11" t="s">
        <v>5</v>
      </c>
    </row>
    <row r="1707" spans="1:4" x14ac:dyDescent="0.25">
      <c r="A1707" s="4" t="s">
        <v>6358</v>
      </c>
      <c r="B1707" s="3" t="s">
        <v>1710</v>
      </c>
      <c r="C1707" s="14">
        <v>3206.03</v>
      </c>
      <c r="D1707" s="11" t="s">
        <v>5</v>
      </c>
    </row>
    <row r="1708" spans="1:4" x14ac:dyDescent="0.25">
      <c r="A1708" s="4" t="s">
        <v>6359</v>
      </c>
      <c r="B1708" s="3" t="s">
        <v>1711</v>
      </c>
      <c r="C1708" s="14">
        <v>3705.39</v>
      </c>
      <c r="D1708" s="11" t="s">
        <v>5</v>
      </c>
    </row>
    <row r="1709" spans="1:4" x14ac:dyDescent="0.25">
      <c r="A1709" s="4" t="s">
        <v>6360</v>
      </c>
      <c r="B1709" s="3" t="s">
        <v>1712</v>
      </c>
      <c r="C1709" s="14">
        <v>3118.35</v>
      </c>
      <c r="D1709" s="11" t="s">
        <v>5</v>
      </c>
    </row>
    <row r="1710" spans="1:4" x14ac:dyDescent="0.25">
      <c r="A1710" s="4" t="s">
        <v>6361</v>
      </c>
      <c r="B1710" s="3" t="s">
        <v>1713</v>
      </c>
      <c r="C1710" s="14">
        <v>3797.21</v>
      </c>
      <c r="D1710" s="11" t="s">
        <v>5</v>
      </c>
    </row>
    <row r="1711" spans="1:4" x14ac:dyDescent="0.25">
      <c r="A1711" s="4" t="s">
        <v>6362</v>
      </c>
      <c r="B1711" s="3" t="s">
        <v>1714</v>
      </c>
      <c r="C1711" s="14">
        <v>3037.85</v>
      </c>
      <c r="D1711" s="11" t="s">
        <v>5</v>
      </c>
    </row>
    <row r="1712" spans="1:4" x14ac:dyDescent="0.25">
      <c r="A1712" s="4" t="s">
        <v>6363</v>
      </c>
      <c r="B1712" s="3" t="s">
        <v>1715</v>
      </c>
      <c r="C1712" s="14">
        <v>3872.84</v>
      </c>
      <c r="D1712" s="11" t="s">
        <v>5</v>
      </c>
    </row>
    <row r="1713" spans="1:4" x14ac:dyDescent="0.25">
      <c r="A1713" s="4" t="s">
        <v>6364</v>
      </c>
      <c r="B1713" s="3" t="s">
        <v>1716</v>
      </c>
      <c r="C1713" s="14">
        <v>4814.7</v>
      </c>
      <c r="D1713" s="11" t="s">
        <v>5</v>
      </c>
    </row>
    <row r="1714" spans="1:4" x14ac:dyDescent="0.25">
      <c r="A1714" s="4" t="s">
        <v>6365</v>
      </c>
      <c r="B1714" s="3" t="s">
        <v>1717</v>
      </c>
      <c r="C1714" s="14">
        <v>3615.89</v>
      </c>
      <c r="D1714" s="11" t="s">
        <v>5</v>
      </c>
    </row>
    <row r="1715" spans="1:4" x14ac:dyDescent="0.25">
      <c r="A1715" s="4" t="s">
        <v>6366</v>
      </c>
      <c r="B1715" s="3" t="s">
        <v>1718</v>
      </c>
      <c r="C1715" s="14">
        <v>4651.26</v>
      </c>
      <c r="D1715" s="11" t="s">
        <v>5</v>
      </c>
    </row>
    <row r="1716" spans="1:4" x14ac:dyDescent="0.25">
      <c r="A1716" s="4" t="s">
        <v>6367</v>
      </c>
      <c r="B1716" s="3" t="s">
        <v>1719</v>
      </c>
      <c r="C1716" s="14">
        <v>4365.32</v>
      </c>
      <c r="D1716" s="11" t="s">
        <v>5</v>
      </c>
    </row>
    <row r="1717" spans="1:4" x14ac:dyDescent="0.25">
      <c r="A1717" s="4" t="s">
        <v>6368</v>
      </c>
      <c r="B1717" s="3" t="s">
        <v>1720</v>
      </c>
      <c r="C1717" s="14">
        <v>5480.82</v>
      </c>
      <c r="D1717" s="11" t="s">
        <v>5</v>
      </c>
    </row>
    <row r="1718" spans="1:4" x14ac:dyDescent="0.25">
      <c r="A1718" s="4" t="s">
        <v>6369</v>
      </c>
      <c r="B1718" s="3" t="s">
        <v>1721</v>
      </c>
      <c r="C1718" s="14">
        <v>4004.1</v>
      </c>
      <c r="D1718" s="11" t="s">
        <v>5</v>
      </c>
    </row>
    <row r="1719" spans="1:4" x14ac:dyDescent="0.25">
      <c r="A1719" s="4" t="s">
        <v>6370</v>
      </c>
      <c r="B1719" s="3" t="s">
        <v>1722</v>
      </c>
      <c r="C1719" s="14">
        <v>5250.71</v>
      </c>
      <c r="D1719" s="11" t="s">
        <v>5</v>
      </c>
    </row>
    <row r="1720" spans="1:4" x14ac:dyDescent="0.25">
      <c r="A1720" s="4" t="s">
        <v>6371</v>
      </c>
      <c r="B1720" s="3" t="s">
        <v>1723</v>
      </c>
      <c r="C1720" s="14">
        <v>7288.79</v>
      </c>
      <c r="D1720" s="11" t="s">
        <v>5</v>
      </c>
    </row>
    <row r="1721" spans="1:4" x14ac:dyDescent="0.25">
      <c r="A1721" s="4" t="s">
        <v>6372</v>
      </c>
      <c r="B1721" s="3" t="s">
        <v>1724</v>
      </c>
      <c r="C1721" s="14">
        <v>11213.63</v>
      </c>
      <c r="D1721" s="11" t="s">
        <v>5</v>
      </c>
    </row>
    <row r="1722" spans="1:4" x14ac:dyDescent="0.25">
      <c r="A1722" s="4" t="s">
        <v>6373</v>
      </c>
      <c r="B1722" s="3" t="s">
        <v>1725</v>
      </c>
      <c r="C1722" s="14">
        <v>11213.63</v>
      </c>
      <c r="D1722" s="11" t="s">
        <v>5</v>
      </c>
    </row>
    <row r="1723" spans="1:4" x14ac:dyDescent="0.25">
      <c r="A1723" s="4" t="s">
        <v>6374</v>
      </c>
      <c r="B1723" s="3" t="s">
        <v>1726</v>
      </c>
      <c r="C1723" s="14">
        <v>11966.42</v>
      </c>
      <c r="D1723" s="11" t="s">
        <v>5</v>
      </c>
    </row>
    <row r="1724" spans="1:4" x14ac:dyDescent="0.25">
      <c r="A1724" s="4" t="s">
        <v>6375</v>
      </c>
      <c r="B1724" s="3" t="s">
        <v>1727</v>
      </c>
      <c r="C1724" s="14">
        <v>25308.51</v>
      </c>
      <c r="D1724" s="11" t="s">
        <v>5</v>
      </c>
    </row>
    <row r="1725" spans="1:4" x14ac:dyDescent="0.25">
      <c r="A1725" s="4" t="s">
        <v>6376</v>
      </c>
      <c r="B1725" s="3" t="s">
        <v>1728</v>
      </c>
      <c r="C1725" s="14">
        <v>25308.51</v>
      </c>
      <c r="D1725" s="11" t="s">
        <v>5</v>
      </c>
    </row>
    <row r="1726" spans="1:4" x14ac:dyDescent="0.25">
      <c r="A1726" s="4" t="s">
        <v>6377</v>
      </c>
      <c r="B1726" s="3" t="s">
        <v>1729</v>
      </c>
      <c r="C1726" s="14">
        <v>128555.73</v>
      </c>
      <c r="D1726" s="11" t="s">
        <v>5</v>
      </c>
    </row>
    <row r="1727" spans="1:4" x14ac:dyDescent="0.25">
      <c r="A1727" s="4" t="s">
        <v>6378</v>
      </c>
      <c r="B1727" s="3" t="s">
        <v>1730</v>
      </c>
      <c r="C1727" s="14">
        <v>1476.45</v>
      </c>
      <c r="D1727" s="11" t="s">
        <v>5</v>
      </c>
    </row>
    <row r="1728" spans="1:4" x14ac:dyDescent="0.25">
      <c r="A1728" s="4" t="s">
        <v>6379</v>
      </c>
      <c r="B1728" s="3" t="s">
        <v>1731</v>
      </c>
      <c r="C1728" s="14">
        <v>1405.58</v>
      </c>
      <c r="D1728" s="11" t="s">
        <v>5</v>
      </c>
    </row>
    <row r="1729" spans="1:4" x14ac:dyDescent="0.25">
      <c r="A1729" s="4" t="s">
        <v>6380</v>
      </c>
      <c r="B1729" s="3" t="s">
        <v>1732</v>
      </c>
      <c r="C1729" s="14">
        <v>1014.99</v>
      </c>
      <c r="D1729" s="11" t="s">
        <v>5</v>
      </c>
    </row>
    <row r="1730" spans="1:4" x14ac:dyDescent="0.25">
      <c r="A1730" s="4" t="s">
        <v>6381</v>
      </c>
      <c r="B1730" s="3" t="s">
        <v>1733</v>
      </c>
      <c r="C1730" s="14">
        <v>1687.65</v>
      </c>
      <c r="D1730" s="11" t="s">
        <v>5</v>
      </c>
    </row>
    <row r="1731" spans="1:4" x14ac:dyDescent="0.25">
      <c r="A1731" s="4" t="s">
        <v>6382</v>
      </c>
      <c r="B1731" s="3" t="s">
        <v>1734</v>
      </c>
      <c r="C1731" s="14">
        <v>1797.2</v>
      </c>
      <c r="D1731" s="11" t="s">
        <v>5</v>
      </c>
    </row>
    <row r="1732" spans="1:4" x14ac:dyDescent="0.25">
      <c r="A1732" s="4" t="s">
        <v>6383</v>
      </c>
      <c r="B1732" s="3" t="s">
        <v>1735</v>
      </c>
      <c r="C1732" s="14">
        <v>1294.0999999999999</v>
      </c>
      <c r="D1732" s="11" t="s">
        <v>5</v>
      </c>
    </row>
    <row r="1733" spans="1:4" x14ac:dyDescent="0.25">
      <c r="A1733" s="4" t="s">
        <v>6384</v>
      </c>
      <c r="B1733" s="3" t="s">
        <v>1736</v>
      </c>
      <c r="C1733" s="14">
        <v>2162.7199999999998</v>
      </c>
      <c r="D1733" s="11" t="s">
        <v>5</v>
      </c>
    </row>
    <row r="1734" spans="1:4" x14ac:dyDescent="0.25">
      <c r="A1734" s="4" t="s">
        <v>6385</v>
      </c>
      <c r="B1734" s="3" t="s">
        <v>1737</v>
      </c>
      <c r="C1734" s="14">
        <v>1922.6</v>
      </c>
      <c r="D1734" s="11" t="s">
        <v>5</v>
      </c>
    </row>
    <row r="1735" spans="1:4" x14ac:dyDescent="0.25">
      <c r="A1735" s="4" t="s">
        <v>6386</v>
      </c>
      <c r="B1735" s="3" t="s">
        <v>1738</v>
      </c>
      <c r="C1735" s="14">
        <v>2350.0700000000002</v>
      </c>
      <c r="D1735" s="11" t="s">
        <v>5</v>
      </c>
    </row>
    <row r="1736" spans="1:4" x14ac:dyDescent="0.25">
      <c r="A1736" s="4" t="s">
        <v>6387</v>
      </c>
      <c r="B1736" s="3" t="s">
        <v>1739</v>
      </c>
      <c r="C1736" s="14">
        <v>2100.41</v>
      </c>
      <c r="D1736" s="11" t="s">
        <v>5</v>
      </c>
    </row>
    <row r="1737" spans="1:4" x14ac:dyDescent="0.25">
      <c r="A1737" s="4" t="s">
        <v>6388</v>
      </c>
      <c r="B1737" s="3" t="s">
        <v>1740</v>
      </c>
      <c r="C1737" s="14">
        <v>2296.9499999999998</v>
      </c>
      <c r="D1737" s="11" t="s">
        <v>5</v>
      </c>
    </row>
    <row r="1738" spans="1:4" x14ac:dyDescent="0.25">
      <c r="A1738" s="4" t="s">
        <v>6389</v>
      </c>
      <c r="B1738" s="3" t="s">
        <v>1741</v>
      </c>
      <c r="C1738" s="14">
        <v>1457.67</v>
      </c>
      <c r="D1738" s="11" t="s">
        <v>5</v>
      </c>
    </row>
    <row r="1739" spans="1:4" x14ac:dyDescent="0.25">
      <c r="A1739" s="4" t="s">
        <v>6390</v>
      </c>
      <c r="B1739" s="3" t="s">
        <v>1742</v>
      </c>
      <c r="C1739" s="14">
        <v>1399.44</v>
      </c>
      <c r="D1739" s="11" t="s">
        <v>5</v>
      </c>
    </row>
    <row r="1740" spans="1:4" x14ac:dyDescent="0.25">
      <c r="A1740" s="4" t="s">
        <v>6391</v>
      </c>
      <c r="B1740" s="3" t="s">
        <v>1743</v>
      </c>
      <c r="C1740" s="14">
        <v>2179.83</v>
      </c>
      <c r="D1740" s="11" t="s">
        <v>5</v>
      </c>
    </row>
    <row r="1741" spans="1:4" x14ac:dyDescent="0.25">
      <c r="A1741" s="4" t="s">
        <v>6392</v>
      </c>
      <c r="B1741" s="3" t="s">
        <v>1744</v>
      </c>
      <c r="C1741" s="14">
        <v>1812.41</v>
      </c>
      <c r="D1741" s="11" t="s">
        <v>5</v>
      </c>
    </row>
    <row r="1742" spans="1:4" x14ac:dyDescent="0.25">
      <c r="A1742" s="4" t="s">
        <v>6393</v>
      </c>
      <c r="B1742" s="3" t="s">
        <v>1745</v>
      </c>
      <c r="C1742" s="14">
        <v>1294.0999999999999</v>
      </c>
      <c r="D1742" s="11" t="s">
        <v>5</v>
      </c>
    </row>
    <row r="1743" spans="1:4" x14ac:dyDescent="0.25">
      <c r="A1743" s="4" t="s">
        <v>6394</v>
      </c>
      <c r="B1743" s="3" t="s">
        <v>1746</v>
      </c>
      <c r="C1743" s="14">
        <v>2126.31</v>
      </c>
      <c r="D1743" s="11" t="s">
        <v>5</v>
      </c>
    </row>
    <row r="1744" spans="1:4" x14ac:dyDescent="0.25">
      <c r="A1744" s="4" t="s">
        <v>6395</v>
      </c>
      <c r="B1744" s="3" t="s">
        <v>1747</v>
      </c>
      <c r="C1744" s="14">
        <v>1959.86</v>
      </c>
      <c r="D1744" s="11" t="s">
        <v>5</v>
      </c>
    </row>
    <row r="1745" spans="1:4" x14ac:dyDescent="0.25">
      <c r="A1745" s="4" t="s">
        <v>6396</v>
      </c>
      <c r="B1745" s="3" t="s">
        <v>1748</v>
      </c>
      <c r="C1745" s="14">
        <v>2454.27</v>
      </c>
      <c r="D1745" s="11" t="s">
        <v>5</v>
      </c>
    </row>
    <row r="1746" spans="1:4" x14ac:dyDescent="0.25">
      <c r="A1746" s="4" t="s">
        <v>6397</v>
      </c>
      <c r="B1746" s="3" t="s">
        <v>1749</v>
      </c>
      <c r="C1746" s="14">
        <v>2050.58</v>
      </c>
      <c r="D1746" s="11" t="s">
        <v>5</v>
      </c>
    </row>
    <row r="1747" spans="1:4" x14ac:dyDescent="0.25">
      <c r="A1747" s="4" t="s">
        <v>6398</v>
      </c>
      <c r="B1747" s="3" t="s">
        <v>1750</v>
      </c>
      <c r="C1747" s="14">
        <v>1471.73</v>
      </c>
      <c r="D1747" s="11" t="s">
        <v>5</v>
      </c>
    </row>
    <row r="1748" spans="1:4" x14ac:dyDescent="0.25">
      <c r="A1748" s="4" t="s">
        <v>6399</v>
      </c>
      <c r="B1748" s="3" t="s">
        <v>1751</v>
      </c>
      <c r="C1748" s="14">
        <v>2465.2399999999998</v>
      </c>
      <c r="D1748" s="11" t="s">
        <v>5</v>
      </c>
    </row>
    <row r="1749" spans="1:4" x14ac:dyDescent="0.25">
      <c r="A1749" s="4" t="s">
        <v>6400</v>
      </c>
      <c r="B1749" s="3" t="s">
        <v>1752</v>
      </c>
      <c r="C1749" s="14">
        <v>2352.59</v>
      </c>
      <c r="D1749" s="11" t="s">
        <v>5</v>
      </c>
    </row>
    <row r="1750" spans="1:4" x14ac:dyDescent="0.25">
      <c r="A1750" s="4" t="s">
        <v>6401</v>
      </c>
      <c r="B1750" s="3" t="s">
        <v>1753</v>
      </c>
      <c r="C1750" s="14">
        <v>1687.41</v>
      </c>
      <c r="D1750" s="11" t="s">
        <v>5</v>
      </c>
    </row>
    <row r="1751" spans="1:4" x14ac:dyDescent="0.25">
      <c r="A1751" s="4" t="s">
        <v>6402</v>
      </c>
      <c r="B1751" s="3" t="s">
        <v>1754</v>
      </c>
      <c r="C1751" s="14">
        <v>2318.25</v>
      </c>
      <c r="D1751" s="11" t="s">
        <v>5</v>
      </c>
    </row>
    <row r="1752" spans="1:4" x14ac:dyDescent="0.25">
      <c r="A1752" s="4" t="s">
        <v>6403</v>
      </c>
      <c r="B1752" s="3" t="s">
        <v>1755</v>
      </c>
      <c r="C1752" s="14">
        <v>4460.37</v>
      </c>
      <c r="D1752" s="11" t="s">
        <v>5</v>
      </c>
    </row>
    <row r="1753" spans="1:4" x14ac:dyDescent="0.25">
      <c r="A1753" s="4" t="s">
        <v>6404</v>
      </c>
      <c r="B1753" s="3" t="s">
        <v>1756</v>
      </c>
      <c r="C1753" s="14">
        <v>4079.31</v>
      </c>
      <c r="D1753" s="11" t="s">
        <v>5</v>
      </c>
    </row>
    <row r="1754" spans="1:4" x14ac:dyDescent="0.25">
      <c r="A1754" s="4" t="s">
        <v>6405</v>
      </c>
      <c r="B1754" s="3" t="s">
        <v>1757</v>
      </c>
      <c r="C1754" s="14">
        <v>3831.57</v>
      </c>
      <c r="D1754" s="11" t="s">
        <v>5</v>
      </c>
    </row>
    <row r="1755" spans="1:4" x14ac:dyDescent="0.25">
      <c r="A1755" s="4" t="s">
        <v>6406</v>
      </c>
      <c r="B1755" s="3" t="s">
        <v>1758</v>
      </c>
      <c r="C1755" s="14">
        <v>5804.87</v>
      </c>
      <c r="D1755" s="11" t="s">
        <v>5</v>
      </c>
    </row>
    <row r="1756" spans="1:4" x14ac:dyDescent="0.25">
      <c r="A1756" s="4" t="s">
        <v>6407</v>
      </c>
      <c r="B1756" s="3" t="s">
        <v>1759</v>
      </c>
      <c r="C1756" s="14">
        <v>5347.82</v>
      </c>
      <c r="D1756" s="11" t="s">
        <v>5</v>
      </c>
    </row>
    <row r="1757" spans="1:4" x14ac:dyDescent="0.25">
      <c r="A1757" s="4" t="s">
        <v>6408</v>
      </c>
      <c r="B1757" s="3" t="s">
        <v>1760</v>
      </c>
      <c r="C1757" s="14">
        <v>3831.57</v>
      </c>
      <c r="D1757" s="11" t="s">
        <v>5</v>
      </c>
    </row>
    <row r="1758" spans="1:4" x14ac:dyDescent="0.25">
      <c r="A1758" s="4" t="s">
        <v>6409</v>
      </c>
      <c r="B1758" s="3" t="s">
        <v>1761</v>
      </c>
      <c r="C1758" s="14">
        <v>2029.97</v>
      </c>
      <c r="D1758" s="11" t="s">
        <v>5</v>
      </c>
    </row>
    <row r="1759" spans="1:4" x14ac:dyDescent="0.25">
      <c r="A1759" s="4" t="s">
        <v>6410</v>
      </c>
      <c r="B1759" s="3" t="s">
        <v>1762</v>
      </c>
      <c r="C1759" s="14">
        <v>3165.24</v>
      </c>
      <c r="D1759" s="11" t="s">
        <v>5</v>
      </c>
    </row>
    <row r="1760" spans="1:4" x14ac:dyDescent="0.25">
      <c r="A1760" s="4" t="s">
        <v>6411</v>
      </c>
      <c r="B1760" s="3" t="s">
        <v>1763</v>
      </c>
      <c r="C1760" s="14">
        <v>3273.81</v>
      </c>
      <c r="D1760" s="11" t="s">
        <v>5</v>
      </c>
    </row>
    <row r="1761" spans="1:4" x14ac:dyDescent="0.25">
      <c r="A1761" s="4" t="s">
        <v>6412</v>
      </c>
      <c r="B1761" s="3" t="s">
        <v>1764</v>
      </c>
      <c r="C1761" s="14">
        <v>3492.2</v>
      </c>
      <c r="D1761" s="11" t="s">
        <v>5</v>
      </c>
    </row>
    <row r="1762" spans="1:4" x14ac:dyDescent="0.25">
      <c r="A1762" s="4" t="s">
        <v>6413</v>
      </c>
      <c r="B1762" s="3" t="s">
        <v>1765</v>
      </c>
      <c r="C1762" s="14">
        <v>3609.33</v>
      </c>
      <c r="D1762" s="11" t="s">
        <v>5</v>
      </c>
    </row>
    <row r="1763" spans="1:4" x14ac:dyDescent="0.25">
      <c r="A1763" s="4" t="s">
        <v>6414</v>
      </c>
      <c r="B1763" s="3" t="s">
        <v>1766</v>
      </c>
      <c r="C1763" s="14">
        <v>13499.37</v>
      </c>
      <c r="D1763" s="11" t="s">
        <v>5</v>
      </c>
    </row>
    <row r="1764" spans="1:4" x14ac:dyDescent="0.25">
      <c r="A1764" s="4" t="s">
        <v>6415</v>
      </c>
      <c r="B1764" s="3" t="s">
        <v>1767</v>
      </c>
      <c r="C1764" s="14">
        <v>11534.69</v>
      </c>
      <c r="D1764" s="11" t="s">
        <v>5</v>
      </c>
    </row>
    <row r="1765" spans="1:4" x14ac:dyDescent="0.25">
      <c r="A1765" s="4" t="s">
        <v>6416</v>
      </c>
      <c r="B1765" s="3" t="s">
        <v>1768</v>
      </c>
      <c r="C1765" s="14">
        <v>13463.4</v>
      </c>
      <c r="D1765" s="11" t="s">
        <v>5</v>
      </c>
    </row>
    <row r="1766" spans="1:4" x14ac:dyDescent="0.25">
      <c r="A1766" s="4" t="s">
        <v>6417</v>
      </c>
      <c r="B1766" s="3" t="s">
        <v>1769</v>
      </c>
      <c r="C1766" s="14">
        <v>13441.73</v>
      </c>
      <c r="D1766" s="11" t="s">
        <v>5</v>
      </c>
    </row>
    <row r="1767" spans="1:4" x14ac:dyDescent="0.25">
      <c r="A1767" s="4" t="s">
        <v>6418</v>
      </c>
      <c r="B1767" s="3" t="s">
        <v>1770</v>
      </c>
      <c r="C1767" s="14">
        <v>19563.59</v>
      </c>
      <c r="D1767" s="11" t="s">
        <v>5</v>
      </c>
    </row>
    <row r="1768" spans="1:4" x14ac:dyDescent="0.25">
      <c r="A1768" s="4" t="s">
        <v>6419</v>
      </c>
      <c r="B1768" s="3" t="s">
        <v>1771</v>
      </c>
      <c r="C1768" s="14">
        <v>16032.09</v>
      </c>
      <c r="D1768" s="11" t="s">
        <v>5</v>
      </c>
    </row>
    <row r="1769" spans="1:4" x14ac:dyDescent="0.25">
      <c r="A1769" s="4" t="s">
        <v>6420</v>
      </c>
      <c r="B1769" s="3" t="s">
        <v>1772</v>
      </c>
      <c r="C1769" s="14">
        <v>15894.06</v>
      </c>
      <c r="D1769" s="11" t="s">
        <v>5</v>
      </c>
    </row>
    <row r="1770" spans="1:4" x14ac:dyDescent="0.25">
      <c r="A1770" s="4" t="s">
        <v>6421</v>
      </c>
      <c r="B1770" s="3" t="s">
        <v>1773</v>
      </c>
      <c r="C1770" s="14">
        <v>18798.66</v>
      </c>
      <c r="D1770" s="11" t="s">
        <v>5</v>
      </c>
    </row>
    <row r="1771" spans="1:4" x14ac:dyDescent="0.25">
      <c r="A1771" s="4" t="s">
        <v>6422</v>
      </c>
      <c r="B1771" s="3" t="s">
        <v>1774</v>
      </c>
      <c r="C1771" s="14">
        <v>26082.78</v>
      </c>
      <c r="D1771" s="11" t="s">
        <v>5</v>
      </c>
    </row>
    <row r="1772" spans="1:4" x14ac:dyDescent="0.25">
      <c r="A1772" s="4" t="s">
        <v>6423</v>
      </c>
      <c r="B1772" s="3" t="s">
        <v>1775</v>
      </c>
      <c r="C1772" s="14">
        <v>21678.75</v>
      </c>
      <c r="D1772" s="11" t="s">
        <v>5</v>
      </c>
    </row>
    <row r="1773" spans="1:4" x14ac:dyDescent="0.25">
      <c r="A1773" s="4" t="s">
        <v>6424</v>
      </c>
      <c r="B1773" s="3" t="s">
        <v>1776</v>
      </c>
      <c r="C1773" s="14">
        <v>23301.68</v>
      </c>
      <c r="D1773" s="11" t="s">
        <v>5</v>
      </c>
    </row>
    <row r="1774" spans="1:4" x14ac:dyDescent="0.25">
      <c r="A1774" s="4" t="s">
        <v>6425</v>
      </c>
      <c r="B1774" s="3" t="s">
        <v>1777</v>
      </c>
      <c r="C1774" s="14">
        <v>28086.98</v>
      </c>
      <c r="D1774" s="11" t="s">
        <v>5</v>
      </c>
    </row>
    <row r="1775" spans="1:4" x14ac:dyDescent="0.25">
      <c r="A1775" s="4" t="s">
        <v>6426</v>
      </c>
      <c r="B1775" s="3" t="s">
        <v>1778</v>
      </c>
      <c r="C1775" s="14">
        <v>44504.88</v>
      </c>
      <c r="D1775" s="11" t="s">
        <v>5</v>
      </c>
    </row>
    <row r="1776" spans="1:4" x14ac:dyDescent="0.25">
      <c r="A1776" s="4" t="s">
        <v>6427</v>
      </c>
      <c r="B1776" s="3" t="s">
        <v>1779</v>
      </c>
      <c r="C1776" s="14">
        <v>54372.17</v>
      </c>
      <c r="D1776" s="11" t="s">
        <v>5</v>
      </c>
    </row>
    <row r="1777" spans="1:4" x14ac:dyDescent="0.25">
      <c r="A1777" s="4" t="s">
        <v>6428</v>
      </c>
      <c r="B1777" s="3" t="s">
        <v>1780</v>
      </c>
      <c r="C1777" s="14">
        <v>65209.53</v>
      </c>
      <c r="D1777" s="11" t="s">
        <v>5</v>
      </c>
    </row>
    <row r="1778" spans="1:4" x14ac:dyDescent="0.25">
      <c r="A1778" s="4" t="s">
        <v>6429</v>
      </c>
      <c r="B1778" s="3" t="s">
        <v>1781</v>
      </c>
      <c r="C1778" s="14">
        <v>74582.66</v>
      </c>
      <c r="D1778" s="11" t="s">
        <v>5</v>
      </c>
    </row>
    <row r="1779" spans="1:4" x14ac:dyDescent="0.25">
      <c r="A1779" s="4" t="s">
        <v>6430</v>
      </c>
      <c r="B1779" s="3" t="s">
        <v>1782</v>
      </c>
      <c r="C1779" s="14">
        <v>7878.09</v>
      </c>
      <c r="D1779" s="11" t="s">
        <v>5</v>
      </c>
    </row>
    <row r="1780" spans="1:4" x14ac:dyDescent="0.25">
      <c r="A1780" s="4" t="s">
        <v>6431</v>
      </c>
      <c r="B1780" s="3" t="s">
        <v>1783</v>
      </c>
      <c r="C1780" s="14">
        <v>11708.52</v>
      </c>
      <c r="D1780" s="11" t="s">
        <v>5</v>
      </c>
    </row>
    <row r="1781" spans="1:4" x14ac:dyDescent="0.25">
      <c r="A1781" s="4" t="s">
        <v>6432</v>
      </c>
      <c r="B1781" s="3" t="s">
        <v>1784</v>
      </c>
      <c r="C1781" s="14">
        <v>15508.07</v>
      </c>
      <c r="D1781" s="11" t="s">
        <v>5</v>
      </c>
    </row>
    <row r="1782" spans="1:4" x14ac:dyDescent="0.25">
      <c r="A1782" s="4" t="s">
        <v>6433</v>
      </c>
      <c r="B1782" s="3" t="s">
        <v>1785</v>
      </c>
      <c r="C1782" s="14">
        <v>22793.85</v>
      </c>
      <c r="D1782" s="11" t="s">
        <v>5</v>
      </c>
    </row>
    <row r="1783" spans="1:4" x14ac:dyDescent="0.25">
      <c r="A1783" s="4" t="s">
        <v>6434</v>
      </c>
      <c r="B1783" s="3" t="s">
        <v>1786</v>
      </c>
      <c r="C1783" s="14">
        <v>34931.67</v>
      </c>
      <c r="D1783" s="11" t="s">
        <v>5</v>
      </c>
    </row>
    <row r="1784" spans="1:4" x14ac:dyDescent="0.25">
      <c r="A1784" s="4" t="s">
        <v>6435</v>
      </c>
      <c r="B1784" s="3" t="s">
        <v>1787</v>
      </c>
      <c r="C1784" s="14">
        <v>51977.66</v>
      </c>
      <c r="D1784" s="11" t="s">
        <v>5</v>
      </c>
    </row>
    <row r="1785" spans="1:4" x14ac:dyDescent="0.25">
      <c r="A1785" s="4" t="s">
        <v>6436</v>
      </c>
      <c r="B1785" s="3" t="s">
        <v>1788</v>
      </c>
      <c r="C1785" s="14">
        <v>2778.39</v>
      </c>
      <c r="D1785" s="11" t="s">
        <v>5</v>
      </c>
    </row>
    <row r="1786" spans="1:4" x14ac:dyDescent="0.25">
      <c r="A1786" s="4" t="s">
        <v>6437</v>
      </c>
      <c r="B1786" s="3" t="s">
        <v>1789</v>
      </c>
      <c r="C1786" s="14">
        <v>4111.82</v>
      </c>
      <c r="D1786" s="11" t="s">
        <v>5</v>
      </c>
    </row>
    <row r="1787" spans="1:4" x14ac:dyDescent="0.25">
      <c r="A1787" s="4" t="s">
        <v>6438</v>
      </c>
      <c r="B1787" s="3" t="s">
        <v>1790</v>
      </c>
      <c r="C1787" s="14">
        <v>7005.42</v>
      </c>
      <c r="D1787" s="11" t="s">
        <v>5</v>
      </c>
    </row>
    <row r="1788" spans="1:4" x14ac:dyDescent="0.25">
      <c r="A1788" s="4" t="s">
        <v>6439</v>
      </c>
      <c r="B1788" s="3" t="s">
        <v>1791</v>
      </c>
      <c r="C1788" s="14">
        <v>14085.33</v>
      </c>
      <c r="D1788" s="11" t="s">
        <v>5</v>
      </c>
    </row>
    <row r="1789" spans="1:4" x14ac:dyDescent="0.25">
      <c r="A1789" s="4" t="s">
        <v>6440</v>
      </c>
      <c r="B1789" s="3" t="s">
        <v>1792</v>
      </c>
      <c r="C1789" s="14">
        <v>19573.099999999999</v>
      </c>
      <c r="D1789" s="11" t="s">
        <v>5</v>
      </c>
    </row>
    <row r="1790" spans="1:4" x14ac:dyDescent="0.25">
      <c r="A1790" s="4" t="s">
        <v>6441</v>
      </c>
      <c r="B1790" s="3" t="s">
        <v>1793</v>
      </c>
      <c r="C1790" s="14">
        <v>30762.21</v>
      </c>
      <c r="D1790" s="11" t="s">
        <v>5</v>
      </c>
    </row>
    <row r="1791" spans="1:4" x14ac:dyDescent="0.25">
      <c r="A1791" s="4" t="s">
        <v>6442</v>
      </c>
      <c r="B1791" s="3" t="s">
        <v>1794</v>
      </c>
      <c r="C1791" s="14">
        <v>53760.24</v>
      </c>
      <c r="D1791" s="11" t="s">
        <v>5</v>
      </c>
    </row>
    <row r="1792" spans="1:4" x14ac:dyDescent="0.25">
      <c r="A1792" s="4" t="s">
        <v>6443</v>
      </c>
      <c r="B1792" s="3" t="s">
        <v>1795</v>
      </c>
      <c r="C1792" s="14">
        <v>77255.179999999993</v>
      </c>
      <c r="D1792" s="11" t="s">
        <v>5</v>
      </c>
    </row>
    <row r="1793" spans="1:4" x14ac:dyDescent="0.25">
      <c r="A1793" s="4" t="s">
        <v>6444</v>
      </c>
      <c r="B1793" s="3" t="s">
        <v>1796</v>
      </c>
      <c r="C1793" s="14">
        <v>7931.61</v>
      </c>
      <c r="D1793" s="11" t="s">
        <v>5</v>
      </c>
    </row>
    <row r="1794" spans="1:4" x14ac:dyDescent="0.25">
      <c r="A1794" s="4" t="s">
        <v>6445</v>
      </c>
      <c r="B1794" s="3" t="s">
        <v>1797</v>
      </c>
      <c r="C1794" s="14">
        <v>12216.26</v>
      </c>
      <c r="D1794" s="11" t="s">
        <v>5</v>
      </c>
    </row>
    <row r="1795" spans="1:4" x14ac:dyDescent="0.25">
      <c r="A1795" s="4" t="s">
        <v>6446</v>
      </c>
      <c r="B1795" s="3" t="s">
        <v>1798</v>
      </c>
      <c r="C1795" s="14">
        <v>7028.79</v>
      </c>
      <c r="D1795" s="11" t="s">
        <v>5</v>
      </c>
    </row>
    <row r="1796" spans="1:4" x14ac:dyDescent="0.25">
      <c r="A1796" s="4" t="s">
        <v>6447</v>
      </c>
      <c r="B1796" s="3" t="s">
        <v>1799</v>
      </c>
      <c r="C1796" s="14">
        <v>15867.29</v>
      </c>
      <c r="D1796" s="11" t="s">
        <v>5</v>
      </c>
    </row>
    <row r="1797" spans="1:4" x14ac:dyDescent="0.25">
      <c r="A1797" s="4" t="s">
        <v>6448</v>
      </c>
      <c r="B1797" s="3" t="s">
        <v>1800</v>
      </c>
      <c r="C1797" s="14">
        <v>11469.36</v>
      </c>
      <c r="D1797" s="11" t="s">
        <v>5</v>
      </c>
    </row>
    <row r="1798" spans="1:4" x14ac:dyDescent="0.25">
      <c r="A1798" s="4" t="s">
        <v>6449</v>
      </c>
      <c r="B1798" s="3" t="s">
        <v>1801</v>
      </c>
      <c r="C1798" s="14">
        <v>23136.32</v>
      </c>
      <c r="D1798" s="11" t="s">
        <v>5</v>
      </c>
    </row>
    <row r="1799" spans="1:4" x14ac:dyDescent="0.25">
      <c r="A1799" s="4" t="s">
        <v>6450</v>
      </c>
      <c r="B1799" s="3" t="s">
        <v>1802</v>
      </c>
      <c r="C1799" s="14">
        <v>20743.79</v>
      </c>
      <c r="D1799" s="11" t="s">
        <v>5</v>
      </c>
    </row>
    <row r="1800" spans="1:4" x14ac:dyDescent="0.25">
      <c r="A1800" s="4" t="s">
        <v>6451</v>
      </c>
      <c r="B1800" s="3" t="s">
        <v>1803</v>
      </c>
      <c r="C1800" s="14">
        <v>3025.82</v>
      </c>
      <c r="D1800" s="11" t="s">
        <v>5</v>
      </c>
    </row>
    <row r="1801" spans="1:4" x14ac:dyDescent="0.25">
      <c r="A1801" s="4" t="s">
        <v>6452</v>
      </c>
      <c r="B1801" s="3" t="s">
        <v>1804</v>
      </c>
      <c r="C1801" s="14">
        <v>3674.81</v>
      </c>
      <c r="D1801" s="11" t="s">
        <v>5</v>
      </c>
    </row>
    <row r="1802" spans="1:4" x14ac:dyDescent="0.25">
      <c r="A1802" s="4" t="s">
        <v>6453</v>
      </c>
      <c r="B1802" s="3" t="s">
        <v>1805</v>
      </c>
      <c r="C1802" s="14">
        <v>2562.84</v>
      </c>
      <c r="D1802" s="11" t="s">
        <v>5</v>
      </c>
    </row>
    <row r="1803" spans="1:4" x14ac:dyDescent="0.25">
      <c r="A1803" s="4" t="s">
        <v>6454</v>
      </c>
      <c r="B1803" s="3" t="s">
        <v>1806</v>
      </c>
      <c r="C1803" s="14">
        <v>4754.7299999999996</v>
      </c>
      <c r="D1803" s="11" t="s">
        <v>5</v>
      </c>
    </row>
    <row r="1804" spans="1:4" x14ac:dyDescent="0.25">
      <c r="A1804" s="4" t="s">
        <v>6455</v>
      </c>
      <c r="B1804" s="3" t="s">
        <v>1807</v>
      </c>
      <c r="C1804" s="14">
        <v>5543.48</v>
      </c>
      <c r="D1804" s="11" t="s">
        <v>5</v>
      </c>
    </row>
    <row r="1805" spans="1:4" x14ac:dyDescent="0.25">
      <c r="A1805" s="4" t="s">
        <v>6456</v>
      </c>
      <c r="B1805" s="3" t="s">
        <v>1808</v>
      </c>
      <c r="C1805" s="14">
        <v>3882.33</v>
      </c>
      <c r="D1805" s="11" t="s">
        <v>5</v>
      </c>
    </row>
    <row r="1806" spans="1:4" x14ac:dyDescent="0.25">
      <c r="A1806" s="4" t="s">
        <v>6457</v>
      </c>
      <c r="B1806" s="3" t="s">
        <v>1809</v>
      </c>
      <c r="C1806" s="14">
        <v>7759.01</v>
      </c>
      <c r="D1806" s="11" t="s">
        <v>5</v>
      </c>
    </row>
    <row r="1807" spans="1:4" x14ac:dyDescent="0.25">
      <c r="A1807" s="4" t="s">
        <v>6458</v>
      </c>
      <c r="B1807" s="3" t="s">
        <v>1810</v>
      </c>
      <c r="C1807" s="14">
        <v>9195.5300000000007</v>
      </c>
      <c r="D1807" s="11" t="s">
        <v>5</v>
      </c>
    </row>
    <row r="1808" spans="1:4" x14ac:dyDescent="0.25">
      <c r="A1808" s="4" t="s">
        <v>6459</v>
      </c>
      <c r="B1808" s="3" t="s">
        <v>1811</v>
      </c>
      <c r="C1808" s="14">
        <v>6369.03</v>
      </c>
      <c r="D1808" s="11" t="s">
        <v>5</v>
      </c>
    </row>
    <row r="1809" spans="1:4" x14ac:dyDescent="0.25">
      <c r="A1809" s="4" t="s">
        <v>6460</v>
      </c>
      <c r="B1809" s="3" t="s">
        <v>1812</v>
      </c>
      <c r="C1809" s="14">
        <v>13919.22</v>
      </c>
      <c r="D1809" s="11" t="s">
        <v>5</v>
      </c>
    </row>
    <row r="1810" spans="1:4" x14ac:dyDescent="0.25">
      <c r="A1810" s="4" t="s">
        <v>6461</v>
      </c>
      <c r="B1810" s="3" t="s">
        <v>1813</v>
      </c>
      <c r="C1810" s="14">
        <v>10390.92</v>
      </c>
      <c r="D1810" s="11" t="s">
        <v>5</v>
      </c>
    </row>
    <row r="1811" spans="1:4" x14ac:dyDescent="0.25">
      <c r="A1811" s="4" t="s">
        <v>6462</v>
      </c>
      <c r="B1811" s="3" t="s">
        <v>1814</v>
      </c>
      <c r="C1811" s="14">
        <v>20587.34</v>
      </c>
      <c r="D1811" s="11" t="s">
        <v>5</v>
      </c>
    </row>
    <row r="1812" spans="1:4" x14ac:dyDescent="0.25">
      <c r="A1812" s="4" t="s">
        <v>6463</v>
      </c>
      <c r="B1812" s="3" t="s">
        <v>1815</v>
      </c>
      <c r="C1812" s="14">
        <v>15986.04</v>
      </c>
      <c r="D1812" s="11" t="s">
        <v>5</v>
      </c>
    </row>
    <row r="1813" spans="1:4" x14ac:dyDescent="0.25">
      <c r="A1813" s="4" t="s">
        <v>6464</v>
      </c>
      <c r="B1813" s="3" t="s">
        <v>1816</v>
      </c>
      <c r="C1813" s="14">
        <v>33052.74</v>
      </c>
      <c r="D1813" s="11" t="s">
        <v>5</v>
      </c>
    </row>
    <row r="1814" spans="1:4" x14ac:dyDescent="0.25">
      <c r="A1814" s="4" t="s">
        <v>6465</v>
      </c>
      <c r="B1814" s="3" t="s">
        <v>1817</v>
      </c>
      <c r="C1814" s="14">
        <v>103558.38</v>
      </c>
      <c r="D1814" s="11" t="s">
        <v>5</v>
      </c>
    </row>
    <row r="1815" spans="1:4" x14ac:dyDescent="0.25">
      <c r="A1815" s="4" t="s">
        <v>6466</v>
      </c>
      <c r="B1815" s="3" t="s">
        <v>1818</v>
      </c>
      <c r="C1815" s="14">
        <v>21116.13</v>
      </c>
      <c r="D1815" s="11" t="s">
        <v>5</v>
      </c>
    </row>
    <row r="1816" spans="1:4" x14ac:dyDescent="0.25">
      <c r="A1816" s="4" t="s">
        <v>6467</v>
      </c>
      <c r="B1816" s="3" t="s">
        <v>1819</v>
      </c>
      <c r="C1816" s="14">
        <v>35837.85</v>
      </c>
      <c r="D1816" s="11" t="s">
        <v>5</v>
      </c>
    </row>
    <row r="1817" spans="1:4" x14ac:dyDescent="0.25">
      <c r="A1817" s="4" t="s">
        <v>6468</v>
      </c>
      <c r="B1817" s="3" t="s">
        <v>1820</v>
      </c>
      <c r="C1817" s="14">
        <v>23463.35</v>
      </c>
      <c r="D1817" s="11" t="s">
        <v>5</v>
      </c>
    </row>
    <row r="1818" spans="1:4" x14ac:dyDescent="0.25">
      <c r="A1818" s="4" t="s">
        <v>6469</v>
      </c>
      <c r="B1818" s="3" t="s">
        <v>1821</v>
      </c>
      <c r="C1818" s="14">
        <v>48530.25</v>
      </c>
      <c r="D1818" s="11" t="s">
        <v>5</v>
      </c>
    </row>
    <row r="1819" spans="1:4" x14ac:dyDescent="0.25">
      <c r="A1819" s="4" t="s">
        <v>6470</v>
      </c>
      <c r="B1819" s="3" t="s">
        <v>1822</v>
      </c>
      <c r="C1819" s="14">
        <v>32519.45</v>
      </c>
      <c r="D1819" s="11" t="s">
        <v>5</v>
      </c>
    </row>
    <row r="1820" spans="1:4" x14ac:dyDescent="0.25">
      <c r="A1820" s="4" t="s">
        <v>6471</v>
      </c>
      <c r="B1820" s="3" t="s">
        <v>1823</v>
      </c>
      <c r="C1820" s="14">
        <v>63996.54</v>
      </c>
      <c r="D1820" s="11" t="s">
        <v>5</v>
      </c>
    </row>
    <row r="1821" spans="1:4" x14ac:dyDescent="0.25">
      <c r="A1821" s="4" t="s">
        <v>6472</v>
      </c>
      <c r="B1821" s="3" t="s">
        <v>1824</v>
      </c>
      <c r="C1821" s="14">
        <v>59340.71</v>
      </c>
      <c r="D1821" s="11" t="s">
        <v>5</v>
      </c>
    </row>
    <row r="1822" spans="1:4" x14ac:dyDescent="0.25">
      <c r="A1822" s="4" t="s">
        <v>6473</v>
      </c>
      <c r="B1822" s="3" t="s">
        <v>1825</v>
      </c>
      <c r="C1822" s="14">
        <v>84475.5</v>
      </c>
      <c r="D1822" s="11" t="s">
        <v>5</v>
      </c>
    </row>
    <row r="1823" spans="1:4" x14ac:dyDescent="0.25">
      <c r="A1823" s="4" t="s">
        <v>6474</v>
      </c>
      <c r="B1823" s="3" t="s">
        <v>1826</v>
      </c>
      <c r="C1823" s="14">
        <v>82162.05</v>
      </c>
      <c r="D1823" s="11" t="s">
        <v>5</v>
      </c>
    </row>
    <row r="1824" spans="1:4" x14ac:dyDescent="0.25">
      <c r="A1824" s="4" t="s">
        <v>6475</v>
      </c>
      <c r="B1824" s="3" t="s">
        <v>1827</v>
      </c>
      <c r="C1824" s="14">
        <v>140365.53</v>
      </c>
      <c r="D1824" s="11" t="s">
        <v>5</v>
      </c>
    </row>
    <row r="1825" spans="1:4" x14ac:dyDescent="0.25">
      <c r="A1825" s="4" t="s">
        <v>6476</v>
      </c>
      <c r="B1825" s="3" t="s">
        <v>1828</v>
      </c>
      <c r="C1825" s="14">
        <v>1432.16</v>
      </c>
      <c r="D1825" s="11" t="s">
        <v>5</v>
      </c>
    </row>
    <row r="1826" spans="1:4" x14ac:dyDescent="0.25">
      <c r="A1826" s="4" t="s">
        <v>6477</v>
      </c>
      <c r="B1826" s="3" t="s">
        <v>1829</v>
      </c>
      <c r="C1826" s="14">
        <v>1140.33</v>
      </c>
      <c r="D1826" s="11" t="s">
        <v>5</v>
      </c>
    </row>
    <row r="1827" spans="1:4" x14ac:dyDescent="0.25">
      <c r="A1827" s="4" t="s">
        <v>6478</v>
      </c>
      <c r="B1827" s="3" t="s">
        <v>1830</v>
      </c>
      <c r="C1827" s="14">
        <v>850.07</v>
      </c>
      <c r="D1827" s="11" t="s">
        <v>5</v>
      </c>
    </row>
    <row r="1828" spans="1:4" x14ac:dyDescent="0.25">
      <c r="A1828" s="4" t="s">
        <v>6479</v>
      </c>
      <c r="B1828" s="3" t="s">
        <v>1831</v>
      </c>
      <c r="C1828" s="14">
        <v>3068.37</v>
      </c>
      <c r="D1828" s="11" t="s">
        <v>5</v>
      </c>
    </row>
    <row r="1829" spans="1:4" x14ac:dyDescent="0.25">
      <c r="A1829" s="4" t="s">
        <v>6480</v>
      </c>
      <c r="B1829" s="3" t="s">
        <v>1832</v>
      </c>
      <c r="C1829" s="14">
        <v>2594.5700000000002</v>
      </c>
      <c r="D1829" s="11" t="s">
        <v>5</v>
      </c>
    </row>
    <row r="1830" spans="1:4" x14ac:dyDescent="0.25">
      <c r="A1830" s="4" t="s">
        <v>6481</v>
      </c>
      <c r="B1830" s="3" t="s">
        <v>1833</v>
      </c>
      <c r="C1830" s="14">
        <v>2207.6</v>
      </c>
      <c r="D1830" s="11" t="s">
        <v>5</v>
      </c>
    </row>
    <row r="1831" spans="1:4" x14ac:dyDescent="0.25">
      <c r="A1831" s="4" t="s">
        <v>6482</v>
      </c>
      <c r="B1831" s="3" t="s">
        <v>1834</v>
      </c>
      <c r="C1831" s="14">
        <v>2240.0100000000002</v>
      </c>
      <c r="D1831" s="11" t="s">
        <v>5</v>
      </c>
    </row>
    <row r="1832" spans="1:4" x14ac:dyDescent="0.25">
      <c r="A1832" s="4" t="s">
        <v>6483</v>
      </c>
      <c r="B1832" s="3" t="s">
        <v>1835</v>
      </c>
      <c r="C1832" s="14">
        <v>2232.98</v>
      </c>
      <c r="D1832" s="11" t="s">
        <v>5</v>
      </c>
    </row>
    <row r="1833" spans="1:4" x14ac:dyDescent="0.25">
      <c r="A1833" s="4" t="s">
        <v>6484</v>
      </c>
      <c r="B1833" s="3" t="s">
        <v>1836</v>
      </c>
      <c r="C1833" s="14">
        <v>1946.94</v>
      </c>
      <c r="D1833" s="11" t="s">
        <v>5</v>
      </c>
    </row>
    <row r="1834" spans="1:4" x14ac:dyDescent="0.25">
      <c r="A1834" s="4" t="s">
        <v>6485</v>
      </c>
      <c r="B1834" s="3" t="s">
        <v>1837</v>
      </c>
      <c r="C1834" s="14">
        <v>1432.67</v>
      </c>
      <c r="D1834" s="11" t="s">
        <v>5</v>
      </c>
    </row>
    <row r="1835" spans="1:4" x14ac:dyDescent="0.25">
      <c r="A1835" s="4" t="s">
        <v>6486</v>
      </c>
      <c r="B1835" s="3" t="s">
        <v>1838</v>
      </c>
      <c r="C1835" s="14">
        <v>1065.74</v>
      </c>
      <c r="D1835" s="11" t="s">
        <v>5</v>
      </c>
    </row>
    <row r="1836" spans="1:4" x14ac:dyDescent="0.25">
      <c r="A1836" s="4" t="s">
        <v>6487</v>
      </c>
      <c r="B1836" s="3" t="s">
        <v>1839</v>
      </c>
      <c r="C1836" s="14">
        <v>5453.84</v>
      </c>
      <c r="D1836" s="11" t="s">
        <v>5</v>
      </c>
    </row>
    <row r="1837" spans="1:4" x14ac:dyDescent="0.25">
      <c r="A1837" s="4" t="s">
        <v>6488</v>
      </c>
      <c r="B1837" s="3" t="s">
        <v>1840</v>
      </c>
      <c r="C1837" s="14">
        <v>3292.83</v>
      </c>
      <c r="D1837" s="11" t="s">
        <v>5</v>
      </c>
    </row>
    <row r="1838" spans="1:4" x14ac:dyDescent="0.25">
      <c r="A1838" s="4" t="s">
        <v>6489</v>
      </c>
      <c r="B1838" s="3" t="s">
        <v>1841</v>
      </c>
      <c r="C1838" s="14">
        <v>2841.96</v>
      </c>
      <c r="D1838" s="11" t="s">
        <v>5</v>
      </c>
    </row>
    <row r="1839" spans="1:4" x14ac:dyDescent="0.25">
      <c r="A1839" s="4" t="s">
        <v>6490</v>
      </c>
      <c r="B1839" s="3" t="s">
        <v>1842</v>
      </c>
      <c r="C1839" s="14">
        <v>3104.94</v>
      </c>
      <c r="D1839" s="11" t="s">
        <v>5</v>
      </c>
    </row>
    <row r="1840" spans="1:4" x14ac:dyDescent="0.25">
      <c r="A1840" s="4" t="s">
        <v>6491</v>
      </c>
      <c r="B1840" s="3" t="s">
        <v>1843</v>
      </c>
      <c r="C1840" s="14">
        <v>2956.16</v>
      </c>
      <c r="D1840" s="11" t="s">
        <v>5</v>
      </c>
    </row>
    <row r="1841" spans="1:4" x14ac:dyDescent="0.25">
      <c r="A1841" s="4" t="s">
        <v>6492</v>
      </c>
      <c r="B1841" s="3" t="s">
        <v>1844</v>
      </c>
      <c r="C1841" s="14">
        <v>3387</v>
      </c>
      <c r="D1841" s="11" t="s">
        <v>5</v>
      </c>
    </row>
    <row r="1842" spans="1:4" x14ac:dyDescent="0.25">
      <c r="A1842" s="4" t="s">
        <v>6493</v>
      </c>
      <c r="B1842" s="3" t="s">
        <v>1845</v>
      </c>
      <c r="C1842" s="14">
        <v>2152.7600000000002</v>
      </c>
      <c r="D1842" s="11" t="s">
        <v>5</v>
      </c>
    </row>
    <row r="1843" spans="1:4" x14ac:dyDescent="0.25">
      <c r="A1843" s="4" t="s">
        <v>6494</v>
      </c>
      <c r="B1843" s="3" t="s">
        <v>1846</v>
      </c>
      <c r="C1843" s="14">
        <v>1611.29</v>
      </c>
      <c r="D1843" s="11" t="s">
        <v>5</v>
      </c>
    </row>
    <row r="1844" spans="1:4" x14ac:dyDescent="0.25">
      <c r="A1844" s="4" t="s">
        <v>6495</v>
      </c>
      <c r="B1844" s="3" t="s">
        <v>1847</v>
      </c>
      <c r="C1844" s="14">
        <v>11103.29</v>
      </c>
      <c r="D1844" s="11" t="s">
        <v>5</v>
      </c>
    </row>
    <row r="1845" spans="1:4" x14ac:dyDescent="0.25">
      <c r="A1845" s="4" t="s">
        <v>6496</v>
      </c>
      <c r="B1845" s="3" t="s">
        <v>1848</v>
      </c>
      <c r="C1845" s="14">
        <v>5553.41</v>
      </c>
      <c r="D1845" s="11" t="s">
        <v>5</v>
      </c>
    </row>
    <row r="1846" spans="1:4" x14ac:dyDescent="0.25">
      <c r="A1846" s="4" t="s">
        <v>6497</v>
      </c>
      <c r="B1846" s="3" t="s">
        <v>1849</v>
      </c>
      <c r="C1846" s="14">
        <v>4440.57</v>
      </c>
      <c r="D1846" s="11" t="s">
        <v>5</v>
      </c>
    </row>
    <row r="1847" spans="1:4" x14ac:dyDescent="0.25">
      <c r="A1847" s="4" t="s">
        <v>6498</v>
      </c>
      <c r="B1847" s="3" t="s">
        <v>1850</v>
      </c>
      <c r="C1847" s="14">
        <v>6249.14</v>
      </c>
      <c r="D1847" s="11" t="s">
        <v>5</v>
      </c>
    </row>
    <row r="1848" spans="1:4" x14ac:dyDescent="0.25">
      <c r="A1848" s="4" t="s">
        <v>6499</v>
      </c>
      <c r="B1848" s="3" t="s">
        <v>1851</v>
      </c>
      <c r="C1848" s="14">
        <v>4491.32</v>
      </c>
      <c r="D1848" s="11" t="s">
        <v>5</v>
      </c>
    </row>
    <row r="1849" spans="1:4" x14ac:dyDescent="0.25">
      <c r="A1849" s="4" t="s">
        <v>6500</v>
      </c>
      <c r="B1849" s="3" t="s">
        <v>1852</v>
      </c>
      <c r="C1849" s="14">
        <v>9550.5300000000007</v>
      </c>
      <c r="D1849" s="11" t="s">
        <v>5</v>
      </c>
    </row>
    <row r="1850" spans="1:4" x14ac:dyDescent="0.25">
      <c r="A1850" s="4" t="s">
        <v>6501</v>
      </c>
      <c r="B1850" s="3" t="s">
        <v>1853</v>
      </c>
      <c r="C1850" s="14">
        <v>10538.69</v>
      </c>
      <c r="D1850" s="11" t="s">
        <v>5</v>
      </c>
    </row>
    <row r="1851" spans="1:4" x14ac:dyDescent="0.25">
      <c r="A1851" s="4" t="s">
        <v>6502</v>
      </c>
      <c r="B1851" s="3" t="s">
        <v>1854</v>
      </c>
      <c r="C1851" s="14">
        <v>12595.92</v>
      </c>
      <c r="D1851" s="11" t="s">
        <v>5</v>
      </c>
    </row>
    <row r="1852" spans="1:4" x14ac:dyDescent="0.25">
      <c r="A1852" s="4" t="s">
        <v>6503</v>
      </c>
      <c r="B1852" s="3" t="s">
        <v>1855</v>
      </c>
      <c r="C1852" s="14">
        <v>11167.44</v>
      </c>
      <c r="D1852" s="11" t="s">
        <v>5</v>
      </c>
    </row>
    <row r="1853" spans="1:4" x14ac:dyDescent="0.25">
      <c r="A1853" s="4" t="s">
        <v>6504</v>
      </c>
      <c r="B1853" s="3" t="s">
        <v>1856</v>
      </c>
      <c r="C1853" s="14">
        <v>8779.64</v>
      </c>
      <c r="D1853" s="11" t="s">
        <v>5</v>
      </c>
    </row>
    <row r="1854" spans="1:4" x14ac:dyDescent="0.25">
      <c r="A1854" s="4" t="s">
        <v>6505</v>
      </c>
      <c r="B1854" s="3" t="s">
        <v>1857</v>
      </c>
      <c r="C1854" s="14">
        <v>16905.29</v>
      </c>
      <c r="D1854" s="11" t="s">
        <v>5</v>
      </c>
    </row>
    <row r="1855" spans="1:4" x14ac:dyDescent="0.25">
      <c r="A1855" s="4" t="s">
        <v>6506</v>
      </c>
      <c r="B1855" s="3" t="s">
        <v>1858</v>
      </c>
      <c r="C1855" s="14">
        <v>11748.47</v>
      </c>
      <c r="D1855" s="11" t="s">
        <v>5</v>
      </c>
    </row>
    <row r="1856" spans="1:4" x14ac:dyDescent="0.25">
      <c r="A1856" s="4" t="s">
        <v>6507</v>
      </c>
      <c r="B1856" s="3" t="s">
        <v>1859</v>
      </c>
      <c r="C1856" s="14">
        <v>26713.67</v>
      </c>
      <c r="D1856" s="11" t="s">
        <v>5</v>
      </c>
    </row>
    <row r="1857" spans="1:4" x14ac:dyDescent="0.25">
      <c r="A1857" s="4" t="s">
        <v>6508</v>
      </c>
      <c r="B1857" s="3" t="s">
        <v>1860</v>
      </c>
      <c r="C1857" s="14">
        <v>19957.169999999998</v>
      </c>
      <c r="D1857" s="11" t="s">
        <v>5</v>
      </c>
    </row>
    <row r="1858" spans="1:4" x14ac:dyDescent="0.25">
      <c r="A1858" s="4" t="s">
        <v>6509</v>
      </c>
      <c r="B1858" s="3" t="s">
        <v>1861</v>
      </c>
      <c r="C1858" s="14">
        <v>47550.38</v>
      </c>
      <c r="D1858" s="11" t="s">
        <v>5</v>
      </c>
    </row>
    <row r="1859" spans="1:4" x14ac:dyDescent="0.25">
      <c r="A1859" s="4" t="s">
        <v>6510</v>
      </c>
      <c r="B1859" s="3" t="s">
        <v>1862</v>
      </c>
      <c r="C1859" s="14">
        <v>77714.509999999995</v>
      </c>
      <c r="D1859" s="11" t="s">
        <v>5</v>
      </c>
    </row>
    <row r="1860" spans="1:4" x14ac:dyDescent="0.25">
      <c r="A1860" s="4" t="s">
        <v>6511</v>
      </c>
      <c r="B1860" s="3" t="s">
        <v>1863</v>
      </c>
      <c r="C1860" s="14">
        <v>138298.32</v>
      </c>
      <c r="D1860" s="11" t="s">
        <v>5</v>
      </c>
    </row>
    <row r="1861" spans="1:4" x14ac:dyDescent="0.25">
      <c r="A1861" s="4" t="s">
        <v>6512</v>
      </c>
      <c r="B1861" s="3" t="s">
        <v>1864</v>
      </c>
      <c r="C1861" s="14">
        <v>4351.76</v>
      </c>
      <c r="D1861" s="11" t="s">
        <v>5</v>
      </c>
    </row>
    <row r="1862" spans="1:4" x14ac:dyDescent="0.25">
      <c r="A1862" s="4" t="s">
        <v>6513</v>
      </c>
      <c r="B1862" s="3" t="s">
        <v>1865</v>
      </c>
      <c r="C1862" s="14">
        <v>6013.79</v>
      </c>
      <c r="D1862" s="11" t="s">
        <v>5</v>
      </c>
    </row>
    <row r="1863" spans="1:4" x14ac:dyDescent="0.25">
      <c r="A1863" s="4" t="s">
        <v>6514</v>
      </c>
      <c r="B1863" s="3" t="s">
        <v>1866</v>
      </c>
      <c r="C1863" s="14">
        <v>7054.16</v>
      </c>
      <c r="D1863" s="11" t="s">
        <v>5</v>
      </c>
    </row>
    <row r="1864" spans="1:4" x14ac:dyDescent="0.25">
      <c r="A1864" s="4" t="s">
        <v>6515</v>
      </c>
      <c r="B1864" s="3" t="s">
        <v>1867</v>
      </c>
      <c r="C1864" s="14">
        <v>1636.67</v>
      </c>
      <c r="D1864" s="11" t="s">
        <v>5</v>
      </c>
    </row>
    <row r="1865" spans="1:4" x14ac:dyDescent="0.25">
      <c r="A1865" s="4" t="s">
        <v>6516</v>
      </c>
      <c r="B1865" s="3" t="s">
        <v>1868</v>
      </c>
      <c r="C1865" s="14">
        <v>2486.7199999999998</v>
      </c>
      <c r="D1865" s="11" t="s">
        <v>5</v>
      </c>
    </row>
    <row r="1866" spans="1:4" x14ac:dyDescent="0.25">
      <c r="A1866" s="4" t="s">
        <v>6517</v>
      </c>
      <c r="B1866" s="3" t="s">
        <v>1869</v>
      </c>
      <c r="C1866" s="14">
        <v>3730.08</v>
      </c>
      <c r="D1866" s="11" t="s">
        <v>5</v>
      </c>
    </row>
    <row r="1867" spans="1:4" x14ac:dyDescent="0.25">
      <c r="A1867" s="4" t="s">
        <v>6518</v>
      </c>
      <c r="B1867" s="3" t="s">
        <v>1870</v>
      </c>
      <c r="C1867" s="14">
        <v>5300.51</v>
      </c>
      <c r="D1867" s="11" t="s">
        <v>5</v>
      </c>
    </row>
    <row r="1868" spans="1:4" x14ac:dyDescent="0.25">
      <c r="A1868" s="4" t="s">
        <v>6519</v>
      </c>
      <c r="B1868" s="3" t="s">
        <v>1871</v>
      </c>
      <c r="C1868" s="14">
        <v>7571.91</v>
      </c>
      <c r="D1868" s="11" t="s">
        <v>5</v>
      </c>
    </row>
    <row r="1869" spans="1:4" x14ac:dyDescent="0.25">
      <c r="A1869" s="4" t="s">
        <v>6520</v>
      </c>
      <c r="B1869" s="3" t="s">
        <v>1872</v>
      </c>
      <c r="C1869" s="14">
        <v>11018.84</v>
      </c>
      <c r="D1869" s="11" t="s">
        <v>5</v>
      </c>
    </row>
    <row r="1870" spans="1:4" x14ac:dyDescent="0.25">
      <c r="A1870" s="4" t="s">
        <v>6521</v>
      </c>
      <c r="B1870" s="3" t="s">
        <v>1873</v>
      </c>
      <c r="C1870" s="14">
        <v>24610.2</v>
      </c>
      <c r="D1870" s="11" t="s">
        <v>5</v>
      </c>
    </row>
    <row r="1871" spans="1:4" x14ac:dyDescent="0.25">
      <c r="A1871" s="4" t="s">
        <v>6522</v>
      </c>
      <c r="B1871" s="3" t="s">
        <v>1874</v>
      </c>
      <c r="C1871" s="14">
        <v>37860.92</v>
      </c>
      <c r="D1871" s="11" t="s">
        <v>5</v>
      </c>
    </row>
    <row r="1872" spans="1:4" x14ac:dyDescent="0.25">
      <c r="A1872" s="4" t="s">
        <v>6523</v>
      </c>
      <c r="B1872" s="3" t="s">
        <v>1875</v>
      </c>
      <c r="C1872" s="14">
        <v>61522.34</v>
      </c>
      <c r="D1872" s="11" t="s">
        <v>5</v>
      </c>
    </row>
    <row r="1873" spans="1:4" x14ac:dyDescent="0.25">
      <c r="A1873" s="4" t="s">
        <v>6524</v>
      </c>
      <c r="B1873" s="3" t="s">
        <v>1876</v>
      </c>
      <c r="C1873" s="14">
        <v>13629.57</v>
      </c>
      <c r="D1873" s="11" t="s">
        <v>5</v>
      </c>
    </row>
    <row r="1874" spans="1:4" x14ac:dyDescent="0.25">
      <c r="A1874" s="4" t="s">
        <v>6525</v>
      </c>
      <c r="B1874" s="3" t="s">
        <v>1877</v>
      </c>
      <c r="C1874" s="14">
        <v>15144.57</v>
      </c>
      <c r="D1874" s="11" t="s">
        <v>5</v>
      </c>
    </row>
    <row r="1875" spans="1:4" x14ac:dyDescent="0.25">
      <c r="A1875" s="4" t="s">
        <v>6526</v>
      </c>
      <c r="B1875" s="3" t="s">
        <v>1878</v>
      </c>
      <c r="C1875" s="14">
        <v>8156.31</v>
      </c>
      <c r="D1875" s="11" t="s">
        <v>5</v>
      </c>
    </row>
    <row r="1876" spans="1:4" x14ac:dyDescent="0.25">
      <c r="A1876" s="4" t="s">
        <v>6527</v>
      </c>
      <c r="B1876" s="3" t="s">
        <v>1879</v>
      </c>
      <c r="C1876" s="14">
        <v>10889.49</v>
      </c>
      <c r="D1876" s="11" t="s">
        <v>5</v>
      </c>
    </row>
    <row r="1877" spans="1:4" x14ac:dyDescent="0.25">
      <c r="A1877" s="4" t="s">
        <v>6528</v>
      </c>
      <c r="B1877" s="3" t="s">
        <v>1880</v>
      </c>
      <c r="C1877" s="14">
        <v>16175.55</v>
      </c>
      <c r="D1877" s="11" t="s">
        <v>5</v>
      </c>
    </row>
    <row r="1878" spans="1:4" x14ac:dyDescent="0.25">
      <c r="A1878" s="4" t="s">
        <v>6529</v>
      </c>
      <c r="B1878" s="3" t="s">
        <v>1881</v>
      </c>
      <c r="C1878" s="14">
        <v>32227.73</v>
      </c>
      <c r="D1878" s="11" t="s">
        <v>5</v>
      </c>
    </row>
    <row r="1879" spans="1:4" x14ac:dyDescent="0.25">
      <c r="A1879" s="4" t="s">
        <v>6530</v>
      </c>
      <c r="B1879" s="3" t="s">
        <v>1882</v>
      </c>
      <c r="C1879" s="14">
        <v>57834</v>
      </c>
      <c r="D1879" s="11" t="s">
        <v>5</v>
      </c>
    </row>
    <row r="1880" spans="1:4" x14ac:dyDescent="0.25">
      <c r="A1880" s="4" t="s">
        <v>6531</v>
      </c>
      <c r="B1880" s="3" t="s">
        <v>1883</v>
      </c>
      <c r="C1880" s="14">
        <v>48762</v>
      </c>
      <c r="D1880" s="11" t="s">
        <v>5</v>
      </c>
    </row>
    <row r="1881" spans="1:4" x14ac:dyDescent="0.25">
      <c r="A1881" s="4" t="s">
        <v>6532</v>
      </c>
      <c r="B1881" s="3" t="s">
        <v>1884</v>
      </c>
      <c r="C1881" s="14">
        <v>57834</v>
      </c>
      <c r="D1881" s="11" t="s">
        <v>5</v>
      </c>
    </row>
    <row r="1882" spans="1:4" x14ac:dyDescent="0.25">
      <c r="A1882" s="4" t="s">
        <v>6533</v>
      </c>
      <c r="B1882" s="3" t="s">
        <v>1885</v>
      </c>
      <c r="C1882" s="14">
        <v>41296.879999999997</v>
      </c>
      <c r="D1882" s="11" t="s">
        <v>5</v>
      </c>
    </row>
    <row r="1883" spans="1:4" x14ac:dyDescent="0.25">
      <c r="A1883" s="4" t="s">
        <v>6534</v>
      </c>
      <c r="B1883" s="3" t="s">
        <v>1886</v>
      </c>
      <c r="C1883" s="14">
        <v>66906</v>
      </c>
      <c r="D1883" s="11" t="s">
        <v>5</v>
      </c>
    </row>
    <row r="1884" spans="1:4" x14ac:dyDescent="0.25">
      <c r="A1884" s="4" t="s">
        <v>6535</v>
      </c>
      <c r="B1884" s="3" t="s">
        <v>1887</v>
      </c>
      <c r="C1884" s="14">
        <v>568.08000000000004</v>
      </c>
      <c r="D1884" s="11" t="s">
        <v>5</v>
      </c>
    </row>
    <row r="1885" spans="1:4" x14ac:dyDescent="0.25">
      <c r="A1885" s="4" t="s">
        <v>6536</v>
      </c>
      <c r="B1885" s="3" t="s">
        <v>1888</v>
      </c>
      <c r="C1885" s="14">
        <v>455.55</v>
      </c>
      <c r="D1885" s="11" t="s">
        <v>5</v>
      </c>
    </row>
    <row r="1886" spans="1:4" x14ac:dyDescent="0.25">
      <c r="A1886" s="4" t="s">
        <v>6537</v>
      </c>
      <c r="B1886" s="3" t="s">
        <v>1889</v>
      </c>
      <c r="C1886" s="14">
        <v>457.71</v>
      </c>
      <c r="D1886" s="11" t="s">
        <v>5</v>
      </c>
    </row>
    <row r="1887" spans="1:4" x14ac:dyDescent="0.25">
      <c r="A1887" s="4" t="s">
        <v>6538</v>
      </c>
      <c r="B1887" s="3" t="s">
        <v>1890</v>
      </c>
      <c r="C1887" s="14">
        <v>493.52</v>
      </c>
      <c r="D1887" s="11" t="s">
        <v>5</v>
      </c>
    </row>
    <row r="1888" spans="1:4" x14ac:dyDescent="0.25">
      <c r="A1888" s="4" t="s">
        <v>6539</v>
      </c>
      <c r="B1888" s="3" t="s">
        <v>1891</v>
      </c>
      <c r="C1888" s="14">
        <v>0.48</v>
      </c>
      <c r="D1888" s="11" t="s">
        <v>107</v>
      </c>
    </row>
    <row r="1889" spans="1:4" x14ac:dyDescent="0.25">
      <c r="A1889" s="4" t="s">
        <v>6540</v>
      </c>
      <c r="B1889" s="3" t="s">
        <v>1892</v>
      </c>
      <c r="C1889" s="14">
        <v>0.53</v>
      </c>
      <c r="D1889" s="11" t="s">
        <v>107</v>
      </c>
    </row>
    <row r="1890" spans="1:4" x14ac:dyDescent="0.25">
      <c r="A1890" s="4" t="s">
        <v>6541</v>
      </c>
      <c r="B1890" s="3" t="s">
        <v>1893</v>
      </c>
      <c r="C1890" s="14">
        <v>2.4500000000000002</v>
      </c>
      <c r="D1890" s="11" t="s">
        <v>107</v>
      </c>
    </row>
    <row r="1891" spans="1:4" x14ac:dyDescent="0.25">
      <c r="A1891" s="4" t="s">
        <v>6542</v>
      </c>
      <c r="B1891" s="3" t="s">
        <v>1894</v>
      </c>
      <c r="C1891" s="14">
        <v>8.9</v>
      </c>
      <c r="D1891" s="11" t="s">
        <v>107</v>
      </c>
    </row>
    <row r="1892" spans="1:4" x14ac:dyDescent="0.25">
      <c r="A1892" s="4" t="s">
        <v>6543</v>
      </c>
      <c r="B1892" s="3" t="s">
        <v>1895</v>
      </c>
      <c r="C1892" s="14">
        <v>3310.25</v>
      </c>
      <c r="D1892" s="11" t="s">
        <v>5</v>
      </c>
    </row>
    <row r="1893" spans="1:4" x14ac:dyDescent="0.25">
      <c r="A1893" s="4" t="s">
        <v>6544</v>
      </c>
      <c r="B1893" s="3" t="s">
        <v>1896</v>
      </c>
      <c r="C1893" s="14">
        <v>662.09</v>
      </c>
      <c r="D1893" s="11" t="s">
        <v>5</v>
      </c>
    </row>
    <row r="1894" spans="1:4" x14ac:dyDescent="0.25">
      <c r="A1894" s="4" t="s">
        <v>6545</v>
      </c>
      <c r="B1894" s="3" t="s">
        <v>1897</v>
      </c>
      <c r="C1894" s="14">
        <v>662.09</v>
      </c>
      <c r="D1894" s="11" t="s">
        <v>5</v>
      </c>
    </row>
    <row r="1895" spans="1:4" x14ac:dyDescent="0.25">
      <c r="A1895" s="4" t="s">
        <v>6546</v>
      </c>
      <c r="B1895" s="3" t="s">
        <v>1898</v>
      </c>
      <c r="C1895" s="14">
        <v>16300.07</v>
      </c>
      <c r="D1895" s="11" t="s">
        <v>5</v>
      </c>
    </row>
    <row r="1896" spans="1:4" x14ac:dyDescent="0.25">
      <c r="A1896" s="4" t="s">
        <v>6547</v>
      </c>
      <c r="B1896" s="3" t="s">
        <v>1899</v>
      </c>
      <c r="C1896" s="14">
        <v>32600.13</v>
      </c>
      <c r="D1896" s="11" t="s">
        <v>5</v>
      </c>
    </row>
    <row r="1897" spans="1:4" x14ac:dyDescent="0.25">
      <c r="A1897" s="4" t="s">
        <v>6548</v>
      </c>
      <c r="B1897" s="3" t="s">
        <v>1900</v>
      </c>
      <c r="C1897" s="14">
        <v>3.57</v>
      </c>
      <c r="D1897" s="11" t="s">
        <v>107</v>
      </c>
    </row>
    <row r="1898" spans="1:4" x14ac:dyDescent="0.25">
      <c r="A1898" s="4" t="s">
        <v>6549</v>
      </c>
      <c r="B1898" s="3" t="s">
        <v>1901</v>
      </c>
      <c r="C1898" s="14">
        <v>3.57</v>
      </c>
      <c r="D1898" s="11" t="s">
        <v>107</v>
      </c>
    </row>
    <row r="1899" spans="1:4" x14ac:dyDescent="0.25">
      <c r="A1899" s="4" t="s">
        <v>6550</v>
      </c>
      <c r="B1899" s="3" t="s">
        <v>1902</v>
      </c>
      <c r="C1899" s="14">
        <v>6.3</v>
      </c>
      <c r="D1899" s="11" t="s">
        <v>107</v>
      </c>
    </row>
    <row r="1900" spans="1:4" x14ac:dyDescent="0.25">
      <c r="A1900" s="4" t="s">
        <v>6551</v>
      </c>
      <c r="B1900" s="3" t="s">
        <v>1903</v>
      </c>
      <c r="C1900" s="14">
        <v>4.05</v>
      </c>
      <c r="D1900" s="11" t="s">
        <v>107</v>
      </c>
    </row>
    <row r="1901" spans="1:4" x14ac:dyDescent="0.25">
      <c r="A1901" s="4" t="s">
        <v>6552</v>
      </c>
      <c r="B1901" s="3" t="s">
        <v>1904</v>
      </c>
      <c r="C1901" s="14">
        <v>3.62</v>
      </c>
      <c r="D1901" s="11" t="s">
        <v>107</v>
      </c>
    </row>
    <row r="1902" spans="1:4" x14ac:dyDescent="0.25">
      <c r="A1902" s="4" t="s">
        <v>6553</v>
      </c>
      <c r="B1902" s="3" t="s">
        <v>1905</v>
      </c>
      <c r="C1902" s="14">
        <v>5.4</v>
      </c>
      <c r="D1902" s="11" t="s">
        <v>107</v>
      </c>
    </row>
    <row r="1903" spans="1:4" x14ac:dyDescent="0.25">
      <c r="A1903" s="4" t="s">
        <v>6554</v>
      </c>
      <c r="B1903" s="3" t="s">
        <v>1906</v>
      </c>
      <c r="C1903" s="14">
        <v>6.3</v>
      </c>
      <c r="D1903" s="11" t="s">
        <v>107</v>
      </c>
    </row>
    <row r="1904" spans="1:4" x14ac:dyDescent="0.25">
      <c r="A1904" s="4" t="s">
        <v>6555</v>
      </c>
      <c r="B1904" s="3" t="s">
        <v>1907</v>
      </c>
      <c r="C1904" s="14">
        <v>13.47</v>
      </c>
      <c r="D1904" s="11" t="s">
        <v>107</v>
      </c>
    </row>
    <row r="1905" spans="1:4" x14ac:dyDescent="0.25">
      <c r="A1905" s="4" t="s">
        <v>6556</v>
      </c>
      <c r="B1905" s="3" t="s">
        <v>1908</v>
      </c>
      <c r="C1905" s="14">
        <v>12</v>
      </c>
      <c r="D1905" s="11" t="s">
        <v>107</v>
      </c>
    </row>
    <row r="1906" spans="1:4" x14ac:dyDescent="0.25">
      <c r="A1906" s="4" t="s">
        <v>6557</v>
      </c>
      <c r="B1906" s="3" t="s">
        <v>1909</v>
      </c>
      <c r="C1906" s="14">
        <v>21.63</v>
      </c>
      <c r="D1906" s="11" t="s">
        <v>107</v>
      </c>
    </row>
    <row r="1907" spans="1:4" x14ac:dyDescent="0.25">
      <c r="A1907" s="4" t="s">
        <v>6558</v>
      </c>
      <c r="B1907" s="3" t="s">
        <v>1910</v>
      </c>
      <c r="C1907" s="14">
        <v>13.55</v>
      </c>
      <c r="D1907" s="11" t="s">
        <v>107</v>
      </c>
    </row>
    <row r="1908" spans="1:4" x14ac:dyDescent="0.25">
      <c r="A1908" s="4" t="s">
        <v>6559</v>
      </c>
      <c r="B1908" s="3" t="s">
        <v>1911</v>
      </c>
      <c r="C1908" s="14">
        <v>15.09</v>
      </c>
      <c r="D1908" s="11" t="s">
        <v>107</v>
      </c>
    </row>
    <row r="1909" spans="1:4" x14ac:dyDescent="0.25">
      <c r="A1909" s="4" t="s">
        <v>6560</v>
      </c>
      <c r="B1909" s="3" t="s">
        <v>1912</v>
      </c>
      <c r="C1909" s="14">
        <v>18</v>
      </c>
      <c r="D1909" s="11" t="s">
        <v>107</v>
      </c>
    </row>
    <row r="1910" spans="1:4" x14ac:dyDescent="0.25">
      <c r="A1910" s="4" t="s">
        <v>6561</v>
      </c>
      <c r="B1910" s="3" t="s">
        <v>1913</v>
      </c>
      <c r="C1910" s="14">
        <v>39.24</v>
      </c>
      <c r="D1910" s="11" t="s">
        <v>107</v>
      </c>
    </row>
    <row r="1911" spans="1:4" x14ac:dyDescent="0.25">
      <c r="A1911" s="4" t="s">
        <v>6562</v>
      </c>
      <c r="B1911" s="3" t="s">
        <v>1914</v>
      </c>
      <c r="C1911" s="14">
        <v>20.63</v>
      </c>
      <c r="D1911" s="11" t="s">
        <v>107</v>
      </c>
    </row>
    <row r="1912" spans="1:4" x14ac:dyDescent="0.25">
      <c r="A1912" s="4" t="s">
        <v>6563</v>
      </c>
      <c r="B1912" s="3" t="s">
        <v>1915</v>
      </c>
      <c r="C1912" s="14">
        <v>19.399999999999999</v>
      </c>
      <c r="D1912" s="11" t="s">
        <v>107</v>
      </c>
    </row>
    <row r="1913" spans="1:4" x14ac:dyDescent="0.25">
      <c r="A1913" s="4" t="s">
        <v>6564</v>
      </c>
      <c r="B1913" s="3" t="s">
        <v>1916</v>
      </c>
      <c r="C1913" s="14">
        <v>20.399999999999999</v>
      </c>
      <c r="D1913" s="11" t="s">
        <v>107</v>
      </c>
    </row>
    <row r="1914" spans="1:4" x14ac:dyDescent="0.25">
      <c r="A1914" s="4" t="s">
        <v>6565</v>
      </c>
      <c r="B1914" s="3" t="s">
        <v>1917</v>
      </c>
      <c r="C1914" s="14">
        <v>29.87</v>
      </c>
      <c r="D1914" s="11" t="s">
        <v>107</v>
      </c>
    </row>
    <row r="1915" spans="1:4" x14ac:dyDescent="0.25">
      <c r="A1915" s="4" t="s">
        <v>6566</v>
      </c>
      <c r="B1915" s="3" t="s">
        <v>1918</v>
      </c>
      <c r="C1915" s="14">
        <v>23.4</v>
      </c>
      <c r="D1915" s="11" t="s">
        <v>107</v>
      </c>
    </row>
    <row r="1916" spans="1:4" x14ac:dyDescent="0.25">
      <c r="A1916" s="4" t="s">
        <v>6567</v>
      </c>
      <c r="B1916" s="3" t="s">
        <v>1919</v>
      </c>
      <c r="C1916" s="14">
        <v>21.78</v>
      </c>
      <c r="D1916" s="11" t="s">
        <v>107</v>
      </c>
    </row>
    <row r="1917" spans="1:4" x14ac:dyDescent="0.25">
      <c r="A1917" s="4" t="s">
        <v>6568</v>
      </c>
      <c r="B1917" s="3" t="s">
        <v>1920</v>
      </c>
      <c r="C1917" s="14">
        <v>22.41</v>
      </c>
      <c r="D1917" s="11" t="s">
        <v>107</v>
      </c>
    </row>
    <row r="1918" spans="1:4" x14ac:dyDescent="0.25">
      <c r="A1918" s="4" t="s">
        <v>6569</v>
      </c>
      <c r="B1918" s="3" t="s">
        <v>1921</v>
      </c>
      <c r="C1918" s="14">
        <v>26.4</v>
      </c>
      <c r="D1918" s="11" t="s">
        <v>107</v>
      </c>
    </row>
    <row r="1919" spans="1:4" x14ac:dyDescent="0.25">
      <c r="A1919" s="4" t="s">
        <v>6570</v>
      </c>
      <c r="B1919" s="3" t="s">
        <v>1922</v>
      </c>
      <c r="C1919" s="14">
        <v>42.63</v>
      </c>
      <c r="D1919" s="11" t="s">
        <v>107</v>
      </c>
    </row>
    <row r="1920" spans="1:4" x14ac:dyDescent="0.25">
      <c r="A1920" s="4" t="s">
        <v>6571</v>
      </c>
      <c r="B1920" s="3" t="s">
        <v>1923</v>
      </c>
      <c r="C1920" s="14">
        <v>27.8</v>
      </c>
      <c r="D1920" s="11" t="s">
        <v>107</v>
      </c>
    </row>
    <row r="1921" spans="1:4" x14ac:dyDescent="0.25">
      <c r="A1921" s="4" t="s">
        <v>6572</v>
      </c>
      <c r="B1921" s="3" t="s">
        <v>1924</v>
      </c>
      <c r="C1921" s="14">
        <v>2710.4</v>
      </c>
      <c r="D1921" s="11" t="s">
        <v>5</v>
      </c>
    </row>
    <row r="1922" spans="1:4" x14ac:dyDescent="0.25">
      <c r="A1922" s="4" t="s">
        <v>6573</v>
      </c>
      <c r="B1922" s="3" t="s">
        <v>1925</v>
      </c>
      <c r="C1922" s="14">
        <v>2891.33</v>
      </c>
      <c r="D1922" s="11" t="s">
        <v>5</v>
      </c>
    </row>
    <row r="1923" spans="1:4" x14ac:dyDescent="0.25">
      <c r="A1923" s="4" t="s">
        <v>6574</v>
      </c>
      <c r="B1923" s="3" t="s">
        <v>1926</v>
      </c>
      <c r="C1923" s="14">
        <v>3044.12</v>
      </c>
      <c r="D1923" s="11" t="s">
        <v>5</v>
      </c>
    </row>
    <row r="1924" spans="1:4" x14ac:dyDescent="0.25">
      <c r="A1924" s="4" t="s">
        <v>6575</v>
      </c>
      <c r="B1924" s="3" t="s">
        <v>1927</v>
      </c>
      <c r="C1924" s="14">
        <v>3230.34</v>
      </c>
      <c r="D1924" s="11" t="s">
        <v>5</v>
      </c>
    </row>
    <row r="1925" spans="1:4" x14ac:dyDescent="0.25">
      <c r="A1925" s="4" t="s">
        <v>6576</v>
      </c>
      <c r="B1925" s="3" t="s">
        <v>1928</v>
      </c>
      <c r="C1925" s="14">
        <v>3854.85</v>
      </c>
      <c r="D1925" s="11" t="s">
        <v>5</v>
      </c>
    </row>
    <row r="1926" spans="1:4" x14ac:dyDescent="0.25">
      <c r="A1926" s="4" t="s">
        <v>6577</v>
      </c>
      <c r="B1926" s="3" t="s">
        <v>1929</v>
      </c>
      <c r="C1926" s="14">
        <v>4110.71</v>
      </c>
      <c r="D1926" s="11" t="s">
        <v>5</v>
      </c>
    </row>
    <row r="1927" spans="1:4" x14ac:dyDescent="0.25">
      <c r="A1927" s="4" t="s">
        <v>6578</v>
      </c>
      <c r="B1927" s="3" t="s">
        <v>1930</v>
      </c>
      <c r="C1927" s="14">
        <v>4439.25</v>
      </c>
      <c r="D1927" s="11" t="s">
        <v>5</v>
      </c>
    </row>
    <row r="1928" spans="1:4" x14ac:dyDescent="0.25">
      <c r="A1928" s="4" t="s">
        <v>6579</v>
      </c>
      <c r="B1928" s="3" t="s">
        <v>1931</v>
      </c>
      <c r="C1928" s="14">
        <v>5165.34</v>
      </c>
      <c r="D1928" s="11" t="s">
        <v>5</v>
      </c>
    </row>
    <row r="1929" spans="1:4" x14ac:dyDescent="0.25">
      <c r="A1929" s="4" t="s">
        <v>6580</v>
      </c>
      <c r="B1929" s="3" t="s">
        <v>1932</v>
      </c>
      <c r="C1929" s="14">
        <v>4013.49</v>
      </c>
      <c r="D1929" s="11" t="s">
        <v>5</v>
      </c>
    </row>
    <row r="1930" spans="1:4" x14ac:dyDescent="0.25">
      <c r="A1930" s="4" t="s">
        <v>6581</v>
      </c>
      <c r="B1930" s="3" t="s">
        <v>1933</v>
      </c>
      <c r="C1930" s="14">
        <v>4013.49</v>
      </c>
      <c r="D1930" s="11" t="s">
        <v>5</v>
      </c>
    </row>
    <row r="1931" spans="1:4" x14ac:dyDescent="0.25">
      <c r="A1931" s="4" t="s">
        <v>6582</v>
      </c>
      <c r="B1931" s="3" t="s">
        <v>1934</v>
      </c>
      <c r="C1931" s="14">
        <v>11278.5</v>
      </c>
      <c r="D1931" s="11" t="s">
        <v>5</v>
      </c>
    </row>
    <row r="1932" spans="1:4" x14ac:dyDescent="0.25">
      <c r="A1932" s="4" t="s">
        <v>6583</v>
      </c>
      <c r="B1932" s="3" t="s">
        <v>1935</v>
      </c>
      <c r="C1932" s="14">
        <v>12931.65</v>
      </c>
      <c r="D1932" s="11" t="s">
        <v>5</v>
      </c>
    </row>
    <row r="1933" spans="1:4" x14ac:dyDescent="0.25">
      <c r="A1933" s="4" t="s">
        <v>6584</v>
      </c>
      <c r="B1933" s="3" t="s">
        <v>1936</v>
      </c>
      <c r="C1933" s="14">
        <v>14.42</v>
      </c>
      <c r="D1933" s="11" t="s">
        <v>107</v>
      </c>
    </row>
    <row r="1934" spans="1:4" x14ac:dyDescent="0.25">
      <c r="A1934" s="4" t="s">
        <v>6585</v>
      </c>
      <c r="B1934" s="3" t="s">
        <v>1937</v>
      </c>
      <c r="C1934" s="14">
        <v>16.14</v>
      </c>
      <c r="D1934" s="11" t="s">
        <v>107</v>
      </c>
    </row>
    <row r="1935" spans="1:4" x14ac:dyDescent="0.25">
      <c r="A1935" s="4" t="s">
        <v>6586</v>
      </c>
      <c r="B1935" s="3" t="s">
        <v>1938</v>
      </c>
      <c r="C1935" s="14">
        <v>30.23</v>
      </c>
      <c r="D1935" s="11" t="s">
        <v>107</v>
      </c>
    </row>
    <row r="1936" spans="1:4" x14ac:dyDescent="0.25">
      <c r="A1936" s="4" t="s">
        <v>6587</v>
      </c>
      <c r="B1936" s="3" t="s">
        <v>1939</v>
      </c>
      <c r="C1936" s="14">
        <v>21.6</v>
      </c>
      <c r="D1936" s="11" t="s">
        <v>107</v>
      </c>
    </row>
    <row r="1937" spans="1:4" x14ac:dyDescent="0.25">
      <c r="A1937" s="4" t="s">
        <v>6588</v>
      </c>
      <c r="B1937" s="3" t="s">
        <v>1940</v>
      </c>
      <c r="C1937" s="14">
        <v>10111.23</v>
      </c>
      <c r="D1937" s="11" t="s">
        <v>5</v>
      </c>
    </row>
    <row r="1938" spans="1:4" x14ac:dyDescent="0.25">
      <c r="A1938" s="4" t="s">
        <v>6589</v>
      </c>
      <c r="B1938" s="3" t="s">
        <v>1941</v>
      </c>
      <c r="C1938" s="14">
        <v>20.88</v>
      </c>
      <c r="D1938" s="11" t="s">
        <v>107</v>
      </c>
    </row>
    <row r="1939" spans="1:4" x14ac:dyDescent="0.25">
      <c r="A1939" s="4" t="s">
        <v>6590</v>
      </c>
      <c r="B1939" s="3" t="s">
        <v>1942</v>
      </c>
      <c r="C1939" s="14">
        <v>24.32</v>
      </c>
      <c r="D1939" s="11" t="s">
        <v>107</v>
      </c>
    </row>
    <row r="1940" spans="1:4" x14ac:dyDescent="0.25">
      <c r="A1940" s="4" t="s">
        <v>6591</v>
      </c>
      <c r="B1940" s="3" t="s">
        <v>1943</v>
      </c>
      <c r="C1940" s="14">
        <v>84.24</v>
      </c>
      <c r="D1940" s="11" t="s">
        <v>107</v>
      </c>
    </row>
    <row r="1941" spans="1:4" x14ac:dyDescent="0.25">
      <c r="A1941" s="4" t="s">
        <v>6592</v>
      </c>
      <c r="B1941" s="3" t="s">
        <v>1944</v>
      </c>
      <c r="C1941" s="14">
        <v>94.73</v>
      </c>
      <c r="D1941" s="11" t="s">
        <v>107</v>
      </c>
    </row>
    <row r="1942" spans="1:4" x14ac:dyDescent="0.25">
      <c r="A1942" s="4" t="s">
        <v>6593</v>
      </c>
      <c r="B1942" s="3" t="s">
        <v>1945</v>
      </c>
      <c r="C1942" s="14">
        <v>41.33</v>
      </c>
      <c r="D1942" s="11" t="s">
        <v>107</v>
      </c>
    </row>
    <row r="1943" spans="1:4" x14ac:dyDescent="0.25">
      <c r="A1943" s="4" t="s">
        <v>6594</v>
      </c>
      <c r="B1943" s="3" t="s">
        <v>1946</v>
      </c>
      <c r="C1943" s="14">
        <v>70.790000000000006</v>
      </c>
      <c r="D1943" s="11" t="s">
        <v>107</v>
      </c>
    </row>
    <row r="1944" spans="1:4" x14ac:dyDescent="0.25">
      <c r="A1944" s="4" t="s">
        <v>6595</v>
      </c>
      <c r="B1944" s="3" t="s">
        <v>1947</v>
      </c>
      <c r="C1944" s="14">
        <v>91.08</v>
      </c>
      <c r="D1944" s="11" t="s">
        <v>107</v>
      </c>
    </row>
    <row r="1945" spans="1:4" x14ac:dyDescent="0.25">
      <c r="A1945" s="4" t="s">
        <v>6596</v>
      </c>
      <c r="B1945" s="3" t="s">
        <v>1948</v>
      </c>
      <c r="C1945" s="14">
        <v>23480.66</v>
      </c>
      <c r="D1945" s="11" t="s">
        <v>5</v>
      </c>
    </row>
    <row r="1946" spans="1:4" x14ac:dyDescent="0.25">
      <c r="A1946" s="4" t="s">
        <v>6597</v>
      </c>
      <c r="B1946" s="3" t="s">
        <v>1949</v>
      </c>
      <c r="C1946" s="14">
        <v>23480.66</v>
      </c>
      <c r="D1946" s="11" t="s">
        <v>5</v>
      </c>
    </row>
    <row r="1947" spans="1:4" x14ac:dyDescent="0.25">
      <c r="A1947" s="4" t="s">
        <v>6598</v>
      </c>
      <c r="B1947" s="3" t="s">
        <v>1950</v>
      </c>
      <c r="C1947" s="14">
        <v>13547.48</v>
      </c>
      <c r="D1947" s="11" t="s">
        <v>5</v>
      </c>
    </row>
    <row r="1948" spans="1:4" x14ac:dyDescent="0.25">
      <c r="A1948" s="4" t="s">
        <v>6599</v>
      </c>
      <c r="B1948" s="3" t="s">
        <v>1951</v>
      </c>
      <c r="C1948" s="14">
        <v>13547.48</v>
      </c>
      <c r="D1948" s="11" t="s">
        <v>5</v>
      </c>
    </row>
    <row r="1949" spans="1:4" x14ac:dyDescent="0.25">
      <c r="A1949" s="4" t="s">
        <v>6600</v>
      </c>
      <c r="B1949" s="3" t="s">
        <v>1952</v>
      </c>
      <c r="C1949" s="14">
        <v>28502.43</v>
      </c>
      <c r="D1949" s="11" t="s">
        <v>5</v>
      </c>
    </row>
    <row r="1950" spans="1:4" x14ac:dyDescent="0.25">
      <c r="A1950" s="4" t="s">
        <v>6601</v>
      </c>
      <c r="B1950" s="3" t="s">
        <v>1953</v>
      </c>
      <c r="C1950" s="14">
        <v>80722.740000000005</v>
      </c>
      <c r="D1950" s="11" t="s">
        <v>5</v>
      </c>
    </row>
    <row r="1951" spans="1:4" x14ac:dyDescent="0.25">
      <c r="A1951" s="4" t="s">
        <v>6602</v>
      </c>
      <c r="B1951" s="3" t="s">
        <v>1954</v>
      </c>
      <c r="C1951" s="14">
        <v>47298.48</v>
      </c>
      <c r="D1951" s="11" t="s">
        <v>5</v>
      </c>
    </row>
    <row r="1952" spans="1:4" x14ac:dyDescent="0.25">
      <c r="A1952" s="4" t="s">
        <v>6603</v>
      </c>
      <c r="B1952" s="3" t="s">
        <v>1955</v>
      </c>
      <c r="C1952" s="14">
        <v>9550.67</v>
      </c>
      <c r="D1952" s="11" t="s">
        <v>5</v>
      </c>
    </row>
    <row r="1953" spans="1:4" x14ac:dyDescent="0.25">
      <c r="A1953" s="4" t="s">
        <v>6604</v>
      </c>
      <c r="B1953" s="3" t="s">
        <v>1956</v>
      </c>
      <c r="C1953" s="14">
        <v>134991.10999999999</v>
      </c>
      <c r="D1953" s="11" t="s">
        <v>5</v>
      </c>
    </row>
    <row r="1954" spans="1:4" x14ac:dyDescent="0.25">
      <c r="A1954" s="4" t="s">
        <v>6605</v>
      </c>
      <c r="B1954" s="3" t="s">
        <v>1957</v>
      </c>
      <c r="C1954" s="14">
        <v>12198.86</v>
      </c>
      <c r="D1954" s="11" t="s">
        <v>5</v>
      </c>
    </row>
    <row r="1955" spans="1:4" x14ac:dyDescent="0.25">
      <c r="A1955" s="4" t="s">
        <v>6606</v>
      </c>
      <c r="B1955" s="3" t="s">
        <v>1958</v>
      </c>
      <c r="C1955" s="14">
        <v>31896.03</v>
      </c>
      <c r="D1955" s="11" t="s">
        <v>5</v>
      </c>
    </row>
    <row r="1956" spans="1:4" x14ac:dyDescent="0.25">
      <c r="A1956" s="4" t="s">
        <v>6607</v>
      </c>
      <c r="B1956" s="3" t="s">
        <v>1959</v>
      </c>
      <c r="C1956" s="14">
        <v>11298.96</v>
      </c>
      <c r="D1956" s="11" t="s">
        <v>5</v>
      </c>
    </row>
    <row r="1957" spans="1:4" x14ac:dyDescent="0.25">
      <c r="A1957" s="4" t="s">
        <v>6608</v>
      </c>
      <c r="B1957" s="3" t="s">
        <v>1960</v>
      </c>
      <c r="C1957" s="14">
        <v>13486.17</v>
      </c>
      <c r="D1957" s="11" t="s">
        <v>5</v>
      </c>
    </row>
    <row r="1958" spans="1:4" x14ac:dyDescent="0.25">
      <c r="A1958" s="4" t="s">
        <v>6609</v>
      </c>
      <c r="B1958" s="3" t="s">
        <v>1961</v>
      </c>
      <c r="C1958" s="14">
        <v>31896.03</v>
      </c>
      <c r="D1958" s="11" t="s">
        <v>5</v>
      </c>
    </row>
    <row r="1959" spans="1:4" x14ac:dyDescent="0.25">
      <c r="A1959" s="4" t="s">
        <v>6610</v>
      </c>
      <c r="B1959" s="3" t="s">
        <v>1962</v>
      </c>
      <c r="C1959" s="14">
        <v>10390.49</v>
      </c>
      <c r="D1959" s="11" t="s">
        <v>5</v>
      </c>
    </row>
    <row r="1960" spans="1:4" x14ac:dyDescent="0.25">
      <c r="A1960" s="4" t="s">
        <v>6611</v>
      </c>
      <c r="B1960" s="3" t="s">
        <v>1963</v>
      </c>
      <c r="C1960" s="14">
        <v>12995.78</v>
      </c>
      <c r="D1960" s="11" t="s">
        <v>5</v>
      </c>
    </row>
    <row r="1961" spans="1:4" x14ac:dyDescent="0.25">
      <c r="A1961" s="4" t="s">
        <v>6612</v>
      </c>
      <c r="B1961" s="3" t="s">
        <v>1964</v>
      </c>
      <c r="C1961" s="14">
        <v>26423.09</v>
      </c>
      <c r="D1961" s="11" t="s">
        <v>5</v>
      </c>
    </row>
    <row r="1962" spans="1:4" x14ac:dyDescent="0.25">
      <c r="A1962" s="4" t="s">
        <v>6613</v>
      </c>
      <c r="B1962" s="3" t="s">
        <v>1965</v>
      </c>
      <c r="C1962" s="14">
        <v>82297.56</v>
      </c>
      <c r="D1962" s="11" t="s">
        <v>5</v>
      </c>
    </row>
    <row r="1963" spans="1:4" x14ac:dyDescent="0.25">
      <c r="A1963" s="4" t="s">
        <v>6614</v>
      </c>
      <c r="B1963" s="3" t="s">
        <v>1966</v>
      </c>
      <c r="C1963" s="14">
        <v>97109.759999999995</v>
      </c>
      <c r="D1963" s="11" t="s">
        <v>5</v>
      </c>
    </row>
    <row r="1964" spans="1:4" x14ac:dyDescent="0.25">
      <c r="A1964" s="4" t="s">
        <v>6615</v>
      </c>
      <c r="B1964" s="3" t="s">
        <v>1967</v>
      </c>
      <c r="C1964" s="14">
        <v>51571.14</v>
      </c>
      <c r="D1964" s="11" t="s">
        <v>5</v>
      </c>
    </row>
    <row r="1965" spans="1:4" x14ac:dyDescent="0.25">
      <c r="A1965" s="4" t="s">
        <v>6616</v>
      </c>
      <c r="B1965" s="3" t="s">
        <v>1968</v>
      </c>
      <c r="C1965" s="14">
        <v>80134.350000000006</v>
      </c>
      <c r="D1965" s="11" t="s">
        <v>5</v>
      </c>
    </row>
    <row r="1966" spans="1:4" x14ac:dyDescent="0.25">
      <c r="A1966" s="4" t="s">
        <v>6617</v>
      </c>
      <c r="B1966" s="3" t="s">
        <v>1969</v>
      </c>
      <c r="C1966" s="14">
        <v>11142.03</v>
      </c>
      <c r="D1966" s="11" t="s">
        <v>5</v>
      </c>
    </row>
    <row r="1967" spans="1:4" x14ac:dyDescent="0.25">
      <c r="A1967" s="4" t="s">
        <v>6618</v>
      </c>
      <c r="B1967" s="3" t="s">
        <v>1970</v>
      </c>
      <c r="C1967" s="14">
        <v>106464.78</v>
      </c>
      <c r="D1967" s="11" t="s">
        <v>5</v>
      </c>
    </row>
    <row r="1968" spans="1:4" x14ac:dyDescent="0.25">
      <c r="A1968" s="4" t="s">
        <v>6619</v>
      </c>
      <c r="B1968" s="3" t="s">
        <v>1971</v>
      </c>
      <c r="C1968" s="14">
        <v>117215.75</v>
      </c>
      <c r="D1968" s="11" t="s">
        <v>5</v>
      </c>
    </row>
    <row r="1969" spans="1:4" x14ac:dyDescent="0.25">
      <c r="A1969" s="4" t="s">
        <v>6620</v>
      </c>
      <c r="B1969" s="3" t="s">
        <v>1972</v>
      </c>
      <c r="C1969" s="14">
        <v>226696.16</v>
      </c>
      <c r="D1969" s="11" t="s">
        <v>5</v>
      </c>
    </row>
    <row r="1970" spans="1:4" x14ac:dyDescent="0.25">
      <c r="A1970" s="4" t="s">
        <v>6621</v>
      </c>
      <c r="B1970" s="3" t="s">
        <v>1973</v>
      </c>
      <c r="C1970" s="14">
        <v>354665.15</v>
      </c>
      <c r="D1970" s="11" t="s">
        <v>5</v>
      </c>
    </row>
    <row r="1971" spans="1:4" x14ac:dyDescent="0.25">
      <c r="A1971" s="4" t="s">
        <v>6622</v>
      </c>
      <c r="B1971" s="3" t="s">
        <v>1974</v>
      </c>
      <c r="C1971" s="14">
        <v>11671.68</v>
      </c>
      <c r="D1971" s="11" t="s">
        <v>5</v>
      </c>
    </row>
    <row r="1972" spans="1:4" x14ac:dyDescent="0.25">
      <c r="A1972" s="4" t="s">
        <v>6623</v>
      </c>
      <c r="B1972" s="3" t="s">
        <v>1975</v>
      </c>
      <c r="C1972" s="14">
        <v>630630.12</v>
      </c>
      <c r="D1972" s="11" t="s">
        <v>5</v>
      </c>
    </row>
    <row r="1973" spans="1:4" x14ac:dyDescent="0.25">
      <c r="A1973" s="4" t="s">
        <v>6624</v>
      </c>
      <c r="B1973" s="3" t="s">
        <v>1976</v>
      </c>
      <c r="C1973" s="14">
        <v>140150.09</v>
      </c>
      <c r="D1973" s="11" t="s">
        <v>5</v>
      </c>
    </row>
    <row r="1974" spans="1:4" x14ac:dyDescent="0.25">
      <c r="A1974" s="4" t="s">
        <v>6625</v>
      </c>
      <c r="B1974" s="3" t="s">
        <v>1977</v>
      </c>
      <c r="C1974" s="14">
        <v>97340.37</v>
      </c>
      <c r="D1974" s="11" t="s">
        <v>5</v>
      </c>
    </row>
    <row r="1975" spans="1:4" x14ac:dyDescent="0.25">
      <c r="A1975" s="4" t="s">
        <v>6626</v>
      </c>
      <c r="B1975" s="3" t="s">
        <v>1978</v>
      </c>
      <c r="C1975" s="14">
        <v>57665.45</v>
      </c>
      <c r="D1975" s="11" t="s">
        <v>5</v>
      </c>
    </row>
    <row r="1976" spans="1:4" x14ac:dyDescent="0.25">
      <c r="A1976" s="4" t="s">
        <v>6627</v>
      </c>
      <c r="B1976" s="3" t="s">
        <v>1979</v>
      </c>
      <c r="C1976" s="14">
        <v>216354.65</v>
      </c>
      <c r="D1976" s="11" t="s">
        <v>5</v>
      </c>
    </row>
    <row r="1977" spans="1:4" x14ac:dyDescent="0.25">
      <c r="A1977" s="4" t="s">
        <v>6628</v>
      </c>
      <c r="B1977" s="3" t="s">
        <v>1980</v>
      </c>
      <c r="C1977" s="14">
        <v>396810.42</v>
      </c>
      <c r="D1977" s="11" t="s">
        <v>5</v>
      </c>
    </row>
    <row r="1978" spans="1:4" x14ac:dyDescent="0.25">
      <c r="A1978" s="4" t="s">
        <v>6629</v>
      </c>
      <c r="B1978" s="3" t="s">
        <v>1981</v>
      </c>
      <c r="C1978" s="14">
        <v>562575.78</v>
      </c>
      <c r="D1978" s="11" t="s">
        <v>5</v>
      </c>
    </row>
    <row r="1979" spans="1:4" x14ac:dyDescent="0.25">
      <c r="A1979" s="4" t="s">
        <v>6630</v>
      </c>
      <c r="B1979" s="3" t="s">
        <v>1982</v>
      </c>
      <c r="C1979" s="14">
        <v>32179.68</v>
      </c>
      <c r="D1979" s="11" t="s">
        <v>5</v>
      </c>
    </row>
    <row r="1980" spans="1:4" x14ac:dyDescent="0.25">
      <c r="A1980" s="4" t="s">
        <v>6631</v>
      </c>
      <c r="B1980" s="3" t="s">
        <v>1983</v>
      </c>
      <c r="C1980" s="14">
        <v>1141145.58</v>
      </c>
      <c r="D1980" s="11" t="s">
        <v>5</v>
      </c>
    </row>
    <row r="1981" spans="1:4" x14ac:dyDescent="0.25">
      <c r="A1981" s="4" t="s">
        <v>6632</v>
      </c>
      <c r="B1981" s="3" t="s">
        <v>1984</v>
      </c>
      <c r="C1981" s="14">
        <v>46723.47</v>
      </c>
      <c r="D1981" s="11" t="s">
        <v>5</v>
      </c>
    </row>
    <row r="1982" spans="1:4" x14ac:dyDescent="0.25">
      <c r="A1982" s="4" t="s">
        <v>6633</v>
      </c>
      <c r="B1982" s="3" t="s">
        <v>1985</v>
      </c>
      <c r="C1982" s="14">
        <v>118718.81</v>
      </c>
      <c r="D1982" s="11" t="s">
        <v>5</v>
      </c>
    </row>
    <row r="1983" spans="1:4" x14ac:dyDescent="0.25">
      <c r="A1983" s="4" t="s">
        <v>6634</v>
      </c>
      <c r="B1983" s="3" t="s">
        <v>1986</v>
      </c>
      <c r="C1983" s="14">
        <v>86362.41</v>
      </c>
      <c r="D1983" s="11" t="s">
        <v>5</v>
      </c>
    </row>
    <row r="1984" spans="1:4" x14ac:dyDescent="0.25">
      <c r="A1984" s="4" t="s">
        <v>6635</v>
      </c>
      <c r="B1984" s="3" t="s">
        <v>1987</v>
      </c>
      <c r="C1984" s="14">
        <v>180633.84</v>
      </c>
      <c r="D1984" s="11" t="s">
        <v>5</v>
      </c>
    </row>
    <row r="1985" spans="1:4" x14ac:dyDescent="0.25">
      <c r="A1985" s="4" t="s">
        <v>6636</v>
      </c>
      <c r="B1985" s="3" t="s">
        <v>1988</v>
      </c>
      <c r="C1985" s="14">
        <v>431561.31</v>
      </c>
      <c r="D1985" s="11" t="s">
        <v>5</v>
      </c>
    </row>
    <row r="1986" spans="1:4" x14ac:dyDescent="0.25">
      <c r="A1986" s="4" t="s">
        <v>6637</v>
      </c>
      <c r="B1986" s="3" t="s">
        <v>1989</v>
      </c>
      <c r="C1986" s="14">
        <v>627905.36</v>
      </c>
      <c r="D1986" s="11" t="s">
        <v>5</v>
      </c>
    </row>
    <row r="1987" spans="1:4" x14ac:dyDescent="0.25">
      <c r="A1987" s="4" t="s">
        <v>6638</v>
      </c>
      <c r="B1987" s="3" t="s">
        <v>1990</v>
      </c>
      <c r="C1987" s="14">
        <v>23029.68</v>
      </c>
      <c r="D1987" s="11" t="s">
        <v>5</v>
      </c>
    </row>
    <row r="1988" spans="1:4" x14ac:dyDescent="0.25">
      <c r="A1988" s="4" t="s">
        <v>6639</v>
      </c>
      <c r="B1988" s="3" t="s">
        <v>1991</v>
      </c>
      <c r="C1988" s="14">
        <v>1282433.1299999999</v>
      </c>
      <c r="D1988" s="11" t="s">
        <v>5</v>
      </c>
    </row>
    <row r="1989" spans="1:4" x14ac:dyDescent="0.25">
      <c r="A1989" s="4" t="s">
        <v>6640</v>
      </c>
      <c r="B1989" s="3" t="s">
        <v>1992</v>
      </c>
      <c r="C1989" s="14">
        <v>5.76</v>
      </c>
      <c r="D1989" s="11" t="s">
        <v>107</v>
      </c>
    </row>
    <row r="1990" spans="1:4" x14ac:dyDescent="0.25">
      <c r="A1990" s="4" t="s">
        <v>6641</v>
      </c>
      <c r="B1990" s="3" t="s">
        <v>1993</v>
      </c>
      <c r="C1990" s="14">
        <v>2145.5300000000002</v>
      </c>
      <c r="D1990" s="11" t="s">
        <v>5</v>
      </c>
    </row>
    <row r="1991" spans="1:4" x14ac:dyDescent="0.25">
      <c r="A1991" s="4" t="s">
        <v>6642</v>
      </c>
      <c r="B1991" s="3" t="s">
        <v>1994</v>
      </c>
      <c r="C1991" s="14">
        <v>1433.04</v>
      </c>
      <c r="D1991" s="11" t="s">
        <v>5</v>
      </c>
    </row>
    <row r="1992" spans="1:4" x14ac:dyDescent="0.25">
      <c r="A1992" s="4" t="s">
        <v>6643</v>
      </c>
      <c r="B1992" s="3" t="s">
        <v>1995</v>
      </c>
      <c r="C1992" s="14">
        <v>1433.04</v>
      </c>
      <c r="D1992" s="11" t="s">
        <v>5</v>
      </c>
    </row>
    <row r="1993" spans="1:4" x14ac:dyDescent="0.25">
      <c r="A1993" s="4" t="s">
        <v>6644</v>
      </c>
      <c r="B1993" s="3" t="s">
        <v>1996</v>
      </c>
      <c r="C1993" s="14">
        <v>15.03</v>
      </c>
      <c r="D1993" s="11" t="s">
        <v>107</v>
      </c>
    </row>
    <row r="1994" spans="1:4" x14ac:dyDescent="0.25">
      <c r="A1994" s="4" t="s">
        <v>6645</v>
      </c>
      <c r="B1994" s="3" t="s">
        <v>1997</v>
      </c>
      <c r="C1994" s="14">
        <v>635.39</v>
      </c>
      <c r="D1994" s="11" t="s">
        <v>5</v>
      </c>
    </row>
    <row r="1995" spans="1:4" x14ac:dyDescent="0.25">
      <c r="A1995" s="4" t="s">
        <v>6646</v>
      </c>
      <c r="B1995" s="3" t="s">
        <v>1998</v>
      </c>
      <c r="C1995" s="14">
        <v>499.02</v>
      </c>
      <c r="D1995" s="11" t="s">
        <v>5</v>
      </c>
    </row>
    <row r="1996" spans="1:4" x14ac:dyDescent="0.25">
      <c r="A1996" s="4" t="s">
        <v>6647</v>
      </c>
      <c r="B1996" s="3" t="s">
        <v>1999</v>
      </c>
      <c r="C1996" s="14">
        <v>411.56</v>
      </c>
      <c r="D1996" s="11" t="s">
        <v>5</v>
      </c>
    </row>
    <row r="1997" spans="1:4" x14ac:dyDescent="0.25">
      <c r="A1997" s="4" t="s">
        <v>6648</v>
      </c>
      <c r="B1997" s="3" t="s">
        <v>2000</v>
      </c>
      <c r="C1997" s="14">
        <v>430.56</v>
      </c>
      <c r="D1997" s="11" t="s">
        <v>5</v>
      </c>
    </row>
    <row r="1998" spans="1:4" x14ac:dyDescent="0.25">
      <c r="A1998" s="4" t="s">
        <v>6649</v>
      </c>
      <c r="B1998" s="3" t="s">
        <v>2001</v>
      </c>
      <c r="C1998" s="14">
        <v>2071.35</v>
      </c>
      <c r="D1998" s="11" t="s">
        <v>5</v>
      </c>
    </row>
    <row r="1999" spans="1:4" x14ac:dyDescent="0.25">
      <c r="A1999" s="4" t="s">
        <v>6650</v>
      </c>
      <c r="B1999" s="3" t="s">
        <v>2002</v>
      </c>
      <c r="C1999" s="14">
        <v>6.48</v>
      </c>
      <c r="D1999" s="11" t="s">
        <v>107</v>
      </c>
    </row>
    <row r="2000" spans="1:4" x14ac:dyDescent="0.25">
      <c r="A2000" s="4" t="s">
        <v>6651</v>
      </c>
      <c r="B2000" s="3" t="s">
        <v>2003</v>
      </c>
      <c r="C2000" s="14">
        <v>2.67</v>
      </c>
      <c r="D2000" s="11" t="s">
        <v>107</v>
      </c>
    </row>
    <row r="2001" spans="1:4" x14ac:dyDescent="0.25">
      <c r="A2001" s="4" t="s">
        <v>6652</v>
      </c>
      <c r="B2001" s="3" t="s">
        <v>2004</v>
      </c>
      <c r="C2001" s="14">
        <v>38.119999999999997</v>
      </c>
      <c r="D2001" s="11" t="s">
        <v>107</v>
      </c>
    </row>
    <row r="2002" spans="1:4" x14ac:dyDescent="0.25">
      <c r="A2002" s="4" t="s">
        <v>6653</v>
      </c>
      <c r="B2002" s="3" t="s">
        <v>2005</v>
      </c>
      <c r="C2002" s="14">
        <v>35.25</v>
      </c>
      <c r="D2002" s="11" t="s">
        <v>107</v>
      </c>
    </row>
    <row r="2003" spans="1:4" x14ac:dyDescent="0.25">
      <c r="A2003" s="4" t="s">
        <v>6654</v>
      </c>
      <c r="B2003" s="3" t="s">
        <v>2006</v>
      </c>
      <c r="C2003" s="14">
        <v>4.55</v>
      </c>
      <c r="D2003" s="11" t="s">
        <v>107</v>
      </c>
    </row>
    <row r="2004" spans="1:4" x14ac:dyDescent="0.25">
      <c r="A2004" s="4" t="s">
        <v>6655</v>
      </c>
      <c r="B2004" s="3" t="s">
        <v>2007</v>
      </c>
      <c r="C2004" s="14">
        <v>2071.4899999999998</v>
      </c>
      <c r="D2004" s="11" t="s">
        <v>5</v>
      </c>
    </row>
    <row r="2005" spans="1:4" x14ac:dyDescent="0.25">
      <c r="A2005" s="4" t="s">
        <v>6656</v>
      </c>
      <c r="B2005" s="3" t="s">
        <v>2008</v>
      </c>
      <c r="C2005" s="14">
        <v>4.55</v>
      </c>
      <c r="D2005" s="11" t="s">
        <v>107</v>
      </c>
    </row>
    <row r="2006" spans="1:4" x14ac:dyDescent="0.25">
      <c r="A2006" s="4" t="s">
        <v>6657</v>
      </c>
      <c r="B2006" s="3" t="s">
        <v>2009</v>
      </c>
      <c r="C2006" s="14">
        <v>93704.25</v>
      </c>
      <c r="D2006" s="11" t="s">
        <v>5</v>
      </c>
    </row>
    <row r="2007" spans="1:4" x14ac:dyDescent="0.25">
      <c r="A2007" s="4" t="s">
        <v>6658</v>
      </c>
      <c r="B2007" s="3" t="s">
        <v>2010</v>
      </c>
      <c r="C2007" s="14">
        <v>50598.75</v>
      </c>
      <c r="D2007" s="11" t="s">
        <v>5</v>
      </c>
    </row>
    <row r="2008" spans="1:4" x14ac:dyDescent="0.25">
      <c r="A2008" s="4" t="s">
        <v>6659</v>
      </c>
      <c r="B2008" s="3" t="s">
        <v>2011</v>
      </c>
      <c r="C2008" s="14">
        <v>51.45</v>
      </c>
      <c r="D2008" s="11" t="s">
        <v>107</v>
      </c>
    </row>
    <row r="2009" spans="1:4" x14ac:dyDescent="0.25">
      <c r="A2009" s="4" t="s">
        <v>6660</v>
      </c>
      <c r="B2009" s="3" t="s">
        <v>2012</v>
      </c>
      <c r="C2009" s="14">
        <v>34.31</v>
      </c>
      <c r="D2009" s="11" t="s">
        <v>107</v>
      </c>
    </row>
    <row r="2010" spans="1:4" x14ac:dyDescent="0.25">
      <c r="A2010" s="4" t="s">
        <v>6661</v>
      </c>
      <c r="B2010" s="3" t="s">
        <v>2013</v>
      </c>
      <c r="C2010" s="14">
        <v>47277</v>
      </c>
      <c r="D2010" s="11" t="s">
        <v>5</v>
      </c>
    </row>
    <row r="2011" spans="1:4" x14ac:dyDescent="0.25">
      <c r="A2011" s="4" t="s">
        <v>6662</v>
      </c>
      <c r="B2011" s="3" t="s">
        <v>2014</v>
      </c>
      <c r="C2011" s="14">
        <v>57.65</v>
      </c>
      <c r="D2011" s="11" t="s">
        <v>107</v>
      </c>
    </row>
    <row r="2012" spans="1:4" x14ac:dyDescent="0.25">
      <c r="A2012" s="4" t="s">
        <v>6663</v>
      </c>
      <c r="B2012" s="3" t="s">
        <v>2015</v>
      </c>
      <c r="C2012" s="14">
        <v>40.04</v>
      </c>
      <c r="D2012" s="11" t="s">
        <v>107</v>
      </c>
    </row>
    <row r="2013" spans="1:4" x14ac:dyDescent="0.25">
      <c r="A2013" s="4" t="s">
        <v>6664</v>
      </c>
      <c r="B2013" s="3" t="s">
        <v>2016</v>
      </c>
      <c r="C2013" s="14">
        <v>36</v>
      </c>
      <c r="D2013" s="11" t="s">
        <v>107</v>
      </c>
    </row>
    <row r="2014" spans="1:4" x14ac:dyDescent="0.25">
      <c r="A2014" s="4" t="s">
        <v>6665</v>
      </c>
      <c r="B2014" s="3" t="s">
        <v>2017</v>
      </c>
      <c r="C2014" s="14">
        <v>102588</v>
      </c>
      <c r="D2014" s="11" t="s">
        <v>5</v>
      </c>
    </row>
    <row r="2015" spans="1:4" x14ac:dyDescent="0.25">
      <c r="A2015" s="4" t="s">
        <v>6666</v>
      </c>
      <c r="B2015" s="3" t="s">
        <v>2018</v>
      </c>
      <c r="C2015" s="14">
        <v>126458.25</v>
      </c>
      <c r="D2015" s="11" t="s">
        <v>5</v>
      </c>
    </row>
    <row r="2016" spans="1:4" x14ac:dyDescent="0.25">
      <c r="A2016" s="4" t="s">
        <v>6667</v>
      </c>
      <c r="B2016" s="3" t="s">
        <v>2019</v>
      </c>
      <c r="C2016" s="14">
        <v>149057.01</v>
      </c>
      <c r="D2016" s="11" t="s">
        <v>5</v>
      </c>
    </row>
    <row r="2017" spans="1:4" x14ac:dyDescent="0.25">
      <c r="A2017" s="4" t="s">
        <v>6668</v>
      </c>
      <c r="B2017" s="3" t="s">
        <v>2020</v>
      </c>
      <c r="C2017" s="14">
        <v>247122.75</v>
      </c>
      <c r="D2017" s="11" t="s">
        <v>5</v>
      </c>
    </row>
    <row r="2018" spans="1:4" x14ac:dyDescent="0.25">
      <c r="A2018" s="4" t="s">
        <v>6669</v>
      </c>
      <c r="B2018" s="3" t="s">
        <v>2021</v>
      </c>
      <c r="C2018" s="14">
        <v>250676.25</v>
      </c>
      <c r="D2018" s="11" t="s">
        <v>5</v>
      </c>
    </row>
    <row r="2019" spans="1:4" x14ac:dyDescent="0.25">
      <c r="A2019" s="4" t="s">
        <v>6670</v>
      </c>
      <c r="B2019" s="3" t="s">
        <v>2022</v>
      </c>
      <c r="C2019" s="14">
        <v>279336</v>
      </c>
      <c r="D2019" s="11" t="s">
        <v>5</v>
      </c>
    </row>
    <row r="2020" spans="1:4" x14ac:dyDescent="0.25">
      <c r="A2020" s="4" t="s">
        <v>6671</v>
      </c>
      <c r="B2020" s="3" t="s">
        <v>2023</v>
      </c>
      <c r="C2020" s="14">
        <v>6745.44</v>
      </c>
      <c r="D2020" s="11" t="s">
        <v>5</v>
      </c>
    </row>
    <row r="2021" spans="1:4" x14ac:dyDescent="0.25">
      <c r="A2021" s="4" t="s">
        <v>6672</v>
      </c>
      <c r="B2021" s="3" t="s">
        <v>2024</v>
      </c>
      <c r="C2021" s="14">
        <v>8185.94</v>
      </c>
      <c r="D2021" s="11" t="s">
        <v>5</v>
      </c>
    </row>
    <row r="2022" spans="1:4" x14ac:dyDescent="0.25">
      <c r="A2022" s="4" t="s">
        <v>6673</v>
      </c>
      <c r="B2022" s="3" t="s">
        <v>2025</v>
      </c>
      <c r="C2022" s="14">
        <v>8961.6</v>
      </c>
      <c r="D2022" s="11" t="s">
        <v>5</v>
      </c>
    </row>
    <row r="2023" spans="1:4" x14ac:dyDescent="0.25">
      <c r="A2023" s="4" t="s">
        <v>6674</v>
      </c>
      <c r="B2023" s="3" t="s">
        <v>2026</v>
      </c>
      <c r="C2023" s="14">
        <v>9460.23</v>
      </c>
      <c r="D2023" s="11" t="s">
        <v>5</v>
      </c>
    </row>
    <row r="2024" spans="1:4" x14ac:dyDescent="0.25">
      <c r="A2024" s="4" t="s">
        <v>6675</v>
      </c>
      <c r="B2024" s="3" t="s">
        <v>2027</v>
      </c>
      <c r="C2024" s="14">
        <v>42.3</v>
      </c>
      <c r="D2024" s="11" t="s">
        <v>107</v>
      </c>
    </row>
    <row r="2025" spans="1:4" x14ac:dyDescent="0.25">
      <c r="A2025" s="4" t="s">
        <v>6676</v>
      </c>
      <c r="B2025" s="3" t="s">
        <v>2028</v>
      </c>
      <c r="C2025" s="14">
        <v>66.599999999999994</v>
      </c>
      <c r="D2025" s="11" t="s">
        <v>107</v>
      </c>
    </row>
    <row r="2026" spans="1:4" x14ac:dyDescent="0.25">
      <c r="A2026" s="4" t="s">
        <v>6677</v>
      </c>
      <c r="B2026" s="3" t="s">
        <v>2029</v>
      </c>
      <c r="C2026" s="14">
        <v>32.4</v>
      </c>
      <c r="D2026" s="11" t="s">
        <v>107</v>
      </c>
    </row>
    <row r="2027" spans="1:4" x14ac:dyDescent="0.25">
      <c r="A2027" s="4" t="s">
        <v>6678</v>
      </c>
      <c r="B2027" s="3" t="s">
        <v>2030</v>
      </c>
      <c r="C2027" s="14">
        <v>1593.83</v>
      </c>
      <c r="D2027" s="11" t="s">
        <v>5</v>
      </c>
    </row>
    <row r="2028" spans="1:4" x14ac:dyDescent="0.25">
      <c r="A2028" s="4" t="s">
        <v>6679</v>
      </c>
      <c r="B2028" s="3" t="s">
        <v>2031</v>
      </c>
      <c r="C2028" s="14">
        <v>76.98</v>
      </c>
      <c r="D2028" s="11" t="s">
        <v>5</v>
      </c>
    </row>
    <row r="2029" spans="1:4" x14ac:dyDescent="0.25">
      <c r="A2029" s="4" t="s">
        <v>6680</v>
      </c>
      <c r="B2029" s="3" t="s">
        <v>2032</v>
      </c>
      <c r="C2029" s="14">
        <v>78.150000000000006</v>
      </c>
      <c r="D2029" s="11" t="s">
        <v>5</v>
      </c>
    </row>
    <row r="2030" spans="1:4" x14ac:dyDescent="0.25">
      <c r="A2030" s="4" t="s">
        <v>6681</v>
      </c>
      <c r="B2030" s="3" t="s">
        <v>2033</v>
      </c>
      <c r="C2030" s="14">
        <v>125.39</v>
      </c>
      <c r="D2030" s="11" t="s">
        <v>5</v>
      </c>
    </row>
    <row r="2031" spans="1:4" x14ac:dyDescent="0.25">
      <c r="A2031" s="4" t="s">
        <v>6682</v>
      </c>
      <c r="B2031" s="3" t="s">
        <v>2034</v>
      </c>
      <c r="C2031" s="14">
        <v>94.49</v>
      </c>
      <c r="D2031" s="11" t="s">
        <v>5</v>
      </c>
    </row>
    <row r="2032" spans="1:4" x14ac:dyDescent="0.25">
      <c r="A2032" s="4" t="s">
        <v>6683</v>
      </c>
      <c r="B2032" s="3" t="s">
        <v>2035</v>
      </c>
      <c r="C2032" s="14">
        <v>85.22</v>
      </c>
      <c r="D2032" s="11" t="s">
        <v>5</v>
      </c>
    </row>
    <row r="2033" spans="1:4" x14ac:dyDescent="0.25">
      <c r="A2033" s="4" t="s">
        <v>6684</v>
      </c>
      <c r="B2033" s="3" t="s">
        <v>2036</v>
      </c>
      <c r="C2033" s="14">
        <v>23.91</v>
      </c>
      <c r="D2033" s="11" t="s">
        <v>5</v>
      </c>
    </row>
    <row r="2034" spans="1:4" x14ac:dyDescent="0.25">
      <c r="A2034" s="4" t="s">
        <v>6685</v>
      </c>
      <c r="B2034" s="3" t="s">
        <v>2037</v>
      </c>
      <c r="C2034" s="14">
        <v>50.75</v>
      </c>
      <c r="D2034" s="11" t="s">
        <v>5</v>
      </c>
    </row>
    <row r="2035" spans="1:4" x14ac:dyDescent="0.25">
      <c r="A2035" s="4" t="s">
        <v>6686</v>
      </c>
      <c r="B2035" s="3" t="s">
        <v>2038</v>
      </c>
      <c r="C2035" s="14">
        <v>32.659999999999997</v>
      </c>
      <c r="D2035" s="11" t="s">
        <v>5</v>
      </c>
    </row>
    <row r="2036" spans="1:4" x14ac:dyDescent="0.25">
      <c r="A2036" s="4" t="s">
        <v>6687</v>
      </c>
      <c r="B2036" s="3" t="s">
        <v>2039</v>
      </c>
      <c r="C2036" s="14">
        <v>51.32</v>
      </c>
      <c r="D2036" s="11" t="s">
        <v>5</v>
      </c>
    </row>
    <row r="2037" spans="1:4" x14ac:dyDescent="0.25">
      <c r="A2037" s="4" t="s">
        <v>6688</v>
      </c>
      <c r="B2037" s="3" t="s">
        <v>2040</v>
      </c>
      <c r="C2037" s="14">
        <v>326.31</v>
      </c>
      <c r="D2037" s="11" t="s">
        <v>5</v>
      </c>
    </row>
    <row r="2038" spans="1:4" x14ac:dyDescent="0.25">
      <c r="A2038" s="4" t="s">
        <v>6689</v>
      </c>
      <c r="B2038" s="3" t="s">
        <v>2041</v>
      </c>
      <c r="C2038" s="14">
        <v>437</v>
      </c>
      <c r="D2038" s="11" t="s">
        <v>5</v>
      </c>
    </row>
    <row r="2039" spans="1:4" x14ac:dyDescent="0.25">
      <c r="A2039" s="4" t="s">
        <v>6690</v>
      </c>
      <c r="B2039" s="3" t="s">
        <v>2042</v>
      </c>
      <c r="C2039" s="14">
        <v>1053.03</v>
      </c>
      <c r="D2039" s="11" t="s">
        <v>5</v>
      </c>
    </row>
    <row r="2040" spans="1:4" x14ac:dyDescent="0.25">
      <c r="A2040" s="4" t="s">
        <v>6691</v>
      </c>
      <c r="B2040" s="3" t="s">
        <v>2043</v>
      </c>
      <c r="C2040" s="14">
        <v>1053.03</v>
      </c>
      <c r="D2040" s="11" t="s">
        <v>5</v>
      </c>
    </row>
    <row r="2041" spans="1:4" x14ac:dyDescent="0.25">
      <c r="A2041" s="4" t="s">
        <v>6692</v>
      </c>
      <c r="B2041" s="3" t="s">
        <v>2044</v>
      </c>
      <c r="C2041" s="14">
        <v>421.08</v>
      </c>
      <c r="D2041" s="11" t="s">
        <v>5</v>
      </c>
    </row>
    <row r="2042" spans="1:4" x14ac:dyDescent="0.25">
      <c r="A2042" s="4" t="s">
        <v>6693</v>
      </c>
      <c r="B2042" s="3" t="s">
        <v>2045</v>
      </c>
      <c r="C2042" s="14">
        <v>499.49</v>
      </c>
      <c r="D2042" s="11" t="s">
        <v>5</v>
      </c>
    </row>
    <row r="2043" spans="1:4" x14ac:dyDescent="0.25">
      <c r="A2043" s="4" t="s">
        <v>6694</v>
      </c>
      <c r="B2043" s="3" t="s">
        <v>2046</v>
      </c>
      <c r="C2043" s="14">
        <v>457.22</v>
      </c>
      <c r="D2043" s="11" t="s">
        <v>5</v>
      </c>
    </row>
    <row r="2044" spans="1:4" x14ac:dyDescent="0.25">
      <c r="A2044" s="4" t="s">
        <v>6695</v>
      </c>
      <c r="B2044" s="3" t="s">
        <v>2047</v>
      </c>
      <c r="C2044" s="14">
        <v>486.47</v>
      </c>
      <c r="D2044" s="11" t="s">
        <v>5</v>
      </c>
    </row>
    <row r="2045" spans="1:4" x14ac:dyDescent="0.25">
      <c r="A2045" s="4" t="s">
        <v>6696</v>
      </c>
      <c r="B2045" s="3" t="s">
        <v>2048</v>
      </c>
      <c r="C2045" s="14">
        <v>28.97</v>
      </c>
      <c r="D2045" s="11" t="s">
        <v>5</v>
      </c>
    </row>
    <row r="2046" spans="1:4" x14ac:dyDescent="0.25">
      <c r="A2046" s="4" t="s">
        <v>6697</v>
      </c>
      <c r="B2046" s="3" t="s">
        <v>2049</v>
      </c>
      <c r="C2046" s="14">
        <v>84.44</v>
      </c>
      <c r="D2046" s="11" t="s">
        <v>5</v>
      </c>
    </row>
    <row r="2047" spans="1:4" x14ac:dyDescent="0.25">
      <c r="A2047" s="4" t="s">
        <v>6698</v>
      </c>
      <c r="B2047" s="3" t="s">
        <v>2050</v>
      </c>
      <c r="C2047" s="14">
        <v>46.67</v>
      </c>
      <c r="D2047" s="11" t="s">
        <v>5</v>
      </c>
    </row>
    <row r="2048" spans="1:4" x14ac:dyDescent="0.25">
      <c r="A2048" s="4" t="s">
        <v>6699</v>
      </c>
      <c r="B2048" s="3" t="s">
        <v>2051</v>
      </c>
      <c r="C2048" s="14">
        <v>1515.66</v>
      </c>
      <c r="D2048" s="11" t="s">
        <v>5</v>
      </c>
    </row>
    <row r="2049" spans="1:4" x14ac:dyDescent="0.25">
      <c r="A2049" s="4" t="s">
        <v>6700</v>
      </c>
      <c r="B2049" s="3" t="s">
        <v>2052</v>
      </c>
      <c r="C2049" s="14">
        <v>1597.26</v>
      </c>
      <c r="D2049" s="11" t="s">
        <v>5</v>
      </c>
    </row>
    <row r="2050" spans="1:4" x14ac:dyDescent="0.25">
      <c r="A2050" s="4" t="s">
        <v>6701</v>
      </c>
      <c r="B2050" s="3" t="s">
        <v>2053</v>
      </c>
      <c r="C2050" s="14">
        <v>1749.38</v>
      </c>
      <c r="D2050" s="11" t="s">
        <v>5</v>
      </c>
    </row>
    <row r="2051" spans="1:4" x14ac:dyDescent="0.25">
      <c r="A2051" s="4" t="s">
        <v>6702</v>
      </c>
      <c r="B2051" s="3" t="s">
        <v>2054</v>
      </c>
      <c r="C2051" s="14">
        <v>2028.62</v>
      </c>
      <c r="D2051" s="11" t="s">
        <v>5</v>
      </c>
    </row>
    <row r="2052" spans="1:4" x14ac:dyDescent="0.25">
      <c r="A2052" s="4" t="s">
        <v>6703</v>
      </c>
      <c r="B2052" s="3" t="s">
        <v>2055</v>
      </c>
      <c r="C2052" s="14">
        <v>1976.97</v>
      </c>
      <c r="D2052" s="11" t="s">
        <v>5</v>
      </c>
    </row>
    <row r="2053" spans="1:4" x14ac:dyDescent="0.25">
      <c r="A2053" s="4" t="s">
        <v>6704</v>
      </c>
      <c r="B2053" s="3" t="s">
        <v>2056</v>
      </c>
      <c r="C2053" s="14">
        <v>2176.34</v>
      </c>
      <c r="D2053" s="11" t="s">
        <v>5</v>
      </c>
    </row>
    <row r="2054" spans="1:4" x14ac:dyDescent="0.25">
      <c r="A2054" s="4" t="s">
        <v>6705</v>
      </c>
      <c r="B2054" s="3" t="s">
        <v>2057</v>
      </c>
      <c r="C2054" s="14">
        <v>2821.59</v>
      </c>
      <c r="D2054" s="11" t="s">
        <v>5</v>
      </c>
    </row>
    <row r="2055" spans="1:4" x14ac:dyDescent="0.25">
      <c r="A2055" s="4" t="s">
        <v>6706</v>
      </c>
      <c r="B2055" s="3" t="s">
        <v>2058</v>
      </c>
      <c r="C2055" s="14">
        <v>2257.0100000000002</v>
      </c>
      <c r="D2055" s="11" t="s">
        <v>5</v>
      </c>
    </row>
    <row r="2056" spans="1:4" x14ac:dyDescent="0.25">
      <c r="A2056" s="4" t="s">
        <v>6707</v>
      </c>
      <c r="B2056" s="3" t="s">
        <v>2059</v>
      </c>
      <c r="C2056" s="14">
        <v>3007.53</v>
      </c>
      <c r="D2056" s="11" t="s">
        <v>5</v>
      </c>
    </row>
    <row r="2057" spans="1:4" x14ac:dyDescent="0.25">
      <c r="A2057" s="4" t="s">
        <v>6708</v>
      </c>
      <c r="B2057" s="3" t="s">
        <v>2060</v>
      </c>
      <c r="C2057" s="14">
        <v>5048.54</v>
      </c>
      <c r="D2057" s="11" t="s">
        <v>5</v>
      </c>
    </row>
    <row r="2058" spans="1:4" x14ac:dyDescent="0.25">
      <c r="A2058" s="4" t="s">
        <v>6709</v>
      </c>
      <c r="B2058" s="3" t="s">
        <v>2061</v>
      </c>
      <c r="C2058" s="14">
        <v>2594.46</v>
      </c>
      <c r="D2058" s="11" t="s">
        <v>5</v>
      </c>
    </row>
    <row r="2059" spans="1:4" x14ac:dyDescent="0.25">
      <c r="A2059" s="4" t="s">
        <v>6710</v>
      </c>
      <c r="B2059" s="3" t="s">
        <v>2062</v>
      </c>
      <c r="C2059" s="14">
        <v>3047.18</v>
      </c>
      <c r="D2059" s="11" t="s">
        <v>5</v>
      </c>
    </row>
    <row r="2060" spans="1:4" x14ac:dyDescent="0.25">
      <c r="A2060" s="4" t="s">
        <v>6711</v>
      </c>
      <c r="B2060" s="3" t="s">
        <v>2063</v>
      </c>
      <c r="C2060" s="14">
        <v>5565.29</v>
      </c>
      <c r="D2060" s="11" t="s">
        <v>5</v>
      </c>
    </row>
    <row r="2061" spans="1:4" x14ac:dyDescent="0.25">
      <c r="A2061" s="4" t="s">
        <v>6712</v>
      </c>
      <c r="B2061" s="3" t="s">
        <v>2064</v>
      </c>
      <c r="C2061" s="14">
        <v>3047.18</v>
      </c>
      <c r="D2061" s="11" t="s">
        <v>5</v>
      </c>
    </row>
    <row r="2062" spans="1:4" x14ac:dyDescent="0.25">
      <c r="A2062" s="4" t="s">
        <v>6713</v>
      </c>
      <c r="B2062" s="3" t="s">
        <v>2065</v>
      </c>
      <c r="C2062" s="14">
        <v>3856.46</v>
      </c>
      <c r="D2062" s="11" t="s">
        <v>5</v>
      </c>
    </row>
    <row r="2063" spans="1:4" x14ac:dyDescent="0.25">
      <c r="A2063" s="4" t="s">
        <v>6714</v>
      </c>
      <c r="B2063" s="3" t="s">
        <v>2066</v>
      </c>
      <c r="C2063" s="14">
        <v>7055.37</v>
      </c>
      <c r="D2063" s="11" t="s">
        <v>5</v>
      </c>
    </row>
    <row r="2064" spans="1:4" x14ac:dyDescent="0.25">
      <c r="A2064" s="4" t="s">
        <v>6715</v>
      </c>
      <c r="B2064" s="3" t="s">
        <v>2067</v>
      </c>
      <c r="C2064" s="14">
        <v>3349.29</v>
      </c>
      <c r="D2064" s="11" t="s">
        <v>5</v>
      </c>
    </row>
    <row r="2065" spans="1:4" x14ac:dyDescent="0.25">
      <c r="A2065" s="4" t="s">
        <v>6716</v>
      </c>
      <c r="B2065" s="3" t="s">
        <v>2068</v>
      </c>
      <c r="C2065" s="14">
        <v>4237.88</v>
      </c>
      <c r="D2065" s="11" t="s">
        <v>5</v>
      </c>
    </row>
    <row r="2066" spans="1:4" x14ac:dyDescent="0.25">
      <c r="A2066" s="4" t="s">
        <v>6717</v>
      </c>
      <c r="B2066" s="3" t="s">
        <v>2069</v>
      </c>
      <c r="C2066" s="14">
        <v>7595.37</v>
      </c>
      <c r="D2066" s="11" t="s">
        <v>5</v>
      </c>
    </row>
    <row r="2067" spans="1:4" x14ac:dyDescent="0.25">
      <c r="A2067" s="4" t="s">
        <v>6718</v>
      </c>
      <c r="B2067" s="3" t="s">
        <v>2070</v>
      </c>
      <c r="C2067" s="14">
        <v>5435.42</v>
      </c>
      <c r="D2067" s="11" t="s">
        <v>5</v>
      </c>
    </row>
    <row r="2068" spans="1:4" x14ac:dyDescent="0.25">
      <c r="A2068" s="4" t="s">
        <v>6719</v>
      </c>
      <c r="B2068" s="3" t="s">
        <v>2071</v>
      </c>
      <c r="C2068" s="14">
        <v>6721.82</v>
      </c>
      <c r="D2068" s="11" t="s">
        <v>5</v>
      </c>
    </row>
    <row r="2069" spans="1:4" x14ac:dyDescent="0.25">
      <c r="A2069" s="4" t="s">
        <v>6720</v>
      </c>
      <c r="B2069" s="3" t="s">
        <v>2072</v>
      </c>
      <c r="C2069" s="14">
        <v>5706.09</v>
      </c>
      <c r="D2069" s="11" t="s">
        <v>5</v>
      </c>
    </row>
    <row r="2070" spans="1:4" x14ac:dyDescent="0.25">
      <c r="A2070" s="4" t="s">
        <v>6721</v>
      </c>
      <c r="B2070" s="3" t="s">
        <v>2073</v>
      </c>
      <c r="C2070" s="14">
        <v>6483.96</v>
      </c>
      <c r="D2070" s="11" t="s">
        <v>5</v>
      </c>
    </row>
    <row r="2071" spans="1:4" x14ac:dyDescent="0.25">
      <c r="A2071" s="4" t="s">
        <v>6722</v>
      </c>
      <c r="B2071" s="3" t="s">
        <v>2074</v>
      </c>
      <c r="C2071" s="14">
        <v>11010.27</v>
      </c>
      <c r="D2071" s="11" t="s">
        <v>5</v>
      </c>
    </row>
    <row r="2072" spans="1:4" x14ac:dyDescent="0.25">
      <c r="A2072" s="4" t="s">
        <v>6723</v>
      </c>
      <c r="B2072" s="3" t="s">
        <v>2075</v>
      </c>
      <c r="C2072" s="14">
        <v>7054.02</v>
      </c>
      <c r="D2072" s="11" t="s">
        <v>5</v>
      </c>
    </row>
    <row r="2073" spans="1:4" x14ac:dyDescent="0.25">
      <c r="A2073" s="4" t="s">
        <v>6724</v>
      </c>
      <c r="B2073" s="3" t="s">
        <v>2076</v>
      </c>
      <c r="C2073" s="14">
        <v>3852.27</v>
      </c>
      <c r="D2073" s="11" t="s">
        <v>5</v>
      </c>
    </row>
    <row r="2074" spans="1:4" x14ac:dyDescent="0.25">
      <c r="A2074" s="4" t="s">
        <v>6725</v>
      </c>
      <c r="B2074" s="3" t="s">
        <v>2077</v>
      </c>
      <c r="C2074" s="14">
        <v>11961.74</v>
      </c>
      <c r="D2074" s="11" t="s">
        <v>5</v>
      </c>
    </row>
    <row r="2075" spans="1:4" x14ac:dyDescent="0.25">
      <c r="A2075" s="4" t="s">
        <v>6726</v>
      </c>
      <c r="B2075" s="3" t="s">
        <v>2078</v>
      </c>
      <c r="C2075" s="14">
        <v>405.53</v>
      </c>
      <c r="D2075" s="11" t="s">
        <v>5</v>
      </c>
    </row>
    <row r="2076" spans="1:4" x14ac:dyDescent="0.25">
      <c r="A2076" s="4" t="s">
        <v>6727</v>
      </c>
      <c r="B2076" s="3" t="s">
        <v>2079</v>
      </c>
      <c r="C2076" s="14">
        <v>528.55999999999995</v>
      </c>
      <c r="D2076" s="11" t="s">
        <v>5</v>
      </c>
    </row>
    <row r="2077" spans="1:4" x14ac:dyDescent="0.25">
      <c r="A2077" s="4" t="s">
        <v>6728</v>
      </c>
      <c r="B2077" s="3" t="s">
        <v>2080</v>
      </c>
      <c r="C2077" s="14">
        <v>701.04</v>
      </c>
      <c r="D2077" s="11" t="s">
        <v>5</v>
      </c>
    </row>
    <row r="2078" spans="1:4" x14ac:dyDescent="0.25">
      <c r="A2078" s="4" t="s">
        <v>6729</v>
      </c>
      <c r="B2078" s="3" t="s">
        <v>2081</v>
      </c>
      <c r="C2078" s="14">
        <v>1764.06</v>
      </c>
      <c r="D2078" s="11" t="s">
        <v>5</v>
      </c>
    </row>
    <row r="2079" spans="1:4" x14ac:dyDescent="0.25">
      <c r="A2079" s="4" t="s">
        <v>6730</v>
      </c>
      <c r="B2079" s="3" t="s">
        <v>2082</v>
      </c>
      <c r="C2079" s="14">
        <v>1354.4</v>
      </c>
      <c r="D2079" s="11" t="s">
        <v>5</v>
      </c>
    </row>
    <row r="2080" spans="1:4" x14ac:dyDescent="0.25">
      <c r="A2080" s="4" t="s">
        <v>6731</v>
      </c>
      <c r="B2080" s="3" t="s">
        <v>2083</v>
      </c>
      <c r="C2080" s="14">
        <v>2300.96</v>
      </c>
      <c r="D2080" s="11" t="s">
        <v>5</v>
      </c>
    </row>
    <row r="2081" spans="1:4" x14ac:dyDescent="0.25">
      <c r="A2081" s="4" t="s">
        <v>6732</v>
      </c>
      <c r="B2081" s="3" t="s">
        <v>2084</v>
      </c>
      <c r="C2081" s="14">
        <v>2435.33</v>
      </c>
      <c r="D2081" s="11" t="s">
        <v>5</v>
      </c>
    </row>
    <row r="2082" spans="1:4" x14ac:dyDescent="0.25">
      <c r="A2082" s="4" t="s">
        <v>6733</v>
      </c>
      <c r="B2082" s="3" t="s">
        <v>2085</v>
      </c>
      <c r="C2082" s="14">
        <v>1925.51</v>
      </c>
      <c r="D2082" s="11" t="s">
        <v>5</v>
      </c>
    </row>
    <row r="2083" spans="1:4" x14ac:dyDescent="0.25">
      <c r="A2083" s="4" t="s">
        <v>6734</v>
      </c>
      <c r="B2083" s="3" t="s">
        <v>2086</v>
      </c>
      <c r="C2083" s="14">
        <v>2523.9</v>
      </c>
      <c r="D2083" s="11" t="s">
        <v>5</v>
      </c>
    </row>
    <row r="2084" spans="1:4" x14ac:dyDescent="0.25">
      <c r="A2084" s="4" t="s">
        <v>6735</v>
      </c>
      <c r="B2084" s="3" t="s">
        <v>2087</v>
      </c>
      <c r="C2084" s="14">
        <v>2176.34</v>
      </c>
      <c r="D2084" s="11" t="s">
        <v>5</v>
      </c>
    </row>
    <row r="2085" spans="1:4" x14ac:dyDescent="0.25">
      <c r="A2085" s="4" t="s">
        <v>6736</v>
      </c>
      <c r="B2085" s="3" t="s">
        <v>2088</v>
      </c>
      <c r="C2085" s="14">
        <v>2821.61</v>
      </c>
      <c r="D2085" s="11" t="s">
        <v>5</v>
      </c>
    </row>
    <row r="2086" spans="1:4" x14ac:dyDescent="0.25">
      <c r="A2086" s="4" t="s">
        <v>6737</v>
      </c>
      <c r="B2086" s="3" t="s">
        <v>2089</v>
      </c>
      <c r="C2086" s="14">
        <v>5171.58</v>
      </c>
      <c r="D2086" s="11" t="s">
        <v>5</v>
      </c>
    </row>
    <row r="2087" spans="1:4" x14ac:dyDescent="0.25">
      <c r="A2087" s="4" t="s">
        <v>6738</v>
      </c>
      <c r="B2087" s="3" t="s">
        <v>2090</v>
      </c>
      <c r="C2087" s="14">
        <v>2885.85</v>
      </c>
      <c r="D2087" s="11" t="s">
        <v>5</v>
      </c>
    </row>
    <row r="2088" spans="1:4" x14ac:dyDescent="0.25">
      <c r="A2088" s="4" t="s">
        <v>6739</v>
      </c>
      <c r="B2088" s="3" t="s">
        <v>2091</v>
      </c>
      <c r="C2088" s="14">
        <v>5172.93</v>
      </c>
      <c r="D2088" s="11" t="s">
        <v>5</v>
      </c>
    </row>
    <row r="2089" spans="1:4" x14ac:dyDescent="0.25">
      <c r="A2089" s="4" t="s">
        <v>6740</v>
      </c>
      <c r="B2089" s="3" t="s">
        <v>2092</v>
      </c>
      <c r="C2089" s="14">
        <v>2354.0700000000002</v>
      </c>
      <c r="D2089" s="11" t="s">
        <v>5</v>
      </c>
    </row>
    <row r="2090" spans="1:4" x14ac:dyDescent="0.25">
      <c r="A2090" s="4" t="s">
        <v>6741</v>
      </c>
      <c r="B2090" s="3" t="s">
        <v>2093</v>
      </c>
      <c r="C2090" s="14">
        <v>3047.16</v>
      </c>
      <c r="D2090" s="11" t="s">
        <v>5</v>
      </c>
    </row>
    <row r="2091" spans="1:4" x14ac:dyDescent="0.25">
      <c r="A2091" s="4" t="s">
        <v>6742</v>
      </c>
      <c r="B2091" s="3" t="s">
        <v>2094</v>
      </c>
      <c r="C2091" s="14">
        <v>6183.2</v>
      </c>
      <c r="D2091" s="11" t="s">
        <v>5</v>
      </c>
    </row>
    <row r="2092" spans="1:4" x14ac:dyDescent="0.25">
      <c r="A2092" s="4" t="s">
        <v>6743</v>
      </c>
      <c r="B2092" s="3" t="s">
        <v>2095</v>
      </c>
      <c r="C2092" s="14">
        <v>2529.11</v>
      </c>
      <c r="D2092" s="11" t="s">
        <v>5</v>
      </c>
    </row>
    <row r="2093" spans="1:4" x14ac:dyDescent="0.25">
      <c r="A2093" s="4" t="s">
        <v>6744</v>
      </c>
      <c r="B2093" s="3" t="s">
        <v>2096</v>
      </c>
      <c r="C2093" s="14">
        <v>3199.47</v>
      </c>
      <c r="D2093" s="11" t="s">
        <v>5</v>
      </c>
    </row>
    <row r="2094" spans="1:4" x14ac:dyDescent="0.25">
      <c r="A2094" s="4" t="s">
        <v>6745</v>
      </c>
      <c r="B2094" s="3" t="s">
        <v>2097</v>
      </c>
      <c r="C2094" s="14">
        <v>640.71</v>
      </c>
      <c r="D2094" s="11" t="s">
        <v>5</v>
      </c>
    </row>
    <row r="2095" spans="1:4" x14ac:dyDescent="0.25">
      <c r="A2095" s="4" t="s">
        <v>6746</v>
      </c>
      <c r="B2095" s="3" t="s">
        <v>2098</v>
      </c>
      <c r="C2095" s="14">
        <v>684.3</v>
      </c>
      <c r="D2095" s="11" t="s">
        <v>5</v>
      </c>
    </row>
    <row r="2096" spans="1:4" x14ac:dyDescent="0.25">
      <c r="A2096" s="4" t="s">
        <v>6747</v>
      </c>
      <c r="B2096" s="3" t="s">
        <v>2099</v>
      </c>
      <c r="C2096" s="14">
        <v>6564.87</v>
      </c>
      <c r="D2096" s="11" t="s">
        <v>5</v>
      </c>
    </row>
    <row r="2097" spans="1:4" x14ac:dyDescent="0.25">
      <c r="A2097" s="4" t="s">
        <v>6748</v>
      </c>
      <c r="B2097" s="3" t="s">
        <v>2100</v>
      </c>
      <c r="C2097" s="14">
        <v>7288.44</v>
      </c>
      <c r="D2097" s="11" t="s">
        <v>5</v>
      </c>
    </row>
    <row r="2098" spans="1:4" x14ac:dyDescent="0.25">
      <c r="A2098" s="4" t="s">
        <v>6749</v>
      </c>
      <c r="B2098" s="3" t="s">
        <v>2101</v>
      </c>
      <c r="C2098" s="14">
        <v>768.21</v>
      </c>
      <c r="D2098" s="11" t="s">
        <v>5</v>
      </c>
    </row>
    <row r="2099" spans="1:4" x14ac:dyDescent="0.25">
      <c r="A2099" s="4" t="s">
        <v>6750</v>
      </c>
      <c r="B2099" s="3" t="s">
        <v>2102</v>
      </c>
      <c r="C2099" s="14">
        <v>2101.0500000000002</v>
      </c>
      <c r="D2099" s="11" t="s">
        <v>5</v>
      </c>
    </row>
    <row r="2100" spans="1:4" x14ac:dyDescent="0.25">
      <c r="A2100" s="4" t="s">
        <v>6751</v>
      </c>
      <c r="B2100" s="3" t="s">
        <v>2103</v>
      </c>
      <c r="C2100" s="14">
        <v>2775.24</v>
      </c>
      <c r="D2100" s="11" t="s">
        <v>5</v>
      </c>
    </row>
    <row r="2101" spans="1:4" x14ac:dyDescent="0.25">
      <c r="A2101" s="4" t="s">
        <v>6752</v>
      </c>
      <c r="B2101" s="3" t="s">
        <v>2104</v>
      </c>
      <c r="C2101" s="14">
        <v>136.86000000000001</v>
      </c>
      <c r="D2101" s="11" t="s">
        <v>5</v>
      </c>
    </row>
    <row r="2102" spans="1:4" x14ac:dyDescent="0.25">
      <c r="A2102" s="4" t="s">
        <v>6753</v>
      </c>
      <c r="B2102" s="3" t="s">
        <v>2105</v>
      </c>
      <c r="C2102" s="14">
        <v>102.75</v>
      </c>
      <c r="D2102" s="11" t="s">
        <v>5</v>
      </c>
    </row>
    <row r="2103" spans="1:4" x14ac:dyDescent="0.25">
      <c r="A2103" s="4" t="s">
        <v>6754</v>
      </c>
      <c r="B2103" s="3" t="s">
        <v>2106</v>
      </c>
      <c r="C2103" s="14">
        <v>160.58000000000001</v>
      </c>
      <c r="D2103" s="11" t="s">
        <v>5</v>
      </c>
    </row>
    <row r="2104" spans="1:4" x14ac:dyDescent="0.25">
      <c r="A2104" s="4" t="s">
        <v>6755</v>
      </c>
      <c r="B2104" s="3" t="s">
        <v>2107</v>
      </c>
      <c r="C2104" s="14">
        <v>121.31</v>
      </c>
      <c r="D2104" s="11" t="s">
        <v>5</v>
      </c>
    </row>
    <row r="2105" spans="1:4" x14ac:dyDescent="0.25">
      <c r="A2105" s="4" t="s">
        <v>6756</v>
      </c>
      <c r="B2105" s="3" t="s">
        <v>2108</v>
      </c>
      <c r="C2105" s="14">
        <v>189.77</v>
      </c>
      <c r="D2105" s="11" t="s">
        <v>5</v>
      </c>
    </row>
    <row r="2106" spans="1:4" x14ac:dyDescent="0.25">
      <c r="A2106" s="4" t="s">
        <v>6757</v>
      </c>
      <c r="B2106" s="3" t="s">
        <v>2109</v>
      </c>
      <c r="C2106" s="14">
        <v>151.34</v>
      </c>
      <c r="D2106" s="11" t="s">
        <v>5</v>
      </c>
    </row>
    <row r="2107" spans="1:4" x14ac:dyDescent="0.25">
      <c r="A2107" s="4" t="s">
        <v>6758</v>
      </c>
      <c r="B2107" s="3" t="s">
        <v>2110</v>
      </c>
      <c r="C2107" s="14">
        <v>297.95</v>
      </c>
      <c r="D2107" s="11" t="s">
        <v>5</v>
      </c>
    </row>
    <row r="2108" spans="1:4" x14ac:dyDescent="0.25">
      <c r="A2108" s="4" t="s">
        <v>6759</v>
      </c>
      <c r="B2108" s="3" t="s">
        <v>2111</v>
      </c>
      <c r="C2108" s="14">
        <v>330.8</v>
      </c>
      <c r="D2108" s="11" t="s">
        <v>5</v>
      </c>
    </row>
    <row r="2109" spans="1:4" x14ac:dyDescent="0.25">
      <c r="A2109" s="4" t="s">
        <v>6760</v>
      </c>
      <c r="B2109" s="3" t="s">
        <v>2112</v>
      </c>
      <c r="C2109" s="14">
        <v>383.31</v>
      </c>
      <c r="D2109" s="11" t="s">
        <v>5</v>
      </c>
    </row>
    <row r="2110" spans="1:4" x14ac:dyDescent="0.25">
      <c r="A2110" s="4" t="s">
        <v>6761</v>
      </c>
      <c r="B2110" s="3" t="s">
        <v>2113</v>
      </c>
      <c r="C2110" s="14">
        <v>467.85</v>
      </c>
      <c r="D2110" s="11" t="s">
        <v>5</v>
      </c>
    </row>
    <row r="2111" spans="1:4" x14ac:dyDescent="0.25">
      <c r="A2111" s="4" t="s">
        <v>6762</v>
      </c>
      <c r="B2111" s="3" t="s">
        <v>2114</v>
      </c>
      <c r="C2111" s="14">
        <v>288.08</v>
      </c>
      <c r="D2111" s="11" t="s">
        <v>5</v>
      </c>
    </row>
    <row r="2112" spans="1:4" x14ac:dyDescent="0.25">
      <c r="A2112" s="4" t="s">
        <v>6763</v>
      </c>
      <c r="B2112" s="3" t="s">
        <v>2115</v>
      </c>
      <c r="C2112" s="14">
        <v>779</v>
      </c>
      <c r="D2112" s="11" t="s">
        <v>5</v>
      </c>
    </row>
    <row r="2113" spans="1:4" x14ac:dyDescent="0.25">
      <c r="A2113" s="4" t="s">
        <v>6764</v>
      </c>
      <c r="B2113" s="3" t="s">
        <v>2116</v>
      </c>
      <c r="C2113" s="14">
        <v>1452.36</v>
      </c>
      <c r="D2113" s="11" t="s">
        <v>5</v>
      </c>
    </row>
    <row r="2114" spans="1:4" x14ac:dyDescent="0.25">
      <c r="A2114" s="4" t="s">
        <v>6765</v>
      </c>
      <c r="B2114" s="3" t="s">
        <v>2117</v>
      </c>
      <c r="C2114" s="14">
        <v>1848.47</v>
      </c>
      <c r="D2114" s="11" t="s">
        <v>5</v>
      </c>
    </row>
    <row r="2115" spans="1:4" x14ac:dyDescent="0.25">
      <c r="A2115" s="4" t="s">
        <v>6766</v>
      </c>
      <c r="B2115" s="3" t="s">
        <v>2118</v>
      </c>
      <c r="C2115" s="14">
        <v>81.17</v>
      </c>
      <c r="D2115" s="11" t="s">
        <v>5</v>
      </c>
    </row>
    <row r="2116" spans="1:4" x14ac:dyDescent="0.25">
      <c r="A2116" s="4" t="s">
        <v>6767</v>
      </c>
      <c r="B2116" s="3" t="s">
        <v>2119</v>
      </c>
      <c r="C2116" s="14">
        <v>81.17</v>
      </c>
      <c r="D2116" s="11" t="s">
        <v>5</v>
      </c>
    </row>
    <row r="2117" spans="1:4" x14ac:dyDescent="0.25">
      <c r="A2117" s="4" t="s">
        <v>6768</v>
      </c>
      <c r="B2117" s="3" t="s">
        <v>2120</v>
      </c>
      <c r="C2117" s="14">
        <v>86.72</v>
      </c>
      <c r="D2117" s="11" t="s">
        <v>5</v>
      </c>
    </row>
    <row r="2118" spans="1:4" x14ac:dyDescent="0.25">
      <c r="A2118" s="4" t="s">
        <v>6769</v>
      </c>
      <c r="B2118" s="3" t="s">
        <v>2121</v>
      </c>
      <c r="C2118" s="14">
        <v>94.98</v>
      </c>
      <c r="D2118" s="11" t="s">
        <v>5</v>
      </c>
    </row>
    <row r="2119" spans="1:4" x14ac:dyDescent="0.25">
      <c r="A2119" s="4" t="s">
        <v>6770</v>
      </c>
      <c r="B2119" s="3" t="s">
        <v>2122</v>
      </c>
      <c r="C2119" s="14">
        <v>140.96</v>
      </c>
      <c r="D2119" s="11" t="s">
        <v>5</v>
      </c>
    </row>
    <row r="2120" spans="1:4" x14ac:dyDescent="0.25">
      <c r="A2120" s="4" t="s">
        <v>6771</v>
      </c>
      <c r="B2120" s="3" t="s">
        <v>2123</v>
      </c>
      <c r="C2120" s="14">
        <v>112.59</v>
      </c>
      <c r="D2120" s="11" t="s">
        <v>5</v>
      </c>
    </row>
    <row r="2121" spans="1:4" x14ac:dyDescent="0.25">
      <c r="A2121" s="4" t="s">
        <v>6772</v>
      </c>
      <c r="B2121" s="3" t="s">
        <v>2124</v>
      </c>
      <c r="C2121" s="14">
        <v>174.95</v>
      </c>
      <c r="D2121" s="11" t="s">
        <v>5</v>
      </c>
    </row>
    <row r="2122" spans="1:4" x14ac:dyDescent="0.25">
      <c r="A2122" s="4" t="s">
        <v>6773</v>
      </c>
      <c r="B2122" s="3" t="s">
        <v>2125</v>
      </c>
      <c r="C2122" s="14">
        <v>137.49</v>
      </c>
      <c r="D2122" s="11" t="s">
        <v>5</v>
      </c>
    </row>
    <row r="2123" spans="1:4" x14ac:dyDescent="0.25">
      <c r="A2123" s="4" t="s">
        <v>6774</v>
      </c>
      <c r="B2123" s="3" t="s">
        <v>2126</v>
      </c>
      <c r="C2123" s="14">
        <v>224.73</v>
      </c>
      <c r="D2123" s="11" t="s">
        <v>5</v>
      </c>
    </row>
    <row r="2124" spans="1:4" x14ac:dyDescent="0.25">
      <c r="A2124" s="4" t="s">
        <v>6775</v>
      </c>
      <c r="B2124" s="3" t="s">
        <v>2127</v>
      </c>
      <c r="C2124" s="14">
        <v>180.32</v>
      </c>
      <c r="D2124" s="11" t="s">
        <v>5</v>
      </c>
    </row>
    <row r="2125" spans="1:4" x14ac:dyDescent="0.25">
      <c r="A2125" s="4" t="s">
        <v>6776</v>
      </c>
      <c r="B2125" s="3" t="s">
        <v>2128</v>
      </c>
      <c r="C2125" s="14">
        <v>300.86</v>
      </c>
      <c r="D2125" s="11" t="s">
        <v>5</v>
      </c>
    </row>
    <row r="2126" spans="1:4" x14ac:dyDescent="0.25">
      <c r="A2126" s="4" t="s">
        <v>6777</v>
      </c>
      <c r="B2126" s="3" t="s">
        <v>2129</v>
      </c>
      <c r="C2126" s="14">
        <v>347.84</v>
      </c>
      <c r="D2126" s="11" t="s">
        <v>5</v>
      </c>
    </row>
    <row r="2127" spans="1:4" x14ac:dyDescent="0.25">
      <c r="A2127" s="4" t="s">
        <v>6778</v>
      </c>
      <c r="B2127" s="3" t="s">
        <v>2130</v>
      </c>
      <c r="C2127" s="14">
        <v>415.62</v>
      </c>
      <c r="D2127" s="11" t="s">
        <v>5</v>
      </c>
    </row>
    <row r="2128" spans="1:4" x14ac:dyDescent="0.25">
      <c r="A2128" s="4" t="s">
        <v>6779</v>
      </c>
      <c r="B2128" s="3" t="s">
        <v>2131</v>
      </c>
      <c r="C2128" s="14">
        <v>490.01</v>
      </c>
      <c r="D2128" s="11" t="s">
        <v>5</v>
      </c>
    </row>
    <row r="2129" spans="1:4" x14ac:dyDescent="0.25">
      <c r="A2129" s="4" t="s">
        <v>6780</v>
      </c>
      <c r="B2129" s="3" t="s">
        <v>2132</v>
      </c>
      <c r="C2129" s="14">
        <v>525.08000000000004</v>
      </c>
      <c r="D2129" s="11" t="s">
        <v>5</v>
      </c>
    </row>
    <row r="2130" spans="1:4" x14ac:dyDescent="0.25">
      <c r="A2130" s="4" t="s">
        <v>6781</v>
      </c>
      <c r="B2130" s="3" t="s">
        <v>2133</v>
      </c>
      <c r="C2130" s="14">
        <v>950.25</v>
      </c>
      <c r="D2130" s="11" t="s">
        <v>5</v>
      </c>
    </row>
    <row r="2131" spans="1:4" x14ac:dyDescent="0.25">
      <c r="A2131" s="4" t="s">
        <v>6782</v>
      </c>
      <c r="B2131" s="3" t="s">
        <v>2134</v>
      </c>
      <c r="C2131" s="14">
        <v>1555.85</v>
      </c>
      <c r="D2131" s="11" t="s">
        <v>5</v>
      </c>
    </row>
    <row r="2132" spans="1:4" x14ac:dyDescent="0.25">
      <c r="A2132" s="4" t="s">
        <v>6783</v>
      </c>
      <c r="B2132" s="3" t="s">
        <v>2135</v>
      </c>
      <c r="C2132" s="14">
        <v>2062.29</v>
      </c>
      <c r="D2132" s="11" t="s">
        <v>5</v>
      </c>
    </row>
    <row r="2133" spans="1:4" x14ac:dyDescent="0.25">
      <c r="A2133" s="4" t="s">
        <v>6784</v>
      </c>
      <c r="B2133" s="3" t="s">
        <v>2136</v>
      </c>
      <c r="C2133" s="14">
        <v>282.06</v>
      </c>
      <c r="D2133" s="11" t="s">
        <v>5</v>
      </c>
    </row>
    <row r="2134" spans="1:4" x14ac:dyDescent="0.25">
      <c r="A2134" s="4" t="s">
        <v>6785</v>
      </c>
      <c r="B2134" s="3" t="s">
        <v>2137</v>
      </c>
      <c r="C2134" s="14">
        <v>325.52999999999997</v>
      </c>
      <c r="D2134" s="11" t="s">
        <v>5</v>
      </c>
    </row>
    <row r="2135" spans="1:4" x14ac:dyDescent="0.25">
      <c r="A2135" s="4" t="s">
        <v>6786</v>
      </c>
      <c r="B2135" s="3" t="s">
        <v>2138</v>
      </c>
      <c r="C2135" s="14">
        <v>386.51</v>
      </c>
      <c r="D2135" s="11" t="s">
        <v>5</v>
      </c>
    </row>
    <row r="2136" spans="1:4" x14ac:dyDescent="0.25">
      <c r="A2136" s="4" t="s">
        <v>6787</v>
      </c>
      <c r="B2136" s="3" t="s">
        <v>2139</v>
      </c>
      <c r="C2136" s="14">
        <v>464.1</v>
      </c>
      <c r="D2136" s="11" t="s">
        <v>5</v>
      </c>
    </row>
    <row r="2137" spans="1:4" x14ac:dyDescent="0.25">
      <c r="A2137" s="4" t="s">
        <v>6788</v>
      </c>
      <c r="B2137" s="3" t="s">
        <v>2140</v>
      </c>
      <c r="C2137" s="14">
        <v>525.08000000000004</v>
      </c>
      <c r="D2137" s="11" t="s">
        <v>5</v>
      </c>
    </row>
    <row r="2138" spans="1:4" x14ac:dyDescent="0.25">
      <c r="A2138" s="4" t="s">
        <v>6789</v>
      </c>
      <c r="B2138" s="3" t="s">
        <v>2141</v>
      </c>
      <c r="C2138" s="14">
        <v>649.86</v>
      </c>
      <c r="D2138" s="11" t="s">
        <v>5</v>
      </c>
    </row>
    <row r="2139" spans="1:4" x14ac:dyDescent="0.25">
      <c r="A2139" s="4" t="s">
        <v>6790</v>
      </c>
      <c r="B2139" s="3" t="s">
        <v>2142</v>
      </c>
      <c r="C2139" s="14">
        <v>1293.6199999999999</v>
      </c>
      <c r="D2139" s="11" t="s">
        <v>5</v>
      </c>
    </row>
    <row r="2140" spans="1:4" x14ac:dyDescent="0.25">
      <c r="A2140" s="4" t="s">
        <v>6791</v>
      </c>
      <c r="B2140" s="3" t="s">
        <v>2143</v>
      </c>
      <c r="C2140" s="14">
        <v>2040.53</v>
      </c>
      <c r="D2140" s="11" t="s">
        <v>5</v>
      </c>
    </row>
    <row r="2141" spans="1:4" x14ac:dyDescent="0.25">
      <c r="A2141" s="4" t="s">
        <v>6792</v>
      </c>
      <c r="B2141" s="3" t="s">
        <v>2144</v>
      </c>
      <c r="C2141" s="14">
        <v>658.47</v>
      </c>
      <c r="D2141" s="11" t="s">
        <v>5</v>
      </c>
    </row>
    <row r="2142" spans="1:4" x14ac:dyDescent="0.25">
      <c r="A2142" s="4" t="s">
        <v>6793</v>
      </c>
      <c r="B2142" s="3" t="s">
        <v>2145</v>
      </c>
      <c r="C2142" s="14">
        <v>788.33</v>
      </c>
      <c r="D2142" s="11" t="s">
        <v>5</v>
      </c>
    </row>
    <row r="2143" spans="1:4" x14ac:dyDescent="0.25">
      <c r="A2143" s="4" t="s">
        <v>6794</v>
      </c>
      <c r="B2143" s="3" t="s">
        <v>2146</v>
      </c>
      <c r="C2143" s="14">
        <v>2179.94</v>
      </c>
      <c r="D2143" s="11" t="s">
        <v>5</v>
      </c>
    </row>
    <row r="2144" spans="1:4" x14ac:dyDescent="0.25">
      <c r="A2144" s="4" t="s">
        <v>6795</v>
      </c>
      <c r="B2144" s="3" t="s">
        <v>2147</v>
      </c>
      <c r="C2144" s="14">
        <v>1026.74</v>
      </c>
      <c r="D2144" s="11" t="s">
        <v>5</v>
      </c>
    </row>
    <row r="2145" spans="1:4" x14ac:dyDescent="0.25">
      <c r="A2145" s="4" t="s">
        <v>6796</v>
      </c>
      <c r="B2145" s="3" t="s">
        <v>2148</v>
      </c>
      <c r="C2145" s="14">
        <v>834.24</v>
      </c>
      <c r="D2145" s="11" t="s">
        <v>5</v>
      </c>
    </row>
    <row r="2146" spans="1:4" x14ac:dyDescent="0.25">
      <c r="A2146" s="4" t="s">
        <v>6797</v>
      </c>
      <c r="B2146" s="3" t="s">
        <v>2149</v>
      </c>
      <c r="C2146" s="14">
        <v>1602.92</v>
      </c>
      <c r="D2146" s="11" t="s">
        <v>5</v>
      </c>
    </row>
    <row r="2147" spans="1:4" x14ac:dyDescent="0.25">
      <c r="A2147" s="4" t="s">
        <v>6798</v>
      </c>
      <c r="B2147" s="3" t="s">
        <v>2150</v>
      </c>
      <c r="C2147" s="14">
        <v>1802.3</v>
      </c>
      <c r="D2147" s="11" t="s">
        <v>5</v>
      </c>
    </row>
    <row r="2148" spans="1:4" x14ac:dyDescent="0.25">
      <c r="A2148" s="4" t="s">
        <v>6799</v>
      </c>
      <c r="B2148" s="3" t="s">
        <v>2151</v>
      </c>
      <c r="C2148" s="14">
        <v>2939.75</v>
      </c>
      <c r="D2148" s="11" t="s">
        <v>5</v>
      </c>
    </row>
    <row r="2149" spans="1:4" x14ac:dyDescent="0.25">
      <c r="A2149" s="4" t="s">
        <v>6800</v>
      </c>
      <c r="B2149" s="3" t="s">
        <v>2152</v>
      </c>
      <c r="C2149" s="14">
        <v>1753.85</v>
      </c>
      <c r="D2149" s="11" t="s">
        <v>5</v>
      </c>
    </row>
    <row r="2150" spans="1:4" x14ac:dyDescent="0.25">
      <c r="A2150" s="4" t="s">
        <v>6801</v>
      </c>
      <c r="B2150" s="3" t="s">
        <v>2153</v>
      </c>
      <c r="C2150" s="14">
        <v>2057.2399999999998</v>
      </c>
      <c r="D2150" s="11" t="s">
        <v>5</v>
      </c>
    </row>
    <row r="2151" spans="1:4" x14ac:dyDescent="0.25">
      <c r="A2151" s="4" t="s">
        <v>6802</v>
      </c>
      <c r="B2151" s="3" t="s">
        <v>2154</v>
      </c>
      <c r="C2151" s="14">
        <v>2207.0700000000002</v>
      </c>
      <c r="D2151" s="11" t="s">
        <v>5</v>
      </c>
    </row>
    <row r="2152" spans="1:4" x14ac:dyDescent="0.25">
      <c r="A2152" s="4" t="s">
        <v>6803</v>
      </c>
      <c r="B2152" s="3" t="s">
        <v>2155</v>
      </c>
      <c r="C2152" s="14">
        <v>2301.69</v>
      </c>
      <c r="D2152" s="11" t="s">
        <v>5</v>
      </c>
    </row>
    <row r="2153" spans="1:4" x14ac:dyDescent="0.25">
      <c r="A2153" s="4" t="s">
        <v>6804</v>
      </c>
      <c r="B2153" s="3" t="s">
        <v>2156</v>
      </c>
      <c r="C2153" s="14">
        <v>1396.73</v>
      </c>
      <c r="D2153" s="11" t="s">
        <v>5</v>
      </c>
    </row>
    <row r="2154" spans="1:4" x14ac:dyDescent="0.25">
      <c r="A2154" s="4" t="s">
        <v>6805</v>
      </c>
      <c r="B2154" s="3" t="s">
        <v>2157</v>
      </c>
      <c r="C2154" s="14">
        <v>1637.04</v>
      </c>
      <c r="D2154" s="11" t="s">
        <v>5</v>
      </c>
    </row>
    <row r="2155" spans="1:4" x14ac:dyDescent="0.25">
      <c r="A2155" s="4" t="s">
        <v>6806</v>
      </c>
      <c r="B2155" s="3" t="s">
        <v>2158</v>
      </c>
      <c r="C2155" s="14">
        <v>1488.92</v>
      </c>
      <c r="D2155" s="11" t="s">
        <v>5</v>
      </c>
    </row>
    <row r="2156" spans="1:4" x14ac:dyDescent="0.25">
      <c r="A2156" s="4" t="s">
        <v>6807</v>
      </c>
      <c r="B2156" s="3" t="s">
        <v>2159</v>
      </c>
      <c r="C2156" s="14">
        <v>1187.06</v>
      </c>
      <c r="D2156" s="11" t="s">
        <v>5</v>
      </c>
    </row>
    <row r="2157" spans="1:4" x14ac:dyDescent="0.25">
      <c r="A2157" s="4" t="s">
        <v>6808</v>
      </c>
      <c r="B2157" s="3" t="s">
        <v>2160</v>
      </c>
      <c r="C2157" s="14">
        <v>2524.1999999999998</v>
      </c>
      <c r="D2157" s="11" t="s">
        <v>5</v>
      </c>
    </row>
    <row r="2158" spans="1:4" x14ac:dyDescent="0.25">
      <c r="A2158" s="4" t="s">
        <v>6809</v>
      </c>
      <c r="B2158" s="3" t="s">
        <v>2161</v>
      </c>
      <c r="C2158" s="14">
        <v>1843.67</v>
      </c>
      <c r="D2158" s="11" t="s">
        <v>5</v>
      </c>
    </row>
    <row r="2159" spans="1:4" x14ac:dyDescent="0.25">
      <c r="A2159" s="4" t="s">
        <v>6810</v>
      </c>
      <c r="B2159" s="3" t="s">
        <v>2162</v>
      </c>
      <c r="C2159" s="14">
        <v>1305.48</v>
      </c>
      <c r="D2159" s="11" t="s">
        <v>5</v>
      </c>
    </row>
    <row r="2160" spans="1:4" x14ac:dyDescent="0.25">
      <c r="A2160" s="4" t="s">
        <v>6811</v>
      </c>
      <c r="B2160" s="3" t="s">
        <v>2163</v>
      </c>
      <c r="C2160" s="14">
        <v>1123.28</v>
      </c>
      <c r="D2160" s="11" t="s">
        <v>5</v>
      </c>
    </row>
    <row r="2161" spans="1:4" x14ac:dyDescent="0.25">
      <c r="A2161" s="4" t="s">
        <v>6812</v>
      </c>
      <c r="B2161" s="3" t="s">
        <v>2164</v>
      </c>
      <c r="C2161" s="14">
        <v>1466.57</v>
      </c>
      <c r="D2161" s="11" t="s">
        <v>5</v>
      </c>
    </row>
    <row r="2162" spans="1:4" x14ac:dyDescent="0.25">
      <c r="A2162" s="4" t="s">
        <v>6813</v>
      </c>
      <c r="B2162" s="3" t="s">
        <v>2165</v>
      </c>
      <c r="C2162" s="14">
        <v>1718.88</v>
      </c>
      <c r="D2162" s="11" t="s">
        <v>5</v>
      </c>
    </row>
    <row r="2163" spans="1:4" x14ac:dyDescent="0.25">
      <c r="A2163" s="4" t="s">
        <v>6814</v>
      </c>
      <c r="B2163" s="3" t="s">
        <v>2166</v>
      </c>
      <c r="C2163" s="14">
        <v>1563.35</v>
      </c>
      <c r="D2163" s="11" t="s">
        <v>5</v>
      </c>
    </row>
    <row r="2164" spans="1:4" x14ac:dyDescent="0.25">
      <c r="A2164" s="4" t="s">
        <v>6815</v>
      </c>
      <c r="B2164" s="3" t="s">
        <v>2167</v>
      </c>
      <c r="C2164" s="14">
        <v>1246.43</v>
      </c>
      <c r="D2164" s="11" t="s">
        <v>5</v>
      </c>
    </row>
    <row r="2165" spans="1:4" x14ac:dyDescent="0.25">
      <c r="A2165" s="4" t="s">
        <v>6816</v>
      </c>
      <c r="B2165" s="3" t="s">
        <v>2168</v>
      </c>
      <c r="C2165" s="14">
        <v>2650.43</v>
      </c>
      <c r="D2165" s="11" t="s">
        <v>5</v>
      </c>
    </row>
    <row r="2166" spans="1:4" x14ac:dyDescent="0.25">
      <c r="A2166" s="4" t="s">
        <v>6817</v>
      </c>
      <c r="B2166" s="3" t="s">
        <v>2169</v>
      </c>
      <c r="C2166" s="14">
        <v>1935.86</v>
      </c>
      <c r="D2166" s="11" t="s">
        <v>5</v>
      </c>
    </row>
    <row r="2167" spans="1:4" x14ac:dyDescent="0.25">
      <c r="A2167" s="4" t="s">
        <v>6818</v>
      </c>
      <c r="B2167" s="3" t="s">
        <v>2170</v>
      </c>
      <c r="C2167" s="14">
        <v>1370.76</v>
      </c>
      <c r="D2167" s="11" t="s">
        <v>5</v>
      </c>
    </row>
    <row r="2168" spans="1:4" x14ac:dyDescent="0.25">
      <c r="A2168" s="4" t="s">
        <v>6819</v>
      </c>
      <c r="B2168" s="3" t="s">
        <v>2171</v>
      </c>
      <c r="C2168" s="14">
        <v>1690.91</v>
      </c>
      <c r="D2168" s="11" t="s">
        <v>5</v>
      </c>
    </row>
    <row r="2169" spans="1:4" x14ac:dyDescent="0.25">
      <c r="A2169" s="4" t="s">
        <v>6820</v>
      </c>
      <c r="B2169" s="3" t="s">
        <v>2172</v>
      </c>
      <c r="C2169" s="14">
        <v>1336.23</v>
      </c>
      <c r="D2169" s="11" t="s">
        <v>5</v>
      </c>
    </row>
    <row r="2170" spans="1:4" x14ac:dyDescent="0.25">
      <c r="A2170" s="4" t="s">
        <v>6821</v>
      </c>
      <c r="B2170" s="3" t="s">
        <v>2173</v>
      </c>
      <c r="C2170" s="14">
        <v>1441.23</v>
      </c>
      <c r="D2170" s="11" t="s">
        <v>5</v>
      </c>
    </row>
    <row r="2171" spans="1:4" x14ac:dyDescent="0.25">
      <c r="A2171" s="4" t="s">
        <v>6822</v>
      </c>
      <c r="B2171" s="3" t="s">
        <v>2174</v>
      </c>
      <c r="C2171" s="14">
        <v>2.87</v>
      </c>
      <c r="D2171" s="11" t="s">
        <v>5</v>
      </c>
    </row>
    <row r="2172" spans="1:4" x14ac:dyDescent="0.25">
      <c r="A2172" s="4" t="s">
        <v>6823</v>
      </c>
      <c r="B2172" s="3" t="s">
        <v>2175</v>
      </c>
      <c r="C2172" s="14">
        <v>3.27</v>
      </c>
      <c r="D2172" s="11" t="s">
        <v>5</v>
      </c>
    </row>
    <row r="2173" spans="1:4" x14ac:dyDescent="0.25">
      <c r="A2173" s="4" t="s">
        <v>6824</v>
      </c>
      <c r="B2173" s="3" t="s">
        <v>2176</v>
      </c>
      <c r="C2173" s="14">
        <v>99367.19</v>
      </c>
      <c r="D2173" s="11" t="s">
        <v>5</v>
      </c>
    </row>
    <row r="2174" spans="1:4" x14ac:dyDescent="0.25">
      <c r="A2174" s="4" t="s">
        <v>6825</v>
      </c>
      <c r="B2174" s="3" t="s">
        <v>2177</v>
      </c>
      <c r="C2174" s="14">
        <v>736.43</v>
      </c>
      <c r="D2174" s="11" t="s">
        <v>5</v>
      </c>
    </row>
    <row r="2175" spans="1:4" x14ac:dyDescent="0.25">
      <c r="A2175" s="4" t="s">
        <v>6826</v>
      </c>
      <c r="B2175" s="3" t="s">
        <v>2178</v>
      </c>
      <c r="C2175" s="14">
        <v>640.37</v>
      </c>
      <c r="D2175" s="11" t="s">
        <v>5</v>
      </c>
    </row>
    <row r="2176" spans="1:4" x14ac:dyDescent="0.25">
      <c r="A2176" s="4" t="s">
        <v>6827</v>
      </c>
      <c r="B2176" s="3" t="s">
        <v>2179</v>
      </c>
      <c r="C2176" s="14">
        <v>640.37</v>
      </c>
      <c r="D2176" s="11" t="s">
        <v>5</v>
      </c>
    </row>
    <row r="2177" spans="1:4" x14ac:dyDescent="0.25">
      <c r="A2177" s="4" t="s">
        <v>6828</v>
      </c>
      <c r="B2177" s="3" t="s">
        <v>2180</v>
      </c>
      <c r="C2177" s="14">
        <v>640.37</v>
      </c>
      <c r="D2177" s="11" t="s">
        <v>5</v>
      </c>
    </row>
    <row r="2178" spans="1:4" x14ac:dyDescent="0.25">
      <c r="A2178" s="4" t="s">
        <v>6829</v>
      </c>
      <c r="B2178" s="3" t="s">
        <v>2181</v>
      </c>
      <c r="C2178" s="14">
        <v>816.68</v>
      </c>
      <c r="D2178" s="11" t="s">
        <v>5</v>
      </c>
    </row>
    <row r="2179" spans="1:4" x14ac:dyDescent="0.25">
      <c r="A2179" s="4" t="s">
        <v>6830</v>
      </c>
      <c r="B2179" s="3" t="s">
        <v>2182</v>
      </c>
      <c r="C2179" s="14">
        <v>643.34</v>
      </c>
      <c r="D2179" s="11" t="s">
        <v>5</v>
      </c>
    </row>
    <row r="2180" spans="1:4" x14ac:dyDescent="0.25">
      <c r="A2180" s="4" t="s">
        <v>6831</v>
      </c>
      <c r="B2180" s="3" t="s">
        <v>2183</v>
      </c>
      <c r="C2180" s="14">
        <v>99900.06</v>
      </c>
      <c r="D2180" s="11" t="s">
        <v>5</v>
      </c>
    </row>
    <row r="2181" spans="1:4" x14ac:dyDescent="0.25">
      <c r="A2181" s="4" t="s">
        <v>6832</v>
      </c>
      <c r="B2181" s="3" t="s">
        <v>2184</v>
      </c>
      <c r="C2181" s="14">
        <v>111102.99</v>
      </c>
      <c r="D2181" s="11" t="s">
        <v>5</v>
      </c>
    </row>
    <row r="2182" spans="1:4" x14ac:dyDescent="0.25">
      <c r="A2182" s="4" t="s">
        <v>6833</v>
      </c>
      <c r="B2182" s="3" t="s">
        <v>2185</v>
      </c>
      <c r="C2182" s="14">
        <v>95840.12</v>
      </c>
      <c r="D2182" s="11" t="s">
        <v>5</v>
      </c>
    </row>
    <row r="2183" spans="1:4" x14ac:dyDescent="0.25">
      <c r="A2183" s="4" t="s">
        <v>6834</v>
      </c>
      <c r="B2183" s="3" t="s">
        <v>2186</v>
      </c>
      <c r="C2183" s="14">
        <v>83711.03</v>
      </c>
      <c r="D2183" s="11" t="s">
        <v>5</v>
      </c>
    </row>
    <row r="2184" spans="1:4" x14ac:dyDescent="0.25">
      <c r="A2184" s="4" t="s">
        <v>6835</v>
      </c>
      <c r="B2184" s="3" t="s">
        <v>2187</v>
      </c>
      <c r="C2184" s="14">
        <v>90600.26</v>
      </c>
      <c r="D2184" s="11" t="s">
        <v>5</v>
      </c>
    </row>
    <row r="2185" spans="1:4" x14ac:dyDescent="0.25">
      <c r="A2185" s="4" t="s">
        <v>6836</v>
      </c>
      <c r="B2185" s="3" t="s">
        <v>2188</v>
      </c>
      <c r="C2185" s="14">
        <v>1378.65</v>
      </c>
      <c r="D2185" s="11" t="s">
        <v>5</v>
      </c>
    </row>
    <row r="2186" spans="1:4" x14ac:dyDescent="0.25">
      <c r="A2186" s="4" t="s">
        <v>6837</v>
      </c>
      <c r="B2186" s="3" t="s">
        <v>2189</v>
      </c>
      <c r="C2186" s="14">
        <v>3530.6</v>
      </c>
      <c r="D2186" s="11" t="s">
        <v>5</v>
      </c>
    </row>
    <row r="2187" spans="1:4" x14ac:dyDescent="0.25">
      <c r="A2187" s="4" t="s">
        <v>6838</v>
      </c>
      <c r="B2187" s="3" t="s">
        <v>2190</v>
      </c>
      <c r="C2187" s="14">
        <v>5360.6</v>
      </c>
      <c r="D2187" s="11" t="s">
        <v>5</v>
      </c>
    </row>
    <row r="2188" spans="1:4" x14ac:dyDescent="0.25">
      <c r="A2188" s="4" t="s">
        <v>6839</v>
      </c>
      <c r="B2188" s="3" t="s">
        <v>2191</v>
      </c>
      <c r="C2188" s="14">
        <v>1171.68</v>
      </c>
      <c r="D2188" s="11" t="s">
        <v>5</v>
      </c>
    </row>
    <row r="2189" spans="1:4" x14ac:dyDescent="0.25">
      <c r="A2189" s="4" t="s">
        <v>6840</v>
      </c>
      <c r="B2189" s="3" t="s">
        <v>2192</v>
      </c>
      <c r="C2189" s="14">
        <v>1296.18</v>
      </c>
      <c r="D2189" s="11" t="s">
        <v>5</v>
      </c>
    </row>
    <row r="2190" spans="1:4" x14ac:dyDescent="0.25">
      <c r="A2190" s="4" t="s">
        <v>6841</v>
      </c>
      <c r="B2190" s="3" t="s">
        <v>2193</v>
      </c>
      <c r="C2190" s="14">
        <v>1607.66</v>
      </c>
      <c r="D2190" s="11" t="s">
        <v>5</v>
      </c>
    </row>
    <row r="2191" spans="1:4" x14ac:dyDescent="0.25">
      <c r="A2191" s="4" t="s">
        <v>6842</v>
      </c>
      <c r="B2191" s="3" t="s">
        <v>2194</v>
      </c>
      <c r="C2191" s="14">
        <v>86.33</v>
      </c>
      <c r="D2191" s="11" t="s">
        <v>5</v>
      </c>
    </row>
    <row r="2192" spans="1:4" x14ac:dyDescent="0.25">
      <c r="A2192" s="4" t="s">
        <v>6843</v>
      </c>
      <c r="B2192" s="3" t="s">
        <v>2195</v>
      </c>
      <c r="C2192" s="14">
        <v>134.82</v>
      </c>
      <c r="D2192" s="11" t="s">
        <v>5</v>
      </c>
    </row>
    <row r="2193" spans="1:4" x14ac:dyDescent="0.25">
      <c r="A2193" s="4" t="s">
        <v>6844</v>
      </c>
      <c r="B2193" s="3" t="s">
        <v>2196</v>
      </c>
      <c r="C2193" s="14">
        <v>30.33</v>
      </c>
      <c r="D2193" s="11" t="s">
        <v>5</v>
      </c>
    </row>
    <row r="2194" spans="1:4" x14ac:dyDescent="0.25">
      <c r="A2194" s="4" t="s">
        <v>6845</v>
      </c>
      <c r="B2194" s="3" t="s">
        <v>2197</v>
      </c>
      <c r="C2194" s="14">
        <v>38.49</v>
      </c>
      <c r="D2194" s="11" t="s">
        <v>5</v>
      </c>
    </row>
    <row r="2195" spans="1:4" x14ac:dyDescent="0.25">
      <c r="A2195" s="4" t="s">
        <v>6846</v>
      </c>
      <c r="B2195" s="3" t="s">
        <v>2198</v>
      </c>
      <c r="C2195" s="14">
        <v>51.32</v>
      </c>
      <c r="D2195" s="11" t="s">
        <v>5</v>
      </c>
    </row>
    <row r="2196" spans="1:4" x14ac:dyDescent="0.25">
      <c r="A2196" s="4" t="s">
        <v>6847</v>
      </c>
      <c r="B2196" s="3" t="s">
        <v>2199</v>
      </c>
      <c r="C2196" s="14">
        <v>56.57</v>
      </c>
      <c r="D2196" s="11" t="s">
        <v>5</v>
      </c>
    </row>
    <row r="2197" spans="1:4" x14ac:dyDescent="0.25">
      <c r="A2197" s="4" t="s">
        <v>6848</v>
      </c>
      <c r="B2197" s="3" t="s">
        <v>2200</v>
      </c>
      <c r="C2197" s="14">
        <v>51.32</v>
      </c>
      <c r="D2197" s="11" t="s">
        <v>5</v>
      </c>
    </row>
    <row r="2198" spans="1:4" x14ac:dyDescent="0.25">
      <c r="A2198" s="4" t="s">
        <v>6849</v>
      </c>
      <c r="B2198" s="3" t="s">
        <v>2201</v>
      </c>
      <c r="C2198" s="14">
        <v>67.650000000000006</v>
      </c>
      <c r="D2198" s="11" t="s">
        <v>5</v>
      </c>
    </row>
    <row r="2199" spans="1:4" x14ac:dyDescent="0.25">
      <c r="A2199" s="4" t="s">
        <v>6850</v>
      </c>
      <c r="B2199" s="3" t="s">
        <v>2202</v>
      </c>
      <c r="C2199" s="14">
        <v>83.4</v>
      </c>
      <c r="D2199" s="11" t="s">
        <v>5</v>
      </c>
    </row>
    <row r="2200" spans="1:4" x14ac:dyDescent="0.25">
      <c r="A2200" s="4" t="s">
        <v>6851</v>
      </c>
      <c r="B2200" s="3" t="s">
        <v>2203</v>
      </c>
      <c r="C2200" s="14">
        <v>113.15</v>
      </c>
      <c r="D2200" s="11" t="s">
        <v>5</v>
      </c>
    </row>
    <row r="2201" spans="1:4" x14ac:dyDescent="0.25">
      <c r="A2201" s="4" t="s">
        <v>6852</v>
      </c>
      <c r="B2201" s="3" t="s">
        <v>2204</v>
      </c>
      <c r="C2201" s="14">
        <v>48.99</v>
      </c>
      <c r="D2201" s="11" t="s">
        <v>5</v>
      </c>
    </row>
    <row r="2202" spans="1:4" x14ac:dyDescent="0.25">
      <c r="A2202" s="4" t="s">
        <v>6853</v>
      </c>
      <c r="B2202" s="3" t="s">
        <v>2205</v>
      </c>
      <c r="C2202" s="14">
        <v>30.92</v>
      </c>
      <c r="D2202" s="11" t="s">
        <v>5</v>
      </c>
    </row>
    <row r="2203" spans="1:4" x14ac:dyDescent="0.25">
      <c r="A2203" s="4" t="s">
        <v>6854</v>
      </c>
      <c r="B2203" s="3" t="s">
        <v>2206</v>
      </c>
      <c r="C2203" s="14">
        <v>37.32</v>
      </c>
      <c r="D2203" s="11" t="s">
        <v>5</v>
      </c>
    </row>
    <row r="2204" spans="1:4" x14ac:dyDescent="0.25">
      <c r="A2204" s="4" t="s">
        <v>6855</v>
      </c>
      <c r="B2204" s="3" t="s">
        <v>2207</v>
      </c>
      <c r="C2204" s="14">
        <v>30.33</v>
      </c>
      <c r="D2204" s="11" t="s">
        <v>5</v>
      </c>
    </row>
    <row r="2205" spans="1:4" x14ac:dyDescent="0.25">
      <c r="A2205" s="4" t="s">
        <v>6856</v>
      </c>
      <c r="B2205" s="3" t="s">
        <v>2208</v>
      </c>
      <c r="C2205" s="14">
        <v>23.33</v>
      </c>
      <c r="D2205" s="11" t="s">
        <v>5</v>
      </c>
    </row>
    <row r="2206" spans="1:4" x14ac:dyDescent="0.25">
      <c r="A2206" s="4" t="s">
        <v>6857</v>
      </c>
      <c r="B2206" s="3" t="s">
        <v>2209</v>
      </c>
      <c r="C2206" s="14">
        <v>96.23</v>
      </c>
      <c r="D2206" s="11" t="s">
        <v>5</v>
      </c>
    </row>
    <row r="2207" spans="1:4" x14ac:dyDescent="0.25">
      <c r="A2207" s="4" t="s">
        <v>6858</v>
      </c>
      <c r="B2207" s="3" t="s">
        <v>2210</v>
      </c>
      <c r="C2207" s="14">
        <v>124.22</v>
      </c>
      <c r="D2207" s="11" t="s">
        <v>5</v>
      </c>
    </row>
    <row r="2208" spans="1:4" x14ac:dyDescent="0.25">
      <c r="A2208" s="4" t="s">
        <v>6859</v>
      </c>
      <c r="B2208" s="3" t="s">
        <v>2211</v>
      </c>
      <c r="C2208" s="14">
        <v>184.88</v>
      </c>
      <c r="D2208" s="11" t="s">
        <v>5</v>
      </c>
    </row>
    <row r="2209" spans="1:4" x14ac:dyDescent="0.25">
      <c r="A2209" s="4" t="s">
        <v>6860</v>
      </c>
      <c r="B2209" s="3" t="s">
        <v>2212</v>
      </c>
      <c r="C2209" s="14">
        <v>34.01</v>
      </c>
      <c r="D2209" s="11" t="s">
        <v>5</v>
      </c>
    </row>
    <row r="2210" spans="1:4" x14ac:dyDescent="0.25">
      <c r="A2210" s="4" t="s">
        <v>6861</v>
      </c>
      <c r="B2210" s="3" t="s">
        <v>2213</v>
      </c>
      <c r="C2210" s="14">
        <v>25.2</v>
      </c>
      <c r="D2210" s="11" t="s">
        <v>5</v>
      </c>
    </row>
    <row r="2211" spans="1:4" x14ac:dyDescent="0.25">
      <c r="A2211" s="4" t="s">
        <v>6862</v>
      </c>
      <c r="B2211" s="3" t="s">
        <v>2214</v>
      </c>
      <c r="C2211" s="14">
        <v>21.51</v>
      </c>
      <c r="D2211" s="11" t="s">
        <v>5</v>
      </c>
    </row>
    <row r="2212" spans="1:4" x14ac:dyDescent="0.25">
      <c r="A2212" s="4" t="s">
        <v>6863</v>
      </c>
      <c r="B2212" s="3" t="s">
        <v>2215</v>
      </c>
      <c r="C2212" s="14">
        <v>82.82</v>
      </c>
      <c r="D2212" s="11" t="s">
        <v>5</v>
      </c>
    </row>
    <row r="2213" spans="1:4" x14ac:dyDescent="0.25">
      <c r="A2213" s="4" t="s">
        <v>6864</v>
      </c>
      <c r="B2213" s="3" t="s">
        <v>2216</v>
      </c>
      <c r="C2213" s="14">
        <v>170.88</v>
      </c>
      <c r="D2213" s="11" t="s">
        <v>5</v>
      </c>
    </row>
    <row r="2214" spans="1:4" x14ac:dyDescent="0.25">
      <c r="A2214" s="4" t="s">
        <v>6865</v>
      </c>
      <c r="B2214" s="3" t="s">
        <v>2217</v>
      </c>
      <c r="C2214" s="14">
        <v>54.24</v>
      </c>
      <c r="D2214" s="11" t="s">
        <v>5</v>
      </c>
    </row>
    <row r="2215" spans="1:4" x14ac:dyDescent="0.25">
      <c r="A2215" s="4" t="s">
        <v>6866</v>
      </c>
      <c r="B2215" s="3" t="s">
        <v>2218</v>
      </c>
      <c r="C2215" s="14">
        <v>57.29</v>
      </c>
      <c r="D2215" s="11" t="s">
        <v>5</v>
      </c>
    </row>
    <row r="2216" spans="1:4" x14ac:dyDescent="0.25">
      <c r="A2216" s="4" t="s">
        <v>6867</v>
      </c>
      <c r="B2216" s="3" t="s">
        <v>2219</v>
      </c>
      <c r="C2216" s="14">
        <v>56.57</v>
      </c>
      <c r="D2216" s="11" t="s">
        <v>5</v>
      </c>
    </row>
    <row r="2217" spans="1:4" x14ac:dyDescent="0.25">
      <c r="A2217" s="4" t="s">
        <v>6868</v>
      </c>
      <c r="B2217" s="3" t="s">
        <v>2220</v>
      </c>
      <c r="C2217" s="14">
        <v>27.99</v>
      </c>
      <c r="D2217" s="11" t="s">
        <v>5</v>
      </c>
    </row>
    <row r="2218" spans="1:4" x14ac:dyDescent="0.25">
      <c r="A2218" s="4" t="s">
        <v>6869</v>
      </c>
      <c r="B2218" s="3" t="s">
        <v>2221</v>
      </c>
      <c r="C2218" s="14">
        <v>39.08</v>
      </c>
      <c r="D2218" s="11" t="s">
        <v>5</v>
      </c>
    </row>
    <row r="2219" spans="1:4" x14ac:dyDescent="0.25">
      <c r="A2219" s="4" t="s">
        <v>6870</v>
      </c>
      <c r="B2219" s="3" t="s">
        <v>2222</v>
      </c>
      <c r="C2219" s="14">
        <v>43.16</v>
      </c>
      <c r="D2219" s="11" t="s">
        <v>5</v>
      </c>
    </row>
    <row r="2220" spans="1:4" x14ac:dyDescent="0.25">
      <c r="A2220" s="4" t="s">
        <v>6871</v>
      </c>
      <c r="B2220" s="3" t="s">
        <v>2223</v>
      </c>
      <c r="C2220" s="14">
        <v>37.909999999999997</v>
      </c>
      <c r="D2220" s="11" t="s">
        <v>5</v>
      </c>
    </row>
    <row r="2221" spans="1:4" x14ac:dyDescent="0.25">
      <c r="A2221" s="4" t="s">
        <v>6872</v>
      </c>
      <c r="B2221" s="3" t="s">
        <v>2224</v>
      </c>
      <c r="C2221" s="14">
        <v>44.91</v>
      </c>
      <c r="D2221" s="11" t="s">
        <v>5</v>
      </c>
    </row>
    <row r="2222" spans="1:4" x14ac:dyDescent="0.25">
      <c r="A2222" s="4" t="s">
        <v>6873</v>
      </c>
      <c r="B2222" s="3" t="s">
        <v>2225</v>
      </c>
      <c r="C2222" s="14">
        <v>50.75</v>
      </c>
      <c r="D2222" s="11" t="s">
        <v>5</v>
      </c>
    </row>
    <row r="2223" spans="1:4" x14ac:dyDescent="0.25">
      <c r="A2223" s="4" t="s">
        <v>6874</v>
      </c>
      <c r="B2223" s="3" t="s">
        <v>2226</v>
      </c>
      <c r="C2223" s="14">
        <v>39.08</v>
      </c>
      <c r="D2223" s="11" t="s">
        <v>5</v>
      </c>
    </row>
    <row r="2224" spans="1:4" x14ac:dyDescent="0.25">
      <c r="A2224" s="4" t="s">
        <v>6875</v>
      </c>
      <c r="B2224" s="3" t="s">
        <v>2227</v>
      </c>
      <c r="C2224" s="14">
        <v>14227.2</v>
      </c>
      <c r="D2224" s="11" t="s">
        <v>5</v>
      </c>
    </row>
    <row r="2225" spans="1:4" x14ac:dyDescent="0.25">
      <c r="A2225" s="4" t="s">
        <v>6876</v>
      </c>
      <c r="B2225" s="3" t="s">
        <v>2228</v>
      </c>
      <c r="C2225" s="14">
        <v>11439.36</v>
      </c>
      <c r="D2225" s="11" t="s">
        <v>5</v>
      </c>
    </row>
    <row r="2226" spans="1:4" x14ac:dyDescent="0.25">
      <c r="A2226" s="4" t="s">
        <v>6877</v>
      </c>
      <c r="B2226" s="3" t="s">
        <v>2229</v>
      </c>
      <c r="C2226" s="14">
        <v>3619.2</v>
      </c>
      <c r="D2226" s="11" t="s">
        <v>5</v>
      </c>
    </row>
    <row r="2227" spans="1:4" x14ac:dyDescent="0.25">
      <c r="A2227" s="4" t="s">
        <v>6878</v>
      </c>
      <c r="B2227" s="3" t="s">
        <v>2230</v>
      </c>
      <c r="C2227" s="14">
        <v>1485</v>
      </c>
      <c r="D2227" s="11" t="s">
        <v>5</v>
      </c>
    </row>
    <row r="2228" spans="1:4" x14ac:dyDescent="0.25">
      <c r="A2228" s="4" t="s">
        <v>6879</v>
      </c>
      <c r="B2228" s="3" t="s">
        <v>2231</v>
      </c>
      <c r="C2228" s="14">
        <v>4783.1400000000003</v>
      </c>
      <c r="D2228" s="11" t="s">
        <v>5</v>
      </c>
    </row>
    <row r="2229" spans="1:4" x14ac:dyDescent="0.25">
      <c r="A2229" s="4" t="s">
        <v>6880</v>
      </c>
      <c r="B2229" s="3" t="s">
        <v>2232</v>
      </c>
      <c r="C2229" s="14">
        <v>4783.1400000000003</v>
      </c>
      <c r="D2229" s="11" t="s">
        <v>5</v>
      </c>
    </row>
    <row r="2230" spans="1:4" x14ac:dyDescent="0.25">
      <c r="A2230" s="4" t="s">
        <v>6881</v>
      </c>
      <c r="B2230" s="3" t="s">
        <v>2233</v>
      </c>
      <c r="C2230" s="14">
        <v>3338.13</v>
      </c>
      <c r="D2230" s="11" t="s">
        <v>5</v>
      </c>
    </row>
    <row r="2231" spans="1:4" x14ac:dyDescent="0.25">
      <c r="A2231" s="4" t="s">
        <v>6882</v>
      </c>
      <c r="B2231" s="3" t="s">
        <v>2234</v>
      </c>
      <c r="C2231" s="14">
        <v>1464.84</v>
      </c>
      <c r="D2231" s="11" t="s">
        <v>5</v>
      </c>
    </row>
    <row r="2232" spans="1:4" x14ac:dyDescent="0.25">
      <c r="A2232" s="4" t="s">
        <v>6883</v>
      </c>
      <c r="B2232" s="3" t="s">
        <v>2235</v>
      </c>
      <c r="C2232" s="14">
        <v>1681.53</v>
      </c>
      <c r="D2232" s="11" t="s">
        <v>5</v>
      </c>
    </row>
    <row r="2233" spans="1:4" x14ac:dyDescent="0.25">
      <c r="A2233" s="4" t="s">
        <v>6884</v>
      </c>
      <c r="B2233" s="3" t="s">
        <v>2236</v>
      </c>
      <c r="C2233" s="14">
        <v>37258.47</v>
      </c>
      <c r="D2233" s="11" t="s">
        <v>5</v>
      </c>
    </row>
    <row r="2234" spans="1:4" x14ac:dyDescent="0.25">
      <c r="A2234" s="4" t="s">
        <v>6885</v>
      </c>
      <c r="B2234" s="3" t="s">
        <v>2237</v>
      </c>
      <c r="C2234" s="14">
        <v>274.70999999999998</v>
      </c>
      <c r="D2234" s="11" t="s">
        <v>5</v>
      </c>
    </row>
    <row r="2235" spans="1:4" x14ac:dyDescent="0.25">
      <c r="A2235" s="4" t="s">
        <v>6886</v>
      </c>
      <c r="B2235" s="3" t="s">
        <v>2238</v>
      </c>
      <c r="C2235" s="14">
        <v>214.22</v>
      </c>
      <c r="D2235" s="11" t="s">
        <v>5</v>
      </c>
    </row>
    <row r="2236" spans="1:4" x14ac:dyDescent="0.25">
      <c r="A2236" s="4" t="s">
        <v>6887</v>
      </c>
      <c r="B2236" s="3" t="s">
        <v>2239</v>
      </c>
      <c r="C2236" s="14">
        <v>274.70999999999998</v>
      </c>
      <c r="D2236" s="11" t="s">
        <v>5</v>
      </c>
    </row>
    <row r="2237" spans="1:4" x14ac:dyDescent="0.25">
      <c r="A2237" s="4" t="s">
        <v>6888</v>
      </c>
      <c r="B2237" s="3" t="s">
        <v>2240</v>
      </c>
      <c r="C2237" s="14">
        <v>214.22</v>
      </c>
      <c r="D2237" s="11" t="s">
        <v>5</v>
      </c>
    </row>
    <row r="2238" spans="1:4" x14ac:dyDescent="0.25">
      <c r="A2238" s="4" t="s">
        <v>6889</v>
      </c>
      <c r="B2238" s="3" t="s">
        <v>2241</v>
      </c>
      <c r="C2238" s="14">
        <v>274.70999999999998</v>
      </c>
      <c r="D2238" s="11" t="s">
        <v>5</v>
      </c>
    </row>
    <row r="2239" spans="1:4" x14ac:dyDescent="0.25">
      <c r="A2239" s="4" t="s">
        <v>6890</v>
      </c>
      <c r="B2239" s="3" t="s">
        <v>2242</v>
      </c>
      <c r="C2239" s="14">
        <v>214.22</v>
      </c>
      <c r="D2239" s="11" t="s">
        <v>5</v>
      </c>
    </row>
    <row r="2240" spans="1:4" x14ac:dyDescent="0.25">
      <c r="A2240" s="4" t="s">
        <v>6891</v>
      </c>
      <c r="B2240" s="3" t="s">
        <v>2243</v>
      </c>
      <c r="C2240" s="14">
        <v>33.69</v>
      </c>
      <c r="D2240" s="11" t="s">
        <v>5</v>
      </c>
    </row>
    <row r="2241" spans="1:4" x14ac:dyDescent="0.25">
      <c r="A2241" s="4" t="s">
        <v>6892</v>
      </c>
      <c r="B2241" s="3" t="s">
        <v>2244</v>
      </c>
      <c r="C2241" s="14">
        <v>33.69</v>
      </c>
      <c r="D2241" s="11" t="s">
        <v>5</v>
      </c>
    </row>
    <row r="2242" spans="1:4" x14ac:dyDescent="0.25">
      <c r="A2242" s="4" t="s">
        <v>6893</v>
      </c>
      <c r="B2242" s="3" t="s">
        <v>2245</v>
      </c>
      <c r="C2242" s="14">
        <v>33.69</v>
      </c>
      <c r="D2242" s="11" t="s">
        <v>5</v>
      </c>
    </row>
    <row r="2243" spans="1:4" x14ac:dyDescent="0.25">
      <c r="A2243" s="4" t="s">
        <v>6894</v>
      </c>
      <c r="B2243" s="3" t="s">
        <v>2246</v>
      </c>
      <c r="C2243" s="14">
        <v>1053.05</v>
      </c>
      <c r="D2243" s="11" t="s">
        <v>5</v>
      </c>
    </row>
    <row r="2244" spans="1:4" x14ac:dyDescent="0.25">
      <c r="A2244" s="4" t="s">
        <v>6895</v>
      </c>
      <c r="B2244" s="3" t="s">
        <v>2247</v>
      </c>
      <c r="C2244" s="14">
        <v>922.16</v>
      </c>
      <c r="D2244" s="11" t="s">
        <v>5</v>
      </c>
    </row>
    <row r="2245" spans="1:4" x14ac:dyDescent="0.25">
      <c r="A2245" s="4" t="s">
        <v>6896</v>
      </c>
      <c r="B2245" s="3" t="s">
        <v>2248</v>
      </c>
      <c r="C2245" s="14">
        <v>2194.7600000000002</v>
      </c>
      <c r="D2245" s="11" t="s">
        <v>5</v>
      </c>
    </row>
    <row r="2246" spans="1:4" x14ac:dyDescent="0.25">
      <c r="A2246" s="4" t="s">
        <v>6897</v>
      </c>
      <c r="B2246" s="3" t="s">
        <v>2249</v>
      </c>
      <c r="C2246" s="14">
        <v>4153.5600000000004</v>
      </c>
      <c r="D2246" s="11" t="s">
        <v>5</v>
      </c>
    </row>
    <row r="2247" spans="1:4" x14ac:dyDescent="0.25">
      <c r="A2247" s="4" t="s">
        <v>6898</v>
      </c>
      <c r="B2247" s="3" t="s">
        <v>2250</v>
      </c>
      <c r="C2247" s="14">
        <v>11958.6</v>
      </c>
      <c r="D2247" s="11" t="s">
        <v>5</v>
      </c>
    </row>
    <row r="2248" spans="1:4" x14ac:dyDescent="0.25">
      <c r="A2248" s="4" t="s">
        <v>6899</v>
      </c>
      <c r="B2248" s="3" t="s">
        <v>2251</v>
      </c>
      <c r="C2248" s="14">
        <v>938.87</v>
      </c>
      <c r="D2248" s="11" t="s">
        <v>5</v>
      </c>
    </row>
    <row r="2249" spans="1:4" x14ac:dyDescent="0.25">
      <c r="A2249" s="4" t="s">
        <v>6900</v>
      </c>
      <c r="B2249" s="3" t="s">
        <v>2252</v>
      </c>
      <c r="C2249" s="14">
        <v>1053.05</v>
      </c>
      <c r="D2249" s="11" t="s">
        <v>5</v>
      </c>
    </row>
    <row r="2250" spans="1:4" x14ac:dyDescent="0.25">
      <c r="A2250" s="4" t="s">
        <v>6901</v>
      </c>
      <c r="B2250" s="3" t="s">
        <v>2253</v>
      </c>
      <c r="C2250" s="14">
        <v>1497.12</v>
      </c>
      <c r="D2250" s="11" t="s">
        <v>5</v>
      </c>
    </row>
    <row r="2251" spans="1:4" x14ac:dyDescent="0.25">
      <c r="A2251" s="4" t="s">
        <v>6902</v>
      </c>
      <c r="B2251" s="3" t="s">
        <v>2254</v>
      </c>
      <c r="C2251" s="14">
        <v>3856.95</v>
      </c>
      <c r="D2251" s="11" t="s">
        <v>5</v>
      </c>
    </row>
    <row r="2252" spans="1:4" x14ac:dyDescent="0.25">
      <c r="A2252" s="4" t="s">
        <v>6903</v>
      </c>
      <c r="B2252" s="3" t="s">
        <v>2255</v>
      </c>
      <c r="C2252" s="14">
        <v>1966.53</v>
      </c>
      <c r="D2252" s="11" t="s">
        <v>5</v>
      </c>
    </row>
    <row r="2253" spans="1:4" x14ac:dyDescent="0.25">
      <c r="A2253" s="4" t="s">
        <v>6904</v>
      </c>
      <c r="B2253" s="3" t="s">
        <v>2256</v>
      </c>
      <c r="C2253" s="14">
        <v>4136.0600000000004</v>
      </c>
      <c r="D2253" s="11" t="s">
        <v>5</v>
      </c>
    </row>
    <row r="2254" spans="1:4" x14ac:dyDescent="0.25">
      <c r="A2254" s="4" t="s">
        <v>6905</v>
      </c>
      <c r="B2254" s="3" t="s">
        <v>2257</v>
      </c>
      <c r="C2254" s="14">
        <v>1776.23</v>
      </c>
      <c r="D2254" s="11" t="s">
        <v>5</v>
      </c>
    </row>
    <row r="2255" spans="1:4" x14ac:dyDescent="0.25">
      <c r="A2255" s="4" t="s">
        <v>6906</v>
      </c>
      <c r="B2255" s="3" t="s">
        <v>2258</v>
      </c>
      <c r="C2255" s="14">
        <v>921.6</v>
      </c>
      <c r="D2255" s="11" t="s">
        <v>5</v>
      </c>
    </row>
    <row r="2256" spans="1:4" x14ac:dyDescent="0.25">
      <c r="A2256" s="4" t="s">
        <v>6907</v>
      </c>
      <c r="B2256" s="3" t="s">
        <v>2259</v>
      </c>
      <c r="C2256" s="14">
        <v>38414.51</v>
      </c>
      <c r="D2256" s="11" t="s">
        <v>5</v>
      </c>
    </row>
    <row r="2257" spans="1:4" x14ac:dyDescent="0.25">
      <c r="A2257" s="4" t="s">
        <v>6908</v>
      </c>
      <c r="B2257" s="3" t="s">
        <v>2260</v>
      </c>
      <c r="C2257" s="14">
        <v>45193.55</v>
      </c>
      <c r="D2257" s="11" t="s">
        <v>5</v>
      </c>
    </row>
    <row r="2258" spans="1:4" x14ac:dyDescent="0.25">
      <c r="A2258" s="4" t="s">
        <v>6909</v>
      </c>
      <c r="B2258" s="3" t="s">
        <v>2261</v>
      </c>
      <c r="C2258" s="14">
        <v>3.11</v>
      </c>
      <c r="D2258" s="11" t="s">
        <v>5</v>
      </c>
    </row>
    <row r="2259" spans="1:4" x14ac:dyDescent="0.25">
      <c r="A2259" s="4" t="s">
        <v>6910</v>
      </c>
      <c r="B2259" s="3" t="s">
        <v>2262</v>
      </c>
      <c r="C2259" s="14">
        <v>406.44</v>
      </c>
      <c r="D2259" s="11" t="s">
        <v>5</v>
      </c>
    </row>
    <row r="2260" spans="1:4" x14ac:dyDescent="0.25">
      <c r="A2260" s="4" t="s">
        <v>6911</v>
      </c>
      <c r="B2260" s="3" t="s">
        <v>2263</v>
      </c>
      <c r="C2260" s="14">
        <v>42.57</v>
      </c>
      <c r="D2260" s="11" t="s">
        <v>5</v>
      </c>
    </row>
    <row r="2261" spans="1:4" x14ac:dyDescent="0.25">
      <c r="A2261" s="4" t="s">
        <v>6912</v>
      </c>
      <c r="B2261" s="3" t="s">
        <v>2264</v>
      </c>
      <c r="C2261" s="14">
        <v>57.15</v>
      </c>
      <c r="D2261" s="11" t="s">
        <v>5</v>
      </c>
    </row>
    <row r="2262" spans="1:4" x14ac:dyDescent="0.25">
      <c r="A2262" s="4" t="s">
        <v>6913</v>
      </c>
      <c r="B2262" s="3" t="s">
        <v>2265</v>
      </c>
      <c r="C2262" s="14">
        <v>31.5</v>
      </c>
      <c r="D2262" s="11" t="s">
        <v>5</v>
      </c>
    </row>
    <row r="2263" spans="1:4" x14ac:dyDescent="0.25">
      <c r="A2263" s="4" t="s">
        <v>6914</v>
      </c>
      <c r="B2263" s="3" t="s">
        <v>2266</v>
      </c>
      <c r="C2263" s="14">
        <v>690.66</v>
      </c>
      <c r="D2263" s="11" t="s">
        <v>5</v>
      </c>
    </row>
    <row r="2264" spans="1:4" x14ac:dyDescent="0.25">
      <c r="A2264" s="4" t="s">
        <v>6915</v>
      </c>
      <c r="B2264" s="3" t="s">
        <v>2267</v>
      </c>
      <c r="C2264" s="14">
        <v>35.58</v>
      </c>
      <c r="D2264" s="11" t="s">
        <v>5</v>
      </c>
    </row>
    <row r="2265" spans="1:4" x14ac:dyDescent="0.25">
      <c r="A2265" s="4" t="s">
        <v>6916</v>
      </c>
      <c r="B2265" s="3" t="s">
        <v>2268</v>
      </c>
      <c r="C2265" s="14">
        <v>32.659999999999997</v>
      </c>
      <c r="D2265" s="11" t="s">
        <v>5</v>
      </c>
    </row>
    <row r="2266" spans="1:4" x14ac:dyDescent="0.25">
      <c r="A2266" s="4" t="s">
        <v>6917</v>
      </c>
      <c r="B2266" s="3" t="s">
        <v>2269</v>
      </c>
      <c r="C2266" s="14">
        <v>23.34</v>
      </c>
      <c r="D2266" s="11" t="s">
        <v>5</v>
      </c>
    </row>
    <row r="2267" spans="1:4" x14ac:dyDescent="0.25">
      <c r="A2267" s="4" t="s">
        <v>6918</v>
      </c>
      <c r="B2267" s="3" t="s">
        <v>2270</v>
      </c>
      <c r="C2267" s="14">
        <v>27.27</v>
      </c>
      <c r="D2267" s="11" t="s">
        <v>5</v>
      </c>
    </row>
    <row r="2268" spans="1:4" x14ac:dyDescent="0.25">
      <c r="A2268" s="4" t="s">
        <v>6919</v>
      </c>
      <c r="B2268" s="3" t="s">
        <v>2271</v>
      </c>
      <c r="C2268" s="14">
        <v>280.25</v>
      </c>
      <c r="D2268" s="11" t="s">
        <v>5</v>
      </c>
    </row>
    <row r="2269" spans="1:4" x14ac:dyDescent="0.25">
      <c r="A2269" s="4" t="s">
        <v>6920</v>
      </c>
      <c r="B2269" s="3" t="s">
        <v>2272</v>
      </c>
      <c r="C2269" s="14">
        <v>81.650000000000006</v>
      </c>
      <c r="D2269" s="11" t="s">
        <v>5</v>
      </c>
    </row>
    <row r="2270" spans="1:4" x14ac:dyDescent="0.25">
      <c r="A2270" s="4" t="s">
        <v>6921</v>
      </c>
      <c r="B2270" s="3" t="s">
        <v>2273</v>
      </c>
      <c r="C2270" s="14">
        <v>539.01</v>
      </c>
      <c r="D2270" s="11" t="s">
        <v>5</v>
      </c>
    </row>
    <row r="2271" spans="1:4" x14ac:dyDescent="0.25">
      <c r="A2271" s="4" t="s">
        <v>6922</v>
      </c>
      <c r="B2271" s="3" t="s">
        <v>2274</v>
      </c>
      <c r="C2271" s="14">
        <v>539.01</v>
      </c>
      <c r="D2271" s="11" t="s">
        <v>5</v>
      </c>
    </row>
    <row r="2272" spans="1:4" x14ac:dyDescent="0.25">
      <c r="A2272" s="4" t="s">
        <v>6923</v>
      </c>
      <c r="B2272" s="3" t="s">
        <v>2275</v>
      </c>
      <c r="C2272" s="14">
        <v>1359.03</v>
      </c>
      <c r="D2272" s="11" t="s">
        <v>5</v>
      </c>
    </row>
    <row r="2273" spans="1:4" x14ac:dyDescent="0.25">
      <c r="A2273" s="4" t="s">
        <v>6924</v>
      </c>
      <c r="B2273" s="3" t="s">
        <v>2276</v>
      </c>
      <c r="C2273" s="14">
        <v>804.48</v>
      </c>
      <c r="D2273" s="11" t="s">
        <v>5</v>
      </c>
    </row>
    <row r="2274" spans="1:4" x14ac:dyDescent="0.25">
      <c r="A2274" s="4" t="s">
        <v>6925</v>
      </c>
      <c r="B2274" s="3" t="s">
        <v>2277</v>
      </c>
      <c r="C2274" s="14">
        <v>93.9</v>
      </c>
      <c r="D2274" s="11" t="s">
        <v>5</v>
      </c>
    </row>
    <row r="2275" spans="1:4" x14ac:dyDescent="0.25">
      <c r="A2275" s="4" t="s">
        <v>6926</v>
      </c>
      <c r="B2275" s="3" t="s">
        <v>2278</v>
      </c>
      <c r="C2275" s="14">
        <v>51.9</v>
      </c>
      <c r="D2275" s="11" t="s">
        <v>5</v>
      </c>
    </row>
    <row r="2276" spans="1:4" x14ac:dyDescent="0.25">
      <c r="A2276" s="4" t="s">
        <v>6927</v>
      </c>
      <c r="B2276" s="3" t="s">
        <v>2279</v>
      </c>
      <c r="C2276" s="14">
        <v>68.819999999999993</v>
      </c>
      <c r="D2276" s="11" t="s">
        <v>5</v>
      </c>
    </row>
    <row r="2277" spans="1:4" x14ac:dyDescent="0.25">
      <c r="A2277" s="4" t="s">
        <v>6928</v>
      </c>
      <c r="B2277" s="3" t="s">
        <v>2280</v>
      </c>
      <c r="C2277" s="14">
        <v>62.99</v>
      </c>
      <c r="D2277" s="11" t="s">
        <v>5</v>
      </c>
    </row>
    <row r="2278" spans="1:4" x14ac:dyDescent="0.25">
      <c r="A2278" s="4" t="s">
        <v>6929</v>
      </c>
      <c r="B2278" s="3" t="s">
        <v>2281</v>
      </c>
      <c r="C2278" s="14">
        <v>93.9</v>
      </c>
      <c r="D2278" s="11" t="s">
        <v>5</v>
      </c>
    </row>
    <row r="2279" spans="1:4" x14ac:dyDescent="0.25">
      <c r="A2279" s="4" t="s">
        <v>6930</v>
      </c>
      <c r="B2279" s="3" t="s">
        <v>2282</v>
      </c>
      <c r="C2279" s="14">
        <v>93.9</v>
      </c>
      <c r="D2279" s="11" t="s">
        <v>5</v>
      </c>
    </row>
    <row r="2280" spans="1:4" x14ac:dyDescent="0.25">
      <c r="A2280" s="4" t="s">
        <v>6931</v>
      </c>
      <c r="B2280" s="3" t="s">
        <v>2283</v>
      </c>
      <c r="C2280" s="14">
        <v>51.9</v>
      </c>
      <c r="D2280" s="11" t="s">
        <v>5</v>
      </c>
    </row>
    <row r="2281" spans="1:4" x14ac:dyDescent="0.25">
      <c r="A2281" s="4" t="s">
        <v>6932</v>
      </c>
      <c r="B2281" s="3" t="s">
        <v>2284</v>
      </c>
      <c r="C2281" s="14">
        <v>68.819999999999993</v>
      </c>
      <c r="D2281" s="11" t="s">
        <v>5</v>
      </c>
    </row>
    <row r="2282" spans="1:4" x14ac:dyDescent="0.25">
      <c r="A2282" s="4" t="s">
        <v>6933</v>
      </c>
      <c r="B2282" s="3" t="s">
        <v>2285</v>
      </c>
      <c r="C2282" s="14">
        <v>68.819999999999993</v>
      </c>
      <c r="D2282" s="11" t="s">
        <v>5</v>
      </c>
    </row>
    <row r="2283" spans="1:4" x14ac:dyDescent="0.25">
      <c r="A2283" s="4" t="s">
        <v>6934</v>
      </c>
      <c r="B2283" s="3" t="s">
        <v>2286</v>
      </c>
      <c r="C2283" s="14">
        <v>68.819999999999993</v>
      </c>
      <c r="D2283" s="11" t="s">
        <v>5</v>
      </c>
    </row>
    <row r="2284" spans="1:4" x14ac:dyDescent="0.25">
      <c r="A2284" s="4" t="s">
        <v>6935</v>
      </c>
      <c r="B2284" s="3" t="s">
        <v>2287</v>
      </c>
      <c r="C2284" s="14">
        <v>38.49</v>
      </c>
      <c r="D2284" s="11" t="s">
        <v>5</v>
      </c>
    </row>
    <row r="2285" spans="1:4" x14ac:dyDescent="0.25">
      <c r="A2285" s="4" t="s">
        <v>6936</v>
      </c>
      <c r="B2285" s="3" t="s">
        <v>2288</v>
      </c>
      <c r="C2285" s="14">
        <v>38.49</v>
      </c>
      <c r="D2285" s="11" t="s">
        <v>5</v>
      </c>
    </row>
    <row r="2286" spans="1:4" x14ac:dyDescent="0.25">
      <c r="A2286" s="4" t="s">
        <v>6937</v>
      </c>
      <c r="B2286" s="3" t="s">
        <v>2289</v>
      </c>
      <c r="C2286" s="14">
        <v>52.49</v>
      </c>
      <c r="D2286" s="11" t="s">
        <v>5</v>
      </c>
    </row>
    <row r="2287" spans="1:4" x14ac:dyDescent="0.25">
      <c r="A2287" s="4" t="s">
        <v>6938</v>
      </c>
      <c r="B2287" s="3" t="s">
        <v>2290</v>
      </c>
      <c r="C2287" s="14">
        <v>52.49</v>
      </c>
      <c r="D2287" s="11" t="s">
        <v>5</v>
      </c>
    </row>
    <row r="2288" spans="1:4" x14ac:dyDescent="0.25">
      <c r="A2288" s="4" t="s">
        <v>6939</v>
      </c>
      <c r="B2288" s="3" t="s">
        <v>2291</v>
      </c>
      <c r="C2288" s="14">
        <v>93.9</v>
      </c>
      <c r="D2288" s="11" t="s">
        <v>5</v>
      </c>
    </row>
    <row r="2289" spans="1:4" x14ac:dyDescent="0.25">
      <c r="A2289" s="4" t="s">
        <v>6940</v>
      </c>
      <c r="B2289" s="3" t="s">
        <v>2292</v>
      </c>
      <c r="C2289" s="14">
        <v>51.9</v>
      </c>
      <c r="D2289" s="11" t="s">
        <v>5</v>
      </c>
    </row>
    <row r="2290" spans="1:4" x14ac:dyDescent="0.25">
      <c r="A2290" s="4" t="s">
        <v>6941</v>
      </c>
      <c r="B2290" s="3" t="s">
        <v>2293</v>
      </c>
      <c r="C2290" s="14">
        <v>68.819999999999993</v>
      </c>
      <c r="D2290" s="11" t="s">
        <v>5</v>
      </c>
    </row>
    <row r="2291" spans="1:4" x14ac:dyDescent="0.25">
      <c r="A2291" s="4" t="s">
        <v>6942</v>
      </c>
      <c r="B2291" s="3" t="s">
        <v>2294</v>
      </c>
      <c r="C2291" s="14">
        <v>22.74</v>
      </c>
      <c r="D2291" s="11" t="s">
        <v>5</v>
      </c>
    </row>
    <row r="2292" spans="1:4" x14ac:dyDescent="0.25">
      <c r="A2292" s="4" t="s">
        <v>6943</v>
      </c>
      <c r="B2292" s="3" t="s">
        <v>2295</v>
      </c>
      <c r="C2292" s="14">
        <v>47.82</v>
      </c>
      <c r="D2292" s="11" t="s">
        <v>5</v>
      </c>
    </row>
    <row r="2293" spans="1:4" x14ac:dyDescent="0.25">
      <c r="A2293" s="4" t="s">
        <v>6944</v>
      </c>
      <c r="B2293" s="3" t="s">
        <v>2296</v>
      </c>
      <c r="C2293" s="14">
        <v>23.33</v>
      </c>
      <c r="D2293" s="11" t="s">
        <v>5</v>
      </c>
    </row>
    <row r="2294" spans="1:4" x14ac:dyDescent="0.25">
      <c r="A2294" s="4" t="s">
        <v>6945</v>
      </c>
      <c r="B2294" s="3" t="s">
        <v>2297</v>
      </c>
      <c r="C2294" s="14">
        <v>493.31</v>
      </c>
      <c r="D2294" s="11" t="s">
        <v>5</v>
      </c>
    </row>
    <row r="2295" spans="1:4" x14ac:dyDescent="0.25">
      <c r="A2295" s="4" t="s">
        <v>6946</v>
      </c>
      <c r="B2295" s="3" t="s">
        <v>2298</v>
      </c>
      <c r="C2295" s="14">
        <v>39.659999999999997</v>
      </c>
      <c r="D2295" s="11" t="s">
        <v>5</v>
      </c>
    </row>
    <row r="2296" spans="1:4" x14ac:dyDescent="0.25">
      <c r="A2296" s="4" t="s">
        <v>6947</v>
      </c>
      <c r="B2296" s="3" t="s">
        <v>2299</v>
      </c>
      <c r="C2296" s="14">
        <v>31.5</v>
      </c>
      <c r="D2296" s="11" t="s">
        <v>5</v>
      </c>
    </row>
    <row r="2297" spans="1:4" x14ac:dyDescent="0.25">
      <c r="A2297" s="4" t="s">
        <v>6948</v>
      </c>
      <c r="B2297" s="3" t="s">
        <v>2300</v>
      </c>
      <c r="C2297" s="14">
        <v>29.16</v>
      </c>
      <c r="D2297" s="11" t="s">
        <v>5</v>
      </c>
    </row>
    <row r="2298" spans="1:4" x14ac:dyDescent="0.25">
      <c r="A2298" s="4" t="s">
        <v>6949</v>
      </c>
      <c r="B2298" s="3" t="s">
        <v>2301</v>
      </c>
      <c r="C2298" s="14">
        <v>36.17</v>
      </c>
      <c r="D2298" s="11" t="s">
        <v>5</v>
      </c>
    </row>
    <row r="2299" spans="1:4" x14ac:dyDescent="0.25">
      <c r="A2299" s="4" t="s">
        <v>6950</v>
      </c>
      <c r="B2299" s="3" t="s">
        <v>2302</v>
      </c>
      <c r="C2299" s="14">
        <v>36.17</v>
      </c>
      <c r="D2299" s="11" t="s">
        <v>5</v>
      </c>
    </row>
    <row r="2300" spans="1:4" x14ac:dyDescent="0.25">
      <c r="A2300" s="4" t="s">
        <v>6951</v>
      </c>
      <c r="B2300" s="3" t="s">
        <v>2303</v>
      </c>
      <c r="C2300" s="14">
        <v>50.16</v>
      </c>
      <c r="D2300" s="11" t="s">
        <v>5</v>
      </c>
    </row>
    <row r="2301" spans="1:4" x14ac:dyDescent="0.25">
      <c r="A2301" s="4" t="s">
        <v>6952</v>
      </c>
      <c r="B2301" s="3" t="s">
        <v>2304</v>
      </c>
      <c r="C2301" s="14">
        <v>60.66</v>
      </c>
      <c r="D2301" s="11" t="s">
        <v>5</v>
      </c>
    </row>
    <row r="2302" spans="1:4" x14ac:dyDescent="0.25">
      <c r="A2302" s="4" t="s">
        <v>6953</v>
      </c>
      <c r="B2302" s="3" t="s">
        <v>2305</v>
      </c>
      <c r="C2302" s="14">
        <v>60.66</v>
      </c>
      <c r="D2302" s="11" t="s">
        <v>5</v>
      </c>
    </row>
    <row r="2303" spans="1:4" x14ac:dyDescent="0.25">
      <c r="A2303" s="4" t="s">
        <v>6954</v>
      </c>
      <c r="B2303" s="3" t="s">
        <v>2306</v>
      </c>
      <c r="C2303" s="14">
        <v>153.38</v>
      </c>
      <c r="D2303" s="11" t="s">
        <v>5</v>
      </c>
    </row>
    <row r="2304" spans="1:4" x14ac:dyDescent="0.25">
      <c r="A2304" s="4" t="s">
        <v>6955</v>
      </c>
      <c r="B2304" s="3" t="s">
        <v>2307</v>
      </c>
      <c r="C2304" s="14">
        <v>153.38</v>
      </c>
      <c r="D2304" s="11" t="s">
        <v>5</v>
      </c>
    </row>
    <row r="2305" spans="1:4" x14ac:dyDescent="0.25">
      <c r="A2305" s="4" t="s">
        <v>6956</v>
      </c>
      <c r="B2305" s="3" t="s">
        <v>2308</v>
      </c>
      <c r="C2305" s="14">
        <v>153.38</v>
      </c>
      <c r="D2305" s="11" t="s">
        <v>5</v>
      </c>
    </row>
    <row r="2306" spans="1:4" x14ac:dyDescent="0.25">
      <c r="A2306" s="4" t="s">
        <v>6957</v>
      </c>
      <c r="B2306" s="3" t="s">
        <v>2309</v>
      </c>
      <c r="C2306" s="14">
        <v>153.38</v>
      </c>
      <c r="D2306" s="11" t="s">
        <v>5</v>
      </c>
    </row>
    <row r="2307" spans="1:4" x14ac:dyDescent="0.25">
      <c r="A2307" s="4" t="s">
        <v>6958</v>
      </c>
      <c r="B2307" s="3" t="s">
        <v>2310</v>
      </c>
      <c r="C2307" s="14">
        <v>528.96</v>
      </c>
      <c r="D2307" s="11" t="s">
        <v>5</v>
      </c>
    </row>
    <row r="2308" spans="1:4" x14ac:dyDescent="0.25">
      <c r="A2308" s="4" t="s">
        <v>6959</v>
      </c>
      <c r="B2308" s="3" t="s">
        <v>2311</v>
      </c>
      <c r="C2308" s="14">
        <v>37.32</v>
      </c>
      <c r="D2308" s="11" t="s">
        <v>5</v>
      </c>
    </row>
    <row r="2309" spans="1:4" x14ac:dyDescent="0.25">
      <c r="A2309" s="4" t="s">
        <v>6960</v>
      </c>
      <c r="B2309" s="3" t="s">
        <v>2312</v>
      </c>
      <c r="C2309" s="14">
        <v>41.99</v>
      </c>
      <c r="D2309" s="11" t="s">
        <v>5</v>
      </c>
    </row>
    <row r="2310" spans="1:4" x14ac:dyDescent="0.25">
      <c r="A2310" s="4" t="s">
        <v>6961</v>
      </c>
      <c r="B2310" s="3" t="s">
        <v>2313</v>
      </c>
      <c r="C2310" s="14">
        <v>30.33</v>
      </c>
      <c r="D2310" s="11" t="s">
        <v>5</v>
      </c>
    </row>
    <row r="2311" spans="1:4" x14ac:dyDescent="0.25">
      <c r="A2311" s="4" t="s">
        <v>6962</v>
      </c>
      <c r="B2311" s="3" t="s">
        <v>2314</v>
      </c>
      <c r="C2311" s="14">
        <v>35.58</v>
      </c>
      <c r="D2311" s="11" t="s">
        <v>5</v>
      </c>
    </row>
    <row r="2312" spans="1:4" x14ac:dyDescent="0.25">
      <c r="A2312" s="4" t="s">
        <v>6963</v>
      </c>
      <c r="B2312" s="3" t="s">
        <v>2315</v>
      </c>
      <c r="C2312" s="14">
        <v>42.57</v>
      </c>
      <c r="D2312" s="11" t="s">
        <v>5</v>
      </c>
    </row>
    <row r="2313" spans="1:4" x14ac:dyDescent="0.25">
      <c r="A2313" s="4" t="s">
        <v>6964</v>
      </c>
      <c r="B2313" s="3" t="s">
        <v>2316</v>
      </c>
      <c r="C2313" s="14">
        <v>44.91</v>
      </c>
      <c r="D2313" s="11" t="s">
        <v>5</v>
      </c>
    </row>
    <row r="2314" spans="1:4" x14ac:dyDescent="0.25">
      <c r="A2314" s="4" t="s">
        <v>6965</v>
      </c>
      <c r="B2314" s="3" t="s">
        <v>2317</v>
      </c>
      <c r="C2314" s="14">
        <v>35</v>
      </c>
      <c r="D2314" s="11" t="s">
        <v>5</v>
      </c>
    </row>
    <row r="2315" spans="1:4" x14ac:dyDescent="0.25">
      <c r="A2315" s="4" t="s">
        <v>6966</v>
      </c>
      <c r="B2315" s="3" t="s">
        <v>2318</v>
      </c>
      <c r="C2315" s="14">
        <v>41.4</v>
      </c>
      <c r="D2315" s="11" t="s">
        <v>5</v>
      </c>
    </row>
    <row r="2316" spans="1:4" x14ac:dyDescent="0.25">
      <c r="A2316" s="4" t="s">
        <v>6967</v>
      </c>
      <c r="B2316" s="3" t="s">
        <v>2319</v>
      </c>
      <c r="C2316" s="14">
        <v>40.25</v>
      </c>
      <c r="D2316" s="11" t="s">
        <v>5</v>
      </c>
    </row>
    <row r="2317" spans="1:4" x14ac:dyDescent="0.25">
      <c r="A2317" s="4" t="s">
        <v>6968</v>
      </c>
      <c r="B2317" s="3" t="s">
        <v>2320</v>
      </c>
      <c r="C2317" s="14">
        <v>40.25</v>
      </c>
      <c r="D2317" s="11" t="s">
        <v>5</v>
      </c>
    </row>
    <row r="2318" spans="1:4" x14ac:dyDescent="0.25">
      <c r="A2318" s="4" t="s">
        <v>6969</v>
      </c>
      <c r="B2318" s="3" t="s">
        <v>2321</v>
      </c>
      <c r="C2318" s="14">
        <v>32.729999999999997</v>
      </c>
      <c r="D2318" s="11" t="s">
        <v>5</v>
      </c>
    </row>
    <row r="2319" spans="1:4" x14ac:dyDescent="0.25">
      <c r="A2319" s="4" t="s">
        <v>6970</v>
      </c>
      <c r="B2319" s="3" t="s">
        <v>2322</v>
      </c>
      <c r="C2319" s="14">
        <v>354</v>
      </c>
      <c r="D2319" s="11" t="s">
        <v>5</v>
      </c>
    </row>
    <row r="2320" spans="1:4" x14ac:dyDescent="0.25">
      <c r="A2320" s="4" t="s">
        <v>6971</v>
      </c>
      <c r="B2320" s="3" t="s">
        <v>2323</v>
      </c>
      <c r="C2320" s="14">
        <v>160.97</v>
      </c>
      <c r="D2320" s="11" t="s">
        <v>5</v>
      </c>
    </row>
    <row r="2321" spans="1:4" x14ac:dyDescent="0.25">
      <c r="A2321" s="4" t="s">
        <v>6972</v>
      </c>
      <c r="B2321" s="3" t="s">
        <v>2324</v>
      </c>
      <c r="C2321" s="14">
        <v>192.45</v>
      </c>
      <c r="D2321" s="11" t="s">
        <v>5</v>
      </c>
    </row>
    <row r="2322" spans="1:4" x14ac:dyDescent="0.25">
      <c r="A2322" s="4" t="s">
        <v>6973</v>
      </c>
      <c r="B2322" s="3" t="s">
        <v>2325</v>
      </c>
      <c r="C2322" s="14">
        <v>20.420000000000002</v>
      </c>
      <c r="D2322" s="11" t="s">
        <v>5</v>
      </c>
    </row>
    <row r="2323" spans="1:4" x14ac:dyDescent="0.25">
      <c r="A2323" s="4" t="s">
        <v>6974</v>
      </c>
      <c r="B2323" s="3" t="s">
        <v>2326</v>
      </c>
      <c r="C2323" s="14">
        <v>26.82</v>
      </c>
      <c r="D2323" s="11" t="s">
        <v>5</v>
      </c>
    </row>
    <row r="2324" spans="1:4" x14ac:dyDescent="0.25">
      <c r="A2324" s="4" t="s">
        <v>6975</v>
      </c>
      <c r="B2324" s="3" t="s">
        <v>2327</v>
      </c>
      <c r="C2324" s="14">
        <v>27.41</v>
      </c>
      <c r="D2324" s="11" t="s">
        <v>5</v>
      </c>
    </row>
    <row r="2325" spans="1:4" x14ac:dyDescent="0.25">
      <c r="A2325" s="4" t="s">
        <v>6976</v>
      </c>
      <c r="B2325" s="3" t="s">
        <v>2328</v>
      </c>
      <c r="C2325" s="14">
        <v>953.99</v>
      </c>
      <c r="D2325" s="11" t="s">
        <v>5</v>
      </c>
    </row>
    <row r="2326" spans="1:4" x14ac:dyDescent="0.25">
      <c r="A2326" s="4" t="s">
        <v>6977</v>
      </c>
      <c r="B2326" s="3" t="s">
        <v>2329</v>
      </c>
      <c r="C2326" s="14">
        <v>953.99</v>
      </c>
      <c r="D2326" s="11" t="s">
        <v>5</v>
      </c>
    </row>
    <row r="2327" spans="1:4" x14ac:dyDescent="0.25">
      <c r="A2327" s="4" t="s">
        <v>6978</v>
      </c>
      <c r="B2327" s="3" t="s">
        <v>2330</v>
      </c>
      <c r="C2327" s="14">
        <v>33.24</v>
      </c>
      <c r="D2327" s="11" t="s">
        <v>5</v>
      </c>
    </row>
    <row r="2328" spans="1:4" x14ac:dyDescent="0.25">
      <c r="A2328" s="4" t="s">
        <v>6979</v>
      </c>
      <c r="B2328" s="3" t="s">
        <v>2331</v>
      </c>
      <c r="C2328" s="14">
        <v>20882.96</v>
      </c>
      <c r="D2328" s="11" t="s">
        <v>5</v>
      </c>
    </row>
    <row r="2329" spans="1:4" x14ac:dyDescent="0.25">
      <c r="A2329" s="4" t="s">
        <v>6980</v>
      </c>
      <c r="B2329" s="3" t="s">
        <v>2332</v>
      </c>
      <c r="C2329" s="14">
        <v>11550.83</v>
      </c>
      <c r="D2329" s="11" t="s">
        <v>5</v>
      </c>
    </row>
    <row r="2330" spans="1:4" x14ac:dyDescent="0.25">
      <c r="A2330" s="4" t="s">
        <v>6981</v>
      </c>
      <c r="B2330" s="3" t="s">
        <v>2333</v>
      </c>
      <c r="C2330" s="14">
        <v>11550.83</v>
      </c>
      <c r="D2330" s="11" t="s">
        <v>5</v>
      </c>
    </row>
    <row r="2331" spans="1:4" x14ac:dyDescent="0.25">
      <c r="A2331" s="4" t="s">
        <v>6982</v>
      </c>
      <c r="B2331" s="3" t="s">
        <v>2334</v>
      </c>
      <c r="C2331" s="14">
        <v>4396.2</v>
      </c>
      <c r="D2331" s="11" t="s">
        <v>5</v>
      </c>
    </row>
    <row r="2332" spans="1:4" x14ac:dyDescent="0.25">
      <c r="A2332" s="4" t="s">
        <v>6983</v>
      </c>
      <c r="B2332" s="3" t="s">
        <v>2335</v>
      </c>
      <c r="C2332" s="14">
        <v>6190.52</v>
      </c>
      <c r="D2332" s="11" t="s">
        <v>5</v>
      </c>
    </row>
    <row r="2333" spans="1:4" x14ac:dyDescent="0.25">
      <c r="A2333" s="4" t="s">
        <v>6984</v>
      </c>
      <c r="B2333" s="3" t="s">
        <v>2336</v>
      </c>
      <c r="C2333" s="14">
        <v>17464.34</v>
      </c>
      <c r="D2333" s="11" t="s">
        <v>5</v>
      </c>
    </row>
    <row r="2334" spans="1:4" x14ac:dyDescent="0.25">
      <c r="A2334" s="4" t="s">
        <v>6985</v>
      </c>
      <c r="B2334" s="3" t="s">
        <v>2337</v>
      </c>
      <c r="C2334" s="14">
        <v>8645.7199999999993</v>
      </c>
      <c r="D2334" s="11" t="s">
        <v>5</v>
      </c>
    </row>
    <row r="2335" spans="1:4" x14ac:dyDescent="0.25">
      <c r="A2335" s="4" t="s">
        <v>6986</v>
      </c>
      <c r="B2335" s="3" t="s">
        <v>2338</v>
      </c>
      <c r="C2335" s="14">
        <v>13901.79</v>
      </c>
      <c r="D2335" s="11" t="s">
        <v>5</v>
      </c>
    </row>
    <row r="2336" spans="1:4" x14ac:dyDescent="0.25">
      <c r="A2336" s="4" t="s">
        <v>6987</v>
      </c>
      <c r="B2336" s="3" t="s">
        <v>2339</v>
      </c>
      <c r="C2336" s="14">
        <v>3.69</v>
      </c>
      <c r="D2336" s="11" t="s">
        <v>107</v>
      </c>
    </row>
    <row r="2337" spans="1:4" x14ac:dyDescent="0.25">
      <c r="A2337" s="4" t="s">
        <v>6988</v>
      </c>
      <c r="B2337" s="3" t="s">
        <v>2340</v>
      </c>
      <c r="C2337" s="14">
        <v>22744.23</v>
      </c>
      <c r="D2337" s="11" t="s">
        <v>5</v>
      </c>
    </row>
    <row r="2338" spans="1:4" x14ac:dyDescent="0.25">
      <c r="A2338" s="4" t="s">
        <v>6989</v>
      </c>
      <c r="B2338" s="3" t="s">
        <v>2341</v>
      </c>
      <c r="C2338" s="14">
        <v>87940.4</v>
      </c>
      <c r="D2338" s="11" t="s">
        <v>5</v>
      </c>
    </row>
    <row r="2339" spans="1:4" x14ac:dyDescent="0.25">
      <c r="A2339" s="4" t="s">
        <v>6990</v>
      </c>
      <c r="B2339" s="3" t="s">
        <v>2342</v>
      </c>
      <c r="C2339" s="14">
        <v>144266.81</v>
      </c>
      <c r="D2339" s="11" t="s">
        <v>5</v>
      </c>
    </row>
    <row r="2340" spans="1:4" x14ac:dyDescent="0.25">
      <c r="A2340" s="4" t="s">
        <v>6991</v>
      </c>
      <c r="B2340" s="3" t="s">
        <v>2343</v>
      </c>
      <c r="C2340" s="14">
        <v>97422.75</v>
      </c>
      <c r="D2340" s="11" t="s">
        <v>5</v>
      </c>
    </row>
    <row r="2341" spans="1:4" x14ac:dyDescent="0.25">
      <c r="A2341" s="4" t="s">
        <v>6992</v>
      </c>
      <c r="B2341" s="3" t="s">
        <v>2344</v>
      </c>
      <c r="C2341" s="14">
        <v>4195.22</v>
      </c>
      <c r="D2341" s="11" t="s">
        <v>5</v>
      </c>
    </row>
    <row r="2342" spans="1:4" x14ac:dyDescent="0.25">
      <c r="A2342" s="4" t="s">
        <v>6993</v>
      </c>
      <c r="B2342" s="3" t="s">
        <v>2345</v>
      </c>
      <c r="C2342" s="14">
        <v>29417.42</v>
      </c>
      <c r="D2342" s="11" t="s">
        <v>5</v>
      </c>
    </row>
    <row r="2343" spans="1:4" x14ac:dyDescent="0.25">
      <c r="A2343" s="4" t="s">
        <v>6994</v>
      </c>
      <c r="B2343" s="3" t="s">
        <v>2346</v>
      </c>
      <c r="C2343" s="14">
        <v>27309.86</v>
      </c>
      <c r="D2343" s="11" t="s">
        <v>5</v>
      </c>
    </row>
    <row r="2344" spans="1:4" x14ac:dyDescent="0.25">
      <c r="A2344" s="4" t="s">
        <v>6995</v>
      </c>
      <c r="B2344" s="3" t="s">
        <v>2347</v>
      </c>
      <c r="C2344" s="14">
        <v>1370.18</v>
      </c>
      <c r="D2344" s="11" t="s">
        <v>5</v>
      </c>
    </row>
    <row r="2345" spans="1:4" x14ac:dyDescent="0.25">
      <c r="A2345" s="4" t="s">
        <v>6996</v>
      </c>
      <c r="B2345" s="3" t="s">
        <v>2348</v>
      </c>
      <c r="C2345" s="14">
        <v>11493.87</v>
      </c>
      <c r="D2345" s="11" t="s">
        <v>5</v>
      </c>
    </row>
    <row r="2346" spans="1:4" x14ac:dyDescent="0.25">
      <c r="A2346" s="4" t="s">
        <v>6997</v>
      </c>
      <c r="B2346" s="3" t="s">
        <v>2349</v>
      </c>
      <c r="C2346" s="14">
        <v>12516.81</v>
      </c>
      <c r="D2346" s="11" t="s">
        <v>5</v>
      </c>
    </row>
    <row r="2347" spans="1:4" x14ac:dyDescent="0.25">
      <c r="A2347" s="4" t="s">
        <v>6998</v>
      </c>
      <c r="B2347" s="3" t="s">
        <v>2350</v>
      </c>
      <c r="C2347" s="14">
        <v>14813.72</v>
      </c>
      <c r="D2347" s="11" t="s">
        <v>5</v>
      </c>
    </row>
    <row r="2348" spans="1:4" x14ac:dyDescent="0.25">
      <c r="A2348" s="4" t="s">
        <v>6999</v>
      </c>
      <c r="B2348" s="3" t="s">
        <v>2351</v>
      </c>
      <c r="C2348" s="14">
        <v>19284.439999999999</v>
      </c>
      <c r="D2348" s="11" t="s">
        <v>5</v>
      </c>
    </row>
    <row r="2349" spans="1:4" x14ac:dyDescent="0.25">
      <c r="A2349" s="4" t="s">
        <v>7000</v>
      </c>
      <c r="B2349" s="3" t="s">
        <v>2352</v>
      </c>
      <c r="C2349" s="14">
        <v>9024.17</v>
      </c>
      <c r="D2349" s="11" t="s">
        <v>5</v>
      </c>
    </row>
    <row r="2350" spans="1:4" x14ac:dyDescent="0.25">
      <c r="A2350" s="4" t="s">
        <v>7001</v>
      </c>
      <c r="B2350" s="3" t="s">
        <v>2353</v>
      </c>
      <c r="C2350" s="14">
        <v>4850.8500000000004</v>
      </c>
      <c r="D2350" s="11" t="s">
        <v>5</v>
      </c>
    </row>
    <row r="2351" spans="1:4" x14ac:dyDescent="0.25">
      <c r="A2351" s="4" t="s">
        <v>7002</v>
      </c>
      <c r="B2351" s="3" t="s">
        <v>2354</v>
      </c>
      <c r="C2351" s="14">
        <v>5290.62</v>
      </c>
      <c r="D2351" s="11" t="s">
        <v>5</v>
      </c>
    </row>
    <row r="2352" spans="1:4" x14ac:dyDescent="0.25">
      <c r="A2352" s="4" t="s">
        <v>7003</v>
      </c>
      <c r="B2352" s="3" t="s">
        <v>2355</v>
      </c>
      <c r="C2352" s="14">
        <v>5120.46</v>
      </c>
      <c r="D2352" s="11" t="s">
        <v>5</v>
      </c>
    </row>
    <row r="2353" spans="1:4" x14ac:dyDescent="0.25">
      <c r="A2353" s="4" t="s">
        <v>7004</v>
      </c>
      <c r="B2353" s="3" t="s">
        <v>2356</v>
      </c>
      <c r="C2353" s="14">
        <v>4897.3100000000004</v>
      </c>
      <c r="D2353" s="11" t="s">
        <v>5</v>
      </c>
    </row>
    <row r="2354" spans="1:4" x14ac:dyDescent="0.25">
      <c r="A2354" s="4" t="s">
        <v>7005</v>
      </c>
      <c r="B2354" s="3" t="s">
        <v>2357</v>
      </c>
      <c r="C2354" s="14">
        <v>5328.68</v>
      </c>
      <c r="D2354" s="11" t="s">
        <v>5</v>
      </c>
    </row>
    <row r="2355" spans="1:4" x14ac:dyDescent="0.25">
      <c r="A2355" s="4" t="s">
        <v>7006</v>
      </c>
      <c r="B2355" s="3" t="s">
        <v>2358</v>
      </c>
      <c r="C2355" s="14">
        <v>4059.95</v>
      </c>
      <c r="D2355" s="11" t="s">
        <v>5</v>
      </c>
    </row>
    <row r="2356" spans="1:4" x14ac:dyDescent="0.25">
      <c r="A2356" s="4" t="s">
        <v>7007</v>
      </c>
      <c r="B2356" s="3" t="s">
        <v>2359</v>
      </c>
      <c r="C2356" s="14">
        <v>4059.95</v>
      </c>
      <c r="D2356" s="11" t="s">
        <v>5</v>
      </c>
    </row>
    <row r="2357" spans="1:4" x14ac:dyDescent="0.25">
      <c r="A2357" s="4" t="s">
        <v>7008</v>
      </c>
      <c r="B2357" s="3" t="s">
        <v>2360</v>
      </c>
      <c r="C2357" s="14">
        <v>4059.95</v>
      </c>
      <c r="D2357" s="11" t="s">
        <v>5</v>
      </c>
    </row>
    <row r="2358" spans="1:4" x14ac:dyDescent="0.25">
      <c r="A2358" s="4" t="s">
        <v>7009</v>
      </c>
      <c r="B2358" s="3" t="s">
        <v>2361</v>
      </c>
      <c r="C2358" s="14">
        <v>4009.2</v>
      </c>
      <c r="D2358" s="11" t="s">
        <v>5</v>
      </c>
    </row>
    <row r="2359" spans="1:4" x14ac:dyDescent="0.25">
      <c r="A2359" s="4" t="s">
        <v>7010</v>
      </c>
      <c r="B2359" s="3" t="s">
        <v>2362</v>
      </c>
      <c r="C2359" s="14">
        <v>4009.2</v>
      </c>
      <c r="D2359" s="11" t="s">
        <v>5</v>
      </c>
    </row>
    <row r="2360" spans="1:4" x14ac:dyDescent="0.25">
      <c r="A2360" s="4" t="s">
        <v>7011</v>
      </c>
      <c r="B2360" s="3" t="s">
        <v>2363</v>
      </c>
      <c r="C2360" s="14">
        <v>4783.1400000000003</v>
      </c>
      <c r="D2360" s="11" t="s">
        <v>5</v>
      </c>
    </row>
    <row r="2361" spans="1:4" x14ac:dyDescent="0.25">
      <c r="A2361" s="4" t="s">
        <v>7012</v>
      </c>
      <c r="B2361" s="3" t="s">
        <v>2364</v>
      </c>
      <c r="C2361" s="14">
        <v>637.04999999999995</v>
      </c>
      <c r="D2361" s="11" t="s">
        <v>5</v>
      </c>
    </row>
    <row r="2362" spans="1:4" x14ac:dyDescent="0.25">
      <c r="A2362" s="4" t="s">
        <v>7013</v>
      </c>
      <c r="B2362" s="3" t="s">
        <v>2365</v>
      </c>
      <c r="C2362" s="14">
        <v>4838.3999999999996</v>
      </c>
      <c r="D2362" s="11" t="s">
        <v>5</v>
      </c>
    </row>
    <row r="2363" spans="1:4" x14ac:dyDescent="0.25">
      <c r="A2363" s="4" t="s">
        <v>7014</v>
      </c>
      <c r="B2363" s="3" t="s">
        <v>2366</v>
      </c>
      <c r="C2363" s="14">
        <v>5882.76</v>
      </c>
      <c r="D2363" s="11" t="s">
        <v>5</v>
      </c>
    </row>
    <row r="2364" spans="1:4" x14ac:dyDescent="0.25">
      <c r="A2364" s="4" t="s">
        <v>7015</v>
      </c>
      <c r="B2364" s="3" t="s">
        <v>2367</v>
      </c>
      <c r="C2364" s="14">
        <v>6559.35</v>
      </c>
      <c r="D2364" s="11" t="s">
        <v>5</v>
      </c>
    </row>
    <row r="2365" spans="1:4" x14ac:dyDescent="0.25">
      <c r="A2365" s="4" t="s">
        <v>7016</v>
      </c>
      <c r="B2365" s="3" t="s">
        <v>2368</v>
      </c>
      <c r="C2365" s="14">
        <v>2464.34</v>
      </c>
      <c r="D2365" s="11" t="s">
        <v>5</v>
      </c>
    </row>
    <row r="2366" spans="1:4" x14ac:dyDescent="0.25">
      <c r="A2366" s="4" t="s">
        <v>7017</v>
      </c>
      <c r="B2366" s="3" t="s">
        <v>2369</v>
      </c>
      <c r="C2366" s="14">
        <v>3960.81</v>
      </c>
      <c r="D2366" s="11" t="s">
        <v>5</v>
      </c>
    </row>
    <row r="2367" spans="1:4" x14ac:dyDescent="0.25">
      <c r="A2367" s="4" t="s">
        <v>7018</v>
      </c>
      <c r="B2367" s="3" t="s">
        <v>2370</v>
      </c>
      <c r="C2367" s="14">
        <v>2946.74</v>
      </c>
      <c r="D2367" s="11" t="s">
        <v>5</v>
      </c>
    </row>
    <row r="2368" spans="1:4" x14ac:dyDescent="0.25">
      <c r="A2368" s="4" t="s">
        <v>7019</v>
      </c>
      <c r="B2368" s="3" t="s">
        <v>2371</v>
      </c>
      <c r="C2368" s="14">
        <v>3374.46</v>
      </c>
      <c r="D2368" s="11" t="s">
        <v>5</v>
      </c>
    </row>
    <row r="2369" spans="1:4" x14ac:dyDescent="0.25">
      <c r="A2369" s="4" t="s">
        <v>7020</v>
      </c>
      <c r="B2369" s="3" t="s">
        <v>2372</v>
      </c>
      <c r="C2369" s="14">
        <v>3911.76</v>
      </c>
      <c r="D2369" s="11" t="s">
        <v>5</v>
      </c>
    </row>
    <row r="2370" spans="1:4" x14ac:dyDescent="0.25">
      <c r="A2370" s="4" t="s">
        <v>7021</v>
      </c>
      <c r="B2370" s="3" t="s">
        <v>2373</v>
      </c>
      <c r="C2370" s="14">
        <v>5557.05</v>
      </c>
      <c r="D2370" s="11" t="s">
        <v>5</v>
      </c>
    </row>
    <row r="2371" spans="1:4" x14ac:dyDescent="0.25">
      <c r="A2371" s="4" t="s">
        <v>7022</v>
      </c>
      <c r="B2371" s="3" t="s">
        <v>2374</v>
      </c>
      <c r="C2371" s="14">
        <v>4129.1899999999996</v>
      </c>
      <c r="D2371" s="11" t="s">
        <v>5</v>
      </c>
    </row>
    <row r="2372" spans="1:4" x14ac:dyDescent="0.25">
      <c r="A2372" s="4" t="s">
        <v>7023</v>
      </c>
      <c r="B2372" s="3" t="s">
        <v>2375</v>
      </c>
      <c r="C2372" s="14">
        <v>4940.42</v>
      </c>
      <c r="D2372" s="11" t="s">
        <v>5</v>
      </c>
    </row>
    <row r="2373" spans="1:4" x14ac:dyDescent="0.25">
      <c r="A2373" s="4" t="s">
        <v>7024</v>
      </c>
      <c r="B2373" s="3" t="s">
        <v>2376</v>
      </c>
      <c r="C2373" s="14">
        <v>5728.07</v>
      </c>
      <c r="D2373" s="11" t="s">
        <v>5</v>
      </c>
    </row>
    <row r="2374" spans="1:4" x14ac:dyDescent="0.25">
      <c r="A2374" s="4" t="s">
        <v>7025</v>
      </c>
      <c r="B2374" s="3" t="s">
        <v>2377</v>
      </c>
      <c r="C2374" s="14">
        <v>9743.8799999999992</v>
      </c>
      <c r="D2374" s="11" t="s">
        <v>5</v>
      </c>
    </row>
    <row r="2375" spans="1:4" x14ac:dyDescent="0.25">
      <c r="A2375" s="4" t="s">
        <v>7026</v>
      </c>
      <c r="B2375" s="3" t="s">
        <v>2378</v>
      </c>
      <c r="C2375" s="14">
        <v>4812.12</v>
      </c>
      <c r="D2375" s="11" t="s">
        <v>5</v>
      </c>
    </row>
    <row r="2376" spans="1:4" x14ac:dyDescent="0.25">
      <c r="A2376" s="4" t="s">
        <v>7027</v>
      </c>
      <c r="B2376" s="3" t="s">
        <v>2379</v>
      </c>
      <c r="C2376" s="14">
        <v>3299.66</v>
      </c>
      <c r="D2376" s="11" t="s">
        <v>5</v>
      </c>
    </row>
    <row r="2377" spans="1:4" x14ac:dyDescent="0.25">
      <c r="A2377" s="4" t="s">
        <v>7028</v>
      </c>
      <c r="B2377" s="3" t="s">
        <v>2380</v>
      </c>
      <c r="C2377" s="14">
        <v>3850.37</v>
      </c>
      <c r="D2377" s="11" t="s">
        <v>5</v>
      </c>
    </row>
    <row r="2378" spans="1:4" x14ac:dyDescent="0.25">
      <c r="A2378" s="4" t="s">
        <v>7029</v>
      </c>
      <c r="B2378" s="3" t="s">
        <v>2381</v>
      </c>
      <c r="C2378" s="14">
        <v>4592.8100000000004</v>
      </c>
      <c r="D2378" s="11" t="s">
        <v>5</v>
      </c>
    </row>
    <row r="2379" spans="1:4" x14ac:dyDescent="0.25">
      <c r="A2379" s="4" t="s">
        <v>7030</v>
      </c>
      <c r="B2379" s="3" t="s">
        <v>2382</v>
      </c>
      <c r="C2379" s="14">
        <v>6559.35</v>
      </c>
      <c r="D2379" s="11" t="s">
        <v>5</v>
      </c>
    </row>
    <row r="2380" spans="1:4" x14ac:dyDescent="0.25">
      <c r="A2380" s="4" t="s">
        <v>7031</v>
      </c>
      <c r="B2380" s="3" t="s">
        <v>2383</v>
      </c>
      <c r="C2380" s="14">
        <v>19451.13</v>
      </c>
      <c r="D2380" s="11" t="s">
        <v>5</v>
      </c>
    </row>
    <row r="2381" spans="1:4" x14ac:dyDescent="0.25">
      <c r="A2381" s="4" t="s">
        <v>7032</v>
      </c>
      <c r="B2381" s="3" t="s">
        <v>2384</v>
      </c>
      <c r="C2381" s="14">
        <v>62617.17</v>
      </c>
      <c r="D2381" s="11" t="s">
        <v>5</v>
      </c>
    </row>
    <row r="2382" spans="1:4" x14ac:dyDescent="0.25">
      <c r="A2382" s="4" t="s">
        <v>7033</v>
      </c>
      <c r="B2382" s="3" t="s">
        <v>2385</v>
      </c>
      <c r="C2382" s="14">
        <v>66905.36</v>
      </c>
      <c r="D2382" s="11" t="s">
        <v>5</v>
      </c>
    </row>
    <row r="2383" spans="1:4" x14ac:dyDescent="0.25">
      <c r="A2383" s="4" t="s">
        <v>7034</v>
      </c>
      <c r="B2383" s="3" t="s">
        <v>2386</v>
      </c>
      <c r="C2383" s="14">
        <v>36046.519999999997</v>
      </c>
      <c r="D2383" s="11" t="s">
        <v>5</v>
      </c>
    </row>
    <row r="2384" spans="1:4" x14ac:dyDescent="0.25">
      <c r="A2384" s="4" t="s">
        <v>7035</v>
      </c>
      <c r="B2384" s="3" t="s">
        <v>2387</v>
      </c>
      <c r="C2384" s="14">
        <v>13791.72</v>
      </c>
      <c r="D2384" s="11" t="s">
        <v>5</v>
      </c>
    </row>
    <row r="2385" spans="1:4" x14ac:dyDescent="0.25">
      <c r="A2385" s="4" t="s">
        <v>7036</v>
      </c>
      <c r="B2385" s="3" t="s">
        <v>2388</v>
      </c>
      <c r="C2385" s="14">
        <v>22986.27</v>
      </c>
      <c r="D2385" s="11" t="s">
        <v>5</v>
      </c>
    </row>
    <row r="2386" spans="1:4" x14ac:dyDescent="0.25">
      <c r="A2386" s="4" t="s">
        <v>7037</v>
      </c>
      <c r="B2386" s="3" t="s">
        <v>2389</v>
      </c>
      <c r="C2386" s="14">
        <v>27583.49</v>
      </c>
      <c r="D2386" s="11" t="s">
        <v>5</v>
      </c>
    </row>
    <row r="2387" spans="1:4" x14ac:dyDescent="0.25">
      <c r="A2387" s="4" t="s">
        <v>7038</v>
      </c>
      <c r="B2387" s="3" t="s">
        <v>2390</v>
      </c>
      <c r="C2387" s="14">
        <v>45972.480000000003</v>
      </c>
      <c r="D2387" s="11" t="s">
        <v>5</v>
      </c>
    </row>
    <row r="2388" spans="1:4" x14ac:dyDescent="0.25">
      <c r="A2388" s="4" t="s">
        <v>7039</v>
      </c>
      <c r="B2388" s="3" t="s">
        <v>2391</v>
      </c>
      <c r="C2388" s="14">
        <v>6326.52</v>
      </c>
      <c r="D2388" s="11" t="s">
        <v>5</v>
      </c>
    </row>
    <row r="2389" spans="1:4" x14ac:dyDescent="0.25">
      <c r="A2389" s="4" t="s">
        <v>7040</v>
      </c>
      <c r="B2389" s="3" t="s">
        <v>2392</v>
      </c>
      <c r="C2389" s="14">
        <v>10544.24</v>
      </c>
      <c r="D2389" s="11" t="s">
        <v>5</v>
      </c>
    </row>
    <row r="2390" spans="1:4" x14ac:dyDescent="0.25">
      <c r="A2390" s="4" t="s">
        <v>7041</v>
      </c>
      <c r="B2390" s="3" t="s">
        <v>2393</v>
      </c>
      <c r="C2390" s="14">
        <v>12653.1</v>
      </c>
      <c r="D2390" s="11" t="s">
        <v>5</v>
      </c>
    </row>
    <row r="2391" spans="1:4" x14ac:dyDescent="0.25">
      <c r="A2391" s="4" t="s">
        <v>7042</v>
      </c>
      <c r="B2391" s="3" t="s">
        <v>2394</v>
      </c>
      <c r="C2391" s="14">
        <v>21088.5</v>
      </c>
      <c r="D2391" s="11" t="s">
        <v>5</v>
      </c>
    </row>
    <row r="2392" spans="1:4" x14ac:dyDescent="0.25">
      <c r="A2392" s="4" t="s">
        <v>7043</v>
      </c>
      <c r="B2392" s="3" t="s">
        <v>2395</v>
      </c>
      <c r="C2392" s="14">
        <v>22775.58</v>
      </c>
      <c r="D2392" s="11" t="s">
        <v>5</v>
      </c>
    </row>
    <row r="2393" spans="1:4" x14ac:dyDescent="0.25">
      <c r="A2393" s="4" t="s">
        <v>7044</v>
      </c>
      <c r="B2393" s="3" t="s">
        <v>2396</v>
      </c>
      <c r="C2393" s="14">
        <v>37959.300000000003</v>
      </c>
      <c r="D2393" s="11" t="s">
        <v>5</v>
      </c>
    </row>
    <row r="2394" spans="1:4" x14ac:dyDescent="0.25">
      <c r="A2394" s="4" t="s">
        <v>7045</v>
      </c>
      <c r="B2394" s="3" t="s">
        <v>2397</v>
      </c>
      <c r="C2394" s="14">
        <v>7591.88</v>
      </c>
      <c r="D2394" s="11" t="s">
        <v>5</v>
      </c>
    </row>
    <row r="2395" spans="1:4" x14ac:dyDescent="0.25">
      <c r="A2395" s="4" t="s">
        <v>7046</v>
      </c>
      <c r="B2395" s="3" t="s">
        <v>2398</v>
      </c>
      <c r="C2395" s="14">
        <v>12653.1</v>
      </c>
      <c r="D2395" s="11" t="s">
        <v>5</v>
      </c>
    </row>
    <row r="2396" spans="1:4" x14ac:dyDescent="0.25">
      <c r="A2396" s="4" t="s">
        <v>7047</v>
      </c>
      <c r="B2396" s="3" t="s">
        <v>2399</v>
      </c>
      <c r="C2396" s="14">
        <v>15183.71</v>
      </c>
      <c r="D2396" s="11" t="s">
        <v>5</v>
      </c>
    </row>
    <row r="2397" spans="1:4" x14ac:dyDescent="0.25">
      <c r="A2397" s="4" t="s">
        <v>7048</v>
      </c>
      <c r="B2397" s="3" t="s">
        <v>2400</v>
      </c>
      <c r="C2397" s="14">
        <v>25306.19</v>
      </c>
      <c r="D2397" s="11" t="s">
        <v>5</v>
      </c>
    </row>
    <row r="2398" spans="1:4" x14ac:dyDescent="0.25">
      <c r="A2398" s="4" t="s">
        <v>7049</v>
      </c>
      <c r="B2398" s="3" t="s">
        <v>2401</v>
      </c>
      <c r="C2398" s="14">
        <v>1825.2</v>
      </c>
      <c r="D2398" s="11" t="s">
        <v>5</v>
      </c>
    </row>
    <row r="2399" spans="1:4" x14ac:dyDescent="0.25">
      <c r="A2399" s="4" t="s">
        <v>7050</v>
      </c>
      <c r="B2399" s="3" t="s">
        <v>2402</v>
      </c>
      <c r="C2399" s="14">
        <v>1825.2</v>
      </c>
      <c r="D2399" s="11" t="s">
        <v>5</v>
      </c>
    </row>
    <row r="2400" spans="1:4" x14ac:dyDescent="0.25">
      <c r="A2400" s="4" t="s">
        <v>7051</v>
      </c>
      <c r="B2400" s="3" t="s">
        <v>2403</v>
      </c>
      <c r="C2400" s="14">
        <v>1825.2</v>
      </c>
      <c r="D2400" s="11" t="s">
        <v>5</v>
      </c>
    </row>
    <row r="2401" spans="1:4" x14ac:dyDescent="0.25">
      <c r="A2401" s="4" t="s">
        <v>7052</v>
      </c>
      <c r="B2401" s="3" t="s">
        <v>2404</v>
      </c>
      <c r="C2401" s="14">
        <v>32.57</v>
      </c>
      <c r="D2401" s="11" t="s">
        <v>5</v>
      </c>
    </row>
    <row r="2402" spans="1:4" x14ac:dyDescent="0.25">
      <c r="A2402" s="4" t="s">
        <v>7053</v>
      </c>
      <c r="B2402" s="3" t="s">
        <v>2405</v>
      </c>
      <c r="C2402" s="14">
        <v>1056.93</v>
      </c>
      <c r="D2402" s="11" t="s">
        <v>5</v>
      </c>
    </row>
    <row r="2403" spans="1:4" x14ac:dyDescent="0.25">
      <c r="A2403" s="4" t="s">
        <v>7054</v>
      </c>
      <c r="B2403" s="3" t="s">
        <v>2406</v>
      </c>
      <c r="C2403" s="14">
        <v>1056.93</v>
      </c>
      <c r="D2403" s="11" t="s">
        <v>5</v>
      </c>
    </row>
    <row r="2404" spans="1:4" x14ac:dyDescent="0.25">
      <c r="A2404" s="4" t="s">
        <v>7055</v>
      </c>
      <c r="B2404" s="3" t="s">
        <v>2407</v>
      </c>
      <c r="C2404" s="14">
        <v>1056.93</v>
      </c>
      <c r="D2404" s="11" t="s">
        <v>5</v>
      </c>
    </row>
    <row r="2405" spans="1:4" x14ac:dyDescent="0.25">
      <c r="A2405" s="4" t="s">
        <v>7056</v>
      </c>
      <c r="B2405" s="3" t="s">
        <v>2408</v>
      </c>
      <c r="C2405" s="14">
        <v>1056.93</v>
      </c>
      <c r="D2405" s="11" t="s">
        <v>5</v>
      </c>
    </row>
    <row r="2406" spans="1:4" x14ac:dyDescent="0.25">
      <c r="A2406" s="4" t="s">
        <v>7057</v>
      </c>
      <c r="B2406" s="3" t="s">
        <v>2409</v>
      </c>
      <c r="C2406" s="14">
        <v>1056.93</v>
      </c>
      <c r="D2406" s="11" t="s">
        <v>5</v>
      </c>
    </row>
    <row r="2407" spans="1:4" x14ac:dyDescent="0.25">
      <c r="A2407" s="4" t="s">
        <v>7058</v>
      </c>
      <c r="B2407" s="3" t="s">
        <v>2410</v>
      </c>
      <c r="C2407" s="14">
        <v>1056.93</v>
      </c>
      <c r="D2407" s="11" t="s">
        <v>5</v>
      </c>
    </row>
    <row r="2408" spans="1:4" x14ac:dyDescent="0.25">
      <c r="A2408" s="4" t="s">
        <v>7059</v>
      </c>
      <c r="B2408" s="3" t="s">
        <v>2411</v>
      </c>
      <c r="C2408" s="14">
        <v>1252.8599999999999</v>
      </c>
      <c r="D2408" s="11" t="s">
        <v>5</v>
      </c>
    </row>
    <row r="2409" spans="1:4" x14ac:dyDescent="0.25">
      <c r="A2409" s="4" t="s">
        <v>7060</v>
      </c>
      <c r="B2409" s="3" t="s">
        <v>2412</v>
      </c>
      <c r="C2409" s="14">
        <v>1021.1</v>
      </c>
      <c r="D2409" s="11" t="s">
        <v>5</v>
      </c>
    </row>
    <row r="2410" spans="1:4" x14ac:dyDescent="0.25">
      <c r="A2410" s="4" t="s">
        <v>7061</v>
      </c>
      <c r="B2410" s="3" t="s">
        <v>2413</v>
      </c>
      <c r="C2410" s="14">
        <v>2724.8</v>
      </c>
      <c r="D2410" s="11" t="s">
        <v>5</v>
      </c>
    </row>
    <row r="2411" spans="1:4" x14ac:dyDescent="0.25">
      <c r="A2411" s="4" t="s">
        <v>7062</v>
      </c>
      <c r="B2411" s="3" t="s">
        <v>2414</v>
      </c>
      <c r="C2411" s="14">
        <v>652.85</v>
      </c>
      <c r="D2411" s="11" t="s">
        <v>5</v>
      </c>
    </row>
    <row r="2412" spans="1:4" x14ac:dyDescent="0.25">
      <c r="A2412" s="4" t="s">
        <v>7063</v>
      </c>
      <c r="B2412" s="3" t="s">
        <v>2415</v>
      </c>
      <c r="C2412" s="14">
        <v>614.33000000000004</v>
      </c>
      <c r="D2412" s="11" t="s">
        <v>5</v>
      </c>
    </row>
    <row r="2413" spans="1:4" x14ac:dyDescent="0.25">
      <c r="A2413" s="4" t="s">
        <v>7064</v>
      </c>
      <c r="B2413" s="3" t="s">
        <v>2416</v>
      </c>
      <c r="C2413" s="14">
        <v>400.14</v>
      </c>
      <c r="D2413" s="11" t="s">
        <v>107</v>
      </c>
    </row>
    <row r="2414" spans="1:4" x14ac:dyDescent="0.25">
      <c r="A2414" s="4" t="s">
        <v>7065</v>
      </c>
      <c r="B2414" s="3" t="s">
        <v>2417</v>
      </c>
      <c r="C2414" s="14">
        <v>252.72</v>
      </c>
      <c r="D2414" s="11" t="s">
        <v>107</v>
      </c>
    </row>
    <row r="2415" spans="1:4" x14ac:dyDescent="0.25">
      <c r="A2415" s="4" t="s">
        <v>7066</v>
      </c>
      <c r="B2415" s="3" t="s">
        <v>2418</v>
      </c>
      <c r="C2415" s="14">
        <v>176.91</v>
      </c>
      <c r="D2415" s="11" t="s">
        <v>107</v>
      </c>
    </row>
    <row r="2416" spans="1:4" x14ac:dyDescent="0.25">
      <c r="A2416" s="4" t="s">
        <v>7067</v>
      </c>
      <c r="B2416" s="3" t="s">
        <v>2419</v>
      </c>
      <c r="C2416" s="14">
        <v>8926.41</v>
      </c>
      <c r="D2416" s="11" t="s">
        <v>5</v>
      </c>
    </row>
    <row r="2417" spans="1:4" x14ac:dyDescent="0.25">
      <c r="A2417" s="4" t="s">
        <v>7068</v>
      </c>
      <c r="B2417" s="3" t="s">
        <v>2420</v>
      </c>
      <c r="C2417" s="14">
        <v>13389.59</v>
      </c>
      <c r="D2417" s="11" t="s">
        <v>5</v>
      </c>
    </row>
    <row r="2418" spans="1:4" x14ac:dyDescent="0.25">
      <c r="A2418" s="4" t="s">
        <v>7069</v>
      </c>
      <c r="B2418" s="3" t="s">
        <v>2421</v>
      </c>
      <c r="C2418" s="14">
        <v>22316.27</v>
      </c>
      <c r="D2418" s="11" t="s">
        <v>5</v>
      </c>
    </row>
    <row r="2419" spans="1:4" x14ac:dyDescent="0.25">
      <c r="A2419" s="4" t="s">
        <v>7070</v>
      </c>
      <c r="B2419" s="3" t="s">
        <v>2422</v>
      </c>
      <c r="C2419" s="14">
        <v>44631.93</v>
      </c>
      <c r="D2419" s="11" t="s">
        <v>5</v>
      </c>
    </row>
    <row r="2420" spans="1:4" x14ac:dyDescent="0.25">
      <c r="A2420" s="4" t="s">
        <v>7071</v>
      </c>
      <c r="B2420" s="3" t="s">
        <v>2423</v>
      </c>
      <c r="C2420" s="14">
        <v>7588.35</v>
      </c>
      <c r="D2420" s="11" t="s">
        <v>5</v>
      </c>
    </row>
    <row r="2421" spans="1:4" x14ac:dyDescent="0.25">
      <c r="A2421" s="4" t="s">
        <v>7072</v>
      </c>
      <c r="B2421" s="3" t="s">
        <v>2424</v>
      </c>
      <c r="C2421" s="14">
        <v>11381.46</v>
      </c>
      <c r="D2421" s="11" t="s">
        <v>5</v>
      </c>
    </row>
    <row r="2422" spans="1:4" x14ac:dyDescent="0.25">
      <c r="A2422" s="4" t="s">
        <v>7073</v>
      </c>
      <c r="B2422" s="3" t="s">
        <v>2425</v>
      </c>
      <c r="C2422" s="14">
        <v>18969.349999999999</v>
      </c>
      <c r="D2422" s="11" t="s">
        <v>5</v>
      </c>
    </row>
    <row r="2423" spans="1:4" x14ac:dyDescent="0.25">
      <c r="A2423" s="4" t="s">
        <v>7074</v>
      </c>
      <c r="B2423" s="3" t="s">
        <v>2426</v>
      </c>
      <c r="C2423" s="14">
        <v>107461.14</v>
      </c>
      <c r="D2423" s="11" t="s">
        <v>5</v>
      </c>
    </row>
    <row r="2424" spans="1:4" x14ac:dyDescent="0.25">
      <c r="A2424" s="4" t="s">
        <v>7075</v>
      </c>
      <c r="B2424" s="3" t="s">
        <v>2427</v>
      </c>
      <c r="C2424" s="14">
        <v>107461.14</v>
      </c>
      <c r="D2424" s="11" t="s">
        <v>5</v>
      </c>
    </row>
    <row r="2425" spans="1:4" x14ac:dyDescent="0.25">
      <c r="A2425" s="4" t="s">
        <v>7076</v>
      </c>
      <c r="B2425" s="3" t="s">
        <v>2428</v>
      </c>
      <c r="C2425" s="14">
        <v>107461.14</v>
      </c>
      <c r="D2425" s="11" t="s">
        <v>5</v>
      </c>
    </row>
    <row r="2426" spans="1:4" x14ac:dyDescent="0.25">
      <c r="A2426" s="4" t="s">
        <v>7077</v>
      </c>
      <c r="B2426" s="3" t="s">
        <v>2429</v>
      </c>
      <c r="C2426" s="14">
        <v>26110.04</v>
      </c>
      <c r="D2426" s="11" t="s">
        <v>5</v>
      </c>
    </row>
    <row r="2427" spans="1:4" x14ac:dyDescent="0.25">
      <c r="A2427" s="4" t="s">
        <v>7078</v>
      </c>
      <c r="B2427" s="3" t="s">
        <v>2430</v>
      </c>
      <c r="C2427" s="14">
        <v>26110.04</v>
      </c>
      <c r="D2427" s="11" t="s">
        <v>5</v>
      </c>
    </row>
    <row r="2428" spans="1:4" x14ac:dyDescent="0.25">
      <c r="A2428" s="4" t="s">
        <v>7079</v>
      </c>
      <c r="B2428" s="3" t="s">
        <v>2431</v>
      </c>
      <c r="C2428" s="14">
        <v>26110.04</v>
      </c>
      <c r="D2428" s="11" t="s">
        <v>5</v>
      </c>
    </row>
    <row r="2429" spans="1:4" x14ac:dyDescent="0.25">
      <c r="A2429" s="4" t="s">
        <v>7080</v>
      </c>
      <c r="B2429" s="3" t="s">
        <v>2432</v>
      </c>
      <c r="C2429" s="14">
        <v>67999.5</v>
      </c>
      <c r="D2429" s="11" t="s">
        <v>5</v>
      </c>
    </row>
    <row r="2430" spans="1:4" x14ac:dyDescent="0.25">
      <c r="A2430" s="4" t="s">
        <v>7081</v>
      </c>
      <c r="B2430" s="3" t="s">
        <v>2433</v>
      </c>
      <c r="C2430" s="14">
        <v>67999.5</v>
      </c>
      <c r="D2430" s="11" t="s">
        <v>5</v>
      </c>
    </row>
    <row r="2431" spans="1:4" x14ac:dyDescent="0.25">
      <c r="A2431" s="4" t="s">
        <v>7082</v>
      </c>
      <c r="B2431" s="3" t="s">
        <v>2434</v>
      </c>
      <c r="C2431" s="14">
        <v>72930.78</v>
      </c>
      <c r="D2431" s="11" t="s">
        <v>5</v>
      </c>
    </row>
    <row r="2432" spans="1:4" x14ac:dyDescent="0.25">
      <c r="A2432" s="4" t="s">
        <v>7083</v>
      </c>
      <c r="B2432" s="3" t="s">
        <v>2435</v>
      </c>
      <c r="C2432" s="14">
        <v>72930.78</v>
      </c>
      <c r="D2432" s="11" t="s">
        <v>5</v>
      </c>
    </row>
    <row r="2433" spans="1:4" x14ac:dyDescent="0.25">
      <c r="A2433" s="4" t="s">
        <v>7084</v>
      </c>
      <c r="B2433" s="3" t="s">
        <v>2436</v>
      </c>
      <c r="C2433" s="14">
        <v>38880</v>
      </c>
      <c r="D2433" s="11" t="s">
        <v>5</v>
      </c>
    </row>
    <row r="2434" spans="1:4" x14ac:dyDescent="0.25">
      <c r="A2434" s="4" t="s">
        <v>7085</v>
      </c>
      <c r="B2434" s="3" t="s">
        <v>2437</v>
      </c>
      <c r="C2434" s="14">
        <v>38880</v>
      </c>
      <c r="D2434" s="11" t="s">
        <v>5</v>
      </c>
    </row>
    <row r="2435" spans="1:4" x14ac:dyDescent="0.25">
      <c r="A2435" s="4" t="s">
        <v>7086</v>
      </c>
      <c r="B2435" s="3" t="s">
        <v>2438</v>
      </c>
      <c r="C2435" s="14">
        <v>43092</v>
      </c>
      <c r="D2435" s="11" t="s">
        <v>5</v>
      </c>
    </row>
    <row r="2436" spans="1:4" x14ac:dyDescent="0.25">
      <c r="A2436" s="4" t="s">
        <v>7087</v>
      </c>
      <c r="B2436" s="3" t="s">
        <v>2439</v>
      </c>
      <c r="C2436" s="14">
        <v>43092</v>
      </c>
      <c r="D2436" s="11" t="s">
        <v>5</v>
      </c>
    </row>
    <row r="2437" spans="1:4" x14ac:dyDescent="0.25">
      <c r="A2437" s="4" t="s">
        <v>7088</v>
      </c>
      <c r="B2437" s="3" t="s">
        <v>2440</v>
      </c>
      <c r="C2437" s="14">
        <v>55890</v>
      </c>
      <c r="D2437" s="11" t="s">
        <v>5</v>
      </c>
    </row>
    <row r="2438" spans="1:4" x14ac:dyDescent="0.25">
      <c r="A2438" s="4" t="s">
        <v>7089</v>
      </c>
      <c r="B2438" s="3" t="s">
        <v>2441</v>
      </c>
      <c r="C2438" s="14">
        <v>55890</v>
      </c>
      <c r="D2438" s="11" t="s">
        <v>5</v>
      </c>
    </row>
    <row r="2439" spans="1:4" x14ac:dyDescent="0.25">
      <c r="A2439" s="4" t="s">
        <v>7090</v>
      </c>
      <c r="B2439" s="3" t="s">
        <v>2442</v>
      </c>
      <c r="C2439" s="14">
        <v>81810</v>
      </c>
      <c r="D2439" s="11" t="s">
        <v>5</v>
      </c>
    </row>
    <row r="2440" spans="1:4" x14ac:dyDescent="0.25">
      <c r="A2440" s="4" t="s">
        <v>7091</v>
      </c>
      <c r="B2440" s="3" t="s">
        <v>2443</v>
      </c>
      <c r="C2440" s="14">
        <v>81810</v>
      </c>
      <c r="D2440" s="11" t="s">
        <v>5</v>
      </c>
    </row>
    <row r="2441" spans="1:4" x14ac:dyDescent="0.25">
      <c r="A2441" s="4" t="s">
        <v>7092</v>
      </c>
      <c r="B2441" s="3" t="s">
        <v>2444</v>
      </c>
      <c r="C2441" s="14">
        <v>43812.9</v>
      </c>
      <c r="D2441" s="11" t="s">
        <v>5</v>
      </c>
    </row>
    <row r="2442" spans="1:4" x14ac:dyDescent="0.25">
      <c r="A2442" s="4" t="s">
        <v>7093</v>
      </c>
      <c r="B2442" s="3" t="s">
        <v>2445</v>
      </c>
      <c r="C2442" s="14">
        <v>43812.9</v>
      </c>
      <c r="D2442" s="11" t="s">
        <v>5</v>
      </c>
    </row>
    <row r="2443" spans="1:4" x14ac:dyDescent="0.25">
      <c r="A2443" s="4" t="s">
        <v>7094</v>
      </c>
      <c r="B2443" s="3" t="s">
        <v>2446</v>
      </c>
      <c r="C2443" s="14">
        <v>48681</v>
      </c>
      <c r="D2443" s="11" t="s">
        <v>5</v>
      </c>
    </row>
    <row r="2444" spans="1:4" x14ac:dyDescent="0.25">
      <c r="A2444" s="4" t="s">
        <v>7095</v>
      </c>
      <c r="B2444" s="3" t="s">
        <v>2447</v>
      </c>
      <c r="C2444" s="14">
        <v>48681</v>
      </c>
      <c r="D2444" s="11" t="s">
        <v>5</v>
      </c>
    </row>
    <row r="2445" spans="1:4" x14ac:dyDescent="0.25">
      <c r="A2445" s="4" t="s">
        <v>7096</v>
      </c>
      <c r="B2445" s="3" t="s">
        <v>2448</v>
      </c>
      <c r="C2445" s="14">
        <v>52180.2</v>
      </c>
      <c r="D2445" s="11" t="s">
        <v>5</v>
      </c>
    </row>
    <row r="2446" spans="1:4" x14ac:dyDescent="0.25">
      <c r="A2446" s="4" t="s">
        <v>7097</v>
      </c>
      <c r="B2446" s="3" t="s">
        <v>2449</v>
      </c>
      <c r="C2446" s="14">
        <v>52180.2</v>
      </c>
      <c r="D2446" s="11" t="s">
        <v>5</v>
      </c>
    </row>
    <row r="2447" spans="1:4" x14ac:dyDescent="0.25">
      <c r="A2447" s="4" t="s">
        <v>7098</v>
      </c>
      <c r="B2447" s="3" t="s">
        <v>2450</v>
      </c>
      <c r="C2447" s="14">
        <v>69741</v>
      </c>
      <c r="D2447" s="11" t="s">
        <v>5</v>
      </c>
    </row>
    <row r="2448" spans="1:4" x14ac:dyDescent="0.25">
      <c r="A2448" s="4" t="s">
        <v>7099</v>
      </c>
      <c r="B2448" s="3" t="s">
        <v>2451</v>
      </c>
      <c r="C2448" s="14">
        <v>69741</v>
      </c>
      <c r="D2448" s="11" t="s">
        <v>5</v>
      </c>
    </row>
    <row r="2449" spans="1:4" x14ac:dyDescent="0.25">
      <c r="A2449" s="4" t="s">
        <v>7100</v>
      </c>
      <c r="B2449" s="3" t="s">
        <v>2452</v>
      </c>
      <c r="C2449" s="14">
        <v>786.62</v>
      </c>
      <c r="D2449" s="11" t="s">
        <v>5</v>
      </c>
    </row>
    <row r="2450" spans="1:4" x14ac:dyDescent="0.25">
      <c r="A2450" s="4" t="s">
        <v>7101</v>
      </c>
      <c r="B2450" s="3" t="s">
        <v>2453</v>
      </c>
      <c r="C2450" s="14">
        <v>11117.66</v>
      </c>
      <c r="D2450" s="11" t="s">
        <v>5</v>
      </c>
    </row>
    <row r="2451" spans="1:4" x14ac:dyDescent="0.25">
      <c r="A2451" s="4" t="s">
        <v>7102</v>
      </c>
      <c r="B2451" s="3" t="s">
        <v>2454</v>
      </c>
      <c r="C2451" s="14">
        <v>13658.45</v>
      </c>
      <c r="D2451" s="11" t="s">
        <v>5</v>
      </c>
    </row>
    <row r="2452" spans="1:4" x14ac:dyDescent="0.25">
      <c r="A2452" s="4" t="s">
        <v>7103</v>
      </c>
      <c r="B2452" s="3" t="s">
        <v>2455</v>
      </c>
      <c r="C2452" s="14">
        <v>48276.9</v>
      </c>
      <c r="D2452" s="11" t="s">
        <v>5</v>
      </c>
    </row>
    <row r="2453" spans="1:4" x14ac:dyDescent="0.25">
      <c r="A2453" s="4" t="s">
        <v>7104</v>
      </c>
      <c r="B2453" s="3" t="s">
        <v>2456</v>
      </c>
      <c r="C2453" s="14">
        <v>43156.32</v>
      </c>
      <c r="D2453" s="11" t="s">
        <v>5</v>
      </c>
    </row>
    <row r="2454" spans="1:4" x14ac:dyDescent="0.25">
      <c r="A2454" s="4" t="s">
        <v>7105</v>
      </c>
      <c r="B2454" s="3" t="s">
        <v>2457</v>
      </c>
      <c r="C2454" s="14">
        <v>8826.32</v>
      </c>
      <c r="D2454" s="11" t="s">
        <v>5</v>
      </c>
    </row>
    <row r="2455" spans="1:4" x14ac:dyDescent="0.25">
      <c r="A2455" s="4" t="s">
        <v>7106</v>
      </c>
      <c r="B2455" s="3" t="s">
        <v>2458</v>
      </c>
      <c r="C2455" s="14">
        <v>65.790000000000006</v>
      </c>
      <c r="D2455" s="11" t="s">
        <v>107</v>
      </c>
    </row>
    <row r="2456" spans="1:4" x14ac:dyDescent="0.25">
      <c r="A2456" s="4" t="s">
        <v>7107</v>
      </c>
      <c r="B2456" s="3" t="s">
        <v>2459</v>
      </c>
      <c r="C2456" s="14">
        <v>8936.07</v>
      </c>
      <c r="D2456" s="11" t="s">
        <v>5</v>
      </c>
    </row>
    <row r="2457" spans="1:4" x14ac:dyDescent="0.25">
      <c r="A2457" s="4" t="s">
        <v>7108</v>
      </c>
      <c r="B2457" s="3" t="s">
        <v>2460</v>
      </c>
      <c r="C2457" s="14">
        <v>45540</v>
      </c>
      <c r="D2457" s="11" t="s">
        <v>5</v>
      </c>
    </row>
    <row r="2458" spans="1:4" x14ac:dyDescent="0.25">
      <c r="A2458" s="4" t="s">
        <v>7109</v>
      </c>
      <c r="B2458" s="3" t="s">
        <v>2461</v>
      </c>
      <c r="C2458" s="14">
        <v>22964.6</v>
      </c>
      <c r="D2458" s="11" t="s">
        <v>5</v>
      </c>
    </row>
    <row r="2459" spans="1:4" x14ac:dyDescent="0.25">
      <c r="A2459" s="4" t="s">
        <v>7110</v>
      </c>
      <c r="B2459" s="3" t="s">
        <v>2462</v>
      </c>
      <c r="C2459" s="14">
        <v>28840.25</v>
      </c>
      <c r="D2459" s="11" t="s">
        <v>5</v>
      </c>
    </row>
    <row r="2460" spans="1:4" x14ac:dyDescent="0.25">
      <c r="A2460" s="4" t="s">
        <v>7111</v>
      </c>
      <c r="B2460" s="3" t="s">
        <v>2463</v>
      </c>
      <c r="C2460" s="14">
        <v>15372.72</v>
      </c>
      <c r="D2460" s="11" t="s">
        <v>5</v>
      </c>
    </row>
    <row r="2461" spans="1:4" x14ac:dyDescent="0.25">
      <c r="A2461" s="4" t="s">
        <v>7112</v>
      </c>
      <c r="B2461" s="3" t="s">
        <v>2464</v>
      </c>
      <c r="C2461" s="14">
        <v>30360.42</v>
      </c>
      <c r="D2461" s="11" t="s">
        <v>5</v>
      </c>
    </row>
    <row r="2462" spans="1:4" x14ac:dyDescent="0.25">
      <c r="A2462" s="4" t="s">
        <v>7113</v>
      </c>
      <c r="B2462" s="3" t="s">
        <v>2465</v>
      </c>
      <c r="C2462" s="14">
        <v>62730.81</v>
      </c>
      <c r="D2462" s="11" t="s">
        <v>5</v>
      </c>
    </row>
    <row r="2463" spans="1:4" x14ac:dyDescent="0.25">
      <c r="A2463" s="4" t="s">
        <v>7114</v>
      </c>
      <c r="B2463" s="3" t="s">
        <v>2466</v>
      </c>
      <c r="C2463" s="14">
        <v>69700.88</v>
      </c>
      <c r="D2463" s="11" t="s">
        <v>5</v>
      </c>
    </row>
    <row r="2464" spans="1:4" x14ac:dyDescent="0.25">
      <c r="A2464" s="4" t="s">
        <v>7115</v>
      </c>
      <c r="B2464" s="3" t="s">
        <v>2467</v>
      </c>
      <c r="C2464" s="14">
        <v>71997.63</v>
      </c>
      <c r="D2464" s="11" t="s">
        <v>5</v>
      </c>
    </row>
    <row r="2465" spans="1:4" x14ac:dyDescent="0.25">
      <c r="A2465" s="4" t="s">
        <v>7116</v>
      </c>
      <c r="B2465" s="3" t="s">
        <v>2468</v>
      </c>
      <c r="C2465" s="14">
        <v>23756.43</v>
      </c>
      <c r="D2465" s="11" t="s">
        <v>5</v>
      </c>
    </row>
    <row r="2466" spans="1:4" x14ac:dyDescent="0.25">
      <c r="A2466" s="4" t="s">
        <v>7117</v>
      </c>
      <c r="B2466" s="3" t="s">
        <v>2469</v>
      </c>
      <c r="C2466" s="14">
        <v>59947.65</v>
      </c>
      <c r="D2466" s="11" t="s">
        <v>5</v>
      </c>
    </row>
    <row r="2467" spans="1:4" x14ac:dyDescent="0.25">
      <c r="A2467" s="4" t="s">
        <v>7118</v>
      </c>
      <c r="B2467" s="3" t="s">
        <v>2470</v>
      </c>
      <c r="C2467" s="14">
        <v>72368.55</v>
      </c>
      <c r="D2467" s="11" t="s">
        <v>5</v>
      </c>
    </row>
    <row r="2468" spans="1:4" x14ac:dyDescent="0.25">
      <c r="A2468" s="4" t="s">
        <v>7119</v>
      </c>
      <c r="B2468" s="3" t="s">
        <v>2471</v>
      </c>
      <c r="C2468" s="14">
        <v>79029.41</v>
      </c>
      <c r="D2468" s="11" t="s">
        <v>5</v>
      </c>
    </row>
    <row r="2469" spans="1:4" x14ac:dyDescent="0.25">
      <c r="A2469" s="4" t="s">
        <v>7120</v>
      </c>
      <c r="B2469" s="3" t="s">
        <v>2472</v>
      </c>
      <c r="C2469" s="14">
        <v>66697.320000000007</v>
      </c>
      <c r="D2469" s="11" t="s">
        <v>5</v>
      </c>
    </row>
    <row r="2470" spans="1:4" x14ac:dyDescent="0.25">
      <c r="A2470" s="4" t="s">
        <v>7121</v>
      </c>
      <c r="B2470" s="3" t="s">
        <v>2473</v>
      </c>
      <c r="C2470" s="14">
        <v>40688.28</v>
      </c>
      <c r="D2470" s="11" t="s">
        <v>5</v>
      </c>
    </row>
    <row r="2471" spans="1:4" x14ac:dyDescent="0.25">
      <c r="A2471" s="4" t="s">
        <v>7122</v>
      </c>
      <c r="B2471" s="3" t="s">
        <v>2474</v>
      </c>
      <c r="C2471" s="14">
        <v>48846.23</v>
      </c>
      <c r="D2471" s="11" t="s">
        <v>5</v>
      </c>
    </row>
    <row r="2472" spans="1:4" x14ac:dyDescent="0.25">
      <c r="A2472" s="4" t="s">
        <v>7123</v>
      </c>
      <c r="B2472" s="3" t="s">
        <v>2475</v>
      </c>
      <c r="C2472" s="14">
        <v>35968.589999999997</v>
      </c>
      <c r="D2472" s="11" t="s">
        <v>5</v>
      </c>
    </row>
    <row r="2473" spans="1:4" x14ac:dyDescent="0.25">
      <c r="A2473" s="4" t="s">
        <v>7124</v>
      </c>
      <c r="B2473" s="3" t="s">
        <v>2476</v>
      </c>
      <c r="C2473" s="14">
        <v>58361.73</v>
      </c>
      <c r="D2473" s="11" t="s">
        <v>5</v>
      </c>
    </row>
    <row r="2474" spans="1:4" x14ac:dyDescent="0.25">
      <c r="A2474" s="4" t="s">
        <v>7125</v>
      </c>
      <c r="B2474" s="3" t="s">
        <v>2477</v>
      </c>
      <c r="C2474" s="14">
        <v>125858.34</v>
      </c>
      <c r="D2474" s="11" t="s">
        <v>5</v>
      </c>
    </row>
    <row r="2475" spans="1:4" x14ac:dyDescent="0.25">
      <c r="A2475" s="4" t="s">
        <v>7126</v>
      </c>
      <c r="B2475" s="3" t="s">
        <v>2478</v>
      </c>
      <c r="C2475" s="14">
        <v>89179.28</v>
      </c>
      <c r="D2475" s="11" t="s">
        <v>5</v>
      </c>
    </row>
    <row r="2476" spans="1:4" x14ac:dyDescent="0.25">
      <c r="A2476" s="4" t="s">
        <v>7127</v>
      </c>
      <c r="B2476" s="3" t="s">
        <v>2479</v>
      </c>
      <c r="C2476" s="14">
        <v>69628.100000000006</v>
      </c>
      <c r="D2476" s="11" t="s">
        <v>5</v>
      </c>
    </row>
    <row r="2477" spans="1:4" x14ac:dyDescent="0.25">
      <c r="A2477" s="4" t="s">
        <v>7128</v>
      </c>
      <c r="B2477" s="3" t="s">
        <v>2480</v>
      </c>
      <c r="C2477" s="14">
        <v>118931.07</v>
      </c>
      <c r="D2477" s="11" t="s">
        <v>5</v>
      </c>
    </row>
    <row r="2478" spans="1:4" x14ac:dyDescent="0.25">
      <c r="A2478" s="4" t="s">
        <v>7129</v>
      </c>
      <c r="B2478" s="3" t="s">
        <v>2481</v>
      </c>
      <c r="C2478" s="14">
        <v>53134.559999999998</v>
      </c>
      <c r="D2478" s="11" t="s">
        <v>5</v>
      </c>
    </row>
    <row r="2479" spans="1:4" x14ac:dyDescent="0.25">
      <c r="A2479" s="4" t="s">
        <v>7130</v>
      </c>
      <c r="B2479" s="3" t="s">
        <v>2482</v>
      </c>
      <c r="C2479" s="14">
        <v>62434.37</v>
      </c>
      <c r="D2479" s="11" t="s">
        <v>5</v>
      </c>
    </row>
    <row r="2480" spans="1:4" x14ac:dyDescent="0.25">
      <c r="A2480" s="4" t="s">
        <v>7131</v>
      </c>
      <c r="B2480" s="3" t="s">
        <v>2483</v>
      </c>
      <c r="C2480" s="14">
        <v>99798.57</v>
      </c>
      <c r="D2480" s="11" t="s">
        <v>5</v>
      </c>
    </row>
    <row r="2481" spans="1:4" x14ac:dyDescent="0.25">
      <c r="A2481" s="4" t="s">
        <v>7132</v>
      </c>
      <c r="B2481" s="3" t="s">
        <v>2484</v>
      </c>
      <c r="C2481" s="14">
        <v>43035.42</v>
      </c>
      <c r="D2481" s="11" t="s">
        <v>5</v>
      </c>
    </row>
    <row r="2482" spans="1:4" x14ac:dyDescent="0.25">
      <c r="A2482" s="4" t="s">
        <v>7133</v>
      </c>
      <c r="B2482" s="3" t="s">
        <v>2485</v>
      </c>
      <c r="C2482" s="14">
        <v>71150.58</v>
      </c>
      <c r="D2482" s="11" t="s">
        <v>5</v>
      </c>
    </row>
    <row r="2483" spans="1:4" x14ac:dyDescent="0.25">
      <c r="A2483" s="4" t="s">
        <v>7134</v>
      </c>
      <c r="B2483" s="3" t="s">
        <v>2486</v>
      </c>
      <c r="C2483" s="14">
        <v>13127.33</v>
      </c>
      <c r="D2483" s="11" t="s">
        <v>5</v>
      </c>
    </row>
    <row r="2484" spans="1:4" x14ac:dyDescent="0.25">
      <c r="A2484" s="4" t="s">
        <v>7135</v>
      </c>
      <c r="B2484" s="3" t="s">
        <v>2487</v>
      </c>
      <c r="C2484" s="14">
        <v>8741.31</v>
      </c>
      <c r="D2484" s="11" t="s">
        <v>5</v>
      </c>
    </row>
    <row r="2485" spans="1:4" x14ac:dyDescent="0.25">
      <c r="A2485" s="4" t="s">
        <v>7136</v>
      </c>
      <c r="B2485" s="3" t="s">
        <v>2488</v>
      </c>
      <c r="C2485" s="14">
        <v>9354.9500000000007</v>
      </c>
      <c r="D2485" s="11" t="s">
        <v>5</v>
      </c>
    </row>
    <row r="2486" spans="1:4" x14ac:dyDescent="0.25">
      <c r="A2486" s="4" t="s">
        <v>7137</v>
      </c>
      <c r="B2486" s="3" t="s">
        <v>2489</v>
      </c>
      <c r="C2486" s="14">
        <v>5236.55</v>
      </c>
      <c r="D2486" s="11" t="s">
        <v>5</v>
      </c>
    </row>
    <row r="2487" spans="1:4" x14ac:dyDescent="0.25">
      <c r="A2487" s="4" t="s">
        <v>7138</v>
      </c>
      <c r="B2487" s="3" t="s">
        <v>2490</v>
      </c>
      <c r="C2487" s="14">
        <v>5666.93</v>
      </c>
      <c r="D2487" s="11" t="s">
        <v>5</v>
      </c>
    </row>
    <row r="2488" spans="1:4" x14ac:dyDescent="0.25">
      <c r="A2488" s="4" t="s">
        <v>7139</v>
      </c>
      <c r="B2488" s="3" t="s">
        <v>2491</v>
      </c>
      <c r="C2488" s="14">
        <v>48287.34</v>
      </c>
      <c r="D2488" s="11" t="s">
        <v>5</v>
      </c>
    </row>
    <row r="2489" spans="1:4" x14ac:dyDescent="0.25">
      <c r="A2489" s="4" t="s">
        <v>7140</v>
      </c>
      <c r="B2489" s="3" t="s">
        <v>2492</v>
      </c>
      <c r="C2489" s="14">
        <v>53681.94</v>
      </c>
      <c r="D2489" s="11" t="s">
        <v>5</v>
      </c>
    </row>
    <row r="2490" spans="1:4" x14ac:dyDescent="0.25">
      <c r="A2490" s="4" t="s">
        <v>7141</v>
      </c>
      <c r="B2490" s="3" t="s">
        <v>2493</v>
      </c>
      <c r="C2490" s="14">
        <v>61734.23</v>
      </c>
      <c r="D2490" s="11" t="s">
        <v>5</v>
      </c>
    </row>
    <row r="2491" spans="1:4" x14ac:dyDescent="0.25">
      <c r="A2491" s="4" t="s">
        <v>7142</v>
      </c>
      <c r="B2491" s="3" t="s">
        <v>2494</v>
      </c>
      <c r="C2491" s="14">
        <v>66264.479999999996</v>
      </c>
      <c r="D2491" s="11" t="s">
        <v>5</v>
      </c>
    </row>
    <row r="2492" spans="1:4" x14ac:dyDescent="0.25">
      <c r="A2492" s="4" t="s">
        <v>7143</v>
      </c>
      <c r="B2492" s="3" t="s">
        <v>2495</v>
      </c>
      <c r="C2492" s="14">
        <v>40540.5</v>
      </c>
      <c r="D2492" s="11" t="s">
        <v>5</v>
      </c>
    </row>
    <row r="2493" spans="1:4" x14ac:dyDescent="0.25">
      <c r="A2493" s="4" t="s">
        <v>7144</v>
      </c>
      <c r="B2493" s="3" t="s">
        <v>2496</v>
      </c>
      <c r="C2493" s="14">
        <v>46621.58</v>
      </c>
      <c r="D2493" s="11" t="s">
        <v>5</v>
      </c>
    </row>
    <row r="2494" spans="1:4" x14ac:dyDescent="0.25">
      <c r="A2494" s="4" t="s">
        <v>7145</v>
      </c>
      <c r="B2494" s="3" t="s">
        <v>2497</v>
      </c>
      <c r="C2494" s="14">
        <v>45505.8</v>
      </c>
      <c r="D2494" s="11" t="s">
        <v>5</v>
      </c>
    </row>
    <row r="2495" spans="1:4" x14ac:dyDescent="0.25">
      <c r="A2495" s="4" t="s">
        <v>7146</v>
      </c>
      <c r="B2495" s="3" t="s">
        <v>2498</v>
      </c>
      <c r="C2495" s="14">
        <v>52331.67</v>
      </c>
      <c r="D2495" s="11" t="s">
        <v>5</v>
      </c>
    </row>
    <row r="2496" spans="1:4" x14ac:dyDescent="0.25">
      <c r="A2496" s="4" t="s">
        <v>7147</v>
      </c>
      <c r="B2496" s="3" t="s">
        <v>2499</v>
      </c>
      <c r="C2496" s="14">
        <v>52978.86</v>
      </c>
      <c r="D2496" s="11" t="s">
        <v>5</v>
      </c>
    </row>
    <row r="2497" spans="1:4" x14ac:dyDescent="0.25">
      <c r="A2497" s="4" t="s">
        <v>7148</v>
      </c>
      <c r="B2497" s="3" t="s">
        <v>2500</v>
      </c>
      <c r="C2497" s="14">
        <v>71591.039999999994</v>
      </c>
      <c r="D2497" s="11" t="s">
        <v>5</v>
      </c>
    </row>
    <row r="2498" spans="1:4" x14ac:dyDescent="0.25">
      <c r="A2498" s="4" t="s">
        <v>7149</v>
      </c>
      <c r="B2498" s="3" t="s">
        <v>2501</v>
      </c>
      <c r="C2498" s="14">
        <v>84551.039999999994</v>
      </c>
      <c r="D2498" s="11" t="s">
        <v>5</v>
      </c>
    </row>
    <row r="2499" spans="1:4" x14ac:dyDescent="0.25">
      <c r="A2499" s="4" t="s">
        <v>7150</v>
      </c>
      <c r="B2499" s="3" t="s">
        <v>2502</v>
      </c>
      <c r="C2499" s="14">
        <v>75530.880000000005</v>
      </c>
      <c r="D2499" s="11" t="s">
        <v>5</v>
      </c>
    </row>
    <row r="2500" spans="1:4" x14ac:dyDescent="0.25">
      <c r="A2500" s="4" t="s">
        <v>7151</v>
      </c>
      <c r="B2500" s="3" t="s">
        <v>2503</v>
      </c>
      <c r="C2500" s="14">
        <v>88490.880000000005</v>
      </c>
      <c r="D2500" s="11" t="s">
        <v>5</v>
      </c>
    </row>
    <row r="2501" spans="1:4" x14ac:dyDescent="0.25">
      <c r="A2501" s="4" t="s">
        <v>7152</v>
      </c>
      <c r="B2501" s="3" t="s">
        <v>2504</v>
      </c>
      <c r="C2501" s="14">
        <v>97233.69</v>
      </c>
      <c r="D2501" s="11" t="s">
        <v>5</v>
      </c>
    </row>
    <row r="2502" spans="1:4" x14ac:dyDescent="0.25">
      <c r="A2502" s="4" t="s">
        <v>7153</v>
      </c>
      <c r="B2502" s="3" t="s">
        <v>2505</v>
      </c>
      <c r="C2502" s="14">
        <v>101764.52</v>
      </c>
      <c r="D2502" s="11" t="s">
        <v>5</v>
      </c>
    </row>
    <row r="2503" spans="1:4" x14ac:dyDescent="0.25">
      <c r="A2503" s="4" t="s">
        <v>7154</v>
      </c>
      <c r="B2503" s="3" t="s">
        <v>2506</v>
      </c>
      <c r="C2503" s="14">
        <v>60850.44</v>
      </c>
      <c r="D2503" s="11" t="s">
        <v>5</v>
      </c>
    </row>
    <row r="2504" spans="1:4" x14ac:dyDescent="0.25">
      <c r="A2504" s="4" t="s">
        <v>7155</v>
      </c>
      <c r="B2504" s="3" t="s">
        <v>2507</v>
      </c>
      <c r="C2504" s="14">
        <v>69978</v>
      </c>
      <c r="D2504" s="11" t="s">
        <v>5</v>
      </c>
    </row>
    <row r="2505" spans="1:4" x14ac:dyDescent="0.25">
      <c r="A2505" s="4" t="s">
        <v>7156</v>
      </c>
      <c r="B2505" s="3" t="s">
        <v>2508</v>
      </c>
      <c r="C2505" s="14">
        <v>66402.179999999993</v>
      </c>
      <c r="D2505" s="11" t="s">
        <v>5</v>
      </c>
    </row>
    <row r="2506" spans="1:4" x14ac:dyDescent="0.25">
      <c r="A2506" s="4" t="s">
        <v>7157</v>
      </c>
      <c r="B2506" s="3" t="s">
        <v>2509</v>
      </c>
      <c r="C2506" s="14">
        <v>76362.509999999995</v>
      </c>
      <c r="D2506" s="11" t="s">
        <v>5</v>
      </c>
    </row>
    <row r="2507" spans="1:4" x14ac:dyDescent="0.25">
      <c r="A2507" s="4" t="s">
        <v>7158</v>
      </c>
      <c r="B2507" s="3" t="s">
        <v>2510</v>
      </c>
      <c r="C2507" s="14">
        <v>77502.42</v>
      </c>
      <c r="D2507" s="11" t="s">
        <v>5</v>
      </c>
    </row>
    <row r="2508" spans="1:4" x14ac:dyDescent="0.25">
      <c r="A2508" s="4" t="s">
        <v>7159</v>
      </c>
      <c r="B2508" s="3" t="s">
        <v>2511</v>
      </c>
      <c r="C2508" s="14">
        <v>89127.78</v>
      </c>
      <c r="D2508" s="11" t="s">
        <v>5</v>
      </c>
    </row>
    <row r="2509" spans="1:4" x14ac:dyDescent="0.25">
      <c r="A2509" s="4" t="s">
        <v>7160</v>
      </c>
      <c r="B2509" s="3" t="s">
        <v>2512</v>
      </c>
      <c r="C2509" s="14">
        <v>90462.42</v>
      </c>
      <c r="D2509" s="11" t="s">
        <v>5</v>
      </c>
    </row>
    <row r="2510" spans="1:4" x14ac:dyDescent="0.25">
      <c r="A2510" s="4" t="s">
        <v>7161</v>
      </c>
      <c r="B2510" s="3" t="s">
        <v>2513</v>
      </c>
      <c r="C2510" s="14">
        <v>194519.88</v>
      </c>
      <c r="D2510" s="11" t="s">
        <v>5</v>
      </c>
    </row>
    <row r="2511" spans="1:4" x14ac:dyDescent="0.25">
      <c r="A2511" s="4" t="s">
        <v>7162</v>
      </c>
      <c r="B2511" s="3" t="s">
        <v>2514</v>
      </c>
      <c r="C2511" s="14">
        <v>223697.87</v>
      </c>
      <c r="D2511" s="11" t="s">
        <v>5</v>
      </c>
    </row>
    <row r="2512" spans="1:4" x14ac:dyDescent="0.25">
      <c r="A2512" s="4" t="s">
        <v>7163</v>
      </c>
      <c r="B2512" s="3" t="s">
        <v>2515</v>
      </c>
      <c r="C2512" s="14">
        <v>204259.32</v>
      </c>
      <c r="D2512" s="11" t="s">
        <v>5</v>
      </c>
    </row>
    <row r="2513" spans="1:4" x14ac:dyDescent="0.25">
      <c r="A2513" s="4" t="s">
        <v>7164</v>
      </c>
      <c r="B2513" s="3" t="s">
        <v>2516</v>
      </c>
      <c r="C2513" s="14">
        <v>249802.22</v>
      </c>
      <c r="D2513" s="11" t="s">
        <v>5</v>
      </c>
    </row>
    <row r="2514" spans="1:4" x14ac:dyDescent="0.25">
      <c r="A2514" s="4" t="s">
        <v>7165</v>
      </c>
      <c r="B2514" s="3" t="s">
        <v>2517</v>
      </c>
      <c r="C2514" s="14">
        <v>167529.06</v>
      </c>
      <c r="D2514" s="11" t="s">
        <v>5</v>
      </c>
    </row>
    <row r="2515" spans="1:4" x14ac:dyDescent="0.25">
      <c r="A2515" s="4" t="s">
        <v>7166</v>
      </c>
      <c r="B2515" s="3" t="s">
        <v>2518</v>
      </c>
      <c r="C2515" s="14">
        <v>192658.43</v>
      </c>
      <c r="D2515" s="11" t="s">
        <v>5</v>
      </c>
    </row>
    <row r="2516" spans="1:4" x14ac:dyDescent="0.25">
      <c r="A2516" s="4" t="s">
        <v>7167</v>
      </c>
      <c r="B2516" s="3" t="s">
        <v>2519</v>
      </c>
      <c r="C2516" s="14">
        <v>65477.16</v>
      </c>
      <c r="D2516" s="11" t="s">
        <v>5</v>
      </c>
    </row>
    <row r="2517" spans="1:4" x14ac:dyDescent="0.25">
      <c r="A2517" s="4" t="s">
        <v>7168</v>
      </c>
      <c r="B2517" s="3" t="s">
        <v>2520</v>
      </c>
      <c r="C2517" s="14">
        <v>59525.279999999999</v>
      </c>
      <c r="D2517" s="11" t="s">
        <v>5</v>
      </c>
    </row>
    <row r="2518" spans="1:4" x14ac:dyDescent="0.25">
      <c r="A2518" s="4" t="s">
        <v>7169</v>
      </c>
      <c r="B2518" s="3" t="s">
        <v>2521</v>
      </c>
      <c r="C2518" s="14">
        <v>71213.58</v>
      </c>
      <c r="D2518" s="11" t="s">
        <v>5</v>
      </c>
    </row>
    <row r="2519" spans="1:4" x14ac:dyDescent="0.25">
      <c r="A2519" s="4" t="s">
        <v>7170</v>
      </c>
      <c r="B2519" s="3" t="s">
        <v>2522</v>
      </c>
      <c r="C2519" s="14">
        <v>103667.04</v>
      </c>
      <c r="D2519" s="11" t="s">
        <v>5</v>
      </c>
    </row>
    <row r="2520" spans="1:4" x14ac:dyDescent="0.25">
      <c r="A2520" s="4" t="s">
        <v>7171</v>
      </c>
      <c r="B2520" s="3" t="s">
        <v>2523</v>
      </c>
      <c r="C2520" s="14">
        <v>119217.09</v>
      </c>
      <c r="D2520" s="11" t="s">
        <v>5</v>
      </c>
    </row>
    <row r="2521" spans="1:4" x14ac:dyDescent="0.25">
      <c r="A2521" s="4" t="s">
        <v>7172</v>
      </c>
      <c r="B2521" s="3" t="s">
        <v>2524</v>
      </c>
      <c r="C2521" s="14">
        <v>102981.78</v>
      </c>
      <c r="D2521" s="11" t="s">
        <v>5</v>
      </c>
    </row>
    <row r="2522" spans="1:4" x14ac:dyDescent="0.25">
      <c r="A2522" s="4" t="s">
        <v>7173</v>
      </c>
      <c r="B2522" s="3" t="s">
        <v>2525</v>
      </c>
      <c r="C2522" s="14">
        <v>118429.05</v>
      </c>
      <c r="D2522" s="11" t="s">
        <v>5</v>
      </c>
    </row>
    <row r="2523" spans="1:4" x14ac:dyDescent="0.25">
      <c r="A2523" s="4" t="s">
        <v>7174</v>
      </c>
      <c r="B2523" s="3" t="s">
        <v>2526</v>
      </c>
      <c r="C2523" s="14">
        <v>95390.46</v>
      </c>
      <c r="D2523" s="11" t="s">
        <v>5</v>
      </c>
    </row>
    <row r="2524" spans="1:4" x14ac:dyDescent="0.25">
      <c r="A2524" s="4" t="s">
        <v>7175</v>
      </c>
      <c r="B2524" s="3" t="s">
        <v>2527</v>
      </c>
      <c r="C2524" s="14">
        <v>109699.04</v>
      </c>
      <c r="D2524" s="11" t="s">
        <v>5</v>
      </c>
    </row>
    <row r="2525" spans="1:4" x14ac:dyDescent="0.25">
      <c r="A2525" s="4" t="s">
        <v>7176</v>
      </c>
      <c r="B2525" s="3" t="s">
        <v>2528</v>
      </c>
      <c r="C2525" s="14">
        <v>97815.6</v>
      </c>
      <c r="D2525" s="11" t="s">
        <v>5</v>
      </c>
    </row>
    <row r="2526" spans="1:4" x14ac:dyDescent="0.25">
      <c r="A2526" s="4" t="s">
        <v>7177</v>
      </c>
      <c r="B2526" s="3" t="s">
        <v>2529</v>
      </c>
      <c r="C2526" s="14">
        <v>112487.94</v>
      </c>
      <c r="D2526" s="11" t="s">
        <v>5</v>
      </c>
    </row>
    <row r="2527" spans="1:4" x14ac:dyDescent="0.25">
      <c r="A2527" s="4" t="s">
        <v>7178</v>
      </c>
      <c r="B2527" s="3" t="s">
        <v>2530</v>
      </c>
      <c r="C2527" s="14">
        <v>61336.44</v>
      </c>
      <c r="D2527" s="11" t="s">
        <v>5</v>
      </c>
    </row>
    <row r="2528" spans="1:4" x14ac:dyDescent="0.25">
      <c r="A2528" s="4" t="s">
        <v>7179</v>
      </c>
      <c r="B2528" s="3" t="s">
        <v>2531</v>
      </c>
      <c r="C2528" s="14">
        <v>61396.38</v>
      </c>
      <c r="D2528" s="11" t="s">
        <v>5</v>
      </c>
    </row>
    <row r="2529" spans="1:4" x14ac:dyDescent="0.25">
      <c r="A2529" s="4" t="s">
        <v>7180</v>
      </c>
      <c r="B2529" s="3" t="s">
        <v>2532</v>
      </c>
      <c r="C2529" s="14">
        <v>71950.679999999993</v>
      </c>
      <c r="D2529" s="11" t="s">
        <v>5</v>
      </c>
    </row>
    <row r="2530" spans="1:4" x14ac:dyDescent="0.25">
      <c r="A2530" s="4" t="s">
        <v>7181</v>
      </c>
      <c r="B2530" s="3" t="s">
        <v>2533</v>
      </c>
      <c r="C2530" s="14">
        <v>115855.92</v>
      </c>
      <c r="D2530" s="11" t="s">
        <v>5</v>
      </c>
    </row>
    <row r="2531" spans="1:4" x14ac:dyDescent="0.25">
      <c r="A2531" s="4" t="s">
        <v>7182</v>
      </c>
      <c r="B2531" s="3" t="s">
        <v>2534</v>
      </c>
      <c r="C2531" s="14">
        <v>133234.31</v>
      </c>
      <c r="D2531" s="11" t="s">
        <v>5</v>
      </c>
    </row>
    <row r="2532" spans="1:4" x14ac:dyDescent="0.25">
      <c r="A2532" s="4" t="s">
        <v>7183</v>
      </c>
      <c r="B2532" s="3" t="s">
        <v>2535</v>
      </c>
      <c r="C2532" s="14">
        <v>109119.96</v>
      </c>
      <c r="D2532" s="11" t="s">
        <v>5</v>
      </c>
    </row>
    <row r="2533" spans="1:4" x14ac:dyDescent="0.25">
      <c r="A2533" s="4" t="s">
        <v>7184</v>
      </c>
      <c r="B2533" s="3" t="s">
        <v>2536</v>
      </c>
      <c r="C2533" s="14">
        <v>125487.96</v>
      </c>
      <c r="D2533" s="11" t="s">
        <v>5</v>
      </c>
    </row>
    <row r="2534" spans="1:4" x14ac:dyDescent="0.25">
      <c r="A2534" s="4" t="s">
        <v>7185</v>
      </c>
      <c r="B2534" s="3" t="s">
        <v>2537</v>
      </c>
      <c r="C2534" s="14">
        <v>101530.26</v>
      </c>
      <c r="D2534" s="11" t="s">
        <v>5</v>
      </c>
    </row>
    <row r="2535" spans="1:4" x14ac:dyDescent="0.25">
      <c r="A2535" s="4" t="s">
        <v>7186</v>
      </c>
      <c r="B2535" s="3" t="s">
        <v>2538</v>
      </c>
      <c r="C2535" s="14">
        <v>105225.48</v>
      </c>
      <c r="D2535" s="11" t="s">
        <v>5</v>
      </c>
    </row>
    <row r="2536" spans="1:4" x14ac:dyDescent="0.25">
      <c r="A2536" s="4" t="s">
        <v>7187</v>
      </c>
      <c r="B2536" s="3" t="s">
        <v>2539</v>
      </c>
      <c r="C2536" s="14">
        <v>121009.31</v>
      </c>
      <c r="D2536" s="11" t="s">
        <v>5</v>
      </c>
    </row>
    <row r="2537" spans="1:4" x14ac:dyDescent="0.25">
      <c r="A2537" s="4" t="s">
        <v>7188</v>
      </c>
      <c r="B2537" s="3" t="s">
        <v>2540</v>
      </c>
      <c r="C2537" s="14">
        <v>95636.7</v>
      </c>
      <c r="D2537" s="11" t="s">
        <v>5</v>
      </c>
    </row>
    <row r="2538" spans="1:4" x14ac:dyDescent="0.25">
      <c r="A2538" s="4" t="s">
        <v>7189</v>
      </c>
      <c r="B2538" s="3" t="s">
        <v>2541</v>
      </c>
      <c r="C2538" s="14">
        <v>141508.62</v>
      </c>
      <c r="D2538" s="11" t="s">
        <v>5</v>
      </c>
    </row>
    <row r="2539" spans="1:4" x14ac:dyDescent="0.25">
      <c r="A2539" s="4" t="s">
        <v>7190</v>
      </c>
      <c r="B2539" s="3" t="s">
        <v>2542</v>
      </c>
      <c r="C2539" s="14">
        <v>149634.54</v>
      </c>
      <c r="D2539" s="11" t="s">
        <v>5</v>
      </c>
    </row>
    <row r="2540" spans="1:4" x14ac:dyDescent="0.25">
      <c r="A2540" s="4" t="s">
        <v>7191</v>
      </c>
      <c r="B2540" s="3" t="s">
        <v>2543</v>
      </c>
      <c r="C2540" s="14">
        <v>172079.72</v>
      </c>
      <c r="D2540" s="11" t="s">
        <v>5</v>
      </c>
    </row>
    <row r="2541" spans="1:4" x14ac:dyDescent="0.25">
      <c r="A2541" s="4" t="s">
        <v>7192</v>
      </c>
      <c r="B2541" s="3" t="s">
        <v>2544</v>
      </c>
      <c r="C2541" s="14">
        <v>139159.62</v>
      </c>
      <c r="D2541" s="11" t="s">
        <v>5</v>
      </c>
    </row>
    <row r="2542" spans="1:4" x14ac:dyDescent="0.25">
      <c r="A2542" s="4" t="s">
        <v>7193</v>
      </c>
      <c r="B2542" s="3" t="s">
        <v>2545</v>
      </c>
      <c r="C2542" s="14">
        <v>111608.28</v>
      </c>
      <c r="D2542" s="11" t="s">
        <v>5</v>
      </c>
    </row>
    <row r="2543" spans="1:4" x14ac:dyDescent="0.25">
      <c r="A2543" s="4" t="s">
        <v>7194</v>
      </c>
      <c r="B2543" s="3" t="s">
        <v>2546</v>
      </c>
      <c r="C2543" s="14">
        <v>116978.58</v>
      </c>
      <c r="D2543" s="11" t="s">
        <v>5</v>
      </c>
    </row>
    <row r="2544" spans="1:4" x14ac:dyDescent="0.25">
      <c r="A2544" s="4" t="s">
        <v>7195</v>
      </c>
      <c r="B2544" s="3" t="s">
        <v>2547</v>
      </c>
      <c r="C2544" s="14">
        <v>4348.74</v>
      </c>
      <c r="D2544" s="11" t="s">
        <v>5</v>
      </c>
    </row>
    <row r="2545" spans="1:4" x14ac:dyDescent="0.25">
      <c r="A2545" s="4" t="s">
        <v>7196</v>
      </c>
      <c r="B2545" s="3" t="s">
        <v>2548</v>
      </c>
      <c r="C2545" s="14">
        <v>2467.4</v>
      </c>
      <c r="D2545" s="11" t="s">
        <v>5</v>
      </c>
    </row>
    <row r="2546" spans="1:4" x14ac:dyDescent="0.25">
      <c r="A2546" s="4" t="s">
        <v>7197</v>
      </c>
      <c r="B2546" s="3" t="s">
        <v>2549</v>
      </c>
      <c r="C2546" s="14">
        <v>1498.31</v>
      </c>
      <c r="D2546" s="11" t="s">
        <v>5</v>
      </c>
    </row>
    <row r="2547" spans="1:4" x14ac:dyDescent="0.25">
      <c r="A2547" s="4" t="s">
        <v>7198</v>
      </c>
      <c r="B2547" s="3" t="s">
        <v>2550</v>
      </c>
      <c r="C2547" s="14">
        <v>1562.9</v>
      </c>
      <c r="D2547" s="11" t="s">
        <v>5</v>
      </c>
    </row>
    <row r="2548" spans="1:4" x14ac:dyDescent="0.25">
      <c r="A2548" s="4" t="s">
        <v>7199</v>
      </c>
      <c r="B2548" s="3" t="s">
        <v>2551</v>
      </c>
      <c r="C2548" s="14">
        <v>1427.1</v>
      </c>
      <c r="D2548" s="11" t="s">
        <v>5</v>
      </c>
    </row>
    <row r="2549" spans="1:4" x14ac:dyDescent="0.25">
      <c r="A2549" s="4" t="s">
        <v>7200</v>
      </c>
      <c r="B2549" s="3" t="s">
        <v>2552</v>
      </c>
      <c r="C2549" s="14">
        <v>1535.63</v>
      </c>
      <c r="D2549" s="11" t="s">
        <v>5</v>
      </c>
    </row>
    <row r="2550" spans="1:4" x14ac:dyDescent="0.25">
      <c r="A2550" s="4" t="s">
        <v>7201</v>
      </c>
      <c r="B2550" s="3" t="s">
        <v>2553</v>
      </c>
      <c r="C2550" s="14">
        <v>1780.26</v>
      </c>
      <c r="D2550" s="11" t="s">
        <v>5</v>
      </c>
    </row>
    <row r="2551" spans="1:4" x14ac:dyDescent="0.25">
      <c r="A2551" s="4" t="s">
        <v>7202</v>
      </c>
      <c r="B2551" s="3" t="s">
        <v>2554</v>
      </c>
      <c r="C2551" s="14">
        <v>1780.26</v>
      </c>
      <c r="D2551" s="11" t="s">
        <v>5</v>
      </c>
    </row>
    <row r="2552" spans="1:4" x14ac:dyDescent="0.25">
      <c r="A2552" s="4" t="s">
        <v>7203</v>
      </c>
      <c r="B2552" s="3" t="s">
        <v>2555</v>
      </c>
      <c r="C2552" s="14">
        <v>1716.68</v>
      </c>
      <c r="D2552" s="11" t="s">
        <v>5</v>
      </c>
    </row>
    <row r="2553" spans="1:4" x14ac:dyDescent="0.25">
      <c r="A2553" s="4" t="s">
        <v>7204</v>
      </c>
      <c r="B2553" s="3" t="s">
        <v>2556</v>
      </c>
      <c r="C2553" s="14">
        <v>1716.68</v>
      </c>
      <c r="D2553" s="11" t="s">
        <v>5</v>
      </c>
    </row>
    <row r="2554" spans="1:4" x14ac:dyDescent="0.25">
      <c r="A2554" s="4" t="s">
        <v>7205</v>
      </c>
      <c r="B2554" s="3" t="s">
        <v>2557</v>
      </c>
      <c r="C2554" s="14">
        <v>1101.77</v>
      </c>
      <c r="D2554" s="11" t="s">
        <v>5</v>
      </c>
    </row>
    <row r="2555" spans="1:4" x14ac:dyDescent="0.25">
      <c r="A2555" s="4" t="s">
        <v>7206</v>
      </c>
      <c r="B2555" s="3" t="s">
        <v>2558</v>
      </c>
      <c r="C2555" s="14">
        <v>1310.54</v>
      </c>
      <c r="D2555" s="11" t="s">
        <v>5</v>
      </c>
    </row>
    <row r="2556" spans="1:4" x14ac:dyDescent="0.25">
      <c r="A2556" s="4" t="s">
        <v>7207</v>
      </c>
      <c r="B2556" s="3" t="s">
        <v>2559</v>
      </c>
      <c r="C2556" s="14">
        <v>1661.64</v>
      </c>
      <c r="D2556" s="11" t="s">
        <v>5</v>
      </c>
    </row>
    <row r="2557" spans="1:4" x14ac:dyDescent="0.25">
      <c r="A2557" s="4" t="s">
        <v>7208</v>
      </c>
      <c r="B2557" s="3" t="s">
        <v>2560</v>
      </c>
      <c r="C2557" s="14">
        <v>1025.82</v>
      </c>
      <c r="D2557" s="11" t="s">
        <v>5</v>
      </c>
    </row>
    <row r="2558" spans="1:4" x14ac:dyDescent="0.25">
      <c r="A2558" s="4" t="s">
        <v>7209</v>
      </c>
      <c r="B2558" s="3" t="s">
        <v>2561</v>
      </c>
      <c r="C2558" s="14">
        <v>1800</v>
      </c>
      <c r="D2558" s="11" t="s">
        <v>5</v>
      </c>
    </row>
    <row r="2559" spans="1:4" x14ac:dyDescent="0.25">
      <c r="A2559" s="4" t="s">
        <v>7210</v>
      </c>
      <c r="B2559" s="3" t="s">
        <v>2562</v>
      </c>
      <c r="C2559" s="14">
        <v>2161.14</v>
      </c>
      <c r="D2559" s="11" t="s">
        <v>5</v>
      </c>
    </row>
    <row r="2560" spans="1:4" x14ac:dyDescent="0.25">
      <c r="A2560" s="4" t="s">
        <v>7211</v>
      </c>
      <c r="B2560" s="3" t="s">
        <v>2563</v>
      </c>
      <c r="C2560" s="14">
        <v>141.13999999999999</v>
      </c>
      <c r="D2560" s="11" t="s">
        <v>5</v>
      </c>
    </row>
    <row r="2561" spans="1:4" x14ac:dyDescent="0.25">
      <c r="A2561" s="4" t="s">
        <v>7212</v>
      </c>
      <c r="B2561" s="3" t="s">
        <v>2564</v>
      </c>
      <c r="C2561" s="14">
        <v>34.409999999999997</v>
      </c>
      <c r="D2561" s="11" t="s">
        <v>5</v>
      </c>
    </row>
    <row r="2562" spans="1:4" x14ac:dyDescent="0.25">
      <c r="A2562" s="4" t="s">
        <v>7213</v>
      </c>
      <c r="B2562" s="3" t="s">
        <v>2565</v>
      </c>
      <c r="C2562" s="14">
        <v>108.48</v>
      </c>
      <c r="D2562" s="11" t="s">
        <v>5</v>
      </c>
    </row>
    <row r="2563" spans="1:4" x14ac:dyDescent="0.25">
      <c r="A2563" s="4" t="s">
        <v>7214</v>
      </c>
      <c r="B2563" s="3" t="s">
        <v>2566</v>
      </c>
      <c r="C2563" s="14">
        <v>174.38</v>
      </c>
      <c r="D2563" s="11" t="s">
        <v>5</v>
      </c>
    </row>
    <row r="2564" spans="1:4" x14ac:dyDescent="0.25">
      <c r="A2564" s="4" t="s">
        <v>7215</v>
      </c>
      <c r="B2564" s="3" t="s">
        <v>2567</v>
      </c>
      <c r="C2564" s="14">
        <v>110.22</v>
      </c>
      <c r="D2564" s="11" t="s">
        <v>5</v>
      </c>
    </row>
    <row r="2565" spans="1:4" x14ac:dyDescent="0.25">
      <c r="A2565" s="4" t="s">
        <v>7216</v>
      </c>
      <c r="B2565" s="3" t="s">
        <v>2568</v>
      </c>
      <c r="C2565" s="14">
        <v>78.150000000000006</v>
      </c>
      <c r="D2565" s="11" t="s">
        <v>5</v>
      </c>
    </row>
    <row r="2566" spans="1:4" x14ac:dyDescent="0.25">
      <c r="A2566" s="4" t="s">
        <v>7217</v>
      </c>
      <c r="B2566" s="3" t="s">
        <v>2569</v>
      </c>
      <c r="C2566" s="14">
        <v>56.57</v>
      </c>
      <c r="D2566" s="11" t="s">
        <v>5</v>
      </c>
    </row>
    <row r="2567" spans="1:4" x14ac:dyDescent="0.25">
      <c r="A2567" s="4" t="s">
        <v>7218</v>
      </c>
      <c r="B2567" s="3" t="s">
        <v>2570</v>
      </c>
      <c r="C2567" s="14">
        <v>936.62</v>
      </c>
      <c r="D2567" s="11" t="s">
        <v>5</v>
      </c>
    </row>
    <row r="2568" spans="1:4" x14ac:dyDescent="0.25">
      <c r="A2568" s="4" t="s">
        <v>7219</v>
      </c>
      <c r="B2568" s="3" t="s">
        <v>2571</v>
      </c>
      <c r="C2568" s="14">
        <v>159.21</v>
      </c>
      <c r="D2568" s="11" t="s">
        <v>5</v>
      </c>
    </row>
    <row r="2569" spans="1:4" x14ac:dyDescent="0.25">
      <c r="A2569" s="4" t="s">
        <v>7220</v>
      </c>
      <c r="B2569" s="3" t="s">
        <v>2572</v>
      </c>
      <c r="C2569" s="14">
        <v>30.92</v>
      </c>
      <c r="D2569" s="11" t="s">
        <v>5</v>
      </c>
    </row>
    <row r="2570" spans="1:4" x14ac:dyDescent="0.25">
      <c r="A2570" s="4" t="s">
        <v>7221</v>
      </c>
      <c r="B2570" s="3" t="s">
        <v>2573</v>
      </c>
      <c r="C2570" s="14">
        <v>29.75</v>
      </c>
      <c r="D2570" s="11" t="s">
        <v>5</v>
      </c>
    </row>
    <row r="2571" spans="1:4" x14ac:dyDescent="0.25">
      <c r="A2571" s="4" t="s">
        <v>7222</v>
      </c>
      <c r="B2571" s="3" t="s">
        <v>2574</v>
      </c>
      <c r="C2571" s="14">
        <v>48.99</v>
      </c>
      <c r="D2571" s="11" t="s">
        <v>5</v>
      </c>
    </row>
    <row r="2572" spans="1:4" x14ac:dyDescent="0.25">
      <c r="A2572" s="4" t="s">
        <v>7223</v>
      </c>
      <c r="B2572" s="3" t="s">
        <v>2575</v>
      </c>
      <c r="C2572" s="14">
        <v>26.25</v>
      </c>
      <c r="D2572" s="11" t="s">
        <v>5</v>
      </c>
    </row>
    <row r="2573" spans="1:4" x14ac:dyDescent="0.25">
      <c r="A2573" s="4" t="s">
        <v>7224</v>
      </c>
      <c r="B2573" s="3" t="s">
        <v>2576</v>
      </c>
      <c r="C2573" s="14">
        <v>27.41</v>
      </c>
      <c r="D2573" s="11" t="s">
        <v>5</v>
      </c>
    </row>
    <row r="2574" spans="1:4" x14ac:dyDescent="0.25">
      <c r="A2574" s="4" t="s">
        <v>7225</v>
      </c>
      <c r="B2574" s="3" t="s">
        <v>2577</v>
      </c>
      <c r="C2574" s="14">
        <v>26.25</v>
      </c>
      <c r="D2574" s="11" t="s">
        <v>5</v>
      </c>
    </row>
    <row r="2575" spans="1:4" x14ac:dyDescent="0.25">
      <c r="A2575" s="4" t="s">
        <v>7226</v>
      </c>
      <c r="B2575" s="3" t="s">
        <v>2578</v>
      </c>
      <c r="C2575" s="14">
        <v>26.25</v>
      </c>
      <c r="D2575" s="11" t="s">
        <v>5</v>
      </c>
    </row>
    <row r="2576" spans="1:4" x14ac:dyDescent="0.25">
      <c r="A2576" s="4" t="s">
        <v>7227</v>
      </c>
      <c r="B2576" s="3" t="s">
        <v>2579</v>
      </c>
      <c r="C2576" s="14">
        <v>29.16</v>
      </c>
      <c r="D2576" s="11" t="s">
        <v>5</v>
      </c>
    </row>
    <row r="2577" spans="1:4" x14ac:dyDescent="0.25">
      <c r="A2577" s="4" t="s">
        <v>7228</v>
      </c>
      <c r="B2577" s="3" t="s">
        <v>2580</v>
      </c>
      <c r="C2577" s="14">
        <v>25.67</v>
      </c>
      <c r="D2577" s="11" t="s">
        <v>5</v>
      </c>
    </row>
    <row r="2578" spans="1:4" x14ac:dyDescent="0.25">
      <c r="A2578" s="4" t="s">
        <v>7229</v>
      </c>
      <c r="B2578" s="3" t="s">
        <v>2581</v>
      </c>
      <c r="C2578" s="14">
        <v>38.49</v>
      </c>
      <c r="D2578" s="11" t="s">
        <v>5</v>
      </c>
    </row>
    <row r="2579" spans="1:4" x14ac:dyDescent="0.25">
      <c r="A2579" s="4" t="s">
        <v>7230</v>
      </c>
      <c r="B2579" s="3" t="s">
        <v>2582</v>
      </c>
      <c r="C2579" s="14">
        <v>906.84</v>
      </c>
      <c r="D2579" s="11" t="s">
        <v>5</v>
      </c>
    </row>
    <row r="2580" spans="1:4" x14ac:dyDescent="0.25">
      <c r="A2580" s="4" t="s">
        <v>7231</v>
      </c>
      <c r="B2580" s="3" t="s">
        <v>2583</v>
      </c>
      <c r="C2580" s="14">
        <v>901.7</v>
      </c>
      <c r="D2580" s="11" t="s">
        <v>5</v>
      </c>
    </row>
    <row r="2581" spans="1:4" x14ac:dyDescent="0.25">
      <c r="A2581" s="4" t="s">
        <v>7232</v>
      </c>
      <c r="B2581" s="3" t="s">
        <v>2584</v>
      </c>
      <c r="C2581" s="14">
        <v>153.59</v>
      </c>
      <c r="D2581" s="11" t="s">
        <v>5</v>
      </c>
    </row>
    <row r="2582" spans="1:4" x14ac:dyDescent="0.25">
      <c r="A2582" s="4" t="s">
        <v>7233</v>
      </c>
      <c r="B2582" s="3" t="s">
        <v>2585</v>
      </c>
      <c r="C2582" s="14">
        <v>230.94</v>
      </c>
      <c r="D2582" s="11" t="s">
        <v>5</v>
      </c>
    </row>
    <row r="2583" spans="1:4" x14ac:dyDescent="0.25">
      <c r="A2583" s="4" t="s">
        <v>7234</v>
      </c>
      <c r="B2583" s="3" t="s">
        <v>2586</v>
      </c>
      <c r="C2583" s="14">
        <v>195.96</v>
      </c>
      <c r="D2583" s="11" t="s">
        <v>5</v>
      </c>
    </row>
    <row r="2584" spans="1:4" x14ac:dyDescent="0.25">
      <c r="A2584" s="4" t="s">
        <v>7235</v>
      </c>
      <c r="B2584" s="3" t="s">
        <v>2587</v>
      </c>
      <c r="C2584" s="14">
        <v>183.12</v>
      </c>
      <c r="D2584" s="11" t="s">
        <v>5</v>
      </c>
    </row>
    <row r="2585" spans="1:4" x14ac:dyDescent="0.25">
      <c r="A2585" s="4" t="s">
        <v>7236</v>
      </c>
      <c r="B2585" s="3" t="s">
        <v>2588</v>
      </c>
      <c r="C2585" s="14">
        <v>224.79</v>
      </c>
      <c r="D2585" s="11" t="s">
        <v>5</v>
      </c>
    </row>
    <row r="2586" spans="1:4" x14ac:dyDescent="0.25">
      <c r="A2586" s="4" t="s">
        <v>7237</v>
      </c>
      <c r="B2586" s="3" t="s">
        <v>2589</v>
      </c>
      <c r="C2586" s="14">
        <v>216.36</v>
      </c>
      <c r="D2586" s="11" t="s">
        <v>5</v>
      </c>
    </row>
    <row r="2587" spans="1:4" x14ac:dyDescent="0.25">
      <c r="A2587" s="4" t="s">
        <v>7238</v>
      </c>
      <c r="B2587" s="3" t="s">
        <v>2590</v>
      </c>
      <c r="C2587" s="14">
        <v>262.44</v>
      </c>
      <c r="D2587" s="11" t="s">
        <v>5</v>
      </c>
    </row>
    <row r="2588" spans="1:4" x14ac:dyDescent="0.25">
      <c r="A2588" s="4" t="s">
        <v>7239</v>
      </c>
      <c r="B2588" s="3" t="s">
        <v>2591</v>
      </c>
      <c r="C2588" s="14">
        <v>265.35000000000002</v>
      </c>
      <c r="D2588" s="11" t="s">
        <v>5</v>
      </c>
    </row>
    <row r="2589" spans="1:4" x14ac:dyDescent="0.25">
      <c r="A2589" s="4" t="s">
        <v>7240</v>
      </c>
      <c r="B2589" s="3" t="s">
        <v>2592</v>
      </c>
      <c r="C2589" s="14">
        <v>155.13</v>
      </c>
      <c r="D2589" s="11" t="s">
        <v>5</v>
      </c>
    </row>
    <row r="2590" spans="1:4" x14ac:dyDescent="0.25">
      <c r="A2590" s="4" t="s">
        <v>7241</v>
      </c>
      <c r="B2590" s="3" t="s">
        <v>2593</v>
      </c>
      <c r="C2590" s="14">
        <v>75.08</v>
      </c>
      <c r="D2590" s="11" t="s">
        <v>5</v>
      </c>
    </row>
    <row r="2591" spans="1:4" x14ac:dyDescent="0.25">
      <c r="A2591" s="4" t="s">
        <v>7242</v>
      </c>
      <c r="B2591" s="3" t="s">
        <v>2594</v>
      </c>
      <c r="C2591" s="14">
        <v>329.51</v>
      </c>
      <c r="D2591" s="11" t="s">
        <v>5</v>
      </c>
    </row>
    <row r="2592" spans="1:4" x14ac:dyDescent="0.25">
      <c r="A2592" s="4" t="s">
        <v>7243</v>
      </c>
      <c r="B2592" s="3" t="s">
        <v>2595</v>
      </c>
      <c r="C2592" s="14">
        <v>86.9</v>
      </c>
      <c r="D2592" s="11" t="s">
        <v>5</v>
      </c>
    </row>
    <row r="2593" spans="1:4" x14ac:dyDescent="0.25">
      <c r="A2593" s="4" t="s">
        <v>7244</v>
      </c>
      <c r="B2593" s="3" t="s">
        <v>2596</v>
      </c>
      <c r="C2593" s="14">
        <v>64.739999999999995</v>
      </c>
      <c r="D2593" s="11" t="s">
        <v>5</v>
      </c>
    </row>
    <row r="2594" spans="1:4" x14ac:dyDescent="0.25">
      <c r="A2594" s="4" t="s">
        <v>7245</v>
      </c>
      <c r="B2594" s="3" t="s">
        <v>2597</v>
      </c>
      <c r="C2594" s="14">
        <v>97.4</v>
      </c>
      <c r="D2594" s="11" t="s">
        <v>5</v>
      </c>
    </row>
    <row r="2595" spans="1:4" x14ac:dyDescent="0.25">
      <c r="A2595" s="4" t="s">
        <v>7246</v>
      </c>
      <c r="B2595" s="3" t="s">
        <v>2598</v>
      </c>
      <c r="C2595" s="14">
        <v>172.46</v>
      </c>
      <c r="D2595" s="11" t="s">
        <v>5</v>
      </c>
    </row>
    <row r="2596" spans="1:4" x14ac:dyDescent="0.25">
      <c r="A2596" s="4" t="s">
        <v>7247</v>
      </c>
      <c r="B2596" s="3" t="s">
        <v>2599</v>
      </c>
      <c r="C2596" s="14">
        <v>277.27999999999997</v>
      </c>
      <c r="D2596" s="11" t="s">
        <v>5</v>
      </c>
    </row>
    <row r="2597" spans="1:4" x14ac:dyDescent="0.25">
      <c r="A2597" s="4" t="s">
        <v>7248</v>
      </c>
      <c r="B2597" s="3" t="s">
        <v>2600</v>
      </c>
      <c r="C2597" s="14">
        <v>50.75</v>
      </c>
      <c r="D2597" s="11" t="s">
        <v>5</v>
      </c>
    </row>
    <row r="2598" spans="1:4" x14ac:dyDescent="0.25">
      <c r="A2598" s="4" t="s">
        <v>7249</v>
      </c>
      <c r="B2598" s="3" t="s">
        <v>2601</v>
      </c>
      <c r="C2598" s="14">
        <v>56.57</v>
      </c>
      <c r="D2598" s="11" t="s">
        <v>5</v>
      </c>
    </row>
    <row r="2599" spans="1:4" x14ac:dyDescent="0.25">
      <c r="A2599" s="4" t="s">
        <v>7250</v>
      </c>
      <c r="B2599" s="3" t="s">
        <v>2602</v>
      </c>
      <c r="C2599" s="14">
        <v>56.57</v>
      </c>
      <c r="D2599" s="11" t="s">
        <v>5</v>
      </c>
    </row>
    <row r="2600" spans="1:4" x14ac:dyDescent="0.25">
      <c r="A2600" s="4" t="s">
        <v>7251</v>
      </c>
      <c r="B2600" s="3" t="s">
        <v>2603</v>
      </c>
      <c r="C2600" s="14">
        <v>46.65</v>
      </c>
      <c r="D2600" s="11" t="s">
        <v>5</v>
      </c>
    </row>
    <row r="2601" spans="1:4" x14ac:dyDescent="0.25">
      <c r="A2601" s="4" t="s">
        <v>7252</v>
      </c>
      <c r="B2601" s="3" t="s">
        <v>2604</v>
      </c>
      <c r="C2601" s="14">
        <v>197.19</v>
      </c>
      <c r="D2601" s="11" t="s">
        <v>5</v>
      </c>
    </row>
    <row r="2602" spans="1:4" x14ac:dyDescent="0.25">
      <c r="A2602" s="4" t="s">
        <v>7253</v>
      </c>
      <c r="B2602" s="3" t="s">
        <v>2605</v>
      </c>
      <c r="C2602" s="14">
        <v>221.61</v>
      </c>
      <c r="D2602" s="11" t="s">
        <v>5</v>
      </c>
    </row>
    <row r="2603" spans="1:4" x14ac:dyDescent="0.25">
      <c r="A2603" s="4" t="s">
        <v>7254</v>
      </c>
      <c r="B2603" s="3" t="s">
        <v>2606</v>
      </c>
      <c r="C2603" s="14">
        <v>281.69</v>
      </c>
      <c r="D2603" s="11" t="s">
        <v>5</v>
      </c>
    </row>
    <row r="2604" spans="1:4" x14ac:dyDescent="0.25">
      <c r="A2604" s="4" t="s">
        <v>7255</v>
      </c>
      <c r="B2604" s="3" t="s">
        <v>2607</v>
      </c>
      <c r="C2604" s="14">
        <v>77.13</v>
      </c>
      <c r="D2604" s="11" t="s">
        <v>5</v>
      </c>
    </row>
    <row r="2605" spans="1:4" x14ac:dyDescent="0.25">
      <c r="A2605" s="4" t="s">
        <v>7256</v>
      </c>
      <c r="B2605" s="3" t="s">
        <v>2608</v>
      </c>
      <c r="C2605" s="14">
        <v>43.16</v>
      </c>
      <c r="D2605" s="11" t="s">
        <v>5</v>
      </c>
    </row>
    <row r="2606" spans="1:4" x14ac:dyDescent="0.25">
      <c r="A2606" s="4" t="s">
        <v>7257</v>
      </c>
      <c r="B2606" s="3" t="s">
        <v>2609</v>
      </c>
      <c r="C2606" s="14">
        <v>66.260000000000005</v>
      </c>
      <c r="D2606" s="11" t="s">
        <v>5</v>
      </c>
    </row>
    <row r="2607" spans="1:4" x14ac:dyDescent="0.25">
      <c r="A2607" s="4" t="s">
        <v>7258</v>
      </c>
      <c r="B2607" s="3" t="s">
        <v>2610</v>
      </c>
      <c r="C2607" s="14">
        <v>57.51</v>
      </c>
      <c r="D2607" s="11" t="s">
        <v>5</v>
      </c>
    </row>
    <row r="2608" spans="1:4" x14ac:dyDescent="0.25">
      <c r="A2608" s="4" t="s">
        <v>7259</v>
      </c>
      <c r="B2608" s="3" t="s">
        <v>2611</v>
      </c>
      <c r="C2608" s="14">
        <v>62.99</v>
      </c>
      <c r="D2608" s="11" t="s">
        <v>5</v>
      </c>
    </row>
    <row r="2609" spans="1:4" x14ac:dyDescent="0.25">
      <c r="A2609" s="4" t="s">
        <v>7260</v>
      </c>
      <c r="B2609" s="3" t="s">
        <v>2612</v>
      </c>
      <c r="C2609" s="14">
        <v>25.08</v>
      </c>
      <c r="D2609" s="11" t="s">
        <v>5</v>
      </c>
    </row>
    <row r="2610" spans="1:4" x14ac:dyDescent="0.25">
      <c r="A2610" s="4" t="s">
        <v>7261</v>
      </c>
      <c r="B2610" s="3" t="s">
        <v>2613</v>
      </c>
      <c r="C2610" s="14">
        <v>38.49</v>
      </c>
      <c r="D2610" s="11" t="s">
        <v>5</v>
      </c>
    </row>
    <row r="2611" spans="1:4" x14ac:dyDescent="0.25">
      <c r="A2611" s="4" t="s">
        <v>7262</v>
      </c>
      <c r="B2611" s="3" t="s">
        <v>2614</v>
      </c>
      <c r="C2611" s="14">
        <v>43.16</v>
      </c>
      <c r="D2611" s="11" t="s">
        <v>5</v>
      </c>
    </row>
    <row r="2612" spans="1:4" x14ac:dyDescent="0.25">
      <c r="A2612" s="4" t="s">
        <v>7263</v>
      </c>
      <c r="B2612" s="3" t="s">
        <v>2615</v>
      </c>
      <c r="C2612" s="14">
        <v>23.33</v>
      </c>
      <c r="D2612" s="11" t="s">
        <v>5</v>
      </c>
    </row>
    <row r="2613" spans="1:4" x14ac:dyDescent="0.25">
      <c r="A2613" s="4" t="s">
        <v>7264</v>
      </c>
      <c r="B2613" s="3" t="s">
        <v>2616</v>
      </c>
      <c r="C2613" s="14">
        <v>81.650000000000006</v>
      </c>
      <c r="D2613" s="11" t="s">
        <v>5</v>
      </c>
    </row>
    <row r="2614" spans="1:4" x14ac:dyDescent="0.25">
      <c r="A2614" s="4" t="s">
        <v>7265</v>
      </c>
      <c r="B2614" s="3" t="s">
        <v>2617</v>
      </c>
      <c r="C2614" s="14">
        <v>7595.34</v>
      </c>
      <c r="D2614" s="11" t="s">
        <v>5</v>
      </c>
    </row>
    <row r="2615" spans="1:4" x14ac:dyDescent="0.25">
      <c r="A2615" s="4" t="s">
        <v>7266</v>
      </c>
      <c r="B2615" s="3" t="s">
        <v>2618</v>
      </c>
      <c r="C2615" s="14">
        <v>649.26</v>
      </c>
      <c r="D2615" s="11" t="s">
        <v>5</v>
      </c>
    </row>
    <row r="2616" spans="1:4" x14ac:dyDescent="0.25">
      <c r="A2616" s="4" t="s">
        <v>7267</v>
      </c>
      <c r="B2616" s="3" t="s">
        <v>2619</v>
      </c>
      <c r="C2616" s="14">
        <v>684.17</v>
      </c>
      <c r="D2616" s="11" t="s">
        <v>5</v>
      </c>
    </row>
    <row r="2617" spans="1:4" x14ac:dyDescent="0.25">
      <c r="A2617" s="4" t="s">
        <v>7268</v>
      </c>
      <c r="B2617" s="3" t="s">
        <v>2620</v>
      </c>
      <c r="C2617" s="14">
        <v>700.05</v>
      </c>
      <c r="D2617" s="11" t="s">
        <v>5</v>
      </c>
    </row>
    <row r="2618" spans="1:4" x14ac:dyDescent="0.25">
      <c r="A2618" s="4" t="s">
        <v>7269</v>
      </c>
      <c r="B2618" s="3" t="s">
        <v>2621</v>
      </c>
      <c r="C2618" s="14">
        <v>1072.31</v>
      </c>
      <c r="D2618" s="11" t="s">
        <v>5</v>
      </c>
    </row>
    <row r="2619" spans="1:4" x14ac:dyDescent="0.25">
      <c r="A2619" s="4" t="s">
        <v>7270</v>
      </c>
      <c r="B2619" s="3" t="s">
        <v>2622</v>
      </c>
      <c r="C2619" s="14">
        <v>2373.06</v>
      </c>
      <c r="D2619" s="11" t="s">
        <v>5</v>
      </c>
    </row>
    <row r="2620" spans="1:4" x14ac:dyDescent="0.25">
      <c r="A2620" s="4" t="s">
        <v>7271</v>
      </c>
      <c r="B2620" s="3" t="s">
        <v>2623</v>
      </c>
      <c r="C2620" s="14">
        <v>1438.79</v>
      </c>
      <c r="D2620" s="11" t="s">
        <v>5</v>
      </c>
    </row>
    <row r="2621" spans="1:4" x14ac:dyDescent="0.25">
      <c r="A2621" s="4" t="s">
        <v>7272</v>
      </c>
      <c r="B2621" s="3" t="s">
        <v>2624</v>
      </c>
      <c r="C2621" s="14">
        <v>1438.79</v>
      </c>
      <c r="D2621" s="11" t="s">
        <v>5</v>
      </c>
    </row>
    <row r="2622" spans="1:4" x14ac:dyDescent="0.25">
      <c r="A2622" s="4" t="s">
        <v>7273</v>
      </c>
      <c r="B2622" s="3" t="s">
        <v>2625</v>
      </c>
      <c r="C2622" s="14">
        <v>279.93</v>
      </c>
      <c r="D2622" s="11" t="s">
        <v>5</v>
      </c>
    </row>
    <row r="2623" spans="1:4" x14ac:dyDescent="0.25">
      <c r="A2623" s="4" t="s">
        <v>7274</v>
      </c>
      <c r="B2623" s="3" t="s">
        <v>2626</v>
      </c>
      <c r="C2623" s="14">
        <v>1094.99</v>
      </c>
      <c r="D2623" s="11" t="s">
        <v>5</v>
      </c>
    </row>
    <row r="2624" spans="1:4" x14ac:dyDescent="0.25">
      <c r="A2624" s="4" t="s">
        <v>7275</v>
      </c>
      <c r="B2624" s="3" t="s">
        <v>2627</v>
      </c>
      <c r="C2624" s="14">
        <v>502.44</v>
      </c>
      <c r="D2624" s="11" t="s">
        <v>5</v>
      </c>
    </row>
    <row r="2625" spans="1:4" x14ac:dyDescent="0.25">
      <c r="A2625" s="4" t="s">
        <v>7276</v>
      </c>
      <c r="B2625" s="3" t="s">
        <v>2628</v>
      </c>
      <c r="C2625" s="14">
        <v>1497.6</v>
      </c>
      <c r="D2625" s="11" t="s">
        <v>5</v>
      </c>
    </row>
    <row r="2626" spans="1:4" x14ac:dyDescent="0.25">
      <c r="A2626" s="4" t="s">
        <v>7277</v>
      </c>
      <c r="B2626" s="3" t="s">
        <v>2629</v>
      </c>
      <c r="C2626" s="14">
        <v>1828.22</v>
      </c>
      <c r="D2626" s="11" t="s">
        <v>5</v>
      </c>
    </row>
    <row r="2627" spans="1:4" x14ac:dyDescent="0.25">
      <c r="A2627" s="4" t="s">
        <v>7278</v>
      </c>
      <c r="B2627" s="3" t="s">
        <v>2630</v>
      </c>
      <c r="C2627" s="14">
        <v>1193.54</v>
      </c>
      <c r="D2627" s="11" t="s">
        <v>5</v>
      </c>
    </row>
    <row r="2628" spans="1:4" x14ac:dyDescent="0.25">
      <c r="A2628" s="4" t="s">
        <v>7279</v>
      </c>
      <c r="B2628" s="3" t="s">
        <v>2631</v>
      </c>
      <c r="C2628" s="14">
        <v>10397.19</v>
      </c>
      <c r="D2628" s="11" t="s">
        <v>5</v>
      </c>
    </row>
    <row r="2629" spans="1:4" x14ac:dyDescent="0.25">
      <c r="A2629" s="4" t="s">
        <v>7280</v>
      </c>
      <c r="B2629" s="3" t="s">
        <v>2632</v>
      </c>
      <c r="C2629" s="14">
        <v>10396.5</v>
      </c>
      <c r="D2629" s="11" t="s">
        <v>5</v>
      </c>
    </row>
    <row r="2630" spans="1:4" x14ac:dyDescent="0.25">
      <c r="A2630" s="4" t="s">
        <v>7281</v>
      </c>
      <c r="B2630" s="3" t="s">
        <v>2633</v>
      </c>
      <c r="C2630" s="14">
        <v>3958.46</v>
      </c>
      <c r="D2630" s="11" t="s">
        <v>5</v>
      </c>
    </row>
    <row r="2631" spans="1:4" x14ac:dyDescent="0.25">
      <c r="A2631" s="4" t="s">
        <v>7282</v>
      </c>
      <c r="B2631" s="3" t="s">
        <v>2634</v>
      </c>
      <c r="C2631" s="14">
        <v>5125.68</v>
      </c>
      <c r="D2631" s="11" t="s">
        <v>5</v>
      </c>
    </row>
    <row r="2632" spans="1:4" x14ac:dyDescent="0.25">
      <c r="A2632" s="4" t="s">
        <v>7283</v>
      </c>
      <c r="B2632" s="3" t="s">
        <v>2635</v>
      </c>
      <c r="C2632" s="14">
        <v>3958.46</v>
      </c>
      <c r="D2632" s="11" t="s">
        <v>5</v>
      </c>
    </row>
    <row r="2633" spans="1:4" x14ac:dyDescent="0.25">
      <c r="A2633" s="4" t="s">
        <v>7284</v>
      </c>
      <c r="B2633" s="3" t="s">
        <v>2636</v>
      </c>
      <c r="C2633" s="14">
        <v>3958.46</v>
      </c>
      <c r="D2633" s="11" t="s">
        <v>5</v>
      </c>
    </row>
    <row r="2634" spans="1:4" x14ac:dyDescent="0.25">
      <c r="A2634" s="4" t="s">
        <v>7285</v>
      </c>
      <c r="B2634" s="3" t="s">
        <v>2637</v>
      </c>
      <c r="C2634" s="14">
        <v>15541.98</v>
      </c>
      <c r="D2634" s="11" t="s">
        <v>5</v>
      </c>
    </row>
    <row r="2635" spans="1:4" x14ac:dyDescent="0.25">
      <c r="A2635" s="4" t="s">
        <v>7286</v>
      </c>
      <c r="B2635" s="3" t="s">
        <v>2638</v>
      </c>
      <c r="C2635" s="14">
        <v>10631.99</v>
      </c>
      <c r="D2635" s="11" t="s">
        <v>5</v>
      </c>
    </row>
    <row r="2636" spans="1:4" x14ac:dyDescent="0.25">
      <c r="A2636" s="4" t="s">
        <v>7287</v>
      </c>
      <c r="B2636" s="3" t="s">
        <v>2639</v>
      </c>
      <c r="C2636" s="14">
        <v>23877.599999999999</v>
      </c>
      <c r="D2636" s="11" t="s">
        <v>5</v>
      </c>
    </row>
    <row r="2637" spans="1:4" x14ac:dyDescent="0.25">
      <c r="A2637" s="4" t="s">
        <v>7288</v>
      </c>
      <c r="B2637" s="3" t="s">
        <v>2640</v>
      </c>
      <c r="C2637" s="14">
        <v>1389.77</v>
      </c>
      <c r="D2637" s="11" t="s">
        <v>5</v>
      </c>
    </row>
    <row r="2638" spans="1:4" x14ac:dyDescent="0.25">
      <c r="A2638" s="4" t="s">
        <v>7289</v>
      </c>
      <c r="B2638" s="3" t="s">
        <v>2641</v>
      </c>
      <c r="C2638" s="14">
        <v>1040.3599999999999</v>
      </c>
      <c r="D2638" s="11" t="s">
        <v>5</v>
      </c>
    </row>
    <row r="2639" spans="1:4" x14ac:dyDescent="0.25">
      <c r="A2639" s="4" t="s">
        <v>7290</v>
      </c>
      <c r="B2639" s="3" t="s">
        <v>2642</v>
      </c>
      <c r="C2639" s="14">
        <v>1268.73</v>
      </c>
      <c r="D2639" s="11" t="s">
        <v>5</v>
      </c>
    </row>
    <row r="2640" spans="1:4" x14ac:dyDescent="0.25">
      <c r="A2640" s="4" t="s">
        <v>7291</v>
      </c>
      <c r="B2640" s="3" t="s">
        <v>2643</v>
      </c>
      <c r="C2640" s="14">
        <v>16208.34</v>
      </c>
      <c r="D2640" s="11" t="s">
        <v>5</v>
      </c>
    </row>
    <row r="2641" spans="1:4" x14ac:dyDescent="0.25">
      <c r="A2641" s="4" t="s">
        <v>7292</v>
      </c>
      <c r="B2641" s="3" t="s">
        <v>2644</v>
      </c>
      <c r="C2641" s="14">
        <v>16208.34</v>
      </c>
      <c r="D2641" s="11" t="s">
        <v>5</v>
      </c>
    </row>
    <row r="2642" spans="1:4" x14ac:dyDescent="0.25">
      <c r="A2642" s="4" t="s">
        <v>7293</v>
      </c>
      <c r="B2642" s="3" t="s">
        <v>2645</v>
      </c>
      <c r="C2642" s="14">
        <v>16208.34</v>
      </c>
      <c r="D2642" s="11" t="s">
        <v>5</v>
      </c>
    </row>
    <row r="2643" spans="1:4" x14ac:dyDescent="0.25">
      <c r="A2643" s="4" t="s">
        <v>7294</v>
      </c>
      <c r="B2643" s="3" t="s">
        <v>2646</v>
      </c>
      <c r="C2643" s="14">
        <v>4345.88</v>
      </c>
      <c r="D2643" s="11" t="s">
        <v>5</v>
      </c>
    </row>
    <row r="2644" spans="1:4" x14ac:dyDescent="0.25">
      <c r="A2644" s="4" t="s">
        <v>7295</v>
      </c>
      <c r="B2644" s="3" t="s">
        <v>2647</v>
      </c>
      <c r="C2644" s="14">
        <v>16208.34</v>
      </c>
      <c r="D2644" s="11" t="s">
        <v>5</v>
      </c>
    </row>
    <row r="2645" spans="1:4" x14ac:dyDescent="0.25">
      <c r="A2645" s="4" t="s">
        <v>7296</v>
      </c>
      <c r="B2645" s="3" t="s">
        <v>2648</v>
      </c>
      <c r="C2645" s="14">
        <v>16208.34</v>
      </c>
      <c r="D2645" s="11" t="s">
        <v>5</v>
      </c>
    </row>
    <row r="2646" spans="1:4" x14ac:dyDescent="0.25">
      <c r="A2646" s="4" t="s">
        <v>7297</v>
      </c>
      <c r="B2646" s="3" t="s">
        <v>2649</v>
      </c>
      <c r="C2646" s="14">
        <v>16208.34</v>
      </c>
      <c r="D2646" s="11" t="s">
        <v>5</v>
      </c>
    </row>
    <row r="2647" spans="1:4" x14ac:dyDescent="0.25">
      <c r="A2647" s="4" t="s">
        <v>7298</v>
      </c>
      <c r="B2647" s="3" t="s">
        <v>2650</v>
      </c>
      <c r="C2647" s="14">
        <v>16208.34</v>
      </c>
      <c r="D2647" s="11" t="s">
        <v>5</v>
      </c>
    </row>
    <row r="2648" spans="1:4" x14ac:dyDescent="0.25">
      <c r="A2648" s="4" t="s">
        <v>7299</v>
      </c>
      <c r="B2648" s="3" t="s">
        <v>2651</v>
      </c>
      <c r="C2648" s="14">
        <v>24357.06</v>
      </c>
      <c r="D2648" s="11" t="s">
        <v>5</v>
      </c>
    </row>
    <row r="2649" spans="1:4" x14ac:dyDescent="0.25">
      <c r="A2649" s="4" t="s">
        <v>7300</v>
      </c>
      <c r="B2649" s="3" t="s">
        <v>2652</v>
      </c>
      <c r="C2649" s="14">
        <v>24357.06</v>
      </c>
      <c r="D2649" s="11" t="s">
        <v>5</v>
      </c>
    </row>
    <row r="2650" spans="1:4" x14ac:dyDescent="0.25">
      <c r="A2650" s="4" t="s">
        <v>7301</v>
      </c>
      <c r="B2650" s="3" t="s">
        <v>2653</v>
      </c>
      <c r="C2650" s="14">
        <v>24357.06</v>
      </c>
      <c r="D2650" s="11" t="s">
        <v>5</v>
      </c>
    </row>
    <row r="2651" spans="1:4" x14ac:dyDescent="0.25">
      <c r="A2651" s="4" t="s">
        <v>7302</v>
      </c>
      <c r="B2651" s="3" t="s">
        <v>2654</v>
      </c>
      <c r="C2651" s="14">
        <v>24357.06</v>
      </c>
      <c r="D2651" s="11" t="s">
        <v>5</v>
      </c>
    </row>
    <row r="2652" spans="1:4" x14ac:dyDescent="0.25">
      <c r="A2652" s="4" t="s">
        <v>7303</v>
      </c>
      <c r="B2652" s="3" t="s">
        <v>2655</v>
      </c>
      <c r="C2652" s="14">
        <v>24357.06</v>
      </c>
      <c r="D2652" s="11" t="s">
        <v>5</v>
      </c>
    </row>
    <row r="2653" spans="1:4" x14ac:dyDescent="0.25">
      <c r="A2653" s="4" t="s">
        <v>7304</v>
      </c>
      <c r="B2653" s="3" t="s">
        <v>2656</v>
      </c>
      <c r="C2653" s="14">
        <v>24357.69</v>
      </c>
      <c r="D2653" s="11" t="s">
        <v>5</v>
      </c>
    </row>
    <row r="2654" spans="1:4" x14ac:dyDescent="0.25">
      <c r="A2654" s="4" t="s">
        <v>7305</v>
      </c>
      <c r="B2654" s="3" t="s">
        <v>2657</v>
      </c>
      <c r="C2654" s="14">
        <v>8847.92</v>
      </c>
      <c r="D2654" s="11" t="s">
        <v>5</v>
      </c>
    </row>
    <row r="2655" spans="1:4" x14ac:dyDescent="0.25">
      <c r="A2655" s="4" t="s">
        <v>7306</v>
      </c>
      <c r="B2655" s="3" t="s">
        <v>2658</v>
      </c>
      <c r="C2655" s="14">
        <v>8847.92</v>
      </c>
      <c r="D2655" s="11" t="s">
        <v>5</v>
      </c>
    </row>
    <row r="2656" spans="1:4" x14ac:dyDescent="0.25">
      <c r="A2656" s="4" t="s">
        <v>7307</v>
      </c>
      <c r="B2656" s="3" t="s">
        <v>2659</v>
      </c>
      <c r="C2656" s="14">
        <v>26792.03</v>
      </c>
      <c r="D2656" s="11" t="s">
        <v>5</v>
      </c>
    </row>
    <row r="2657" spans="1:4" x14ac:dyDescent="0.25">
      <c r="A2657" s="4" t="s">
        <v>7308</v>
      </c>
      <c r="B2657" s="3" t="s">
        <v>2660</v>
      </c>
      <c r="C2657" s="14">
        <v>3464.51</v>
      </c>
      <c r="D2657" s="11" t="s">
        <v>5</v>
      </c>
    </row>
    <row r="2658" spans="1:4" x14ac:dyDescent="0.25">
      <c r="A2658" s="4" t="s">
        <v>7309</v>
      </c>
      <c r="B2658" s="3" t="s">
        <v>2661</v>
      </c>
      <c r="C2658" s="14">
        <v>3464.51</v>
      </c>
      <c r="D2658" s="11" t="s">
        <v>5</v>
      </c>
    </row>
    <row r="2659" spans="1:4" x14ac:dyDescent="0.25">
      <c r="A2659" s="4" t="s">
        <v>7310</v>
      </c>
      <c r="B2659" s="3" t="s">
        <v>2662</v>
      </c>
      <c r="C2659" s="14">
        <v>3.81</v>
      </c>
      <c r="D2659" s="11" t="s">
        <v>107</v>
      </c>
    </row>
    <row r="2660" spans="1:4" x14ac:dyDescent="0.25">
      <c r="A2660" s="4" t="s">
        <v>7311</v>
      </c>
      <c r="B2660" s="3" t="s">
        <v>2663</v>
      </c>
      <c r="C2660" s="14">
        <v>3.65</v>
      </c>
      <c r="D2660" s="11" t="s">
        <v>107</v>
      </c>
    </row>
    <row r="2661" spans="1:4" x14ac:dyDescent="0.25">
      <c r="A2661" s="4" t="s">
        <v>7312</v>
      </c>
      <c r="B2661" s="3" t="s">
        <v>2664</v>
      </c>
      <c r="C2661" s="14">
        <v>3.02</v>
      </c>
      <c r="D2661" s="11" t="s">
        <v>107</v>
      </c>
    </row>
    <row r="2662" spans="1:4" x14ac:dyDescent="0.25">
      <c r="A2662" s="4" t="s">
        <v>7313</v>
      </c>
      <c r="B2662" s="3" t="s">
        <v>2665</v>
      </c>
      <c r="C2662" s="14">
        <v>3.65</v>
      </c>
      <c r="D2662" s="11" t="s">
        <v>107</v>
      </c>
    </row>
    <row r="2663" spans="1:4" x14ac:dyDescent="0.25">
      <c r="A2663" s="4" t="s">
        <v>7314</v>
      </c>
      <c r="B2663" s="3" t="s">
        <v>2666</v>
      </c>
      <c r="C2663" s="14">
        <v>13619.69</v>
      </c>
      <c r="D2663" s="11" t="s">
        <v>5</v>
      </c>
    </row>
    <row r="2664" spans="1:4" x14ac:dyDescent="0.25">
      <c r="A2664" s="4" t="s">
        <v>7315</v>
      </c>
      <c r="B2664" s="3" t="s">
        <v>2667</v>
      </c>
      <c r="C2664" s="14">
        <v>32503.74</v>
      </c>
      <c r="D2664" s="11" t="s">
        <v>5</v>
      </c>
    </row>
    <row r="2665" spans="1:4" x14ac:dyDescent="0.25">
      <c r="A2665" s="4" t="s">
        <v>7316</v>
      </c>
      <c r="B2665" s="3" t="s">
        <v>2668</v>
      </c>
      <c r="C2665" s="14">
        <v>21566.84</v>
      </c>
      <c r="D2665" s="11" t="s">
        <v>5</v>
      </c>
    </row>
    <row r="2666" spans="1:4" x14ac:dyDescent="0.25">
      <c r="A2666" s="4" t="s">
        <v>7317</v>
      </c>
      <c r="B2666" s="3" t="s">
        <v>2669</v>
      </c>
      <c r="C2666" s="14">
        <v>57348</v>
      </c>
      <c r="D2666" s="11" t="s">
        <v>5</v>
      </c>
    </row>
    <row r="2667" spans="1:4" x14ac:dyDescent="0.25">
      <c r="A2667" s="4" t="s">
        <v>7318</v>
      </c>
      <c r="B2667" s="3" t="s">
        <v>2670</v>
      </c>
      <c r="C2667" s="14">
        <v>64824.3</v>
      </c>
      <c r="D2667" s="11" t="s">
        <v>5</v>
      </c>
    </row>
    <row r="2668" spans="1:4" x14ac:dyDescent="0.25">
      <c r="A2668" s="4" t="s">
        <v>7319</v>
      </c>
      <c r="B2668" s="3" t="s">
        <v>2671</v>
      </c>
      <c r="C2668" s="14">
        <v>72308.7</v>
      </c>
      <c r="D2668" s="11" t="s">
        <v>5</v>
      </c>
    </row>
    <row r="2669" spans="1:4" x14ac:dyDescent="0.25">
      <c r="A2669" s="4" t="s">
        <v>7320</v>
      </c>
      <c r="B2669" s="3" t="s">
        <v>2672</v>
      </c>
      <c r="C2669" s="14">
        <v>72308.7</v>
      </c>
      <c r="D2669" s="11" t="s">
        <v>5</v>
      </c>
    </row>
    <row r="2670" spans="1:4" x14ac:dyDescent="0.25">
      <c r="A2670" s="4" t="s">
        <v>7321</v>
      </c>
      <c r="B2670" s="3" t="s">
        <v>2673</v>
      </c>
      <c r="C2670" s="14">
        <v>7603.1</v>
      </c>
      <c r="D2670" s="11" t="s">
        <v>5</v>
      </c>
    </row>
    <row r="2671" spans="1:4" x14ac:dyDescent="0.25">
      <c r="A2671" s="4" t="s">
        <v>7322</v>
      </c>
      <c r="B2671" s="3" t="s">
        <v>2674</v>
      </c>
      <c r="C2671" s="14">
        <v>3142.73</v>
      </c>
      <c r="D2671" s="11" t="s">
        <v>5</v>
      </c>
    </row>
    <row r="2672" spans="1:4" x14ac:dyDescent="0.25">
      <c r="A2672" s="4" t="s">
        <v>7323</v>
      </c>
      <c r="B2672" s="3" t="s">
        <v>2675</v>
      </c>
      <c r="C2672" s="14">
        <v>10037.6</v>
      </c>
      <c r="D2672" s="11" t="s">
        <v>5</v>
      </c>
    </row>
    <row r="2673" spans="1:4" x14ac:dyDescent="0.25">
      <c r="A2673" s="4" t="s">
        <v>7324</v>
      </c>
      <c r="B2673" s="3" t="s">
        <v>2676</v>
      </c>
      <c r="C2673" s="14">
        <v>6315.21</v>
      </c>
      <c r="D2673" s="11" t="s">
        <v>5</v>
      </c>
    </row>
    <row r="2674" spans="1:4" x14ac:dyDescent="0.25">
      <c r="A2674" s="4" t="s">
        <v>7325</v>
      </c>
      <c r="B2674" s="3" t="s">
        <v>2677</v>
      </c>
      <c r="C2674" s="14">
        <v>4545.38</v>
      </c>
      <c r="D2674" s="11" t="s">
        <v>5</v>
      </c>
    </row>
    <row r="2675" spans="1:4" x14ac:dyDescent="0.25">
      <c r="A2675" s="4" t="s">
        <v>7326</v>
      </c>
      <c r="B2675" s="3" t="s">
        <v>2678</v>
      </c>
      <c r="C2675" s="14">
        <v>486</v>
      </c>
      <c r="D2675" s="11" t="s">
        <v>5</v>
      </c>
    </row>
    <row r="2676" spans="1:4" x14ac:dyDescent="0.25">
      <c r="A2676" s="4" t="s">
        <v>7327</v>
      </c>
      <c r="B2676" s="3" t="s">
        <v>2679</v>
      </c>
      <c r="C2676" s="14">
        <v>258.69</v>
      </c>
      <c r="D2676" s="11" t="s">
        <v>5</v>
      </c>
    </row>
    <row r="2677" spans="1:4" x14ac:dyDescent="0.25">
      <c r="A2677" s="4" t="s">
        <v>7328</v>
      </c>
      <c r="B2677" s="3" t="s">
        <v>2680</v>
      </c>
      <c r="C2677" s="14">
        <v>2703</v>
      </c>
      <c r="D2677" s="11" t="s">
        <v>5</v>
      </c>
    </row>
    <row r="2678" spans="1:4" x14ac:dyDescent="0.25">
      <c r="A2678" s="4" t="s">
        <v>7329</v>
      </c>
      <c r="B2678" s="3" t="s">
        <v>2681</v>
      </c>
      <c r="C2678" s="14">
        <v>7950</v>
      </c>
      <c r="D2678" s="11" t="s">
        <v>5</v>
      </c>
    </row>
    <row r="2679" spans="1:4" x14ac:dyDescent="0.25">
      <c r="A2679" s="4" t="s">
        <v>7330</v>
      </c>
      <c r="B2679" s="3" t="s">
        <v>2682</v>
      </c>
      <c r="C2679" s="14">
        <v>6779.15</v>
      </c>
      <c r="D2679" s="11" t="s">
        <v>5</v>
      </c>
    </row>
    <row r="2680" spans="1:4" x14ac:dyDescent="0.25">
      <c r="A2680" s="4" t="s">
        <v>7331</v>
      </c>
      <c r="B2680" s="3" t="s">
        <v>2683</v>
      </c>
      <c r="C2680" s="14">
        <v>122614.2</v>
      </c>
      <c r="D2680" s="11" t="s">
        <v>5</v>
      </c>
    </row>
    <row r="2681" spans="1:4" x14ac:dyDescent="0.25">
      <c r="A2681" s="4" t="s">
        <v>7332</v>
      </c>
      <c r="B2681" s="3" t="s">
        <v>2684</v>
      </c>
      <c r="C2681" s="14">
        <v>160.4</v>
      </c>
      <c r="D2681" s="11" t="s">
        <v>5</v>
      </c>
    </row>
    <row r="2682" spans="1:4" x14ac:dyDescent="0.25">
      <c r="A2682" s="4" t="s">
        <v>7333</v>
      </c>
      <c r="B2682" s="3" t="s">
        <v>2685</v>
      </c>
      <c r="C2682" s="14">
        <v>210.6</v>
      </c>
      <c r="D2682" s="11" t="s">
        <v>5</v>
      </c>
    </row>
    <row r="2683" spans="1:4" x14ac:dyDescent="0.25">
      <c r="A2683" s="4" t="s">
        <v>7334</v>
      </c>
      <c r="B2683" s="3" t="s">
        <v>2686</v>
      </c>
      <c r="C2683" s="14">
        <v>447.12</v>
      </c>
      <c r="D2683" s="11" t="s">
        <v>5</v>
      </c>
    </row>
    <row r="2684" spans="1:4" x14ac:dyDescent="0.25">
      <c r="A2684" s="4" t="s">
        <v>7335</v>
      </c>
      <c r="B2684" s="3" t="s">
        <v>2687</v>
      </c>
      <c r="C2684" s="14">
        <v>771.15</v>
      </c>
      <c r="D2684" s="11" t="s">
        <v>5</v>
      </c>
    </row>
    <row r="2685" spans="1:4" x14ac:dyDescent="0.25">
      <c r="A2685" s="4" t="s">
        <v>7336</v>
      </c>
      <c r="B2685" s="3" t="s">
        <v>2688</v>
      </c>
      <c r="C2685" s="14">
        <v>1140.51</v>
      </c>
      <c r="D2685" s="11" t="s">
        <v>5</v>
      </c>
    </row>
    <row r="2686" spans="1:4" x14ac:dyDescent="0.25">
      <c r="A2686" s="4" t="s">
        <v>7337</v>
      </c>
      <c r="B2686" s="3" t="s">
        <v>2689</v>
      </c>
      <c r="C2686" s="14">
        <v>1676.76</v>
      </c>
      <c r="D2686" s="11" t="s">
        <v>5</v>
      </c>
    </row>
    <row r="2687" spans="1:4" x14ac:dyDescent="0.25">
      <c r="A2687" s="4" t="s">
        <v>7338</v>
      </c>
      <c r="B2687" s="3" t="s">
        <v>2690</v>
      </c>
      <c r="C2687" s="14">
        <v>826.22</v>
      </c>
      <c r="D2687" s="11" t="s">
        <v>5</v>
      </c>
    </row>
    <row r="2688" spans="1:4" x14ac:dyDescent="0.25">
      <c r="A2688" s="4" t="s">
        <v>7339</v>
      </c>
      <c r="B2688" s="3" t="s">
        <v>2691</v>
      </c>
      <c r="C2688" s="14">
        <v>826.22</v>
      </c>
      <c r="D2688" s="11" t="s">
        <v>5</v>
      </c>
    </row>
    <row r="2689" spans="1:4" x14ac:dyDescent="0.25">
      <c r="A2689" s="4" t="s">
        <v>7340</v>
      </c>
      <c r="B2689" s="3" t="s">
        <v>2692</v>
      </c>
      <c r="C2689" s="14">
        <v>470.36</v>
      </c>
      <c r="D2689" s="11" t="s">
        <v>5</v>
      </c>
    </row>
    <row r="2690" spans="1:4" x14ac:dyDescent="0.25">
      <c r="A2690" s="4" t="s">
        <v>7341</v>
      </c>
      <c r="B2690" s="3" t="s">
        <v>2693</v>
      </c>
      <c r="C2690" s="14">
        <v>439.88</v>
      </c>
      <c r="D2690" s="11" t="s">
        <v>5</v>
      </c>
    </row>
    <row r="2691" spans="1:4" x14ac:dyDescent="0.25">
      <c r="A2691" s="4" t="s">
        <v>7342</v>
      </c>
      <c r="B2691" s="3" t="s">
        <v>2694</v>
      </c>
      <c r="C2691" s="14">
        <v>470.36</v>
      </c>
      <c r="D2691" s="11" t="s">
        <v>5</v>
      </c>
    </row>
    <row r="2692" spans="1:4" x14ac:dyDescent="0.25">
      <c r="A2692" s="4" t="s">
        <v>7343</v>
      </c>
      <c r="B2692" s="3" t="s">
        <v>2695</v>
      </c>
      <c r="C2692" s="14">
        <v>224.87</v>
      </c>
      <c r="D2692" s="11" t="s">
        <v>5</v>
      </c>
    </row>
    <row r="2693" spans="1:4" x14ac:dyDescent="0.25">
      <c r="A2693" s="4" t="s">
        <v>7344</v>
      </c>
      <c r="B2693" s="3" t="s">
        <v>2696</v>
      </c>
      <c r="C2693" s="14">
        <v>415.98</v>
      </c>
      <c r="D2693" s="11" t="s">
        <v>5</v>
      </c>
    </row>
    <row r="2694" spans="1:4" x14ac:dyDescent="0.25">
      <c r="A2694" s="4" t="s">
        <v>7345</v>
      </c>
      <c r="B2694" s="3" t="s">
        <v>2697</v>
      </c>
      <c r="C2694" s="14">
        <v>336.98</v>
      </c>
      <c r="D2694" s="11" t="s">
        <v>5</v>
      </c>
    </row>
    <row r="2695" spans="1:4" x14ac:dyDescent="0.25">
      <c r="A2695" s="4" t="s">
        <v>7346</v>
      </c>
      <c r="B2695" s="3" t="s">
        <v>2698</v>
      </c>
      <c r="C2695" s="14">
        <v>415.98</v>
      </c>
      <c r="D2695" s="11" t="s">
        <v>5</v>
      </c>
    </row>
    <row r="2696" spans="1:4" x14ac:dyDescent="0.25">
      <c r="A2696" s="4" t="s">
        <v>7347</v>
      </c>
      <c r="B2696" s="3" t="s">
        <v>2699</v>
      </c>
      <c r="C2696" s="14">
        <v>79.55</v>
      </c>
      <c r="D2696" s="11" t="s">
        <v>5</v>
      </c>
    </row>
    <row r="2697" spans="1:4" x14ac:dyDescent="0.25">
      <c r="A2697" s="4" t="s">
        <v>7348</v>
      </c>
      <c r="B2697" s="3" t="s">
        <v>2700</v>
      </c>
      <c r="C2697" s="14">
        <v>131.22</v>
      </c>
      <c r="D2697" s="11" t="s">
        <v>5</v>
      </c>
    </row>
    <row r="2698" spans="1:4" x14ac:dyDescent="0.25">
      <c r="A2698" s="4" t="s">
        <v>7349</v>
      </c>
      <c r="B2698" s="3" t="s">
        <v>2701</v>
      </c>
      <c r="C2698" s="14">
        <v>168.48</v>
      </c>
      <c r="D2698" s="11" t="s">
        <v>5</v>
      </c>
    </row>
    <row r="2699" spans="1:4" x14ac:dyDescent="0.25">
      <c r="A2699" s="4" t="s">
        <v>7350</v>
      </c>
      <c r="B2699" s="3" t="s">
        <v>2702</v>
      </c>
      <c r="C2699" s="14">
        <v>291.62</v>
      </c>
      <c r="D2699" s="11" t="s">
        <v>5</v>
      </c>
    </row>
    <row r="2700" spans="1:4" x14ac:dyDescent="0.25">
      <c r="A2700" s="4" t="s">
        <v>7351</v>
      </c>
      <c r="B2700" s="3" t="s">
        <v>2703</v>
      </c>
      <c r="C2700" s="14">
        <v>362.88</v>
      </c>
      <c r="D2700" s="11" t="s">
        <v>5</v>
      </c>
    </row>
    <row r="2701" spans="1:4" x14ac:dyDescent="0.25">
      <c r="A2701" s="4" t="s">
        <v>7352</v>
      </c>
      <c r="B2701" s="3" t="s">
        <v>2704</v>
      </c>
      <c r="C2701" s="14">
        <v>599.42999999999995</v>
      </c>
      <c r="D2701" s="11" t="s">
        <v>5</v>
      </c>
    </row>
    <row r="2702" spans="1:4" x14ac:dyDescent="0.25">
      <c r="A2702" s="4" t="s">
        <v>7353</v>
      </c>
      <c r="B2702" s="3" t="s">
        <v>2705</v>
      </c>
      <c r="C2702" s="14">
        <v>129.6</v>
      </c>
      <c r="D2702" s="11" t="s">
        <v>5</v>
      </c>
    </row>
    <row r="2703" spans="1:4" x14ac:dyDescent="0.25">
      <c r="A2703" s="4" t="s">
        <v>7354</v>
      </c>
      <c r="B2703" s="3" t="s">
        <v>2706</v>
      </c>
      <c r="C2703" s="14">
        <v>160.4</v>
      </c>
      <c r="D2703" s="11" t="s">
        <v>5</v>
      </c>
    </row>
    <row r="2704" spans="1:4" x14ac:dyDescent="0.25">
      <c r="A2704" s="4" t="s">
        <v>7355</v>
      </c>
      <c r="B2704" s="3" t="s">
        <v>2707</v>
      </c>
      <c r="C2704" s="14">
        <v>162</v>
      </c>
      <c r="D2704" s="11" t="s">
        <v>5</v>
      </c>
    </row>
    <row r="2705" spans="1:4" x14ac:dyDescent="0.25">
      <c r="A2705" s="4" t="s">
        <v>7356</v>
      </c>
      <c r="B2705" s="3" t="s">
        <v>2708</v>
      </c>
      <c r="C2705" s="14">
        <v>423.47</v>
      </c>
      <c r="D2705" s="11" t="s">
        <v>5</v>
      </c>
    </row>
    <row r="2706" spans="1:4" x14ac:dyDescent="0.25">
      <c r="A2706" s="4" t="s">
        <v>7357</v>
      </c>
      <c r="B2706" s="3" t="s">
        <v>2709</v>
      </c>
      <c r="C2706" s="14">
        <v>405.27</v>
      </c>
      <c r="D2706" s="11" t="s">
        <v>5</v>
      </c>
    </row>
    <row r="2707" spans="1:4" x14ac:dyDescent="0.25">
      <c r="A2707" s="4" t="s">
        <v>7358</v>
      </c>
      <c r="B2707" s="3" t="s">
        <v>2710</v>
      </c>
      <c r="C2707" s="14">
        <v>463.11</v>
      </c>
      <c r="D2707" s="11" t="s">
        <v>5</v>
      </c>
    </row>
    <row r="2708" spans="1:4" x14ac:dyDescent="0.25">
      <c r="A2708" s="4" t="s">
        <v>7359</v>
      </c>
      <c r="B2708" s="3" t="s">
        <v>2711</v>
      </c>
      <c r="C2708" s="14">
        <v>463.11</v>
      </c>
      <c r="D2708" s="11" t="s">
        <v>5</v>
      </c>
    </row>
    <row r="2709" spans="1:4" x14ac:dyDescent="0.25">
      <c r="A2709" s="4" t="s">
        <v>7360</v>
      </c>
      <c r="B2709" s="3" t="s">
        <v>2712</v>
      </c>
      <c r="C2709" s="14">
        <v>532.82000000000005</v>
      </c>
      <c r="D2709" s="11" t="s">
        <v>5</v>
      </c>
    </row>
    <row r="2710" spans="1:4" x14ac:dyDescent="0.25">
      <c r="A2710" s="4" t="s">
        <v>7361</v>
      </c>
      <c r="B2710" s="3" t="s">
        <v>2713</v>
      </c>
      <c r="C2710" s="14">
        <v>556.20000000000005</v>
      </c>
      <c r="D2710" s="11" t="s">
        <v>5</v>
      </c>
    </row>
    <row r="2711" spans="1:4" x14ac:dyDescent="0.25">
      <c r="A2711" s="4" t="s">
        <v>7362</v>
      </c>
      <c r="B2711" s="3" t="s">
        <v>2714</v>
      </c>
      <c r="C2711" s="14">
        <v>2020.14</v>
      </c>
      <c r="D2711" s="11" t="s">
        <v>5</v>
      </c>
    </row>
    <row r="2712" spans="1:4" x14ac:dyDescent="0.25">
      <c r="A2712" s="4" t="s">
        <v>7363</v>
      </c>
      <c r="B2712" s="3" t="s">
        <v>2715</v>
      </c>
      <c r="C2712" s="14">
        <v>2517.48</v>
      </c>
      <c r="D2712" s="11" t="s">
        <v>5</v>
      </c>
    </row>
    <row r="2713" spans="1:4" x14ac:dyDescent="0.25">
      <c r="A2713" s="4" t="s">
        <v>7364</v>
      </c>
      <c r="B2713" s="3" t="s">
        <v>2716</v>
      </c>
      <c r="C2713" s="14">
        <v>5028.4799999999996</v>
      </c>
      <c r="D2713" s="11" t="s">
        <v>5</v>
      </c>
    </row>
    <row r="2714" spans="1:4" x14ac:dyDescent="0.25">
      <c r="A2714" s="4" t="s">
        <v>7365</v>
      </c>
      <c r="B2714" s="3" t="s">
        <v>2717</v>
      </c>
      <c r="C2714" s="14">
        <v>136.1</v>
      </c>
      <c r="D2714" s="11" t="s">
        <v>5</v>
      </c>
    </row>
    <row r="2715" spans="1:4" x14ac:dyDescent="0.25">
      <c r="A2715" s="4" t="s">
        <v>7366</v>
      </c>
      <c r="B2715" s="3" t="s">
        <v>2718</v>
      </c>
      <c r="C2715" s="14">
        <v>160.4</v>
      </c>
      <c r="D2715" s="11" t="s">
        <v>5</v>
      </c>
    </row>
    <row r="2716" spans="1:4" x14ac:dyDescent="0.25">
      <c r="A2716" s="4" t="s">
        <v>7367</v>
      </c>
      <c r="B2716" s="3" t="s">
        <v>2719</v>
      </c>
      <c r="C2716" s="14">
        <v>262.44</v>
      </c>
      <c r="D2716" s="11" t="s">
        <v>5</v>
      </c>
    </row>
    <row r="2717" spans="1:4" x14ac:dyDescent="0.25">
      <c r="A2717" s="4" t="s">
        <v>7368</v>
      </c>
      <c r="B2717" s="3" t="s">
        <v>2720</v>
      </c>
      <c r="C2717" s="14">
        <v>544.34</v>
      </c>
      <c r="D2717" s="11" t="s">
        <v>5</v>
      </c>
    </row>
    <row r="2718" spans="1:4" x14ac:dyDescent="0.25">
      <c r="A2718" s="4" t="s">
        <v>7369</v>
      </c>
      <c r="B2718" s="3" t="s">
        <v>2721</v>
      </c>
      <c r="C2718" s="14">
        <v>730.65</v>
      </c>
      <c r="D2718" s="11" t="s">
        <v>5</v>
      </c>
    </row>
    <row r="2719" spans="1:4" x14ac:dyDescent="0.25">
      <c r="A2719" s="4" t="s">
        <v>7370</v>
      </c>
      <c r="B2719" s="3" t="s">
        <v>2722</v>
      </c>
      <c r="C2719" s="14">
        <v>955.83</v>
      </c>
      <c r="D2719" s="11" t="s">
        <v>5</v>
      </c>
    </row>
    <row r="2720" spans="1:4" x14ac:dyDescent="0.25">
      <c r="A2720" s="4" t="s">
        <v>7371</v>
      </c>
      <c r="B2720" s="3" t="s">
        <v>2723</v>
      </c>
      <c r="C2720" s="14">
        <v>152.27000000000001</v>
      </c>
      <c r="D2720" s="11" t="s">
        <v>5</v>
      </c>
    </row>
    <row r="2721" spans="1:4" x14ac:dyDescent="0.25">
      <c r="A2721" s="4" t="s">
        <v>7372</v>
      </c>
      <c r="B2721" s="3" t="s">
        <v>2724</v>
      </c>
      <c r="C2721" s="14">
        <v>5590.85</v>
      </c>
      <c r="D2721" s="11" t="s">
        <v>5</v>
      </c>
    </row>
    <row r="2722" spans="1:4" x14ac:dyDescent="0.25">
      <c r="A2722" s="4" t="s">
        <v>7373</v>
      </c>
      <c r="B2722" s="3" t="s">
        <v>2725</v>
      </c>
      <c r="C2722" s="14">
        <v>11296.26</v>
      </c>
      <c r="D2722" s="11" t="s">
        <v>5</v>
      </c>
    </row>
    <row r="2723" spans="1:4" x14ac:dyDescent="0.25">
      <c r="A2723" s="4" t="s">
        <v>7374</v>
      </c>
      <c r="B2723" s="3" t="s">
        <v>2726</v>
      </c>
      <c r="C2723" s="14">
        <v>13332.6</v>
      </c>
      <c r="D2723" s="11" t="s">
        <v>5</v>
      </c>
    </row>
    <row r="2724" spans="1:4" x14ac:dyDescent="0.25">
      <c r="A2724" s="4" t="s">
        <v>7375</v>
      </c>
      <c r="B2724" s="3" t="s">
        <v>2727</v>
      </c>
      <c r="C2724" s="14">
        <v>622.62</v>
      </c>
      <c r="D2724" s="11" t="s">
        <v>5</v>
      </c>
    </row>
    <row r="2725" spans="1:4" x14ac:dyDescent="0.25">
      <c r="A2725" s="4" t="s">
        <v>7376</v>
      </c>
      <c r="B2725" s="3" t="s">
        <v>2728</v>
      </c>
      <c r="C2725" s="14">
        <v>500.25</v>
      </c>
      <c r="D2725" s="11" t="s">
        <v>5</v>
      </c>
    </row>
    <row r="2726" spans="1:4" x14ac:dyDescent="0.25">
      <c r="A2726" s="4" t="s">
        <v>7377</v>
      </c>
      <c r="B2726" s="3" t="s">
        <v>2729</v>
      </c>
      <c r="C2726" s="14">
        <v>320.76</v>
      </c>
      <c r="D2726" s="11" t="s">
        <v>5</v>
      </c>
    </row>
    <row r="2727" spans="1:4" x14ac:dyDescent="0.25">
      <c r="A2727" s="4" t="s">
        <v>7378</v>
      </c>
      <c r="B2727" s="3" t="s">
        <v>2730</v>
      </c>
      <c r="C2727" s="14">
        <v>408.26</v>
      </c>
      <c r="D2727" s="11" t="s">
        <v>5</v>
      </c>
    </row>
    <row r="2728" spans="1:4" x14ac:dyDescent="0.25">
      <c r="A2728" s="4" t="s">
        <v>7379</v>
      </c>
      <c r="B2728" s="3" t="s">
        <v>2731</v>
      </c>
      <c r="C2728" s="14">
        <v>583.22</v>
      </c>
      <c r="D2728" s="11" t="s">
        <v>5</v>
      </c>
    </row>
    <row r="2729" spans="1:4" x14ac:dyDescent="0.25">
      <c r="A2729" s="4" t="s">
        <v>7380</v>
      </c>
      <c r="B2729" s="3" t="s">
        <v>2732</v>
      </c>
      <c r="C2729" s="14">
        <v>855.39</v>
      </c>
      <c r="D2729" s="11" t="s">
        <v>5</v>
      </c>
    </row>
    <row r="2730" spans="1:4" x14ac:dyDescent="0.25">
      <c r="A2730" s="4" t="s">
        <v>7381</v>
      </c>
      <c r="B2730" s="3" t="s">
        <v>2733</v>
      </c>
      <c r="C2730" s="14">
        <v>988.23</v>
      </c>
      <c r="D2730" s="11" t="s">
        <v>5</v>
      </c>
    </row>
    <row r="2731" spans="1:4" x14ac:dyDescent="0.25">
      <c r="A2731" s="4" t="s">
        <v>7382</v>
      </c>
      <c r="B2731" s="3" t="s">
        <v>2734</v>
      </c>
      <c r="C2731" s="14">
        <v>1636.25</v>
      </c>
      <c r="D2731" s="11" t="s">
        <v>5</v>
      </c>
    </row>
    <row r="2732" spans="1:4" x14ac:dyDescent="0.25">
      <c r="A2732" s="4" t="s">
        <v>7383</v>
      </c>
      <c r="B2732" s="3" t="s">
        <v>2735</v>
      </c>
      <c r="C2732" s="14">
        <v>155.52000000000001</v>
      </c>
      <c r="D2732" s="11" t="s">
        <v>5</v>
      </c>
    </row>
    <row r="2733" spans="1:4" x14ac:dyDescent="0.25">
      <c r="A2733" s="4" t="s">
        <v>7384</v>
      </c>
      <c r="B2733" s="3" t="s">
        <v>2736</v>
      </c>
      <c r="C2733" s="14">
        <v>174.98</v>
      </c>
      <c r="D2733" s="11" t="s">
        <v>5</v>
      </c>
    </row>
    <row r="2734" spans="1:4" x14ac:dyDescent="0.25">
      <c r="A2734" s="4" t="s">
        <v>7385</v>
      </c>
      <c r="B2734" s="3" t="s">
        <v>2737</v>
      </c>
      <c r="C2734" s="14">
        <v>231.66</v>
      </c>
      <c r="D2734" s="11" t="s">
        <v>5</v>
      </c>
    </row>
    <row r="2735" spans="1:4" x14ac:dyDescent="0.25">
      <c r="A2735" s="4" t="s">
        <v>7386</v>
      </c>
      <c r="B2735" s="3" t="s">
        <v>2738</v>
      </c>
      <c r="C2735" s="14">
        <v>612.39</v>
      </c>
      <c r="D2735" s="11" t="s">
        <v>5</v>
      </c>
    </row>
    <row r="2736" spans="1:4" x14ac:dyDescent="0.25">
      <c r="A2736" s="4" t="s">
        <v>7387</v>
      </c>
      <c r="B2736" s="3" t="s">
        <v>2739</v>
      </c>
      <c r="C2736" s="14">
        <v>803.55</v>
      </c>
      <c r="D2736" s="11" t="s">
        <v>5</v>
      </c>
    </row>
    <row r="2737" spans="1:4" x14ac:dyDescent="0.25">
      <c r="A2737" s="4" t="s">
        <v>7388</v>
      </c>
      <c r="B2737" s="3" t="s">
        <v>2740</v>
      </c>
      <c r="C2737" s="14">
        <v>1114.5899999999999</v>
      </c>
      <c r="D2737" s="11" t="s">
        <v>5</v>
      </c>
    </row>
    <row r="2738" spans="1:4" x14ac:dyDescent="0.25">
      <c r="A2738" s="4" t="s">
        <v>7389</v>
      </c>
      <c r="B2738" s="3" t="s">
        <v>2741</v>
      </c>
      <c r="C2738" s="14">
        <v>259.22000000000003</v>
      </c>
      <c r="D2738" s="11" t="s">
        <v>5</v>
      </c>
    </row>
    <row r="2739" spans="1:4" x14ac:dyDescent="0.25">
      <c r="A2739" s="4" t="s">
        <v>7390</v>
      </c>
      <c r="B2739" s="3" t="s">
        <v>2742</v>
      </c>
      <c r="C2739" s="14">
        <v>315.89999999999998</v>
      </c>
      <c r="D2739" s="11" t="s">
        <v>5</v>
      </c>
    </row>
    <row r="2740" spans="1:4" x14ac:dyDescent="0.25">
      <c r="A2740" s="4" t="s">
        <v>7391</v>
      </c>
      <c r="B2740" s="3" t="s">
        <v>2743</v>
      </c>
      <c r="C2740" s="14">
        <v>320.76</v>
      </c>
      <c r="D2740" s="11" t="s">
        <v>5</v>
      </c>
    </row>
    <row r="2741" spans="1:4" x14ac:dyDescent="0.25">
      <c r="A2741" s="4" t="s">
        <v>7392</v>
      </c>
      <c r="B2741" s="3" t="s">
        <v>2744</v>
      </c>
      <c r="C2741" s="14">
        <v>204.92</v>
      </c>
      <c r="D2741" s="11" t="s">
        <v>5</v>
      </c>
    </row>
    <row r="2742" spans="1:4" x14ac:dyDescent="0.25">
      <c r="A2742" s="4" t="s">
        <v>7393</v>
      </c>
      <c r="B2742" s="3" t="s">
        <v>2745</v>
      </c>
      <c r="C2742" s="14">
        <v>245.34</v>
      </c>
      <c r="D2742" s="11" t="s">
        <v>5</v>
      </c>
    </row>
    <row r="2743" spans="1:4" x14ac:dyDescent="0.25">
      <c r="A2743" s="4" t="s">
        <v>7394</v>
      </c>
      <c r="B2743" s="3" t="s">
        <v>2746</v>
      </c>
      <c r="C2743" s="14">
        <v>928.19</v>
      </c>
      <c r="D2743" s="11" t="s">
        <v>5</v>
      </c>
    </row>
    <row r="2744" spans="1:4" x14ac:dyDescent="0.25">
      <c r="A2744" s="4" t="s">
        <v>7395</v>
      </c>
      <c r="B2744" s="3" t="s">
        <v>2747</v>
      </c>
      <c r="C2744" s="14">
        <v>928.19</v>
      </c>
      <c r="D2744" s="11" t="s">
        <v>5</v>
      </c>
    </row>
    <row r="2745" spans="1:4" x14ac:dyDescent="0.25">
      <c r="A2745" s="4" t="s">
        <v>7396</v>
      </c>
      <c r="B2745" s="3" t="s">
        <v>2748</v>
      </c>
      <c r="C2745" s="14">
        <v>1159.44</v>
      </c>
      <c r="D2745" s="11" t="s">
        <v>5</v>
      </c>
    </row>
    <row r="2746" spans="1:4" x14ac:dyDescent="0.25">
      <c r="A2746" s="4" t="s">
        <v>7397</v>
      </c>
      <c r="B2746" s="3" t="s">
        <v>2749</v>
      </c>
      <c r="C2746" s="14">
        <v>1159.44</v>
      </c>
      <c r="D2746" s="11" t="s">
        <v>5</v>
      </c>
    </row>
    <row r="2747" spans="1:4" x14ac:dyDescent="0.25">
      <c r="A2747" s="4" t="s">
        <v>7398</v>
      </c>
      <c r="B2747" s="3" t="s">
        <v>2750</v>
      </c>
      <c r="C2747" s="14">
        <v>3680.64</v>
      </c>
      <c r="D2747" s="11" t="s">
        <v>5</v>
      </c>
    </row>
    <row r="2748" spans="1:4" x14ac:dyDescent="0.25">
      <c r="A2748" s="4" t="s">
        <v>7399</v>
      </c>
      <c r="B2748" s="3" t="s">
        <v>2751</v>
      </c>
      <c r="C2748" s="14">
        <v>6765.12</v>
      </c>
      <c r="D2748" s="11" t="s">
        <v>5</v>
      </c>
    </row>
    <row r="2749" spans="1:4" x14ac:dyDescent="0.25">
      <c r="A2749" s="4" t="s">
        <v>7400</v>
      </c>
      <c r="B2749" s="3" t="s">
        <v>2752</v>
      </c>
      <c r="C2749" s="14">
        <v>12360.6</v>
      </c>
      <c r="D2749" s="11" t="s">
        <v>5</v>
      </c>
    </row>
    <row r="2750" spans="1:4" x14ac:dyDescent="0.25">
      <c r="A2750" s="4" t="s">
        <v>7401</v>
      </c>
      <c r="B2750" s="3" t="s">
        <v>2753</v>
      </c>
      <c r="C2750" s="14">
        <v>90.74</v>
      </c>
      <c r="D2750" s="11" t="s">
        <v>5</v>
      </c>
    </row>
    <row r="2751" spans="1:4" x14ac:dyDescent="0.25">
      <c r="A2751" s="4" t="s">
        <v>7402</v>
      </c>
      <c r="B2751" s="3" t="s">
        <v>2754</v>
      </c>
      <c r="C2751" s="14">
        <v>129.6</v>
      </c>
      <c r="D2751" s="11" t="s">
        <v>5</v>
      </c>
    </row>
    <row r="2752" spans="1:4" x14ac:dyDescent="0.25">
      <c r="A2752" s="4" t="s">
        <v>7403</v>
      </c>
      <c r="B2752" s="3" t="s">
        <v>2755</v>
      </c>
      <c r="C2752" s="14">
        <v>168.48</v>
      </c>
      <c r="D2752" s="11" t="s">
        <v>5</v>
      </c>
    </row>
    <row r="2753" spans="1:4" x14ac:dyDescent="0.25">
      <c r="A2753" s="4" t="s">
        <v>7404</v>
      </c>
      <c r="B2753" s="3" t="s">
        <v>2756</v>
      </c>
      <c r="C2753" s="14">
        <v>320.76</v>
      </c>
      <c r="D2753" s="11" t="s">
        <v>5</v>
      </c>
    </row>
    <row r="2754" spans="1:4" x14ac:dyDescent="0.25">
      <c r="A2754" s="4" t="s">
        <v>7405</v>
      </c>
      <c r="B2754" s="3" t="s">
        <v>2757</v>
      </c>
      <c r="C2754" s="14">
        <v>422.85</v>
      </c>
      <c r="D2754" s="11" t="s">
        <v>5</v>
      </c>
    </row>
    <row r="2755" spans="1:4" x14ac:dyDescent="0.25">
      <c r="A2755" s="4" t="s">
        <v>7406</v>
      </c>
      <c r="B2755" s="3" t="s">
        <v>2758</v>
      </c>
      <c r="C2755" s="14">
        <v>631.82000000000005</v>
      </c>
      <c r="D2755" s="11" t="s">
        <v>5</v>
      </c>
    </row>
    <row r="2756" spans="1:4" x14ac:dyDescent="0.25">
      <c r="A2756" s="4" t="s">
        <v>7407</v>
      </c>
      <c r="B2756" s="3" t="s">
        <v>2759</v>
      </c>
      <c r="C2756" s="14">
        <v>129.6</v>
      </c>
      <c r="D2756" s="11" t="s">
        <v>5</v>
      </c>
    </row>
    <row r="2757" spans="1:4" x14ac:dyDescent="0.25">
      <c r="A2757" s="4" t="s">
        <v>7408</v>
      </c>
      <c r="B2757" s="3" t="s">
        <v>2760</v>
      </c>
      <c r="C2757" s="14">
        <v>189.54</v>
      </c>
      <c r="D2757" s="11" t="s">
        <v>5</v>
      </c>
    </row>
    <row r="2758" spans="1:4" x14ac:dyDescent="0.25">
      <c r="A2758" s="4" t="s">
        <v>7409</v>
      </c>
      <c r="B2758" s="3" t="s">
        <v>2761</v>
      </c>
      <c r="C2758" s="14">
        <v>178.22</v>
      </c>
      <c r="D2758" s="11" t="s">
        <v>5</v>
      </c>
    </row>
    <row r="2759" spans="1:4" x14ac:dyDescent="0.25">
      <c r="A2759" s="4" t="s">
        <v>7410</v>
      </c>
      <c r="B2759" s="3" t="s">
        <v>2762</v>
      </c>
      <c r="C2759" s="14">
        <v>151.35</v>
      </c>
      <c r="D2759" s="11" t="s">
        <v>5</v>
      </c>
    </row>
    <row r="2760" spans="1:4" x14ac:dyDescent="0.25">
      <c r="A2760" s="4" t="s">
        <v>7411</v>
      </c>
      <c r="B2760" s="3" t="s">
        <v>2763</v>
      </c>
      <c r="C2760" s="14">
        <v>289.98</v>
      </c>
      <c r="D2760" s="11" t="s">
        <v>5</v>
      </c>
    </row>
    <row r="2761" spans="1:4" x14ac:dyDescent="0.25">
      <c r="A2761" s="4" t="s">
        <v>7412</v>
      </c>
      <c r="B2761" s="3" t="s">
        <v>2764</v>
      </c>
      <c r="C2761" s="14">
        <v>98.91</v>
      </c>
      <c r="D2761" s="11" t="s">
        <v>5</v>
      </c>
    </row>
    <row r="2762" spans="1:4" x14ac:dyDescent="0.25">
      <c r="A2762" s="4" t="s">
        <v>7413</v>
      </c>
      <c r="B2762" s="3" t="s">
        <v>2765</v>
      </c>
      <c r="C2762" s="14">
        <v>154.25</v>
      </c>
      <c r="D2762" s="11" t="s">
        <v>5</v>
      </c>
    </row>
    <row r="2763" spans="1:4" x14ac:dyDescent="0.25">
      <c r="A2763" s="4" t="s">
        <v>7414</v>
      </c>
      <c r="B2763" s="3" t="s">
        <v>2766</v>
      </c>
      <c r="C2763" s="14">
        <v>412.61</v>
      </c>
      <c r="D2763" s="11" t="s">
        <v>5</v>
      </c>
    </row>
    <row r="2764" spans="1:4" x14ac:dyDescent="0.25">
      <c r="A2764" s="4" t="s">
        <v>7415</v>
      </c>
      <c r="B2764" s="3" t="s">
        <v>2767</v>
      </c>
      <c r="C2764" s="14">
        <v>457.2</v>
      </c>
      <c r="D2764" s="11" t="s">
        <v>5</v>
      </c>
    </row>
    <row r="2765" spans="1:4" x14ac:dyDescent="0.25">
      <c r="A2765" s="4" t="s">
        <v>7416</v>
      </c>
      <c r="B2765" s="3" t="s">
        <v>2768</v>
      </c>
      <c r="C2765" s="14">
        <v>2285.8200000000002</v>
      </c>
      <c r="D2765" s="11" t="s">
        <v>5</v>
      </c>
    </row>
    <row r="2766" spans="1:4" x14ac:dyDescent="0.25">
      <c r="A2766" s="4" t="s">
        <v>7417</v>
      </c>
      <c r="B2766" s="3" t="s">
        <v>2769</v>
      </c>
      <c r="C2766" s="14">
        <v>2668.14</v>
      </c>
      <c r="D2766" s="11" t="s">
        <v>5</v>
      </c>
    </row>
    <row r="2767" spans="1:4" x14ac:dyDescent="0.25">
      <c r="A2767" s="4" t="s">
        <v>7418</v>
      </c>
      <c r="B2767" s="3" t="s">
        <v>2770</v>
      </c>
      <c r="C2767" s="14">
        <v>5334.66</v>
      </c>
      <c r="D2767" s="11" t="s">
        <v>5</v>
      </c>
    </row>
    <row r="2768" spans="1:4" x14ac:dyDescent="0.25">
      <c r="A2768" s="4" t="s">
        <v>7419</v>
      </c>
      <c r="B2768" s="3" t="s">
        <v>2771</v>
      </c>
      <c r="C2768" s="14">
        <v>230.76</v>
      </c>
      <c r="D2768" s="11" t="s">
        <v>5</v>
      </c>
    </row>
    <row r="2769" spans="1:4" x14ac:dyDescent="0.25">
      <c r="A2769" s="4" t="s">
        <v>7420</v>
      </c>
      <c r="B2769" s="3" t="s">
        <v>2772</v>
      </c>
      <c r="C2769" s="14">
        <v>160.52000000000001</v>
      </c>
      <c r="D2769" s="11" t="s">
        <v>5</v>
      </c>
    </row>
    <row r="2770" spans="1:4" x14ac:dyDescent="0.25">
      <c r="A2770" s="4" t="s">
        <v>7421</v>
      </c>
      <c r="B2770" s="3" t="s">
        <v>2773</v>
      </c>
      <c r="C2770" s="14">
        <v>188.36</v>
      </c>
      <c r="D2770" s="11" t="s">
        <v>5</v>
      </c>
    </row>
    <row r="2771" spans="1:4" x14ac:dyDescent="0.25">
      <c r="A2771" s="4" t="s">
        <v>7422</v>
      </c>
      <c r="B2771" s="3" t="s">
        <v>2774</v>
      </c>
      <c r="C2771" s="14">
        <v>457.67</v>
      </c>
      <c r="D2771" s="11" t="s">
        <v>5</v>
      </c>
    </row>
    <row r="2772" spans="1:4" x14ac:dyDescent="0.25">
      <c r="A2772" s="4" t="s">
        <v>7423</v>
      </c>
      <c r="B2772" s="3" t="s">
        <v>2775</v>
      </c>
      <c r="C2772" s="14">
        <v>524.73</v>
      </c>
      <c r="D2772" s="11" t="s">
        <v>5</v>
      </c>
    </row>
    <row r="2773" spans="1:4" x14ac:dyDescent="0.25">
      <c r="A2773" s="4" t="s">
        <v>7424</v>
      </c>
      <c r="B2773" s="3" t="s">
        <v>2776</v>
      </c>
      <c r="C2773" s="14">
        <v>524.73</v>
      </c>
      <c r="D2773" s="11" t="s">
        <v>5</v>
      </c>
    </row>
    <row r="2774" spans="1:4" x14ac:dyDescent="0.25">
      <c r="A2774" s="4" t="s">
        <v>7425</v>
      </c>
      <c r="B2774" s="3" t="s">
        <v>2777</v>
      </c>
      <c r="C2774" s="14">
        <v>11296.26</v>
      </c>
      <c r="D2774" s="11" t="s">
        <v>5</v>
      </c>
    </row>
    <row r="2775" spans="1:4" x14ac:dyDescent="0.25">
      <c r="A2775" s="4" t="s">
        <v>7426</v>
      </c>
      <c r="B2775" s="3" t="s">
        <v>2778</v>
      </c>
      <c r="C2775" s="14">
        <v>13332.6</v>
      </c>
      <c r="D2775" s="11" t="s">
        <v>5</v>
      </c>
    </row>
    <row r="2776" spans="1:4" x14ac:dyDescent="0.25">
      <c r="A2776" s="4" t="s">
        <v>7427</v>
      </c>
      <c r="B2776" s="3" t="s">
        <v>2779</v>
      </c>
      <c r="C2776" s="14">
        <v>432.29</v>
      </c>
      <c r="D2776" s="11" t="s">
        <v>5</v>
      </c>
    </row>
    <row r="2777" spans="1:4" x14ac:dyDescent="0.25">
      <c r="A2777" s="4" t="s">
        <v>7428</v>
      </c>
      <c r="B2777" s="3" t="s">
        <v>2780</v>
      </c>
      <c r="C2777" s="14">
        <v>204.12</v>
      </c>
      <c r="D2777" s="11" t="s">
        <v>5</v>
      </c>
    </row>
    <row r="2778" spans="1:4" x14ac:dyDescent="0.25">
      <c r="A2778" s="4" t="s">
        <v>7429</v>
      </c>
      <c r="B2778" s="3" t="s">
        <v>2781</v>
      </c>
      <c r="C2778" s="14">
        <v>243</v>
      </c>
      <c r="D2778" s="11" t="s">
        <v>5</v>
      </c>
    </row>
    <row r="2779" spans="1:4" x14ac:dyDescent="0.25">
      <c r="A2779" s="4" t="s">
        <v>7430</v>
      </c>
      <c r="B2779" s="3" t="s">
        <v>2782</v>
      </c>
      <c r="C2779" s="14">
        <v>379.1</v>
      </c>
      <c r="D2779" s="11" t="s">
        <v>5</v>
      </c>
    </row>
    <row r="2780" spans="1:4" x14ac:dyDescent="0.25">
      <c r="A2780" s="4" t="s">
        <v>7431</v>
      </c>
      <c r="B2780" s="3" t="s">
        <v>2783</v>
      </c>
      <c r="C2780" s="14">
        <v>659.37</v>
      </c>
      <c r="D2780" s="11" t="s">
        <v>5</v>
      </c>
    </row>
    <row r="2781" spans="1:4" x14ac:dyDescent="0.25">
      <c r="A2781" s="4" t="s">
        <v>7432</v>
      </c>
      <c r="B2781" s="3" t="s">
        <v>2784</v>
      </c>
      <c r="C2781" s="14">
        <v>874.83</v>
      </c>
      <c r="D2781" s="11" t="s">
        <v>5</v>
      </c>
    </row>
    <row r="2782" spans="1:4" x14ac:dyDescent="0.25">
      <c r="A2782" s="4" t="s">
        <v>7433</v>
      </c>
      <c r="B2782" s="3" t="s">
        <v>2785</v>
      </c>
      <c r="C2782" s="14">
        <v>1425.65</v>
      </c>
      <c r="D2782" s="11" t="s">
        <v>5</v>
      </c>
    </row>
    <row r="2783" spans="1:4" x14ac:dyDescent="0.25">
      <c r="A2783" s="4" t="s">
        <v>7434</v>
      </c>
      <c r="B2783" s="3" t="s">
        <v>2786</v>
      </c>
      <c r="C2783" s="14">
        <v>291.62</v>
      </c>
      <c r="D2783" s="11" t="s">
        <v>5</v>
      </c>
    </row>
    <row r="2784" spans="1:4" x14ac:dyDescent="0.25">
      <c r="A2784" s="4" t="s">
        <v>7435</v>
      </c>
      <c r="B2784" s="3" t="s">
        <v>2787</v>
      </c>
      <c r="C2784" s="14">
        <v>374.42</v>
      </c>
      <c r="D2784" s="11" t="s">
        <v>5</v>
      </c>
    </row>
    <row r="2785" spans="1:4" x14ac:dyDescent="0.25">
      <c r="A2785" s="4" t="s">
        <v>7436</v>
      </c>
      <c r="B2785" s="3" t="s">
        <v>2788</v>
      </c>
      <c r="C2785" s="14">
        <v>336.98</v>
      </c>
      <c r="D2785" s="11" t="s">
        <v>5</v>
      </c>
    </row>
    <row r="2786" spans="1:4" x14ac:dyDescent="0.25">
      <c r="A2786" s="4" t="s">
        <v>7437</v>
      </c>
      <c r="B2786" s="3" t="s">
        <v>2789</v>
      </c>
      <c r="C2786" s="14">
        <v>336.98</v>
      </c>
      <c r="D2786" s="11" t="s">
        <v>5</v>
      </c>
    </row>
    <row r="2787" spans="1:4" x14ac:dyDescent="0.25">
      <c r="A2787" s="4" t="s">
        <v>7438</v>
      </c>
      <c r="B2787" s="3" t="s">
        <v>2790</v>
      </c>
      <c r="C2787" s="14">
        <v>91511.58</v>
      </c>
      <c r="D2787" s="11" t="s">
        <v>5</v>
      </c>
    </row>
    <row r="2788" spans="1:4" x14ac:dyDescent="0.25">
      <c r="A2788" s="4" t="s">
        <v>7439</v>
      </c>
      <c r="B2788" s="3" t="s">
        <v>2791</v>
      </c>
      <c r="C2788" s="14">
        <v>35320.31</v>
      </c>
      <c r="D2788" s="11" t="s">
        <v>5</v>
      </c>
    </row>
    <row r="2789" spans="1:4" x14ac:dyDescent="0.25">
      <c r="A2789" s="4" t="s">
        <v>7440</v>
      </c>
      <c r="B2789" s="3" t="s">
        <v>2792</v>
      </c>
      <c r="C2789" s="14">
        <v>58600.800000000003</v>
      </c>
      <c r="D2789" s="11" t="s">
        <v>5</v>
      </c>
    </row>
    <row r="2790" spans="1:4" x14ac:dyDescent="0.25">
      <c r="A2790" s="4" t="s">
        <v>7441</v>
      </c>
      <c r="B2790" s="3" t="s">
        <v>2793</v>
      </c>
      <c r="C2790" s="14">
        <v>13044.11</v>
      </c>
      <c r="D2790" s="11" t="s">
        <v>5</v>
      </c>
    </row>
    <row r="2791" spans="1:4" x14ac:dyDescent="0.25">
      <c r="A2791" s="4" t="s">
        <v>7442</v>
      </c>
      <c r="B2791" s="3" t="s">
        <v>2794</v>
      </c>
      <c r="C2791" s="14">
        <v>22821.87</v>
      </c>
      <c r="D2791" s="11" t="s">
        <v>5</v>
      </c>
    </row>
    <row r="2792" spans="1:4" x14ac:dyDescent="0.25">
      <c r="A2792" s="4" t="s">
        <v>7443</v>
      </c>
      <c r="B2792" s="3" t="s">
        <v>2795</v>
      </c>
      <c r="C2792" s="14">
        <v>33791.21</v>
      </c>
      <c r="D2792" s="11" t="s">
        <v>5</v>
      </c>
    </row>
    <row r="2793" spans="1:4" x14ac:dyDescent="0.25">
      <c r="A2793" s="4" t="s">
        <v>7444</v>
      </c>
      <c r="B2793" s="3" t="s">
        <v>2796</v>
      </c>
      <c r="C2793" s="14">
        <v>44997.87</v>
      </c>
      <c r="D2793" s="11" t="s">
        <v>5</v>
      </c>
    </row>
    <row r="2794" spans="1:4" x14ac:dyDescent="0.25">
      <c r="A2794" s="4" t="s">
        <v>7445</v>
      </c>
      <c r="B2794" s="3" t="s">
        <v>2797</v>
      </c>
      <c r="C2794" s="14">
        <v>52980.35</v>
      </c>
      <c r="D2794" s="11" t="s">
        <v>5</v>
      </c>
    </row>
    <row r="2795" spans="1:4" x14ac:dyDescent="0.25">
      <c r="A2795" s="4" t="s">
        <v>7446</v>
      </c>
      <c r="B2795" s="3" t="s">
        <v>2798</v>
      </c>
      <c r="C2795" s="14">
        <v>100577.58</v>
      </c>
      <c r="D2795" s="11" t="s">
        <v>5</v>
      </c>
    </row>
    <row r="2796" spans="1:4" x14ac:dyDescent="0.25">
      <c r="A2796" s="4" t="s">
        <v>7447</v>
      </c>
      <c r="B2796" s="3" t="s">
        <v>2799</v>
      </c>
      <c r="C2796" s="14">
        <v>77954.39</v>
      </c>
      <c r="D2796" s="11" t="s">
        <v>5</v>
      </c>
    </row>
    <row r="2797" spans="1:4" x14ac:dyDescent="0.25">
      <c r="A2797" s="4" t="s">
        <v>7448</v>
      </c>
      <c r="B2797" s="3" t="s">
        <v>2800</v>
      </c>
      <c r="C2797" s="14">
        <v>103794.39</v>
      </c>
      <c r="D2797" s="11" t="s">
        <v>5</v>
      </c>
    </row>
    <row r="2798" spans="1:4" x14ac:dyDescent="0.25">
      <c r="A2798" s="4" t="s">
        <v>7449</v>
      </c>
      <c r="B2798" s="3" t="s">
        <v>2801</v>
      </c>
      <c r="C2798" s="14">
        <v>16778.34</v>
      </c>
      <c r="D2798" s="11" t="s">
        <v>5</v>
      </c>
    </row>
    <row r="2799" spans="1:4" x14ac:dyDescent="0.25">
      <c r="A2799" s="4" t="s">
        <v>7450</v>
      </c>
      <c r="B2799" s="3" t="s">
        <v>2802</v>
      </c>
      <c r="C2799" s="14">
        <v>17125.009999999998</v>
      </c>
      <c r="D2799" s="11" t="s">
        <v>5</v>
      </c>
    </row>
    <row r="2800" spans="1:4" x14ac:dyDescent="0.25">
      <c r="A2800" s="4" t="s">
        <v>7451</v>
      </c>
      <c r="B2800" s="3" t="s">
        <v>2803</v>
      </c>
      <c r="C2800" s="14">
        <v>30185.46</v>
      </c>
      <c r="D2800" s="11" t="s">
        <v>5</v>
      </c>
    </row>
    <row r="2801" spans="1:4" x14ac:dyDescent="0.25">
      <c r="A2801" s="4" t="s">
        <v>7452</v>
      </c>
      <c r="B2801" s="3" t="s">
        <v>2804</v>
      </c>
      <c r="C2801" s="14">
        <v>27796.5</v>
      </c>
      <c r="D2801" s="11" t="s">
        <v>5</v>
      </c>
    </row>
    <row r="2802" spans="1:4" x14ac:dyDescent="0.25">
      <c r="A2802" s="4" t="s">
        <v>7453</v>
      </c>
      <c r="B2802" s="3" t="s">
        <v>2805</v>
      </c>
      <c r="C2802" s="14">
        <v>40804.559999999998</v>
      </c>
      <c r="D2802" s="11" t="s">
        <v>5</v>
      </c>
    </row>
    <row r="2803" spans="1:4" x14ac:dyDescent="0.25">
      <c r="A2803" s="4" t="s">
        <v>7454</v>
      </c>
      <c r="B2803" s="3" t="s">
        <v>2806</v>
      </c>
      <c r="C2803" s="14">
        <v>42385.35</v>
      </c>
      <c r="D2803" s="11" t="s">
        <v>5</v>
      </c>
    </row>
    <row r="2804" spans="1:4" x14ac:dyDescent="0.25">
      <c r="A2804" s="4" t="s">
        <v>7455</v>
      </c>
      <c r="B2804" s="3" t="s">
        <v>2807</v>
      </c>
      <c r="C2804" s="14">
        <v>66121.919999999998</v>
      </c>
      <c r="D2804" s="11" t="s">
        <v>5</v>
      </c>
    </row>
    <row r="2805" spans="1:4" x14ac:dyDescent="0.25">
      <c r="A2805" s="4" t="s">
        <v>7456</v>
      </c>
      <c r="B2805" s="3" t="s">
        <v>2808</v>
      </c>
      <c r="C2805" s="14">
        <v>60690.66</v>
      </c>
      <c r="D2805" s="11" t="s">
        <v>5</v>
      </c>
    </row>
    <row r="2806" spans="1:4" x14ac:dyDescent="0.25">
      <c r="A2806" s="4" t="s">
        <v>7457</v>
      </c>
      <c r="B2806" s="3" t="s">
        <v>2809</v>
      </c>
      <c r="C2806" s="14">
        <v>89027.1</v>
      </c>
      <c r="D2806" s="11" t="s">
        <v>5</v>
      </c>
    </row>
    <row r="2807" spans="1:4" x14ac:dyDescent="0.25">
      <c r="A2807" s="4" t="s">
        <v>7458</v>
      </c>
      <c r="B2807" s="3" t="s">
        <v>2810</v>
      </c>
      <c r="C2807" s="14">
        <v>87797.16</v>
      </c>
      <c r="D2807" s="11" t="s">
        <v>5</v>
      </c>
    </row>
    <row r="2808" spans="1:4" x14ac:dyDescent="0.25">
      <c r="A2808" s="4" t="s">
        <v>7459</v>
      </c>
      <c r="B2808" s="3" t="s">
        <v>2811</v>
      </c>
      <c r="C2808" s="14">
        <v>159017.54999999999</v>
      </c>
      <c r="D2808" s="11" t="s">
        <v>5</v>
      </c>
    </row>
    <row r="2809" spans="1:4" x14ac:dyDescent="0.25">
      <c r="A2809" s="4" t="s">
        <v>7460</v>
      </c>
      <c r="B2809" s="3" t="s">
        <v>2812</v>
      </c>
      <c r="C2809" s="14">
        <v>63246.42</v>
      </c>
      <c r="D2809" s="11" t="s">
        <v>5</v>
      </c>
    </row>
    <row r="2810" spans="1:4" x14ac:dyDescent="0.25">
      <c r="A2810" s="4" t="s">
        <v>7461</v>
      </c>
      <c r="B2810" s="3" t="s">
        <v>2813</v>
      </c>
      <c r="C2810" s="14">
        <v>128212.52</v>
      </c>
      <c r="D2810" s="11" t="s">
        <v>5</v>
      </c>
    </row>
    <row r="2811" spans="1:4" x14ac:dyDescent="0.25">
      <c r="A2811" s="4" t="s">
        <v>7462</v>
      </c>
      <c r="B2811" s="3" t="s">
        <v>2814</v>
      </c>
      <c r="C2811" s="14">
        <v>176005.17</v>
      </c>
      <c r="D2811" s="11" t="s">
        <v>5</v>
      </c>
    </row>
    <row r="2812" spans="1:4" x14ac:dyDescent="0.25">
      <c r="A2812" s="4" t="s">
        <v>7463</v>
      </c>
      <c r="B2812" s="3" t="s">
        <v>2815</v>
      </c>
      <c r="C2812" s="14">
        <v>22070.880000000001</v>
      </c>
      <c r="D2812" s="11" t="s">
        <v>5</v>
      </c>
    </row>
    <row r="2813" spans="1:4" x14ac:dyDescent="0.25">
      <c r="A2813" s="4" t="s">
        <v>7464</v>
      </c>
      <c r="B2813" s="3" t="s">
        <v>2816</v>
      </c>
      <c r="C2813" s="14">
        <v>19539.8</v>
      </c>
      <c r="D2813" s="11" t="s">
        <v>5</v>
      </c>
    </row>
    <row r="2814" spans="1:4" x14ac:dyDescent="0.25">
      <c r="A2814" s="4" t="s">
        <v>7465</v>
      </c>
      <c r="B2814" s="3" t="s">
        <v>2817</v>
      </c>
      <c r="C2814" s="14">
        <v>34647.99</v>
      </c>
      <c r="D2814" s="11" t="s">
        <v>5</v>
      </c>
    </row>
    <row r="2815" spans="1:4" x14ac:dyDescent="0.25">
      <c r="A2815" s="4" t="s">
        <v>7466</v>
      </c>
      <c r="B2815" s="3" t="s">
        <v>2818</v>
      </c>
      <c r="C2815" s="14">
        <v>62613.2</v>
      </c>
      <c r="D2815" s="11" t="s">
        <v>5</v>
      </c>
    </row>
    <row r="2816" spans="1:4" x14ac:dyDescent="0.25">
      <c r="A2816" s="4" t="s">
        <v>7467</v>
      </c>
      <c r="B2816" s="3" t="s">
        <v>2819</v>
      </c>
      <c r="C2816" s="14">
        <v>106725.32</v>
      </c>
      <c r="D2816" s="11" t="s">
        <v>5</v>
      </c>
    </row>
    <row r="2817" spans="1:4" x14ac:dyDescent="0.25">
      <c r="A2817" s="4" t="s">
        <v>7468</v>
      </c>
      <c r="B2817" s="3" t="s">
        <v>2820</v>
      </c>
      <c r="C2817" s="14">
        <v>141739.79999999999</v>
      </c>
      <c r="D2817" s="11" t="s">
        <v>5</v>
      </c>
    </row>
    <row r="2818" spans="1:4" x14ac:dyDescent="0.25">
      <c r="A2818" s="4" t="s">
        <v>7469</v>
      </c>
      <c r="B2818" s="3" t="s">
        <v>2821</v>
      </c>
      <c r="C2818" s="14">
        <v>128453.01</v>
      </c>
      <c r="D2818" s="11" t="s">
        <v>5</v>
      </c>
    </row>
    <row r="2819" spans="1:4" x14ac:dyDescent="0.25">
      <c r="A2819" s="4" t="s">
        <v>7470</v>
      </c>
      <c r="B2819" s="3" t="s">
        <v>2822</v>
      </c>
      <c r="C2819" s="14">
        <v>2838.02</v>
      </c>
      <c r="D2819" s="11" t="s">
        <v>5</v>
      </c>
    </row>
    <row r="2820" spans="1:4" x14ac:dyDescent="0.25">
      <c r="A2820" s="4" t="s">
        <v>7471</v>
      </c>
      <c r="B2820" s="3" t="s">
        <v>2823</v>
      </c>
      <c r="C2820" s="14">
        <v>2368.8200000000002</v>
      </c>
      <c r="D2820" s="11" t="s">
        <v>5</v>
      </c>
    </row>
    <row r="2821" spans="1:4" x14ac:dyDescent="0.25">
      <c r="A2821" s="4" t="s">
        <v>7472</v>
      </c>
      <c r="B2821" s="3" t="s">
        <v>2824</v>
      </c>
      <c r="C2821" s="14">
        <v>6721.92</v>
      </c>
      <c r="D2821" s="11" t="s">
        <v>5</v>
      </c>
    </row>
    <row r="2822" spans="1:4" x14ac:dyDescent="0.25">
      <c r="A2822" s="4" t="s">
        <v>7473</v>
      </c>
      <c r="B2822" s="3" t="s">
        <v>2825</v>
      </c>
      <c r="C2822" s="14">
        <v>2253.48</v>
      </c>
      <c r="D2822" s="11" t="s">
        <v>5</v>
      </c>
    </row>
    <row r="2823" spans="1:4" x14ac:dyDescent="0.25">
      <c r="A2823" s="4" t="s">
        <v>7474</v>
      </c>
      <c r="B2823" s="3" t="s">
        <v>2826</v>
      </c>
      <c r="C2823" s="14">
        <v>2838.02</v>
      </c>
      <c r="D2823" s="11" t="s">
        <v>5</v>
      </c>
    </row>
    <row r="2824" spans="1:4" x14ac:dyDescent="0.25">
      <c r="A2824" s="4" t="s">
        <v>7475</v>
      </c>
      <c r="B2824" s="3" t="s">
        <v>2827</v>
      </c>
      <c r="C2824" s="14">
        <v>318.89</v>
      </c>
      <c r="D2824" s="11" t="s">
        <v>5</v>
      </c>
    </row>
    <row r="2825" spans="1:4" x14ac:dyDescent="0.25">
      <c r="A2825" s="4" t="s">
        <v>7476</v>
      </c>
      <c r="B2825" s="3" t="s">
        <v>2828</v>
      </c>
      <c r="C2825" s="14">
        <v>372.02</v>
      </c>
      <c r="D2825" s="11" t="s">
        <v>5</v>
      </c>
    </row>
    <row r="2826" spans="1:4" x14ac:dyDescent="0.25">
      <c r="A2826" s="4" t="s">
        <v>7477</v>
      </c>
      <c r="B2826" s="3" t="s">
        <v>2829</v>
      </c>
      <c r="C2826" s="14">
        <v>488.28</v>
      </c>
      <c r="D2826" s="11" t="s">
        <v>5</v>
      </c>
    </row>
    <row r="2827" spans="1:4" x14ac:dyDescent="0.25">
      <c r="A2827" s="4" t="s">
        <v>7478</v>
      </c>
      <c r="B2827" s="3" t="s">
        <v>2830</v>
      </c>
      <c r="C2827" s="14">
        <v>523.16999999999996</v>
      </c>
      <c r="D2827" s="11" t="s">
        <v>5</v>
      </c>
    </row>
    <row r="2828" spans="1:4" x14ac:dyDescent="0.25">
      <c r="A2828" s="4" t="s">
        <v>7479</v>
      </c>
      <c r="B2828" s="3" t="s">
        <v>2831</v>
      </c>
      <c r="C2828" s="14">
        <v>730.77</v>
      </c>
      <c r="D2828" s="11" t="s">
        <v>5</v>
      </c>
    </row>
    <row r="2829" spans="1:4" x14ac:dyDescent="0.25">
      <c r="A2829" s="4" t="s">
        <v>7480</v>
      </c>
      <c r="B2829" s="3" t="s">
        <v>2832</v>
      </c>
      <c r="C2829" s="14">
        <v>813.8</v>
      </c>
      <c r="D2829" s="11" t="s">
        <v>5</v>
      </c>
    </row>
    <row r="2830" spans="1:4" x14ac:dyDescent="0.25">
      <c r="A2830" s="4" t="s">
        <v>7481</v>
      </c>
      <c r="B2830" s="3" t="s">
        <v>2833</v>
      </c>
      <c r="C2830" s="14">
        <v>6110.64</v>
      </c>
      <c r="D2830" s="11" t="s">
        <v>5</v>
      </c>
    </row>
    <row r="2831" spans="1:4" x14ac:dyDescent="0.25">
      <c r="A2831" s="4" t="s">
        <v>7482</v>
      </c>
      <c r="B2831" s="3" t="s">
        <v>2834</v>
      </c>
      <c r="C2831" s="14">
        <v>10589.94</v>
      </c>
      <c r="D2831" s="11" t="s">
        <v>5</v>
      </c>
    </row>
    <row r="2832" spans="1:4" x14ac:dyDescent="0.25">
      <c r="A2832" s="4" t="s">
        <v>7483</v>
      </c>
      <c r="B2832" s="3" t="s">
        <v>2835</v>
      </c>
      <c r="C2832" s="14">
        <v>12963.24</v>
      </c>
      <c r="D2832" s="11" t="s">
        <v>5</v>
      </c>
    </row>
    <row r="2833" spans="1:4" x14ac:dyDescent="0.25">
      <c r="A2833" s="4" t="s">
        <v>7484</v>
      </c>
      <c r="B2833" s="3" t="s">
        <v>2836</v>
      </c>
      <c r="C2833" s="14">
        <v>25490.7</v>
      </c>
      <c r="D2833" s="11" t="s">
        <v>5</v>
      </c>
    </row>
    <row r="2834" spans="1:4" x14ac:dyDescent="0.25">
      <c r="A2834" s="4" t="s">
        <v>7485</v>
      </c>
      <c r="B2834" s="3" t="s">
        <v>2837</v>
      </c>
      <c r="C2834" s="14">
        <v>93</v>
      </c>
      <c r="D2834" s="11" t="s">
        <v>5</v>
      </c>
    </row>
    <row r="2835" spans="1:4" x14ac:dyDescent="0.25">
      <c r="A2835" s="4" t="s">
        <v>7486</v>
      </c>
      <c r="B2835" s="3" t="s">
        <v>2838</v>
      </c>
      <c r="C2835" s="14">
        <v>99.65</v>
      </c>
      <c r="D2835" s="11" t="s">
        <v>5</v>
      </c>
    </row>
    <row r="2836" spans="1:4" x14ac:dyDescent="0.25">
      <c r="A2836" s="4" t="s">
        <v>7487</v>
      </c>
      <c r="B2836" s="3" t="s">
        <v>2839</v>
      </c>
      <c r="C2836" s="14">
        <v>132.87</v>
      </c>
      <c r="D2836" s="11" t="s">
        <v>5</v>
      </c>
    </row>
    <row r="2837" spans="1:4" x14ac:dyDescent="0.25">
      <c r="A2837" s="4" t="s">
        <v>7488</v>
      </c>
      <c r="B2837" s="3" t="s">
        <v>2840</v>
      </c>
      <c r="C2837" s="14">
        <v>146.16</v>
      </c>
      <c r="D2837" s="11" t="s">
        <v>5</v>
      </c>
    </row>
    <row r="2838" spans="1:4" x14ac:dyDescent="0.25">
      <c r="A2838" s="4" t="s">
        <v>7489</v>
      </c>
      <c r="B2838" s="3" t="s">
        <v>2841</v>
      </c>
      <c r="C2838" s="14">
        <v>373.68</v>
      </c>
      <c r="D2838" s="11" t="s">
        <v>5</v>
      </c>
    </row>
    <row r="2839" spans="1:4" x14ac:dyDescent="0.25">
      <c r="A2839" s="4" t="s">
        <v>7490</v>
      </c>
      <c r="B2839" s="3" t="s">
        <v>2842</v>
      </c>
      <c r="C2839" s="14">
        <v>358.74</v>
      </c>
      <c r="D2839" s="11" t="s">
        <v>5</v>
      </c>
    </row>
    <row r="2840" spans="1:4" x14ac:dyDescent="0.25">
      <c r="A2840" s="4" t="s">
        <v>7491</v>
      </c>
      <c r="B2840" s="3" t="s">
        <v>2843</v>
      </c>
      <c r="C2840" s="14">
        <v>279.02</v>
      </c>
      <c r="D2840" s="11" t="s">
        <v>5</v>
      </c>
    </row>
    <row r="2841" spans="1:4" x14ac:dyDescent="0.25">
      <c r="A2841" s="4" t="s">
        <v>7492</v>
      </c>
      <c r="B2841" s="3" t="s">
        <v>2844</v>
      </c>
      <c r="C2841" s="14">
        <v>398.58</v>
      </c>
      <c r="D2841" s="11" t="s">
        <v>5</v>
      </c>
    </row>
    <row r="2842" spans="1:4" x14ac:dyDescent="0.25">
      <c r="A2842" s="4" t="s">
        <v>7493</v>
      </c>
      <c r="B2842" s="3" t="s">
        <v>2845</v>
      </c>
      <c r="C2842" s="14">
        <v>398.58</v>
      </c>
      <c r="D2842" s="11" t="s">
        <v>5</v>
      </c>
    </row>
    <row r="2843" spans="1:4" x14ac:dyDescent="0.25">
      <c r="A2843" s="4" t="s">
        <v>7494</v>
      </c>
      <c r="B2843" s="3" t="s">
        <v>2846</v>
      </c>
      <c r="C2843" s="14">
        <v>332.18</v>
      </c>
      <c r="D2843" s="11" t="s">
        <v>5</v>
      </c>
    </row>
    <row r="2844" spans="1:4" x14ac:dyDescent="0.25">
      <c r="A2844" s="4" t="s">
        <v>7495</v>
      </c>
      <c r="B2844" s="3" t="s">
        <v>2847</v>
      </c>
      <c r="C2844" s="14">
        <v>328.85</v>
      </c>
      <c r="D2844" s="11" t="s">
        <v>5</v>
      </c>
    </row>
    <row r="2845" spans="1:4" x14ac:dyDescent="0.25">
      <c r="A2845" s="4" t="s">
        <v>7496</v>
      </c>
      <c r="B2845" s="3" t="s">
        <v>2848</v>
      </c>
      <c r="C2845" s="14">
        <v>747.38</v>
      </c>
      <c r="D2845" s="11" t="s">
        <v>5</v>
      </c>
    </row>
    <row r="2846" spans="1:4" x14ac:dyDescent="0.25">
      <c r="A2846" s="4" t="s">
        <v>7497</v>
      </c>
      <c r="B2846" s="3" t="s">
        <v>2849</v>
      </c>
      <c r="C2846" s="14">
        <v>747.38</v>
      </c>
      <c r="D2846" s="11" t="s">
        <v>5</v>
      </c>
    </row>
    <row r="2847" spans="1:4" x14ac:dyDescent="0.25">
      <c r="A2847" s="4" t="s">
        <v>7498</v>
      </c>
      <c r="B2847" s="3" t="s">
        <v>2850</v>
      </c>
      <c r="C2847" s="14">
        <v>780.59</v>
      </c>
      <c r="D2847" s="11" t="s">
        <v>5</v>
      </c>
    </row>
    <row r="2848" spans="1:4" x14ac:dyDescent="0.25">
      <c r="A2848" s="4" t="s">
        <v>7499</v>
      </c>
      <c r="B2848" s="3" t="s">
        <v>2851</v>
      </c>
      <c r="C2848" s="14">
        <v>747.38</v>
      </c>
      <c r="D2848" s="11" t="s">
        <v>5</v>
      </c>
    </row>
    <row r="2849" spans="1:4" x14ac:dyDescent="0.25">
      <c r="A2849" s="4" t="s">
        <v>7500</v>
      </c>
      <c r="B2849" s="3" t="s">
        <v>2852</v>
      </c>
      <c r="C2849" s="14">
        <v>664.34</v>
      </c>
      <c r="D2849" s="11" t="s">
        <v>5</v>
      </c>
    </row>
    <row r="2850" spans="1:4" x14ac:dyDescent="0.25">
      <c r="A2850" s="4" t="s">
        <v>7501</v>
      </c>
      <c r="B2850" s="3" t="s">
        <v>2853</v>
      </c>
      <c r="C2850" s="14">
        <v>3048.84</v>
      </c>
      <c r="D2850" s="11" t="s">
        <v>5</v>
      </c>
    </row>
    <row r="2851" spans="1:4" x14ac:dyDescent="0.25">
      <c r="A2851" s="4" t="s">
        <v>7502</v>
      </c>
      <c r="B2851" s="3" t="s">
        <v>2854</v>
      </c>
      <c r="C2851" s="14">
        <v>3732.48</v>
      </c>
      <c r="D2851" s="11" t="s">
        <v>5</v>
      </c>
    </row>
    <row r="2852" spans="1:4" x14ac:dyDescent="0.25">
      <c r="A2852" s="4" t="s">
        <v>7503</v>
      </c>
      <c r="B2852" s="3" t="s">
        <v>2855</v>
      </c>
      <c r="C2852" s="14">
        <v>3235.14</v>
      </c>
      <c r="D2852" s="11" t="s">
        <v>5</v>
      </c>
    </row>
    <row r="2853" spans="1:4" x14ac:dyDescent="0.25">
      <c r="A2853" s="4" t="s">
        <v>7504</v>
      </c>
      <c r="B2853" s="3" t="s">
        <v>2856</v>
      </c>
      <c r="C2853" s="14">
        <v>9525.6</v>
      </c>
      <c r="D2853" s="11" t="s">
        <v>5</v>
      </c>
    </row>
    <row r="2854" spans="1:4" x14ac:dyDescent="0.25">
      <c r="A2854" s="4" t="s">
        <v>7505</v>
      </c>
      <c r="B2854" s="3" t="s">
        <v>2857</v>
      </c>
      <c r="C2854" s="14">
        <v>7771.14</v>
      </c>
      <c r="D2854" s="11" t="s">
        <v>5</v>
      </c>
    </row>
    <row r="2855" spans="1:4" x14ac:dyDescent="0.25">
      <c r="A2855" s="4" t="s">
        <v>7506</v>
      </c>
      <c r="B2855" s="3" t="s">
        <v>2858</v>
      </c>
      <c r="C2855" s="14">
        <v>10056.959999999999</v>
      </c>
      <c r="D2855" s="11" t="s">
        <v>5</v>
      </c>
    </row>
    <row r="2856" spans="1:4" x14ac:dyDescent="0.25">
      <c r="A2856" s="4" t="s">
        <v>7507</v>
      </c>
      <c r="B2856" s="3" t="s">
        <v>2859</v>
      </c>
      <c r="C2856" s="14">
        <v>26908.2</v>
      </c>
      <c r="D2856" s="11" t="s">
        <v>5</v>
      </c>
    </row>
    <row r="2857" spans="1:4" x14ac:dyDescent="0.25">
      <c r="A2857" s="4" t="s">
        <v>7508</v>
      </c>
      <c r="B2857" s="3" t="s">
        <v>2860</v>
      </c>
      <c r="C2857" s="14">
        <v>1104.45</v>
      </c>
      <c r="D2857" s="11" t="s">
        <v>5</v>
      </c>
    </row>
    <row r="2858" spans="1:4" x14ac:dyDescent="0.25">
      <c r="A2858" s="4" t="s">
        <v>7509</v>
      </c>
      <c r="B2858" s="3" t="s">
        <v>2861</v>
      </c>
      <c r="C2858" s="14">
        <v>777.27</v>
      </c>
      <c r="D2858" s="11" t="s">
        <v>5</v>
      </c>
    </row>
    <row r="2859" spans="1:4" x14ac:dyDescent="0.25">
      <c r="A2859" s="4" t="s">
        <v>7510</v>
      </c>
      <c r="B2859" s="3" t="s">
        <v>2862</v>
      </c>
      <c r="C2859" s="14">
        <v>617.84</v>
      </c>
      <c r="D2859" s="11" t="s">
        <v>5</v>
      </c>
    </row>
    <row r="2860" spans="1:4" x14ac:dyDescent="0.25">
      <c r="A2860" s="4" t="s">
        <v>7511</v>
      </c>
      <c r="B2860" s="3" t="s">
        <v>2863</v>
      </c>
      <c r="C2860" s="14">
        <v>491.61</v>
      </c>
      <c r="D2860" s="11" t="s">
        <v>5</v>
      </c>
    </row>
    <row r="2861" spans="1:4" x14ac:dyDescent="0.25">
      <c r="A2861" s="4" t="s">
        <v>7512</v>
      </c>
      <c r="B2861" s="3" t="s">
        <v>2864</v>
      </c>
      <c r="C2861" s="14">
        <v>762.3</v>
      </c>
      <c r="D2861" s="11" t="s">
        <v>5</v>
      </c>
    </row>
    <row r="2862" spans="1:4" x14ac:dyDescent="0.25">
      <c r="A2862" s="4" t="s">
        <v>7513</v>
      </c>
      <c r="B2862" s="3" t="s">
        <v>2865</v>
      </c>
      <c r="C2862" s="14">
        <v>722.46</v>
      </c>
      <c r="D2862" s="11" t="s">
        <v>5</v>
      </c>
    </row>
    <row r="2863" spans="1:4" x14ac:dyDescent="0.25">
      <c r="A2863" s="4" t="s">
        <v>7514</v>
      </c>
      <c r="B2863" s="3" t="s">
        <v>2866</v>
      </c>
      <c r="C2863" s="14">
        <v>255.78</v>
      </c>
      <c r="D2863" s="11" t="s">
        <v>5</v>
      </c>
    </row>
    <row r="2864" spans="1:4" x14ac:dyDescent="0.25">
      <c r="A2864" s="4" t="s">
        <v>7515</v>
      </c>
      <c r="B2864" s="3" t="s">
        <v>2867</v>
      </c>
      <c r="C2864" s="14">
        <v>139.52000000000001</v>
      </c>
      <c r="D2864" s="11" t="s">
        <v>5</v>
      </c>
    </row>
    <row r="2865" spans="1:4" x14ac:dyDescent="0.25">
      <c r="A2865" s="4" t="s">
        <v>7516</v>
      </c>
      <c r="B2865" s="3" t="s">
        <v>2868</v>
      </c>
      <c r="C2865" s="14">
        <v>1929.89</v>
      </c>
      <c r="D2865" s="11" t="s">
        <v>5</v>
      </c>
    </row>
    <row r="2866" spans="1:4" x14ac:dyDescent="0.25">
      <c r="A2866" s="4" t="s">
        <v>7517</v>
      </c>
      <c r="B2866" s="3" t="s">
        <v>2869</v>
      </c>
      <c r="C2866" s="14">
        <v>365.37</v>
      </c>
      <c r="D2866" s="11" t="s">
        <v>5</v>
      </c>
    </row>
    <row r="2867" spans="1:4" x14ac:dyDescent="0.25">
      <c r="A2867" s="4" t="s">
        <v>7518</v>
      </c>
      <c r="B2867" s="3" t="s">
        <v>2870</v>
      </c>
      <c r="C2867" s="14">
        <v>219.23</v>
      </c>
      <c r="D2867" s="11" t="s">
        <v>5</v>
      </c>
    </row>
    <row r="2868" spans="1:4" x14ac:dyDescent="0.25">
      <c r="A2868" s="4" t="s">
        <v>7519</v>
      </c>
      <c r="B2868" s="3" t="s">
        <v>2871</v>
      </c>
      <c r="C2868" s="14">
        <v>252.45</v>
      </c>
      <c r="D2868" s="11" t="s">
        <v>5</v>
      </c>
    </row>
    <row r="2869" spans="1:4" x14ac:dyDescent="0.25">
      <c r="A2869" s="4" t="s">
        <v>7520</v>
      </c>
      <c r="B2869" s="3" t="s">
        <v>2872</v>
      </c>
      <c r="C2869" s="14">
        <v>1222.3699999999999</v>
      </c>
      <c r="D2869" s="11" t="s">
        <v>5</v>
      </c>
    </row>
    <row r="2870" spans="1:4" x14ac:dyDescent="0.25">
      <c r="A2870" s="4" t="s">
        <v>7521</v>
      </c>
      <c r="B2870" s="3" t="s">
        <v>2873</v>
      </c>
      <c r="C2870" s="14">
        <v>1008.39</v>
      </c>
      <c r="D2870" s="11" t="s">
        <v>5</v>
      </c>
    </row>
    <row r="2871" spans="1:4" x14ac:dyDescent="0.25">
      <c r="A2871" s="4" t="s">
        <v>7522</v>
      </c>
      <c r="B2871" s="3" t="s">
        <v>2874</v>
      </c>
      <c r="C2871" s="14">
        <v>996.5</v>
      </c>
      <c r="D2871" s="11" t="s">
        <v>5</v>
      </c>
    </row>
    <row r="2872" spans="1:4" x14ac:dyDescent="0.25">
      <c r="A2872" s="4" t="s">
        <v>7523</v>
      </c>
      <c r="B2872" s="3" t="s">
        <v>2875</v>
      </c>
      <c r="C2872" s="14">
        <v>604.54999999999995</v>
      </c>
      <c r="D2872" s="11" t="s">
        <v>5</v>
      </c>
    </row>
    <row r="2873" spans="1:4" x14ac:dyDescent="0.25">
      <c r="A2873" s="4" t="s">
        <v>7524</v>
      </c>
      <c r="B2873" s="3" t="s">
        <v>2876</v>
      </c>
      <c r="C2873" s="14">
        <v>438.47</v>
      </c>
      <c r="D2873" s="11" t="s">
        <v>5</v>
      </c>
    </row>
    <row r="2874" spans="1:4" x14ac:dyDescent="0.25">
      <c r="A2874" s="4" t="s">
        <v>7525</v>
      </c>
      <c r="B2874" s="3" t="s">
        <v>2877</v>
      </c>
      <c r="C2874" s="14">
        <v>146.16</v>
      </c>
      <c r="D2874" s="11" t="s">
        <v>5</v>
      </c>
    </row>
    <row r="2875" spans="1:4" x14ac:dyDescent="0.25">
      <c r="A2875" s="4" t="s">
        <v>7526</v>
      </c>
      <c r="B2875" s="3" t="s">
        <v>2878</v>
      </c>
      <c r="C2875" s="14">
        <v>2059.4299999999998</v>
      </c>
      <c r="D2875" s="11" t="s">
        <v>5</v>
      </c>
    </row>
    <row r="2876" spans="1:4" x14ac:dyDescent="0.25">
      <c r="A2876" s="4" t="s">
        <v>7527</v>
      </c>
      <c r="B2876" s="3" t="s">
        <v>2879</v>
      </c>
      <c r="C2876" s="14">
        <v>373.68</v>
      </c>
      <c r="D2876" s="11" t="s">
        <v>5</v>
      </c>
    </row>
    <row r="2877" spans="1:4" x14ac:dyDescent="0.25">
      <c r="A2877" s="4" t="s">
        <v>7528</v>
      </c>
      <c r="B2877" s="3" t="s">
        <v>2880</v>
      </c>
      <c r="C2877" s="14">
        <v>239.16</v>
      </c>
      <c r="D2877" s="11" t="s">
        <v>5</v>
      </c>
    </row>
    <row r="2878" spans="1:4" x14ac:dyDescent="0.25">
      <c r="A2878" s="4" t="s">
        <v>7529</v>
      </c>
      <c r="B2878" s="3" t="s">
        <v>2881</v>
      </c>
      <c r="C2878" s="14">
        <v>1637.28</v>
      </c>
      <c r="D2878" s="11" t="s">
        <v>5</v>
      </c>
    </row>
    <row r="2879" spans="1:4" x14ac:dyDescent="0.25">
      <c r="A2879" s="4" t="s">
        <v>7530</v>
      </c>
      <c r="B2879" s="3" t="s">
        <v>2882</v>
      </c>
      <c r="C2879" s="14">
        <v>2888.06</v>
      </c>
      <c r="D2879" s="11" t="s">
        <v>5</v>
      </c>
    </row>
    <row r="2880" spans="1:4" x14ac:dyDescent="0.25">
      <c r="A2880" s="4" t="s">
        <v>7531</v>
      </c>
      <c r="B2880" s="3" t="s">
        <v>2883</v>
      </c>
      <c r="C2880" s="14">
        <v>1094.04</v>
      </c>
      <c r="D2880" s="11" t="s">
        <v>5</v>
      </c>
    </row>
    <row r="2881" spans="1:4" x14ac:dyDescent="0.25">
      <c r="A2881" s="4" t="s">
        <v>7532</v>
      </c>
      <c r="B2881" s="3" t="s">
        <v>2884</v>
      </c>
      <c r="C2881" s="14">
        <v>1114.02</v>
      </c>
      <c r="D2881" s="11" t="s">
        <v>5</v>
      </c>
    </row>
    <row r="2882" spans="1:4" x14ac:dyDescent="0.25">
      <c r="A2882" s="4" t="s">
        <v>7533</v>
      </c>
      <c r="B2882" s="3" t="s">
        <v>2885</v>
      </c>
      <c r="C2882" s="14">
        <v>3725.12</v>
      </c>
      <c r="D2882" s="11" t="s">
        <v>5</v>
      </c>
    </row>
    <row r="2883" spans="1:4" x14ac:dyDescent="0.25">
      <c r="A2883" s="4" t="s">
        <v>7534</v>
      </c>
      <c r="B2883" s="3" t="s">
        <v>2886</v>
      </c>
      <c r="C2883" s="14">
        <v>1313</v>
      </c>
      <c r="D2883" s="11" t="s">
        <v>5</v>
      </c>
    </row>
    <row r="2884" spans="1:4" x14ac:dyDescent="0.25">
      <c r="A2884" s="4" t="s">
        <v>7535</v>
      </c>
      <c r="B2884" s="3" t="s">
        <v>2887</v>
      </c>
      <c r="C2884" s="14">
        <v>31850.82</v>
      </c>
      <c r="D2884" s="11" t="s">
        <v>5</v>
      </c>
    </row>
    <row r="2885" spans="1:4" x14ac:dyDescent="0.25">
      <c r="A2885" s="4" t="s">
        <v>7536</v>
      </c>
      <c r="B2885" s="3" t="s">
        <v>2888</v>
      </c>
      <c r="C2885" s="14">
        <v>33806.160000000003</v>
      </c>
      <c r="D2885" s="11" t="s">
        <v>5</v>
      </c>
    </row>
    <row r="2886" spans="1:4" x14ac:dyDescent="0.25">
      <c r="A2886" s="4" t="s">
        <v>7537</v>
      </c>
      <c r="B2886" s="3" t="s">
        <v>2889</v>
      </c>
      <c r="C2886" s="14">
        <v>55847.88</v>
      </c>
      <c r="D2886" s="11" t="s">
        <v>5</v>
      </c>
    </row>
    <row r="2887" spans="1:4" x14ac:dyDescent="0.25">
      <c r="A2887" s="4" t="s">
        <v>7538</v>
      </c>
      <c r="B2887" s="3" t="s">
        <v>2890</v>
      </c>
      <c r="C2887" s="14">
        <v>695.82</v>
      </c>
      <c r="D2887" s="11" t="s">
        <v>5</v>
      </c>
    </row>
    <row r="2888" spans="1:4" x14ac:dyDescent="0.25">
      <c r="A2888" s="4" t="s">
        <v>7539</v>
      </c>
      <c r="B2888" s="3" t="s">
        <v>2891</v>
      </c>
      <c r="C2888" s="14">
        <v>725.93</v>
      </c>
      <c r="D2888" s="11" t="s">
        <v>5</v>
      </c>
    </row>
    <row r="2889" spans="1:4" x14ac:dyDescent="0.25">
      <c r="A2889" s="4" t="s">
        <v>7540</v>
      </c>
      <c r="B2889" s="3" t="s">
        <v>2892</v>
      </c>
      <c r="C2889" s="14">
        <v>119.6</v>
      </c>
      <c r="D2889" s="11" t="s">
        <v>5</v>
      </c>
    </row>
    <row r="2890" spans="1:4" x14ac:dyDescent="0.25">
      <c r="A2890" s="4" t="s">
        <v>7541</v>
      </c>
      <c r="B2890" s="3" t="s">
        <v>2893</v>
      </c>
      <c r="C2890" s="14">
        <v>186.02</v>
      </c>
      <c r="D2890" s="11" t="s">
        <v>5</v>
      </c>
    </row>
    <row r="2891" spans="1:4" x14ac:dyDescent="0.25">
      <c r="A2891" s="4" t="s">
        <v>7542</v>
      </c>
      <c r="B2891" s="3" t="s">
        <v>2894</v>
      </c>
      <c r="C2891" s="14">
        <v>305.58</v>
      </c>
      <c r="D2891" s="11" t="s">
        <v>5</v>
      </c>
    </row>
    <row r="2892" spans="1:4" x14ac:dyDescent="0.25">
      <c r="A2892" s="4" t="s">
        <v>7543</v>
      </c>
      <c r="B2892" s="3" t="s">
        <v>2895</v>
      </c>
      <c r="C2892" s="14">
        <v>592.91</v>
      </c>
      <c r="D2892" s="11" t="s">
        <v>5</v>
      </c>
    </row>
    <row r="2893" spans="1:4" x14ac:dyDescent="0.25">
      <c r="A2893" s="4" t="s">
        <v>7544</v>
      </c>
      <c r="B2893" s="3" t="s">
        <v>2896</v>
      </c>
      <c r="C2893" s="14">
        <v>709.17</v>
      </c>
      <c r="D2893" s="11" t="s">
        <v>5</v>
      </c>
    </row>
    <row r="2894" spans="1:4" x14ac:dyDescent="0.25">
      <c r="A2894" s="4" t="s">
        <v>7545</v>
      </c>
      <c r="B2894" s="3" t="s">
        <v>2897</v>
      </c>
      <c r="C2894" s="14">
        <v>1248.96</v>
      </c>
      <c r="D2894" s="11" t="s">
        <v>5</v>
      </c>
    </row>
    <row r="2895" spans="1:4" x14ac:dyDescent="0.25">
      <c r="A2895" s="4" t="s">
        <v>7546</v>
      </c>
      <c r="B2895" s="3" t="s">
        <v>2898</v>
      </c>
      <c r="C2895" s="14">
        <v>159.44</v>
      </c>
      <c r="D2895" s="11" t="s">
        <v>5</v>
      </c>
    </row>
    <row r="2896" spans="1:4" x14ac:dyDescent="0.25">
      <c r="A2896" s="4" t="s">
        <v>7547</v>
      </c>
      <c r="B2896" s="3" t="s">
        <v>2899</v>
      </c>
      <c r="C2896" s="14">
        <v>219.23</v>
      </c>
      <c r="D2896" s="11" t="s">
        <v>5</v>
      </c>
    </row>
    <row r="2897" spans="1:4" x14ac:dyDescent="0.25">
      <c r="A2897" s="4" t="s">
        <v>7548</v>
      </c>
      <c r="B2897" s="3" t="s">
        <v>2900</v>
      </c>
      <c r="C2897" s="14">
        <v>328.85</v>
      </c>
      <c r="D2897" s="11" t="s">
        <v>5</v>
      </c>
    </row>
    <row r="2898" spans="1:4" x14ac:dyDescent="0.25">
      <c r="A2898" s="4" t="s">
        <v>7549</v>
      </c>
      <c r="B2898" s="3" t="s">
        <v>2901</v>
      </c>
      <c r="C2898" s="14">
        <v>365.37</v>
      </c>
      <c r="D2898" s="11" t="s">
        <v>5</v>
      </c>
    </row>
    <row r="2899" spans="1:4" x14ac:dyDescent="0.25">
      <c r="A2899" s="4" t="s">
        <v>7550</v>
      </c>
      <c r="B2899" s="3" t="s">
        <v>2902</v>
      </c>
      <c r="C2899" s="14">
        <v>3431.16</v>
      </c>
      <c r="D2899" s="11" t="s">
        <v>5</v>
      </c>
    </row>
    <row r="2900" spans="1:4" x14ac:dyDescent="0.25">
      <c r="A2900" s="4" t="s">
        <v>7551</v>
      </c>
      <c r="B2900" s="3" t="s">
        <v>2903</v>
      </c>
      <c r="C2900" s="14">
        <v>4565.16</v>
      </c>
      <c r="D2900" s="11" t="s">
        <v>5</v>
      </c>
    </row>
    <row r="2901" spans="1:4" x14ac:dyDescent="0.25">
      <c r="A2901" s="4" t="s">
        <v>7552</v>
      </c>
      <c r="B2901" s="3" t="s">
        <v>2904</v>
      </c>
      <c r="C2901" s="14">
        <v>6400.62</v>
      </c>
      <c r="D2901" s="11" t="s">
        <v>5</v>
      </c>
    </row>
    <row r="2902" spans="1:4" x14ac:dyDescent="0.25">
      <c r="A2902" s="4" t="s">
        <v>7553</v>
      </c>
      <c r="B2902" s="3" t="s">
        <v>2905</v>
      </c>
      <c r="C2902" s="14">
        <v>189.17</v>
      </c>
      <c r="D2902" s="11" t="s">
        <v>5</v>
      </c>
    </row>
    <row r="2903" spans="1:4" x14ac:dyDescent="0.25">
      <c r="A2903" s="4" t="s">
        <v>7554</v>
      </c>
      <c r="B2903" s="3" t="s">
        <v>2906</v>
      </c>
      <c r="C2903" s="14">
        <v>189.17</v>
      </c>
      <c r="D2903" s="11" t="s">
        <v>5</v>
      </c>
    </row>
    <row r="2904" spans="1:4" x14ac:dyDescent="0.25">
      <c r="A2904" s="4" t="s">
        <v>7555</v>
      </c>
      <c r="B2904" s="3" t="s">
        <v>2907</v>
      </c>
      <c r="C2904" s="14">
        <v>132.84</v>
      </c>
      <c r="D2904" s="11" t="s">
        <v>5</v>
      </c>
    </row>
    <row r="2905" spans="1:4" x14ac:dyDescent="0.25">
      <c r="A2905" s="4" t="s">
        <v>7556</v>
      </c>
      <c r="B2905" s="3" t="s">
        <v>2908</v>
      </c>
      <c r="C2905" s="14">
        <v>143.54</v>
      </c>
      <c r="D2905" s="11" t="s">
        <v>5</v>
      </c>
    </row>
    <row r="2906" spans="1:4" x14ac:dyDescent="0.25">
      <c r="A2906" s="4" t="s">
        <v>7557</v>
      </c>
      <c r="B2906" s="3" t="s">
        <v>2909</v>
      </c>
      <c r="C2906" s="14">
        <v>199.05</v>
      </c>
      <c r="D2906" s="11" t="s">
        <v>5</v>
      </c>
    </row>
    <row r="2907" spans="1:4" x14ac:dyDescent="0.25">
      <c r="A2907" s="4" t="s">
        <v>7558</v>
      </c>
      <c r="B2907" s="3" t="s">
        <v>2910</v>
      </c>
      <c r="C2907" s="14">
        <v>199.05</v>
      </c>
      <c r="D2907" s="11" t="s">
        <v>5</v>
      </c>
    </row>
    <row r="2908" spans="1:4" x14ac:dyDescent="0.25">
      <c r="A2908" s="4" t="s">
        <v>7559</v>
      </c>
      <c r="B2908" s="3" t="s">
        <v>2911</v>
      </c>
      <c r="C2908" s="14">
        <v>830.42</v>
      </c>
      <c r="D2908" s="11" t="s">
        <v>5</v>
      </c>
    </row>
    <row r="2909" spans="1:4" x14ac:dyDescent="0.25">
      <c r="A2909" s="4" t="s">
        <v>7560</v>
      </c>
      <c r="B2909" s="3" t="s">
        <v>2912</v>
      </c>
      <c r="C2909" s="14">
        <v>2092.64</v>
      </c>
      <c r="D2909" s="11" t="s">
        <v>5</v>
      </c>
    </row>
    <row r="2910" spans="1:4" x14ac:dyDescent="0.25">
      <c r="A2910" s="4" t="s">
        <v>7561</v>
      </c>
      <c r="B2910" s="3" t="s">
        <v>2913</v>
      </c>
      <c r="C2910" s="14">
        <v>1743.87</v>
      </c>
      <c r="D2910" s="11" t="s">
        <v>5</v>
      </c>
    </row>
    <row r="2911" spans="1:4" x14ac:dyDescent="0.25">
      <c r="A2911" s="4" t="s">
        <v>7562</v>
      </c>
      <c r="B2911" s="3" t="s">
        <v>2914</v>
      </c>
      <c r="C2911" s="14">
        <v>418.52</v>
      </c>
      <c r="D2911" s="11" t="s">
        <v>5</v>
      </c>
    </row>
    <row r="2912" spans="1:4" x14ac:dyDescent="0.25">
      <c r="A2912" s="4" t="s">
        <v>7563</v>
      </c>
      <c r="B2912" s="3" t="s">
        <v>2915</v>
      </c>
      <c r="C2912" s="14">
        <v>3105.75</v>
      </c>
      <c r="D2912" s="11" t="s">
        <v>5</v>
      </c>
    </row>
    <row r="2913" spans="1:4" x14ac:dyDescent="0.25">
      <c r="A2913" s="4" t="s">
        <v>7564</v>
      </c>
      <c r="B2913" s="3" t="s">
        <v>2916</v>
      </c>
      <c r="C2913" s="14">
        <v>534.78</v>
      </c>
      <c r="D2913" s="11" t="s">
        <v>5</v>
      </c>
    </row>
    <row r="2914" spans="1:4" x14ac:dyDescent="0.25">
      <c r="A2914" s="4" t="s">
        <v>7565</v>
      </c>
      <c r="B2914" s="3" t="s">
        <v>2917</v>
      </c>
      <c r="C2914" s="14">
        <v>916.77</v>
      </c>
      <c r="D2914" s="11" t="s">
        <v>5</v>
      </c>
    </row>
    <row r="2915" spans="1:4" x14ac:dyDescent="0.25">
      <c r="A2915" s="4" t="s">
        <v>7566</v>
      </c>
      <c r="B2915" s="3" t="s">
        <v>2918</v>
      </c>
      <c r="C2915" s="14">
        <v>2673.95</v>
      </c>
      <c r="D2915" s="11" t="s">
        <v>5</v>
      </c>
    </row>
    <row r="2916" spans="1:4" x14ac:dyDescent="0.25">
      <c r="A2916" s="4" t="s">
        <v>7567</v>
      </c>
      <c r="B2916" s="3" t="s">
        <v>2919</v>
      </c>
      <c r="C2916" s="14">
        <v>1813.64</v>
      </c>
      <c r="D2916" s="11" t="s">
        <v>5</v>
      </c>
    </row>
    <row r="2917" spans="1:4" x14ac:dyDescent="0.25">
      <c r="A2917" s="4" t="s">
        <v>7568</v>
      </c>
      <c r="B2917" s="3" t="s">
        <v>2920</v>
      </c>
      <c r="C2917" s="14">
        <v>518.19000000000005</v>
      </c>
      <c r="D2917" s="11" t="s">
        <v>5</v>
      </c>
    </row>
    <row r="2918" spans="1:4" x14ac:dyDescent="0.25">
      <c r="A2918" s="4" t="s">
        <v>7569</v>
      </c>
      <c r="B2918" s="3" t="s">
        <v>2921</v>
      </c>
      <c r="C2918" s="14">
        <v>4122.18</v>
      </c>
      <c r="D2918" s="11" t="s">
        <v>5</v>
      </c>
    </row>
    <row r="2919" spans="1:4" x14ac:dyDescent="0.25">
      <c r="A2919" s="4" t="s">
        <v>7570</v>
      </c>
      <c r="B2919" s="3" t="s">
        <v>2922</v>
      </c>
      <c r="C2919" s="14">
        <v>622.82000000000005</v>
      </c>
      <c r="D2919" s="11" t="s">
        <v>5</v>
      </c>
    </row>
    <row r="2920" spans="1:4" x14ac:dyDescent="0.25">
      <c r="A2920" s="4" t="s">
        <v>7571</v>
      </c>
      <c r="B2920" s="3" t="s">
        <v>2923</v>
      </c>
      <c r="C2920" s="14">
        <v>3105.75</v>
      </c>
      <c r="D2920" s="11" t="s">
        <v>5</v>
      </c>
    </row>
    <row r="2921" spans="1:4" x14ac:dyDescent="0.25">
      <c r="A2921" s="4" t="s">
        <v>7572</v>
      </c>
      <c r="B2921" s="3" t="s">
        <v>2924</v>
      </c>
      <c r="C2921" s="14">
        <v>930.08</v>
      </c>
      <c r="D2921" s="11" t="s">
        <v>5</v>
      </c>
    </row>
    <row r="2922" spans="1:4" x14ac:dyDescent="0.25">
      <c r="A2922" s="4" t="s">
        <v>7573</v>
      </c>
      <c r="B2922" s="3" t="s">
        <v>2925</v>
      </c>
      <c r="C2922" s="14">
        <v>1594.4</v>
      </c>
      <c r="D2922" s="11" t="s">
        <v>5</v>
      </c>
    </row>
    <row r="2923" spans="1:4" x14ac:dyDescent="0.25">
      <c r="A2923" s="4" t="s">
        <v>7574</v>
      </c>
      <c r="B2923" s="3" t="s">
        <v>2926</v>
      </c>
      <c r="C2923" s="14">
        <v>159.44</v>
      </c>
      <c r="D2923" s="11" t="s">
        <v>5</v>
      </c>
    </row>
    <row r="2924" spans="1:4" x14ac:dyDescent="0.25">
      <c r="A2924" s="4" t="s">
        <v>7575</v>
      </c>
      <c r="B2924" s="3" t="s">
        <v>2927</v>
      </c>
      <c r="C2924" s="14">
        <v>119.6</v>
      </c>
      <c r="D2924" s="11" t="s">
        <v>5</v>
      </c>
    </row>
    <row r="2925" spans="1:4" x14ac:dyDescent="0.25">
      <c r="A2925" s="4" t="s">
        <v>7576</v>
      </c>
      <c r="B2925" s="3" t="s">
        <v>2928</v>
      </c>
      <c r="C2925" s="14">
        <v>132.87</v>
      </c>
      <c r="D2925" s="11" t="s">
        <v>5</v>
      </c>
    </row>
    <row r="2926" spans="1:4" x14ac:dyDescent="0.25">
      <c r="A2926" s="4" t="s">
        <v>7577</v>
      </c>
      <c r="B2926" s="3" t="s">
        <v>2929</v>
      </c>
      <c r="C2926" s="14">
        <v>134.52000000000001</v>
      </c>
      <c r="D2926" s="11" t="s">
        <v>5</v>
      </c>
    </row>
    <row r="2927" spans="1:4" x14ac:dyDescent="0.25">
      <c r="A2927" s="4" t="s">
        <v>7578</v>
      </c>
      <c r="B2927" s="3" t="s">
        <v>2930</v>
      </c>
      <c r="C2927" s="14">
        <v>159.44</v>
      </c>
      <c r="D2927" s="11" t="s">
        <v>5</v>
      </c>
    </row>
    <row r="2928" spans="1:4" x14ac:dyDescent="0.25">
      <c r="A2928" s="4" t="s">
        <v>7579</v>
      </c>
      <c r="B2928" s="3" t="s">
        <v>2931</v>
      </c>
      <c r="C2928" s="14">
        <v>298.95</v>
      </c>
      <c r="D2928" s="11" t="s">
        <v>5</v>
      </c>
    </row>
    <row r="2929" spans="1:4" x14ac:dyDescent="0.25">
      <c r="A2929" s="4" t="s">
        <v>7580</v>
      </c>
      <c r="B2929" s="3" t="s">
        <v>2932</v>
      </c>
      <c r="C2929" s="14">
        <v>415.2</v>
      </c>
      <c r="D2929" s="11" t="s">
        <v>5</v>
      </c>
    </row>
    <row r="2930" spans="1:4" x14ac:dyDescent="0.25">
      <c r="A2930" s="4" t="s">
        <v>7581</v>
      </c>
      <c r="B2930" s="3" t="s">
        <v>2933</v>
      </c>
      <c r="C2930" s="14">
        <v>553.07000000000005</v>
      </c>
      <c r="D2930" s="11" t="s">
        <v>5</v>
      </c>
    </row>
    <row r="2931" spans="1:4" x14ac:dyDescent="0.25">
      <c r="A2931" s="4" t="s">
        <v>7582</v>
      </c>
      <c r="B2931" s="3" t="s">
        <v>2934</v>
      </c>
      <c r="C2931" s="14">
        <v>783.9</v>
      </c>
      <c r="D2931" s="11" t="s">
        <v>5</v>
      </c>
    </row>
    <row r="2932" spans="1:4" x14ac:dyDescent="0.25">
      <c r="A2932" s="4" t="s">
        <v>7583</v>
      </c>
      <c r="B2932" s="3" t="s">
        <v>2935</v>
      </c>
      <c r="C2932" s="14">
        <v>179.37</v>
      </c>
      <c r="D2932" s="11" t="s">
        <v>5</v>
      </c>
    </row>
    <row r="2933" spans="1:4" x14ac:dyDescent="0.25">
      <c r="A2933" s="4" t="s">
        <v>7584</v>
      </c>
      <c r="B2933" s="3" t="s">
        <v>2936</v>
      </c>
      <c r="C2933" s="14">
        <v>212.6</v>
      </c>
      <c r="D2933" s="11" t="s">
        <v>5</v>
      </c>
    </row>
    <row r="2934" spans="1:4" x14ac:dyDescent="0.25">
      <c r="A2934" s="4" t="s">
        <v>7585</v>
      </c>
      <c r="B2934" s="3" t="s">
        <v>2937</v>
      </c>
      <c r="C2934" s="14">
        <v>332.18</v>
      </c>
      <c r="D2934" s="11" t="s">
        <v>5</v>
      </c>
    </row>
    <row r="2935" spans="1:4" x14ac:dyDescent="0.25">
      <c r="A2935" s="4" t="s">
        <v>7586</v>
      </c>
      <c r="B2935" s="3" t="s">
        <v>2938</v>
      </c>
      <c r="C2935" s="14">
        <v>581.29999999999995</v>
      </c>
      <c r="D2935" s="11" t="s">
        <v>5</v>
      </c>
    </row>
    <row r="2936" spans="1:4" x14ac:dyDescent="0.25">
      <c r="A2936" s="4" t="s">
        <v>7587</v>
      </c>
      <c r="B2936" s="3" t="s">
        <v>2939</v>
      </c>
      <c r="C2936" s="14">
        <v>664.34</v>
      </c>
      <c r="D2936" s="11" t="s">
        <v>5</v>
      </c>
    </row>
    <row r="2937" spans="1:4" x14ac:dyDescent="0.25">
      <c r="A2937" s="4" t="s">
        <v>7588</v>
      </c>
      <c r="B2937" s="3" t="s">
        <v>2940</v>
      </c>
      <c r="C2937" s="14">
        <v>871.94</v>
      </c>
      <c r="D2937" s="11" t="s">
        <v>5</v>
      </c>
    </row>
    <row r="2938" spans="1:4" x14ac:dyDescent="0.25">
      <c r="A2938" s="4" t="s">
        <v>7589</v>
      </c>
      <c r="B2938" s="3" t="s">
        <v>2941</v>
      </c>
      <c r="C2938" s="14">
        <v>232.52</v>
      </c>
      <c r="D2938" s="11" t="s">
        <v>5</v>
      </c>
    </row>
    <row r="2939" spans="1:4" x14ac:dyDescent="0.25">
      <c r="A2939" s="4" t="s">
        <v>7590</v>
      </c>
      <c r="B2939" s="3" t="s">
        <v>2942</v>
      </c>
      <c r="C2939" s="14">
        <v>255.78</v>
      </c>
      <c r="D2939" s="11" t="s">
        <v>5</v>
      </c>
    </row>
    <row r="2940" spans="1:4" x14ac:dyDescent="0.25">
      <c r="A2940" s="4" t="s">
        <v>7591</v>
      </c>
      <c r="B2940" s="3" t="s">
        <v>2943</v>
      </c>
      <c r="C2940" s="14">
        <v>328.85</v>
      </c>
      <c r="D2940" s="11" t="s">
        <v>5</v>
      </c>
    </row>
    <row r="2941" spans="1:4" x14ac:dyDescent="0.25">
      <c r="A2941" s="4" t="s">
        <v>7592</v>
      </c>
      <c r="B2941" s="3" t="s">
        <v>2944</v>
      </c>
      <c r="C2941" s="14">
        <v>624.48</v>
      </c>
      <c r="D2941" s="11" t="s">
        <v>5</v>
      </c>
    </row>
    <row r="2942" spans="1:4" x14ac:dyDescent="0.25">
      <c r="A2942" s="4" t="s">
        <v>7593</v>
      </c>
      <c r="B2942" s="3" t="s">
        <v>2945</v>
      </c>
      <c r="C2942" s="14">
        <v>720.81</v>
      </c>
      <c r="D2942" s="11" t="s">
        <v>5</v>
      </c>
    </row>
    <row r="2943" spans="1:4" x14ac:dyDescent="0.25">
      <c r="A2943" s="4" t="s">
        <v>7594</v>
      </c>
      <c r="B2943" s="3" t="s">
        <v>2946</v>
      </c>
      <c r="C2943" s="14">
        <v>1081.19</v>
      </c>
      <c r="D2943" s="11" t="s">
        <v>5</v>
      </c>
    </row>
    <row r="2944" spans="1:4" x14ac:dyDescent="0.25">
      <c r="A2944" s="4" t="s">
        <v>7595</v>
      </c>
      <c r="B2944" s="3" t="s">
        <v>2947</v>
      </c>
      <c r="C2944" s="14">
        <v>232.52</v>
      </c>
      <c r="D2944" s="11" t="s">
        <v>5</v>
      </c>
    </row>
    <row r="2945" spans="1:4" x14ac:dyDescent="0.25">
      <c r="A2945" s="4" t="s">
        <v>7596</v>
      </c>
      <c r="B2945" s="3" t="s">
        <v>2948</v>
      </c>
      <c r="C2945" s="14">
        <v>332.18</v>
      </c>
      <c r="D2945" s="11" t="s">
        <v>5</v>
      </c>
    </row>
    <row r="2946" spans="1:4" x14ac:dyDescent="0.25">
      <c r="A2946" s="4" t="s">
        <v>7597</v>
      </c>
      <c r="B2946" s="3" t="s">
        <v>2949</v>
      </c>
      <c r="C2946" s="14">
        <v>531.48</v>
      </c>
      <c r="D2946" s="11" t="s">
        <v>5</v>
      </c>
    </row>
    <row r="2947" spans="1:4" x14ac:dyDescent="0.25">
      <c r="A2947" s="4" t="s">
        <v>7598</v>
      </c>
      <c r="B2947" s="3" t="s">
        <v>2950</v>
      </c>
      <c r="C2947" s="14">
        <v>783.9</v>
      </c>
      <c r="D2947" s="11" t="s">
        <v>5</v>
      </c>
    </row>
    <row r="2948" spans="1:4" x14ac:dyDescent="0.25">
      <c r="A2948" s="4" t="s">
        <v>7599</v>
      </c>
      <c r="B2948" s="3" t="s">
        <v>2951</v>
      </c>
      <c r="C2948" s="14">
        <v>943.37</v>
      </c>
      <c r="D2948" s="11" t="s">
        <v>5</v>
      </c>
    </row>
    <row r="2949" spans="1:4" x14ac:dyDescent="0.25">
      <c r="A2949" s="4" t="s">
        <v>7600</v>
      </c>
      <c r="B2949" s="3" t="s">
        <v>2952</v>
      </c>
      <c r="C2949" s="14">
        <v>1262.24</v>
      </c>
      <c r="D2949" s="11" t="s">
        <v>5</v>
      </c>
    </row>
    <row r="2950" spans="1:4" x14ac:dyDescent="0.25">
      <c r="A2950" s="4" t="s">
        <v>7601</v>
      </c>
      <c r="B2950" s="3" t="s">
        <v>2953</v>
      </c>
      <c r="C2950" s="14">
        <v>290.64</v>
      </c>
      <c r="D2950" s="11" t="s">
        <v>5</v>
      </c>
    </row>
    <row r="2951" spans="1:4" x14ac:dyDescent="0.25">
      <c r="A2951" s="4" t="s">
        <v>7602</v>
      </c>
      <c r="B2951" s="3" t="s">
        <v>2954</v>
      </c>
      <c r="C2951" s="14">
        <v>398.58</v>
      </c>
      <c r="D2951" s="11" t="s">
        <v>5</v>
      </c>
    </row>
    <row r="2952" spans="1:4" x14ac:dyDescent="0.25">
      <c r="A2952" s="4" t="s">
        <v>7603</v>
      </c>
      <c r="B2952" s="3" t="s">
        <v>2955</v>
      </c>
      <c r="C2952" s="14">
        <v>581.29999999999995</v>
      </c>
      <c r="D2952" s="11" t="s">
        <v>5</v>
      </c>
    </row>
    <row r="2953" spans="1:4" x14ac:dyDescent="0.25">
      <c r="A2953" s="4" t="s">
        <v>7604</v>
      </c>
      <c r="B2953" s="3" t="s">
        <v>2956</v>
      </c>
      <c r="C2953" s="14">
        <v>825.44</v>
      </c>
      <c r="D2953" s="11" t="s">
        <v>5</v>
      </c>
    </row>
    <row r="2954" spans="1:4" x14ac:dyDescent="0.25">
      <c r="A2954" s="4" t="s">
        <v>7605</v>
      </c>
      <c r="B2954" s="3" t="s">
        <v>2957</v>
      </c>
      <c r="C2954" s="14">
        <v>1057.95</v>
      </c>
      <c r="D2954" s="11" t="s">
        <v>5</v>
      </c>
    </row>
    <row r="2955" spans="1:4" x14ac:dyDescent="0.25">
      <c r="A2955" s="4" t="s">
        <v>7606</v>
      </c>
      <c r="B2955" s="3" t="s">
        <v>2958</v>
      </c>
      <c r="C2955" s="14">
        <v>1594.4</v>
      </c>
      <c r="D2955" s="11" t="s">
        <v>5</v>
      </c>
    </row>
    <row r="2956" spans="1:4" x14ac:dyDescent="0.25">
      <c r="A2956" s="4" t="s">
        <v>7607</v>
      </c>
      <c r="B2956" s="3" t="s">
        <v>2959</v>
      </c>
      <c r="C2956" s="14">
        <v>448.43</v>
      </c>
      <c r="D2956" s="11" t="s">
        <v>5</v>
      </c>
    </row>
    <row r="2957" spans="1:4" x14ac:dyDescent="0.25">
      <c r="A2957" s="4" t="s">
        <v>7608</v>
      </c>
      <c r="B2957" s="3" t="s">
        <v>2960</v>
      </c>
      <c r="C2957" s="14">
        <v>597.9</v>
      </c>
      <c r="D2957" s="11" t="s">
        <v>5</v>
      </c>
    </row>
    <row r="2958" spans="1:4" x14ac:dyDescent="0.25">
      <c r="A2958" s="4" t="s">
        <v>7609</v>
      </c>
      <c r="B2958" s="3" t="s">
        <v>2961</v>
      </c>
      <c r="C2958" s="14">
        <v>790.56</v>
      </c>
      <c r="D2958" s="11" t="s">
        <v>5</v>
      </c>
    </row>
    <row r="2959" spans="1:4" x14ac:dyDescent="0.25">
      <c r="A2959" s="4" t="s">
        <v>7610</v>
      </c>
      <c r="B2959" s="3" t="s">
        <v>2962</v>
      </c>
      <c r="C2959" s="14">
        <v>1270.53</v>
      </c>
      <c r="D2959" s="11" t="s">
        <v>5</v>
      </c>
    </row>
    <row r="2960" spans="1:4" x14ac:dyDescent="0.25">
      <c r="A2960" s="4" t="s">
        <v>7611</v>
      </c>
      <c r="B2960" s="3" t="s">
        <v>2963</v>
      </c>
      <c r="C2960" s="14">
        <v>1554.54</v>
      </c>
      <c r="D2960" s="11" t="s">
        <v>5</v>
      </c>
    </row>
    <row r="2961" spans="1:4" x14ac:dyDescent="0.25">
      <c r="A2961" s="4" t="s">
        <v>7612</v>
      </c>
      <c r="B2961" s="3" t="s">
        <v>2964</v>
      </c>
      <c r="C2961" s="14">
        <v>2139.15</v>
      </c>
      <c r="D2961" s="11" t="s">
        <v>5</v>
      </c>
    </row>
    <row r="2962" spans="1:4" x14ac:dyDescent="0.25">
      <c r="A2962" s="4" t="s">
        <v>7613</v>
      </c>
      <c r="B2962" s="3" t="s">
        <v>2965</v>
      </c>
      <c r="C2962" s="14">
        <v>508.44</v>
      </c>
      <c r="D2962" s="11" t="s">
        <v>5</v>
      </c>
    </row>
    <row r="2963" spans="1:4" x14ac:dyDescent="0.25">
      <c r="A2963" s="4" t="s">
        <v>7614</v>
      </c>
      <c r="B2963" s="3" t="s">
        <v>2966</v>
      </c>
      <c r="C2963" s="14">
        <v>762.75</v>
      </c>
      <c r="D2963" s="11" t="s">
        <v>5</v>
      </c>
    </row>
    <row r="2964" spans="1:4" x14ac:dyDescent="0.25">
      <c r="A2964" s="4" t="s">
        <v>7615</v>
      </c>
      <c r="B2964" s="3" t="s">
        <v>2967</v>
      </c>
      <c r="C2964" s="14">
        <v>999.75</v>
      </c>
      <c r="D2964" s="11" t="s">
        <v>5</v>
      </c>
    </row>
    <row r="2965" spans="1:4" x14ac:dyDescent="0.25">
      <c r="A2965" s="4" t="s">
        <v>7616</v>
      </c>
      <c r="B2965" s="3" t="s">
        <v>2968</v>
      </c>
      <c r="C2965" s="14">
        <v>1932.84</v>
      </c>
      <c r="D2965" s="11" t="s">
        <v>5</v>
      </c>
    </row>
    <row r="2966" spans="1:4" x14ac:dyDescent="0.25">
      <c r="A2966" s="4" t="s">
        <v>7617</v>
      </c>
      <c r="B2966" s="3" t="s">
        <v>2969</v>
      </c>
      <c r="C2966" s="14">
        <v>2881.67</v>
      </c>
      <c r="D2966" s="11" t="s">
        <v>5</v>
      </c>
    </row>
    <row r="2967" spans="1:4" x14ac:dyDescent="0.25">
      <c r="A2967" s="4" t="s">
        <v>7618</v>
      </c>
      <c r="B2967" s="3" t="s">
        <v>2970</v>
      </c>
      <c r="C2967" s="14">
        <v>3971.19</v>
      </c>
      <c r="D2967" s="11" t="s">
        <v>5</v>
      </c>
    </row>
    <row r="2968" spans="1:4" x14ac:dyDescent="0.25">
      <c r="A2968" s="4" t="s">
        <v>7619</v>
      </c>
      <c r="B2968" s="3" t="s">
        <v>2971</v>
      </c>
      <c r="C2968" s="14">
        <v>784.47</v>
      </c>
      <c r="D2968" s="11" t="s">
        <v>5</v>
      </c>
    </row>
    <row r="2969" spans="1:4" x14ac:dyDescent="0.25">
      <c r="A2969" s="4" t="s">
        <v>7620</v>
      </c>
      <c r="B2969" s="3" t="s">
        <v>2972</v>
      </c>
      <c r="C2969" s="14">
        <v>1372.92</v>
      </c>
      <c r="D2969" s="11" t="s">
        <v>5</v>
      </c>
    </row>
    <row r="2970" spans="1:4" x14ac:dyDescent="0.25">
      <c r="A2970" s="4" t="s">
        <v>7621</v>
      </c>
      <c r="B2970" s="3" t="s">
        <v>2973</v>
      </c>
      <c r="C2970" s="14">
        <v>1542.48</v>
      </c>
      <c r="D2970" s="11" t="s">
        <v>5</v>
      </c>
    </row>
    <row r="2971" spans="1:4" x14ac:dyDescent="0.25">
      <c r="A2971" s="4" t="s">
        <v>7622</v>
      </c>
      <c r="B2971" s="3" t="s">
        <v>2974</v>
      </c>
      <c r="C2971" s="14">
        <v>2087.4899999999998</v>
      </c>
      <c r="D2971" s="11" t="s">
        <v>5</v>
      </c>
    </row>
    <row r="2972" spans="1:4" x14ac:dyDescent="0.25">
      <c r="A2972" s="4" t="s">
        <v>7623</v>
      </c>
      <c r="B2972" s="3" t="s">
        <v>2975</v>
      </c>
      <c r="C2972" s="14">
        <v>3112.2</v>
      </c>
      <c r="D2972" s="11" t="s">
        <v>5</v>
      </c>
    </row>
    <row r="2973" spans="1:4" x14ac:dyDescent="0.25">
      <c r="A2973" s="4" t="s">
        <v>7624</v>
      </c>
      <c r="B2973" s="3" t="s">
        <v>2976</v>
      </c>
      <c r="C2973" s="14">
        <v>4765.4399999999996</v>
      </c>
      <c r="D2973" s="11" t="s">
        <v>5</v>
      </c>
    </row>
    <row r="2974" spans="1:4" x14ac:dyDescent="0.25">
      <c r="A2974" s="4" t="s">
        <v>7625</v>
      </c>
      <c r="B2974" s="3" t="s">
        <v>2977</v>
      </c>
      <c r="C2974" s="14">
        <v>1743.24</v>
      </c>
      <c r="D2974" s="11" t="s">
        <v>5</v>
      </c>
    </row>
    <row r="2975" spans="1:4" x14ac:dyDescent="0.25">
      <c r="A2975" s="4" t="s">
        <v>7626</v>
      </c>
      <c r="B2975" s="3" t="s">
        <v>2978</v>
      </c>
      <c r="C2975" s="14">
        <v>2288.2199999999998</v>
      </c>
      <c r="D2975" s="11" t="s">
        <v>5</v>
      </c>
    </row>
    <row r="2976" spans="1:4" x14ac:dyDescent="0.25">
      <c r="A2976" s="4" t="s">
        <v>7627</v>
      </c>
      <c r="B2976" s="3" t="s">
        <v>2979</v>
      </c>
      <c r="C2976" s="14">
        <v>2856.45</v>
      </c>
      <c r="D2976" s="11" t="s">
        <v>5</v>
      </c>
    </row>
    <row r="2977" spans="1:4" x14ac:dyDescent="0.25">
      <c r="A2977" s="4" t="s">
        <v>7628</v>
      </c>
      <c r="B2977" s="3" t="s">
        <v>2980</v>
      </c>
      <c r="C2977" s="14">
        <v>4638.83</v>
      </c>
      <c r="D2977" s="11" t="s">
        <v>5</v>
      </c>
    </row>
    <row r="2978" spans="1:4" x14ac:dyDescent="0.25">
      <c r="A2978" s="4" t="s">
        <v>7629</v>
      </c>
      <c r="B2978" s="3" t="s">
        <v>2981</v>
      </c>
      <c r="C2978" s="14">
        <v>6916.02</v>
      </c>
      <c r="D2978" s="11" t="s">
        <v>5</v>
      </c>
    </row>
    <row r="2979" spans="1:4" x14ac:dyDescent="0.25">
      <c r="A2979" s="4" t="s">
        <v>7630</v>
      </c>
      <c r="B2979" s="3" t="s">
        <v>2982</v>
      </c>
      <c r="C2979" s="14">
        <v>9530.8700000000008</v>
      </c>
      <c r="D2979" s="11" t="s">
        <v>5</v>
      </c>
    </row>
    <row r="2980" spans="1:4" x14ac:dyDescent="0.25">
      <c r="A2980" s="4" t="s">
        <v>7631</v>
      </c>
      <c r="B2980" s="3" t="s">
        <v>2983</v>
      </c>
      <c r="C2980" s="14">
        <v>2324.3000000000002</v>
      </c>
      <c r="D2980" s="11" t="s">
        <v>5</v>
      </c>
    </row>
    <row r="2981" spans="1:4" x14ac:dyDescent="0.25">
      <c r="A2981" s="4" t="s">
        <v>7632</v>
      </c>
      <c r="B2981" s="3" t="s">
        <v>2984</v>
      </c>
      <c r="C2981" s="14">
        <v>2860.26</v>
      </c>
      <c r="D2981" s="11" t="s">
        <v>5</v>
      </c>
    </row>
    <row r="2982" spans="1:4" x14ac:dyDescent="0.25">
      <c r="A2982" s="4" t="s">
        <v>7633</v>
      </c>
      <c r="B2982" s="3" t="s">
        <v>2985</v>
      </c>
      <c r="C2982" s="14">
        <v>3713.39</v>
      </c>
      <c r="D2982" s="11" t="s">
        <v>5</v>
      </c>
    </row>
    <row r="2983" spans="1:4" x14ac:dyDescent="0.25">
      <c r="A2983" s="4" t="s">
        <v>7634</v>
      </c>
      <c r="B2983" s="3" t="s">
        <v>2986</v>
      </c>
      <c r="C2983" s="14">
        <v>5411.96</v>
      </c>
      <c r="D2983" s="11" t="s">
        <v>5</v>
      </c>
    </row>
    <row r="2984" spans="1:4" x14ac:dyDescent="0.25">
      <c r="A2984" s="4" t="s">
        <v>7635</v>
      </c>
      <c r="B2984" s="3" t="s">
        <v>2987</v>
      </c>
      <c r="C2984" s="14">
        <v>8068.68</v>
      </c>
      <c r="D2984" s="11" t="s">
        <v>5</v>
      </c>
    </row>
    <row r="2985" spans="1:4" x14ac:dyDescent="0.25">
      <c r="A2985" s="4" t="s">
        <v>7636</v>
      </c>
      <c r="B2985" s="3" t="s">
        <v>2988</v>
      </c>
      <c r="C2985" s="14">
        <v>11913.57</v>
      </c>
      <c r="D2985" s="11" t="s">
        <v>5</v>
      </c>
    </row>
    <row r="2986" spans="1:4" x14ac:dyDescent="0.25">
      <c r="A2986" s="4" t="s">
        <v>7637</v>
      </c>
      <c r="B2986" s="3" t="s">
        <v>2989</v>
      </c>
      <c r="C2986" s="14">
        <v>566.4</v>
      </c>
      <c r="D2986" s="11" t="s">
        <v>5</v>
      </c>
    </row>
    <row r="2987" spans="1:4" x14ac:dyDescent="0.25">
      <c r="A2987" s="4" t="s">
        <v>7638</v>
      </c>
      <c r="B2987" s="3" t="s">
        <v>2990</v>
      </c>
      <c r="C2987" s="14">
        <v>89.69</v>
      </c>
      <c r="D2987" s="11" t="s">
        <v>5</v>
      </c>
    </row>
    <row r="2988" spans="1:4" x14ac:dyDescent="0.25">
      <c r="A2988" s="4" t="s">
        <v>7639</v>
      </c>
      <c r="B2988" s="3" t="s">
        <v>2991</v>
      </c>
      <c r="C2988" s="14">
        <v>132.87</v>
      </c>
      <c r="D2988" s="11" t="s">
        <v>5</v>
      </c>
    </row>
    <row r="2989" spans="1:4" x14ac:dyDescent="0.25">
      <c r="A2989" s="4" t="s">
        <v>7640</v>
      </c>
      <c r="B2989" s="3" t="s">
        <v>2992</v>
      </c>
      <c r="C2989" s="14">
        <v>199.29</v>
      </c>
      <c r="D2989" s="11" t="s">
        <v>5</v>
      </c>
    </row>
    <row r="2990" spans="1:4" x14ac:dyDescent="0.25">
      <c r="A2990" s="4" t="s">
        <v>7641</v>
      </c>
      <c r="B2990" s="3" t="s">
        <v>2993</v>
      </c>
      <c r="C2990" s="14">
        <v>372.02</v>
      </c>
      <c r="D2990" s="11" t="s">
        <v>5</v>
      </c>
    </row>
    <row r="2991" spans="1:4" x14ac:dyDescent="0.25">
      <c r="A2991" s="4" t="s">
        <v>7642</v>
      </c>
      <c r="B2991" s="3" t="s">
        <v>2994</v>
      </c>
      <c r="C2991" s="14">
        <v>418.52</v>
      </c>
      <c r="D2991" s="11" t="s">
        <v>5</v>
      </c>
    </row>
    <row r="2992" spans="1:4" x14ac:dyDescent="0.25">
      <c r="A2992" s="4" t="s">
        <v>7643</v>
      </c>
      <c r="B2992" s="3" t="s">
        <v>2995</v>
      </c>
      <c r="C2992" s="14">
        <v>677.61</v>
      </c>
      <c r="D2992" s="11" t="s">
        <v>5</v>
      </c>
    </row>
    <row r="2993" spans="1:4" x14ac:dyDescent="0.25">
      <c r="A2993" s="4" t="s">
        <v>7644</v>
      </c>
      <c r="B2993" s="3" t="s">
        <v>2996</v>
      </c>
      <c r="C2993" s="14">
        <v>132.87</v>
      </c>
      <c r="D2993" s="11" t="s">
        <v>5</v>
      </c>
    </row>
    <row r="2994" spans="1:4" x14ac:dyDescent="0.25">
      <c r="A2994" s="4" t="s">
        <v>7645</v>
      </c>
      <c r="B2994" s="3" t="s">
        <v>2997</v>
      </c>
      <c r="C2994" s="14">
        <v>199.29</v>
      </c>
      <c r="D2994" s="11" t="s">
        <v>5</v>
      </c>
    </row>
    <row r="2995" spans="1:4" x14ac:dyDescent="0.25">
      <c r="A2995" s="4" t="s">
        <v>7646</v>
      </c>
      <c r="B2995" s="3" t="s">
        <v>2998</v>
      </c>
      <c r="C2995" s="14">
        <v>194.33</v>
      </c>
      <c r="D2995" s="11" t="s">
        <v>5</v>
      </c>
    </row>
    <row r="2996" spans="1:4" x14ac:dyDescent="0.25">
      <c r="A2996" s="4" t="s">
        <v>7647</v>
      </c>
      <c r="B2996" s="3" t="s">
        <v>2999</v>
      </c>
      <c r="C2996" s="14">
        <v>3008.34</v>
      </c>
      <c r="D2996" s="11" t="s">
        <v>5</v>
      </c>
    </row>
    <row r="2997" spans="1:4" x14ac:dyDescent="0.25">
      <c r="A2997" s="4" t="s">
        <v>7648</v>
      </c>
      <c r="B2997" s="3" t="s">
        <v>3000</v>
      </c>
      <c r="C2997" s="14">
        <v>407.12</v>
      </c>
      <c r="D2997" s="11" t="s">
        <v>5</v>
      </c>
    </row>
    <row r="2998" spans="1:4" x14ac:dyDescent="0.25">
      <c r="A2998" s="4" t="s">
        <v>7649</v>
      </c>
      <c r="B2998" s="3" t="s">
        <v>3001</v>
      </c>
      <c r="C2998" s="14">
        <v>3807</v>
      </c>
      <c r="D2998" s="11" t="s">
        <v>5</v>
      </c>
    </row>
    <row r="2999" spans="1:4" x14ac:dyDescent="0.25">
      <c r="A2999" s="4" t="s">
        <v>7650</v>
      </c>
      <c r="B2999" s="3" t="s">
        <v>3002</v>
      </c>
      <c r="C2999" s="14">
        <v>9136.7999999999993</v>
      </c>
      <c r="D2999" s="11" t="s">
        <v>5</v>
      </c>
    </row>
    <row r="3000" spans="1:4" x14ac:dyDescent="0.25">
      <c r="A3000" s="4" t="s">
        <v>7651</v>
      </c>
      <c r="B3000" s="3" t="s">
        <v>3003</v>
      </c>
      <c r="C3000" s="14">
        <v>249.11</v>
      </c>
      <c r="D3000" s="11" t="s">
        <v>5</v>
      </c>
    </row>
    <row r="3001" spans="1:4" x14ac:dyDescent="0.25">
      <c r="A3001" s="4" t="s">
        <v>7652</v>
      </c>
      <c r="B3001" s="3" t="s">
        <v>3004</v>
      </c>
      <c r="C3001" s="14">
        <v>747.38</v>
      </c>
      <c r="D3001" s="11" t="s">
        <v>5</v>
      </c>
    </row>
    <row r="3002" spans="1:4" x14ac:dyDescent="0.25">
      <c r="A3002" s="4" t="s">
        <v>7653</v>
      </c>
      <c r="B3002" s="3" t="s">
        <v>3005</v>
      </c>
      <c r="C3002" s="14">
        <v>511.53</v>
      </c>
      <c r="D3002" s="11" t="s">
        <v>5</v>
      </c>
    </row>
    <row r="3003" spans="1:4" x14ac:dyDescent="0.25">
      <c r="A3003" s="4" t="s">
        <v>7654</v>
      </c>
      <c r="B3003" s="3" t="s">
        <v>3006</v>
      </c>
      <c r="C3003" s="14">
        <v>99.65</v>
      </c>
      <c r="D3003" s="11" t="s">
        <v>5</v>
      </c>
    </row>
    <row r="3004" spans="1:4" x14ac:dyDescent="0.25">
      <c r="A3004" s="4" t="s">
        <v>7655</v>
      </c>
      <c r="B3004" s="3" t="s">
        <v>3007</v>
      </c>
      <c r="C3004" s="14">
        <v>1079.55</v>
      </c>
      <c r="D3004" s="11" t="s">
        <v>5</v>
      </c>
    </row>
    <row r="3005" spans="1:4" x14ac:dyDescent="0.25">
      <c r="A3005" s="4" t="s">
        <v>7656</v>
      </c>
      <c r="B3005" s="3" t="s">
        <v>3008</v>
      </c>
      <c r="C3005" s="14">
        <v>4571.6400000000003</v>
      </c>
      <c r="D3005" s="11" t="s">
        <v>5</v>
      </c>
    </row>
    <row r="3006" spans="1:4" x14ac:dyDescent="0.25">
      <c r="A3006" s="4" t="s">
        <v>7657</v>
      </c>
      <c r="B3006" s="3" t="s">
        <v>3009</v>
      </c>
      <c r="C3006" s="14">
        <v>5712.12</v>
      </c>
      <c r="D3006" s="11" t="s">
        <v>5</v>
      </c>
    </row>
    <row r="3007" spans="1:4" x14ac:dyDescent="0.25">
      <c r="A3007" s="4" t="s">
        <v>7658</v>
      </c>
      <c r="B3007" s="3" t="s">
        <v>3010</v>
      </c>
      <c r="C3007" s="14">
        <v>149.47999999999999</v>
      </c>
      <c r="D3007" s="11" t="s">
        <v>5</v>
      </c>
    </row>
    <row r="3008" spans="1:4" x14ac:dyDescent="0.25">
      <c r="A3008" s="4" t="s">
        <v>7659</v>
      </c>
      <c r="B3008" s="3" t="s">
        <v>3011</v>
      </c>
      <c r="C3008" s="14">
        <v>9143.2800000000007</v>
      </c>
      <c r="D3008" s="11" t="s">
        <v>5</v>
      </c>
    </row>
    <row r="3009" spans="1:4" x14ac:dyDescent="0.25">
      <c r="A3009" s="4" t="s">
        <v>7660</v>
      </c>
      <c r="B3009" s="3" t="s">
        <v>3012</v>
      </c>
      <c r="C3009" s="14">
        <v>166.08</v>
      </c>
      <c r="D3009" s="11" t="s">
        <v>5</v>
      </c>
    </row>
    <row r="3010" spans="1:4" x14ac:dyDescent="0.25">
      <c r="A3010" s="4" t="s">
        <v>7661</v>
      </c>
      <c r="B3010" s="3" t="s">
        <v>3013</v>
      </c>
      <c r="C3010" s="14">
        <v>358.74</v>
      </c>
      <c r="D3010" s="11" t="s">
        <v>5</v>
      </c>
    </row>
    <row r="3011" spans="1:4" x14ac:dyDescent="0.25">
      <c r="A3011" s="4" t="s">
        <v>7662</v>
      </c>
      <c r="B3011" s="3" t="s">
        <v>3014</v>
      </c>
      <c r="C3011" s="14">
        <v>318.89</v>
      </c>
      <c r="D3011" s="11" t="s">
        <v>5</v>
      </c>
    </row>
    <row r="3012" spans="1:4" x14ac:dyDescent="0.25">
      <c r="A3012" s="4" t="s">
        <v>7663</v>
      </c>
      <c r="B3012" s="3" t="s">
        <v>3015</v>
      </c>
      <c r="C3012" s="14">
        <v>73.08</v>
      </c>
      <c r="D3012" s="11" t="s">
        <v>5</v>
      </c>
    </row>
    <row r="3013" spans="1:4" x14ac:dyDescent="0.25">
      <c r="A3013" s="4" t="s">
        <v>7664</v>
      </c>
      <c r="B3013" s="3" t="s">
        <v>3016</v>
      </c>
      <c r="C3013" s="14">
        <v>627.79999999999995</v>
      </c>
      <c r="D3013" s="11" t="s">
        <v>5</v>
      </c>
    </row>
    <row r="3014" spans="1:4" x14ac:dyDescent="0.25">
      <c r="A3014" s="4" t="s">
        <v>7665</v>
      </c>
      <c r="B3014" s="3" t="s">
        <v>3017</v>
      </c>
      <c r="C3014" s="14">
        <v>3048.84</v>
      </c>
      <c r="D3014" s="11" t="s">
        <v>5</v>
      </c>
    </row>
    <row r="3015" spans="1:4" x14ac:dyDescent="0.25">
      <c r="A3015" s="4" t="s">
        <v>7666</v>
      </c>
      <c r="B3015" s="3" t="s">
        <v>3018</v>
      </c>
      <c r="C3015" s="14">
        <v>3928.5</v>
      </c>
      <c r="D3015" s="11" t="s">
        <v>5</v>
      </c>
    </row>
    <row r="3016" spans="1:4" x14ac:dyDescent="0.25">
      <c r="A3016" s="4" t="s">
        <v>7667</v>
      </c>
      <c r="B3016" s="3" t="s">
        <v>3019</v>
      </c>
      <c r="C3016" s="14">
        <v>119.6</v>
      </c>
      <c r="D3016" s="11" t="s">
        <v>5</v>
      </c>
    </row>
    <row r="3017" spans="1:4" x14ac:dyDescent="0.25">
      <c r="A3017" s="4" t="s">
        <v>7668</v>
      </c>
      <c r="B3017" s="3" t="s">
        <v>3020</v>
      </c>
      <c r="C3017" s="14">
        <v>9143.2800000000007</v>
      </c>
      <c r="D3017" s="11" t="s">
        <v>5</v>
      </c>
    </row>
    <row r="3018" spans="1:4" x14ac:dyDescent="0.25">
      <c r="A3018" s="4" t="s">
        <v>7669</v>
      </c>
      <c r="B3018" s="3" t="s">
        <v>3021</v>
      </c>
      <c r="C3018" s="14">
        <v>10965.78</v>
      </c>
      <c r="D3018" s="11" t="s">
        <v>5</v>
      </c>
    </row>
    <row r="3019" spans="1:4" x14ac:dyDescent="0.25">
      <c r="A3019" s="4" t="s">
        <v>7670</v>
      </c>
      <c r="B3019" s="3" t="s">
        <v>3022</v>
      </c>
      <c r="C3019" s="14">
        <v>12799.62</v>
      </c>
      <c r="D3019" s="11" t="s">
        <v>5</v>
      </c>
    </row>
    <row r="3020" spans="1:4" x14ac:dyDescent="0.25">
      <c r="A3020" s="4" t="s">
        <v>7671</v>
      </c>
      <c r="B3020" s="3" t="s">
        <v>3023</v>
      </c>
      <c r="C3020" s="14">
        <v>40681.440000000002</v>
      </c>
      <c r="D3020" s="11" t="s">
        <v>5</v>
      </c>
    </row>
    <row r="3021" spans="1:4" x14ac:dyDescent="0.25">
      <c r="A3021" s="4" t="s">
        <v>7672</v>
      </c>
      <c r="B3021" s="3" t="s">
        <v>3024</v>
      </c>
      <c r="C3021" s="14">
        <v>637.76</v>
      </c>
      <c r="D3021" s="11" t="s">
        <v>5</v>
      </c>
    </row>
    <row r="3022" spans="1:4" x14ac:dyDescent="0.25">
      <c r="A3022" s="4" t="s">
        <v>7673</v>
      </c>
      <c r="B3022" s="3" t="s">
        <v>3025</v>
      </c>
      <c r="C3022" s="14">
        <v>1453.22</v>
      </c>
      <c r="D3022" s="11" t="s">
        <v>5</v>
      </c>
    </row>
    <row r="3023" spans="1:4" x14ac:dyDescent="0.25">
      <c r="A3023" s="4" t="s">
        <v>7674</v>
      </c>
      <c r="B3023" s="3" t="s">
        <v>3026</v>
      </c>
      <c r="C3023" s="14">
        <v>1150.97</v>
      </c>
      <c r="D3023" s="11" t="s">
        <v>5</v>
      </c>
    </row>
    <row r="3024" spans="1:4" x14ac:dyDescent="0.25">
      <c r="A3024" s="4" t="s">
        <v>7675</v>
      </c>
      <c r="B3024" s="3" t="s">
        <v>3027</v>
      </c>
      <c r="C3024" s="14">
        <v>602.88</v>
      </c>
      <c r="D3024" s="11" t="s">
        <v>5</v>
      </c>
    </row>
    <row r="3025" spans="1:4" x14ac:dyDescent="0.25">
      <c r="A3025" s="4" t="s">
        <v>7676</v>
      </c>
      <c r="B3025" s="3" t="s">
        <v>3028</v>
      </c>
      <c r="C3025" s="14">
        <v>597.9</v>
      </c>
      <c r="D3025" s="11" t="s">
        <v>5</v>
      </c>
    </row>
    <row r="3026" spans="1:4" x14ac:dyDescent="0.25">
      <c r="A3026" s="4" t="s">
        <v>7677</v>
      </c>
      <c r="B3026" s="3" t="s">
        <v>3029</v>
      </c>
      <c r="C3026" s="14">
        <v>249.11</v>
      </c>
      <c r="D3026" s="11" t="s">
        <v>5</v>
      </c>
    </row>
    <row r="3027" spans="1:4" x14ac:dyDescent="0.25">
      <c r="A3027" s="4" t="s">
        <v>7678</v>
      </c>
      <c r="B3027" s="3" t="s">
        <v>3030</v>
      </c>
      <c r="C3027" s="14">
        <v>617.84</v>
      </c>
      <c r="D3027" s="11" t="s">
        <v>5</v>
      </c>
    </row>
    <row r="3028" spans="1:4" x14ac:dyDescent="0.25">
      <c r="A3028" s="4" t="s">
        <v>7679</v>
      </c>
      <c r="B3028" s="3" t="s">
        <v>3031</v>
      </c>
      <c r="C3028" s="14">
        <v>2301.9299999999998</v>
      </c>
      <c r="D3028" s="11" t="s">
        <v>5</v>
      </c>
    </row>
    <row r="3029" spans="1:4" x14ac:dyDescent="0.25">
      <c r="A3029" s="4" t="s">
        <v>7680</v>
      </c>
      <c r="B3029" s="3" t="s">
        <v>3032</v>
      </c>
      <c r="C3029" s="14">
        <v>345.45</v>
      </c>
      <c r="D3029" s="11" t="s">
        <v>5</v>
      </c>
    </row>
    <row r="3030" spans="1:4" x14ac:dyDescent="0.25">
      <c r="A3030" s="4" t="s">
        <v>7681</v>
      </c>
      <c r="B3030" s="3" t="s">
        <v>3033</v>
      </c>
      <c r="C3030" s="14">
        <v>358.74</v>
      </c>
      <c r="D3030" s="11" t="s">
        <v>5</v>
      </c>
    </row>
    <row r="3031" spans="1:4" x14ac:dyDescent="0.25">
      <c r="A3031" s="4" t="s">
        <v>7682</v>
      </c>
      <c r="B3031" s="3" t="s">
        <v>3034</v>
      </c>
      <c r="C3031" s="14">
        <v>617.84</v>
      </c>
      <c r="D3031" s="11" t="s">
        <v>5</v>
      </c>
    </row>
    <row r="3032" spans="1:4" x14ac:dyDescent="0.25">
      <c r="A3032" s="4" t="s">
        <v>7683</v>
      </c>
      <c r="B3032" s="3" t="s">
        <v>3035</v>
      </c>
      <c r="C3032" s="14">
        <v>617.84</v>
      </c>
      <c r="D3032" s="11" t="s">
        <v>5</v>
      </c>
    </row>
    <row r="3033" spans="1:4" x14ac:dyDescent="0.25">
      <c r="A3033" s="4" t="s">
        <v>7684</v>
      </c>
      <c r="B3033" s="3" t="s">
        <v>3036</v>
      </c>
      <c r="C3033" s="14">
        <v>2950.1</v>
      </c>
      <c r="D3033" s="11" t="s">
        <v>5</v>
      </c>
    </row>
    <row r="3034" spans="1:4" x14ac:dyDescent="0.25">
      <c r="A3034" s="4" t="s">
        <v>7685</v>
      </c>
      <c r="B3034" s="3" t="s">
        <v>3037</v>
      </c>
      <c r="C3034" s="14">
        <v>4161.21</v>
      </c>
      <c r="D3034" s="11" t="s">
        <v>5</v>
      </c>
    </row>
    <row r="3035" spans="1:4" x14ac:dyDescent="0.25">
      <c r="A3035" s="4" t="s">
        <v>7686</v>
      </c>
      <c r="B3035" s="3" t="s">
        <v>3038</v>
      </c>
      <c r="C3035" s="14">
        <v>6176.28</v>
      </c>
      <c r="D3035" s="11" t="s">
        <v>5</v>
      </c>
    </row>
    <row r="3036" spans="1:4" x14ac:dyDescent="0.25">
      <c r="A3036" s="4" t="s">
        <v>7687</v>
      </c>
      <c r="B3036" s="3" t="s">
        <v>3039</v>
      </c>
      <c r="C3036" s="14">
        <v>8329.3799999999992</v>
      </c>
      <c r="D3036" s="11" t="s">
        <v>5</v>
      </c>
    </row>
    <row r="3037" spans="1:4" x14ac:dyDescent="0.25">
      <c r="A3037" s="4" t="s">
        <v>7688</v>
      </c>
      <c r="B3037" s="3" t="s">
        <v>3040</v>
      </c>
      <c r="C3037" s="14">
        <v>12922.74</v>
      </c>
      <c r="D3037" s="11" t="s">
        <v>5</v>
      </c>
    </row>
    <row r="3038" spans="1:4" x14ac:dyDescent="0.25">
      <c r="A3038" s="4" t="s">
        <v>7689</v>
      </c>
      <c r="B3038" s="3" t="s">
        <v>3041</v>
      </c>
      <c r="C3038" s="14">
        <v>20212.28</v>
      </c>
      <c r="D3038" s="11" t="s">
        <v>5</v>
      </c>
    </row>
    <row r="3039" spans="1:4" x14ac:dyDescent="0.25">
      <c r="A3039" s="4" t="s">
        <v>7690</v>
      </c>
      <c r="B3039" s="3" t="s">
        <v>3042</v>
      </c>
      <c r="C3039" s="14">
        <v>34529.360000000001</v>
      </c>
      <c r="D3039" s="11" t="s">
        <v>5</v>
      </c>
    </row>
    <row r="3040" spans="1:4" x14ac:dyDescent="0.25">
      <c r="A3040" s="4" t="s">
        <v>7691</v>
      </c>
      <c r="B3040" s="3" t="s">
        <v>3043</v>
      </c>
      <c r="C3040" s="14">
        <v>45974.7</v>
      </c>
      <c r="D3040" s="11" t="s">
        <v>5</v>
      </c>
    </row>
    <row r="3041" spans="1:4" x14ac:dyDescent="0.25">
      <c r="A3041" s="4" t="s">
        <v>7692</v>
      </c>
      <c r="B3041" s="3" t="s">
        <v>3044</v>
      </c>
      <c r="C3041" s="14">
        <v>67760.33</v>
      </c>
      <c r="D3041" s="11" t="s">
        <v>5</v>
      </c>
    </row>
    <row r="3042" spans="1:4" x14ac:dyDescent="0.25">
      <c r="A3042" s="4" t="s">
        <v>7693</v>
      </c>
      <c r="B3042" s="3" t="s">
        <v>3045</v>
      </c>
      <c r="C3042" s="14">
        <v>4658.09</v>
      </c>
      <c r="D3042" s="11" t="s">
        <v>5</v>
      </c>
    </row>
    <row r="3043" spans="1:4" x14ac:dyDescent="0.25">
      <c r="A3043" s="4" t="s">
        <v>7694</v>
      </c>
      <c r="B3043" s="3" t="s">
        <v>3046</v>
      </c>
      <c r="C3043" s="14">
        <v>6570.38</v>
      </c>
      <c r="D3043" s="11" t="s">
        <v>5</v>
      </c>
    </row>
    <row r="3044" spans="1:4" x14ac:dyDescent="0.25">
      <c r="A3044" s="4" t="s">
        <v>7695</v>
      </c>
      <c r="B3044" s="3" t="s">
        <v>3047</v>
      </c>
      <c r="C3044" s="14">
        <v>9751.17</v>
      </c>
      <c r="D3044" s="11" t="s">
        <v>5</v>
      </c>
    </row>
    <row r="3045" spans="1:4" x14ac:dyDescent="0.25">
      <c r="A3045" s="4" t="s">
        <v>7696</v>
      </c>
      <c r="B3045" s="3" t="s">
        <v>3048</v>
      </c>
      <c r="C3045" s="14">
        <v>13151.66</v>
      </c>
      <c r="D3045" s="11" t="s">
        <v>5</v>
      </c>
    </row>
    <row r="3046" spans="1:4" x14ac:dyDescent="0.25">
      <c r="A3046" s="4" t="s">
        <v>7697</v>
      </c>
      <c r="B3046" s="3" t="s">
        <v>3049</v>
      </c>
      <c r="C3046" s="14">
        <v>20404.34</v>
      </c>
      <c r="D3046" s="11" t="s">
        <v>5</v>
      </c>
    </row>
    <row r="3047" spans="1:4" x14ac:dyDescent="0.25">
      <c r="A3047" s="4" t="s">
        <v>7698</v>
      </c>
      <c r="B3047" s="3" t="s">
        <v>3050</v>
      </c>
      <c r="C3047" s="14">
        <v>31914.12</v>
      </c>
      <c r="D3047" s="11" t="s">
        <v>5</v>
      </c>
    </row>
    <row r="3048" spans="1:4" x14ac:dyDescent="0.25">
      <c r="A3048" s="4" t="s">
        <v>7699</v>
      </c>
      <c r="B3048" s="3" t="s">
        <v>3051</v>
      </c>
      <c r="C3048" s="14">
        <v>54520.07</v>
      </c>
      <c r="D3048" s="11" t="s">
        <v>5</v>
      </c>
    </row>
    <row r="3049" spans="1:4" x14ac:dyDescent="0.25">
      <c r="A3049" s="4" t="s">
        <v>7700</v>
      </c>
      <c r="B3049" s="3" t="s">
        <v>3052</v>
      </c>
      <c r="C3049" s="14">
        <v>72591.63</v>
      </c>
      <c r="D3049" s="11" t="s">
        <v>5</v>
      </c>
    </row>
    <row r="3050" spans="1:4" x14ac:dyDescent="0.25">
      <c r="A3050" s="4" t="s">
        <v>7701</v>
      </c>
      <c r="B3050" s="3" t="s">
        <v>3053</v>
      </c>
      <c r="C3050" s="14">
        <v>106990.02</v>
      </c>
      <c r="D3050" s="11" t="s">
        <v>5</v>
      </c>
    </row>
    <row r="3051" spans="1:4" x14ac:dyDescent="0.25">
      <c r="A3051" s="4" t="s">
        <v>7702</v>
      </c>
      <c r="B3051" s="3" t="s">
        <v>3054</v>
      </c>
      <c r="C3051" s="14">
        <v>2747.25</v>
      </c>
      <c r="D3051" s="11" t="s">
        <v>5</v>
      </c>
    </row>
    <row r="3052" spans="1:4" x14ac:dyDescent="0.25">
      <c r="A3052" s="4" t="s">
        <v>7703</v>
      </c>
      <c r="B3052" s="3" t="s">
        <v>3055</v>
      </c>
      <c r="C3052" s="14">
        <v>3646.94</v>
      </c>
      <c r="D3052" s="11" t="s">
        <v>5</v>
      </c>
    </row>
    <row r="3053" spans="1:4" x14ac:dyDescent="0.25">
      <c r="A3053" s="4" t="s">
        <v>7704</v>
      </c>
      <c r="B3053" s="3" t="s">
        <v>3056</v>
      </c>
      <c r="C3053" s="14">
        <v>5462.39</v>
      </c>
      <c r="D3053" s="11" t="s">
        <v>5</v>
      </c>
    </row>
    <row r="3054" spans="1:4" x14ac:dyDescent="0.25">
      <c r="A3054" s="4" t="s">
        <v>7705</v>
      </c>
      <c r="B3054" s="3" t="s">
        <v>3057</v>
      </c>
      <c r="C3054" s="14">
        <v>7377.39</v>
      </c>
      <c r="D3054" s="11" t="s">
        <v>5</v>
      </c>
    </row>
    <row r="3055" spans="1:4" x14ac:dyDescent="0.25">
      <c r="A3055" s="4" t="s">
        <v>7706</v>
      </c>
      <c r="B3055" s="3" t="s">
        <v>3058</v>
      </c>
      <c r="C3055" s="14">
        <v>11619.84</v>
      </c>
      <c r="D3055" s="11" t="s">
        <v>5</v>
      </c>
    </row>
    <row r="3056" spans="1:4" x14ac:dyDescent="0.25">
      <c r="A3056" s="4" t="s">
        <v>7707</v>
      </c>
      <c r="B3056" s="3" t="s">
        <v>3059</v>
      </c>
      <c r="C3056" s="14">
        <v>16022.15</v>
      </c>
      <c r="D3056" s="11" t="s">
        <v>5</v>
      </c>
    </row>
    <row r="3057" spans="1:4" x14ac:dyDescent="0.25">
      <c r="A3057" s="4" t="s">
        <v>7708</v>
      </c>
      <c r="B3057" s="3" t="s">
        <v>3060</v>
      </c>
      <c r="C3057" s="14">
        <v>4337.7299999999996</v>
      </c>
      <c r="D3057" s="11" t="s">
        <v>5</v>
      </c>
    </row>
    <row r="3058" spans="1:4" x14ac:dyDescent="0.25">
      <c r="A3058" s="4" t="s">
        <v>7709</v>
      </c>
      <c r="B3058" s="3" t="s">
        <v>3061</v>
      </c>
      <c r="C3058" s="14">
        <v>5758.29</v>
      </c>
      <c r="D3058" s="11" t="s">
        <v>5</v>
      </c>
    </row>
    <row r="3059" spans="1:4" x14ac:dyDescent="0.25">
      <c r="A3059" s="4" t="s">
        <v>7710</v>
      </c>
      <c r="B3059" s="3" t="s">
        <v>3062</v>
      </c>
      <c r="C3059" s="14">
        <v>8624.85</v>
      </c>
      <c r="D3059" s="11" t="s">
        <v>5</v>
      </c>
    </row>
    <row r="3060" spans="1:4" x14ac:dyDescent="0.25">
      <c r="A3060" s="4" t="s">
        <v>7711</v>
      </c>
      <c r="B3060" s="3" t="s">
        <v>3063</v>
      </c>
      <c r="C3060" s="14">
        <v>11648.54</v>
      </c>
      <c r="D3060" s="11" t="s">
        <v>5</v>
      </c>
    </row>
    <row r="3061" spans="1:4" x14ac:dyDescent="0.25">
      <c r="A3061" s="4" t="s">
        <v>7712</v>
      </c>
      <c r="B3061" s="3" t="s">
        <v>3064</v>
      </c>
      <c r="C3061" s="14">
        <v>18347.09</v>
      </c>
      <c r="D3061" s="11" t="s">
        <v>5</v>
      </c>
    </row>
    <row r="3062" spans="1:4" x14ac:dyDescent="0.25">
      <c r="A3062" s="4" t="s">
        <v>7713</v>
      </c>
      <c r="B3062" s="3" t="s">
        <v>3065</v>
      </c>
      <c r="C3062" s="14">
        <v>25298.12</v>
      </c>
      <c r="D3062" s="11" t="s">
        <v>5</v>
      </c>
    </row>
    <row r="3063" spans="1:4" x14ac:dyDescent="0.25">
      <c r="A3063" s="4" t="s">
        <v>7714</v>
      </c>
      <c r="B3063" s="3" t="s">
        <v>3066</v>
      </c>
      <c r="C3063" s="14">
        <v>1400.12</v>
      </c>
      <c r="D3063" s="11" t="s">
        <v>5</v>
      </c>
    </row>
    <row r="3064" spans="1:4" x14ac:dyDescent="0.25">
      <c r="A3064" s="4" t="s">
        <v>7715</v>
      </c>
      <c r="B3064" s="3" t="s">
        <v>3067</v>
      </c>
      <c r="C3064" s="14">
        <v>3122.82</v>
      </c>
      <c r="D3064" s="11" t="s">
        <v>5</v>
      </c>
    </row>
    <row r="3065" spans="1:4" x14ac:dyDescent="0.25">
      <c r="A3065" s="4" t="s">
        <v>7716</v>
      </c>
      <c r="B3065" s="3" t="s">
        <v>3068</v>
      </c>
      <c r="C3065" s="14">
        <v>2621.69</v>
      </c>
      <c r="D3065" s="11" t="s">
        <v>5</v>
      </c>
    </row>
    <row r="3066" spans="1:4" x14ac:dyDescent="0.25">
      <c r="A3066" s="4" t="s">
        <v>7717</v>
      </c>
      <c r="B3066" s="3" t="s">
        <v>3069</v>
      </c>
      <c r="C3066" s="14">
        <v>699.72</v>
      </c>
      <c r="D3066" s="11" t="s">
        <v>5</v>
      </c>
    </row>
    <row r="3067" spans="1:4" x14ac:dyDescent="0.25">
      <c r="A3067" s="4" t="s">
        <v>7718</v>
      </c>
      <c r="B3067" s="3" t="s">
        <v>3070</v>
      </c>
      <c r="C3067" s="14">
        <v>4694.6400000000003</v>
      </c>
      <c r="D3067" s="11" t="s">
        <v>5</v>
      </c>
    </row>
    <row r="3068" spans="1:4" x14ac:dyDescent="0.25">
      <c r="A3068" s="4" t="s">
        <v>7719</v>
      </c>
      <c r="B3068" s="3" t="s">
        <v>3071</v>
      </c>
      <c r="C3068" s="14">
        <v>808.52</v>
      </c>
      <c r="D3068" s="11" t="s">
        <v>5</v>
      </c>
    </row>
    <row r="3069" spans="1:4" x14ac:dyDescent="0.25">
      <c r="A3069" s="4" t="s">
        <v>7720</v>
      </c>
      <c r="B3069" s="3" t="s">
        <v>3072</v>
      </c>
      <c r="C3069" s="14">
        <v>32341.68</v>
      </c>
      <c r="D3069" s="11" t="s">
        <v>5</v>
      </c>
    </row>
    <row r="3070" spans="1:4" x14ac:dyDescent="0.25">
      <c r="A3070" s="4" t="s">
        <v>7721</v>
      </c>
      <c r="B3070" s="3" t="s">
        <v>3073</v>
      </c>
      <c r="C3070" s="14">
        <v>35149.14</v>
      </c>
      <c r="D3070" s="11" t="s">
        <v>5</v>
      </c>
    </row>
    <row r="3071" spans="1:4" x14ac:dyDescent="0.25">
      <c r="A3071" s="4" t="s">
        <v>7722</v>
      </c>
      <c r="B3071" s="3" t="s">
        <v>3074</v>
      </c>
      <c r="C3071" s="14">
        <v>48301.919999999998</v>
      </c>
      <c r="D3071" s="11" t="s">
        <v>5</v>
      </c>
    </row>
    <row r="3072" spans="1:4" x14ac:dyDescent="0.25">
      <c r="A3072" s="4" t="s">
        <v>7723</v>
      </c>
      <c r="B3072" s="3" t="s">
        <v>3075</v>
      </c>
      <c r="C3072" s="14">
        <v>1342.01</v>
      </c>
      <c r="D3072" s="11" t="s">
        <v>5</v>
      </c>
    </row>
    <row r="3073" spans="1:4" x14ac:dyDescent="0.25">
      <c r="A3073" s="4" t="s">
        <v>7724</v>
      </c>
      <c r="B3073" s="3" t="s">
        <v>3076</v>
      </c>
      <c r="C3073" s="14">
        <v>632.25</v>
      </c>
      <c r="D3073" s="11" t="s">
        <v>5</v>
      </c>
    </row>
    <row r="3074" spans="1:4" x14ac:dyDescent="0.25">
      <c r="A3074" s="4" t="s">
        <v>7725</v>
      </c>
      <c r="B3074" s="3" t="s">
        <v>3077</v>
      </c>
      <c r="C3074" s="14">
        <v>811.68</v>
      </c>
      <c r="D3074" s="11" t="s">
        <v>5</v>
      </c>
    </row>
    <row r="3075" spans="1:4" x14ac:dyDescent="0.25">
      <c r="A3075" s="4" t="s">
        <v>7726</v>
      </c>
      <c r="B3075" s="3" t="s">
        <v>3078</v>
      </c>
      <c r="C3075" s="14">
        <v>10155.290000000001</v>
      </c>
      <c r="D3075" s="11" t="s">
        <v>5</v>
      </c>
    </row>
    <row r="3076" spans="1:4" x14ac:dyDescent="0.25">
      <c r="A3076" s="4" t="s">
        <v>7727</v>
      </c>
      <c r="B3076" s="3" t="s">
        <v>3079</v>
      </c>
      <c r="C3076" s="14">
        <v>12708.15</v>
      </c>
      <c r="D3076" s="11" t="s">
        <v>5</v>
      </c>
    </row>
    <row r="3077" spans="1:4" x14ac:dyDescent="0.25">
      <c r="A3077" s="4" t="s">
        <v>7728</v>
      </c>
      <c r="B3077" s="3" t="s">
        <v>3080</v>
      </c>
      <c r="C3077" s="14">
        <v>4047.96</v>
      </c>
      <c r="D3077" s="11" t="s">
        <v>5</v>
      </c>
    </row>
    <row r="3078" spans="1:4" x14ac:dyDescent="0.25">
      <c r="A3078" s="4" t="s">
        <v>7729</v>
      </c>
      <c r="B3078" s="3" t="s">
        <v>3081</v>
      </c>
      <c r="C3078" s="14">
        <v>8170.56</v>
      </c>
      <c r="D3078" s="11" t="s">
        <v>5</v>
      </c>
    </row>
    <row r="3079" spans="1:4" x14ac:dyDescent="0.25">
      <c r="A3079" s="4" t="s">
        <v>7730</v>
      </c>
      <c r="B3079" s="3" t="s">
        <v>3082</v>
      </c>
      <c r="C3079" s="14">
        <v>4337.87</v>
      </c>
      <c r="D3079" s="11" t="s">
        <v>5</v>
      </c>
    </row>
    <row r="3080" spans="1:4" x14ac:dyDescent="0.25">
      <c r="A3080" s="4" t="s">
        <v>7731</v>
      </c>
      <c r="B3080" s="3" t="s">
        <v>3083</v>
      </c>
      <c r="C3080" s="14">
        <v>12061.46</v>
      </c>
      <c r="D3080" s="11" t="s">
        <v>5</v>
      </c>
    </row>
    <row r="3081" spans="1:4" x14ac:dyDescent="0.25">
      <c r="A3081" s="4" t="s">
        <v>7732</v>
      </c>
      <c r="B3081" s="3" t="s">
        <v>3084</v>
      </c>
      <c r="C3081" s="14">
        <v>12221.43</v>
      </c>
      <c r="D3081" s="11" t="s">
        <v>5</v>
      </c>
    </row>
    <row r="3082" spans="1:4" x14ac:dyDescent="0.25">
      <c r="A3082" s="4" t="s">
        <v>7733</v>
      </c>
      <c r="B3082" s="3" t="s">
        <v>3085</v>
      </c>
      <c r="C3082" s="14">
        <v>405.53</v>
      </c>
      <c r="D3082" s="11" t="s">
        <v>5</v>
      </c>
    </row>
    <row r="3083" spans="1:4" x14ac:dyDescent="0.25">
      <c r="A3083" s="4" t="s">
        <v>7734</v>
      </c>
      <c r="B3083" s="3" t="s">
        <v>3086</v>
      </c>
      <c r="C3083" s="14">
        <v>336.14</v>
      </c>
      <c r="D3083" s="11" t="s">
        <v>5</v>
      </c>
    </row>
    <row r="3084" spans="1:4" x14ac:dyDescent="0.25">
      <c r="A3084" s="4" t="s">
        <v>7735</v>
      </c>
      <c r="B3084" s="3" t="s">
        <v>3087</v>
      </c>
      <c r="C3084" s="14">
        <v>336.14</v>
      </c>
      <c r="D3084" s="11" t="s">
        <v>5</v>
      </c>
    </row>
    <row r="3085" spans="1:4" x14ac:dyDescent="0.25">
      <c r="A3085" s="4" t="s">
        <v>7736</v>
      </c>
      <c r="B3085" s="3" t="s">
        <v>3088</v>
      </c>
      <c r="C3085" s="14">
        <v>2475.81</v>
      </c>
      <c r="D3085" s="11" t="s">
        <v>5</v>
      </c>
    </row>
    <row r="3086" spans="1:4" x14ac:dyDescent="0.25">
      <c r="A3086" s="4" t="s">
        <v>7737</v>
      </c>
      <c r="B3086" s="3" t="s">
        <v>3089</v>
      </c>
      <c r="C3086" s="14">
        <v>1212.56</v>
      </c>
      <c r="D3086" s="11" t="s">
        <v>5</v>
      </c>
    </row>
    <row r="3087" spans="1:4" x14ac:dyDescent="0.25">
      <c r="A3087" s="4" t="s">
        <v>7738</v>
      </c>
      <c r="B3087" s="3" t="s">
        <v>3090</v>
      </c>
      <c r="C3087" s="14">
        <v>1364</v>
      </c>
      <c r="D3087" s="11" t="s">
        <v>5</v>
      </c>
    </row>
    <row r="3088" spans="1:4" x14ac:dyDescent="0.25">
      <c r="A3088" s="4" t="s">
        <v>7739</v>
      </c>
      <c r="B3088" s="3" t="s">
        <v>3091</v>
      </c>
      <c r="C3088" s="14">
        <v>1622.73</v>
      </c>
      <c r="D3088" s="11" t="s">
        <v>5</v>
      </c>
    </row>
    <row r="3089" spans="1:4" x14ac:dyDescent="0.25">
      <c r="A3089" s="4" t="s">
        <v>7740</v>
      </c>
      <c r="B3089" s="3" t="s">
        <v>3092</v>
      </c>
      <c r="C3089" s="14">
        <v>451.91</v>
      </c>
      <c r="D3089" s="11" t="s">
        <v>5</v>
      </c>
    </row>
    <row r="3090" spans="1:4" x14ac:dyDescent="0.25">
      <c r="A3090" s="4" t="s">
        <v>7741</v>
      </c>
      <c r="B3090" s="3" t="s">
        <v>3093</v>
      </c>
      <c r="C3090" s="14">
        <v>10902.14</v>
      </c>
      <c r="D3090" s="11" t="s">
        <v>5</v>
      </c>
    </row>
    <row r="3091" spans="1:4" x14ac:dyDescent="0.25">
      <c r="A3091" s="4" t="s">
        <v>7742</v>
      </c>
      <c r="B3091" s="3" t="s">
        <v>3094</v>
      </c>
      <c r="C3091" s="14">
        <v>4764.7700000000004</v>
      </c>
      <c r="D3091" s="11" t="s">
        <v>5</v>
      </c>
    </row>
    <row r="3092" spans="1:4" x14ac:dyDescent="0.25">
      <c r="A3092" s="4" t="s">
        <v>7743</v>
      </c>
      <c r="B3092" s="3" t="s">
        <v>3095</v>
      </c>
      <c r="C3092" s="14">
        <v>5154.38</v>
      </c>
      <c r="D3092" s="11" t="s">
        <v>5</v>
      </c>
    </row>
    <row r="3093" spans="1:4" x14ac:dyDescent="0.25">
      <c r="A3093" s="4" t="s">
        <v>7744</v>
      </c>
      <c r="B3093" s="3" t="s">
        <v>3096</v>
      </c>
      <c r="C3093" s="14">
        <v>5366.91</v>
      </c>
      <c r="D3093" s="11" t="s">
        <v>5</v>
      </c>
    </row>
    <row r="3094" spans="1:4" x14ac:dyDescent="0.25">
      <c r="A3094" s="4" t="s">
        <v>7745</v>
      </c>
      <c r="B3094" s="3" t="s">
        <v>3097</v>
      </c>
      <c r="C3094" s="14">
        <v>6740.39</v>
      </c>
      <c r="D3094" s="11" t="s">
        <v>5</v>
      </c>
    </row>
    <row r="3095" spans="1:4" x14ac:dyDescent="0.25">
      <c r="A3095" s="4" t="s">
        <v>7746</v>
      </c>
      <c r="B3095" s="3" t="s">
        <v>3098</v>
      </c>
      <c r="C3095" s="14">
        <v>6060.09</v>
      </c>
      <c r="D3095" s="11" t="s">
        <v>5</v>
      </c>
    </row>
    <row r="3096" spans="1:4" x14ac:dyDescent="0.25">
      <c r="A3096" s="4" t="s">
        <v>7747</v>
      </c>
      <c r="B3096" s="3" t="s">
        <v>3099</v>
      </c>
      <c r="C3096" s="14">
        <v>4665.5</v>
      </c>
      <c r="D3096" s="11" t="s">
        <v>5</v>
      </c>
    </row>
    <row r="3097" spans="1:4" x14ac:dyDescent="0.25">
      <c r="A3097" s="4" t="s">
        <v>7748</v>
      </c>
      <c r="B3097" s="3" t="s">
        <v>3099</v>
      </c>
      <c r="C3097" s="14">
        <v>4820.45</v>
      </c>
      <c r="D3097" s="11" t="s">
        <v>5</v>
      </c>
    </row>
    <row r="3098" spans="1:4" x14ac:dyDescent="0.25">
      <c r="A3098" s="4" t="s">
        <v>7749</v>
      </c>
      <c r="B3098" s="3" t="s">
        <v>3100</v>
      </c>
      <c r="C3098" s="14">
        <v>762.98</v>
      </c>
      <c r="D3098" s="11" t="s">
        <v>5</v>
      </c>
    </row>
    <row r="3099" spans="1:4" x14ac:dyDescent="0.25">
      <c r="A3099" s="4" t="s">
        <v>7750</v>
      </c>
      <c r="B3099" s="3" t="s">
        <v>3101</v>
      </c>
      <c r="C3099" s="14">
        <v>1737.09</v>
      </c>
      <c r="D3099" s="11" t="s">
        <v>5</v>
      </c>
    </row>
    <row r="3100" spans="1:4" x14ac:dyDescent="0.25">
      <c r="A3100" s="4" t="s">
        <v>7751</v>
      </c>
      <c r="B3100" s="3" t="s">
        <v>3102</v>
      </c>
      <c r="C3100" s="14">
        <v>1814.09</v>
      </c>
      <c r="D3100" s="11" t="s">
        <v>5</v>
      </c>
    </row>
    <row r="3101" spans="1:4" x14ac:dyDescent="0.25">
      <c r="A3101" s="4" t="s">
        <v>7752</v>
      </c>
      <c r="B3101" s="3" t="s">
        <v>3103</v>
      </c>
      <c r="C3101" s="14">
        <v>4630.04</v>
      </c>
      <c r="D3101" s="11" t="s">
        <v>5</v>
      </c>
    </row>
    <row r="3102" spans="1:4" x14ac:dyDescent="0.25">
      <c r="A3102" s="4" t="s">
        <v>7753</v>
      </c>
      <c r="B3102" s="3" t="s">
        <v>3104</v>
      </c>
      <c r="C3102" s="14">
        <v>3581.15</v>
      </c>
      <c r="D3102" s="11" t="s">
        <v>5</v>
      </c>
    </row>
    <row r="3103" spans="1:4" x14ac:dyDescent="0.25">
      <c r="A3103" s="4" t="s">
        <v>7754</v>
      </c>
      <c r="B3103" s="3" t="s">
        <v>3105</v>
      </c>
      <c r="C3103" s="14">
        <v>669.93</v>
      </c>
      <c r="D3103" s="11" t="s">
        <v>5</v>
      </c>
    </row>
    <row r="3104" spans="1:4" x14ac:dyDescent="0.25">
      <c r="A3104" s="4" t="s">
        <v>7755</v>
      </c>
      <c r="B3104" s="3" t="s">
        <v>3106</v>
      </c>
      <c r="C3104" s="14">
        <v>488.3</v>
      </c>
      <c r="D3104" s="11" t="s">
        <v>5</v>
      </c>
    </row>
    <row r="3105" spans="1:4" x14ac:dyDescent="0.25">
      <c r="A3105" s="4" t="s">
        <v>7756</v>
      </c>
      <c r="B3105" s="3" t="s">
        <v>3107</v>
      </c>
      <c r="C3105" s="14">
        <v>853.05</v>
      </c>
      <c r="D3105" s="11" t="s">
        <v>5</v>
      </c>
    </row>
    <row r="3106" spans="1:4" x14ac:dyDescent="0.25">
      <c r="A3106" s="4" t="s">
        <v>7757</v>
      </c>
      <c r="B3106" s="3" t="s">
        <v>3108</v>
      </c>
      <c r="C3106" s="14">
        <v>908.07</v>
      </c>
      <c r="D3106" s="11" t="s">
        <v>5</v>
      </c>
    </row>
    <row r="3107" spans="1:4" x14ac:dyDescent="0.25">
      <c r="A3107" s="4" t="s">
        <v>7758</v>
      </c>
      <c r="B3107" s="3" t="s">
        <v>3109</v>
      </c>
      <c r="C3107" s="14">
        <v>1818.62</v>
      </c>
      <c r="D3107" s="11" t="s">
        <v>5</v>
      </c>
    </row>
    <row r="3108" spans="1:4" x14ac:dyDescent="0.25">
      <c r="A3108" s="4" t="s">
        <v>7759</v>
      </c>
      <c r="B3108" s="3" t="s">
        <v>3110</v>
      </c>
      <c r="C3108" s="14">
        <v>14391.57</v>
      </c>
      <c r="D3108" s="11" t="s">
        <v>5</v>
      </c>
    </row>
    <row r="3109" spans="1:4" x14ac:dyDescent="0.25">
      <c r="A3109" s="4" t="s">
        <v>7760</v>
      </c>
      <c r="B3109" s="3" t="s">
        <v>3111</v>
      </c>
      <c r="C3109" s="14">
        <v>597.35</v>
      </c>
      <c r="D3109" s="11" t="s">
        <v>5</v>
      </c>
    </row>
    <row r="3110" spans="1:4" x14ac:dyDescent="0.25">
      <c r="A3110" s="4" t="s">
        <v>7761</v>
      </c>
      <c r="B3110" s="3" t="s">
        <v>3112</v>
      </c>
      <c r="C3110" s="14">
        <v>1015.61</v>
      </c>
      <c r="D3110" s="11" t="s">
        <v>5</v>
      </c>
    </row>
    <row r="3111" spans="1:4" x14ac:dyDescent="0.25">
      <c r="A3111" s="4" t="s">
        <v>7762</v>
      </c>
      <c r="B3111" s="3" t="s">
        <v>3113</v>
      </c>
      <c r="C3111" s="14">
        <v>1060.8800000000001</v>
      </c>
      <c r="D3111" s="11" t="s">
        <v>5</v>
      </c>
    </row>
    <row r="3112" spans="1:4" x14ac:dyDescent="0.25">
      <c r="A3112" s="4" t="s">
        <v>7763</v>
      </c>
      <c r="B3112" s="3" t="s">
        <v>3114</v>
      </c>
      <c r="C3112" s="14">
        <v>2120.96</v>
      </c>
      <c r="D3112" s="11" t="s">
        <v>5</v>
      </c>
    </row>
    <row r="3113" spans="1:4" x14ac:dyDescent="0.25">
      <c r="A3113" s="4" t="s">
        <v>7764</v>
      </c>
      <c r="B3113" s="3" t="s">
        <v>3115</v>
      </c>
      <c r="C3113" s="14">
        <v>2423.75</v>
      </c>
      <c r="D3113" s="11" t="s">
        <v>5</v>
      </c>
    </row>
    <row r="3114" spans="1:4" x14ac:dyDescent="0.25">
      <c r="A3114" s="4" t="s">
        <v>7765</v>
      </c>
      <c r="B3114" s="3" t="s">
        <v>3116</v>
      </c>
      <c r="C3114" s="14">
        <v>2423.75</v>
      </c>
      <c r="D3114" s="11" t="s">
        <v>5</v>
      </c>
    </row>
    <row r="3115" spans="1:4" x14ac:dyDescent="0.25">
      <c r="A3115" s="4" t="s">
        <v>7766</v>
      </c>
      <c r="B3115" s="3" t="s">
        <v>3117</v>
      </c>
      <c r="C3115" s="14">
        <v>3181.52</v>
      </c>
      <c r="D3115" s="11" t="s">
        <v>5</v>
      </c>
    </row>
    <row r="3116" spans="1:4" x14ac:dyDescent="0.25">
      <c r="A3116" s="4" t="s">
        <v>7767</v>
      </c>
      <c r="B3116" s="3" t="s">
        <v>3118</v>
      </c>
      <c r="C3116" s="14">
        <v>545.69000000000005</v>
      </c>
      <c r="D3116" s="11" t="s">
        <v>5</v>
      </c>
    </row>
    <row r="3117" spans="1:4" x14ac:dyDescent="0.25">
      <c r="A3117" s="4" t="s">
        <v>7768</v>
      </c>
      <c r="B3117" s="3" t="s">
        <v>3119</v>
      </c>
      <c r="C3117" s="14">
        <v>783.72</v>
      </c>
      <c r="D3117" s="11" t="s">
        <v>5</v>
      </c>
    </row>
    <row r="3118" spans="1:4" x14ac:dyDescent="0.25">
      <c r="A3118" s="4" t="s">
        <v>7769</v>
      </c>
      <c r="B3118" s="3" t="s">
        <v>3120</v>
      </c>
      <c r="C3118" s="14">
        <v>828.36</v>
      </c>
      <c r="D3118" s="11" t="s">
        <v>5</v>
      </c>
    </row>
    <row r="3119" spans="1:4" x14ac:dyDescent="0.25">
      <c r="A3119" s="4" t="s">
        <v>7770</v>
      </c>
      <c r="B3119" s="3" t="s">
        <v>3121</v>
      </c>
      <c r="C3119" s="14">
        <v>1667.04</v>
      </c>
      <c r="D3119" s="11" t="s">
        <v>5</v>
      </c>
    </row>
    <row r="3120" spans="1:4" x14ac:dyDescent="0.25">
      <c r="A3120" s="4" t="s">
        <v>7771</v>
      </c>
      <c r="B3120" s="3" t="s">
        <v>3122</v>
      </c>
      <c r="C3120" s="14">
        <v>13635.24</v>
      </c>
      <c r="D3120" s="11" t="s">
        <v>5</v>
      </c>
    </row>
    <row r="3121" spans="1:4" x14ac:dyDescent="0.25">
      <c r="A3121" s="4" t="s">
        <v>7772</v>
      </c>
      <c r="B3121" s="3" t="s">
        <v>3123</v>
      </c>
      <c r="C3121" s="14">
        <v>581.82000000000005</v>
      </c>
      <c r="D3121" s="11" t="s">
        <v>5</v>
      </c>
    </row>
    <row r="3122" spans="1:4" x14ac:dyDescent="0.25">
      <c r="A3122" s="4" t="s">
        <v>7773</v>
      </c>
      <c r="B3122" s="3" t="s">
        <v>3124</v>
      </c>
      <c r="C3122" s="14">
        <v>799.67</v>
      </c>
      <c r="D3122" s="11" t="s">
        <v>5</v>
      </c>
    </row>
    <row r="3123" spans="1:4" x14ac:dyDescent="0.25">
      <c r="A3123" s="4" t="s">
        <v>7774</v>
      </c>
      <c r="B3123" s="3" t="s">
        <v>3125</v>
      </c>
      <c r="C3123" s="14">
        <v>1094.72</v>
      </c>
      <c r="D3123" s="11" t="s">
        <v>5</v>
      </c>
    </row>
    <row r="3124" spans="1:4" x14ac:dyDescent="0.25">
      <c r="A3124" s="4" t="s">
        <v>7775</v>
      </c>
      <c r="B3124" s="3" t="s">
        <v>3126</v>
      </c>
      <c r="C3124" s="14">
        <v>2045.97</v>
      </c>
      <c r="D3124" s="11" t="s">
        <v>5</v>
      </c>
    </row>
    <row r="3125" spans="1:4" x14ac:dyDescent="0.25">
      <c r="A3125" s="4" t="s">
        <v>7776</v>
      </c>
      <c r="B3125" s="3" t="s">
        <v>3127</v>
      </c>
      <c r="C3125" s="14">
        <v>5301.69</v>
      </c>
      <c r="D3125" s="11" t="s">
        <v>5</v>
      </c>
    </row>
    <row r="3126" spans="1:4" x14ac:dyDescent="0.25">
      <c r="A3126" s="4" t="s">
        <v>7777</v>
      </c>
      <c r="B3126" s="3" t="s">
        <v>3128</v>
      </c>
      <c r="C3126" s="14">
        <v>474.53</v>
      </c>
      <c r="D3126" s="11" t="s">
        <v>5</v>
      </c>
    </row>
    <row r="3127" spans="1:4" x14ac:dyDescent="0.25">
      <c r="A3127" s="4" t="s">
        <v>7778</v>
      </c>
      <c r="B3127" s="3" t="s">
        <v>3129</v>
      </c>
      <c r="C3127" s="14">
        <v>679.17</v>
      </c>
      <c r="D3127" s="11" t="s">
        <v>5</v>
      </c>
    </row>
    <row r="3128" spans="1:4" x14ac:dyDescent="0.25">
      <c r="A3128" s="4" t="s">
        <v>7779</v>
      </c>
      <c r="B3128" s="3" t="s">
        <v>3130</v>
      </c>
      <c r="C3128" s="14">
        <v>1140.96</v>
      </c>
      <c r="D3128" s="11" t="s">
        <v>5</v>
      </c>
    </row>
    <row r="3129" spans="1:4" x14ac:dyDescent="0.25">
      <c r="A3129" s="4" t="s">
        <v>7780</v>
      </c>
      <c r="B3129" s="3" t="s">
        <v>3131</v>
      </c>
      <c r="C3129" s="14">
        <v>2454.71</v>
      </c>
      <c r="D3129" s="11" t="s">
        <v>5</v>
      </c>
    </row>
    <row r="3130" spans="1:4" x14ac:dyDescent="0.25">
      <c r="A3130" s="4" t="s">
        <v>7781</v>
      </c>
      <c r="B3130" s="3" t="s">
        <v>3132</v>
      </c>
      <c r="C3130" s="14">
        <v>513.27</v>
      </c>
      <c r="D3130" s="11" t="s">
        <v>5</v>
      </c>
    </row>
    <row r="3131" spans="1:4" x14ac:dyDescent="0.25">
      <c r="A3131" s="4" t="s">
        <v>7782</v>
      </c>
      <c r="B3131" s="3" t="s">
        <v>3133</v>
      </c>
      <c r="C3131" s="14">
        <v>679.17</v>
      </c>
      <c r="D3131" s="11" t="s">
        <v>5</v>
      </c>
    </row>
    <row r="3132" spans="1:4" x14ac:dyDescent="0.25">
      <c r="A3132" s="4" t="s">
        <v>7783</v>
      </c>
      <c r="B3132" s="3" t="s">
        <v>3134</v>
      </c>
      <c r="C3132" s="14">
        <v>1204.8499999999999</v>
      </c>
      <c r="D3132" s="11" t="s">
        <v>5</v>
      </c>
    </row>
    <row r="3133" spans="1:4" x14ac:dyDescent="0.25">
      <c r="A3133" s="4" t="s">
        <v>7784</v>
      </c>
      <c r="B3133" s="3" t="s">
        <v>3135</v>
      </c>
      <c r="C3133" s="14">
        <v>2666.55</v>
      </c>
      <c r="D3133" s="11" t="s">
        <v>5</v>
      </c>
    </row>
    <row r="3134" spans="1:4" x14ac:dyDescent="0.25">
      <c r="A3134" s="4" t="s">
        <v>7785</v>
      </c>
      <c r="B3134" s="3" t="s">
        <v>3136</v>
      </c>
      <c r="C3134" s="14">
        <v>602.69000000000005</v>
      </c>
      <c r="D3134" s="11" t="s">
        <v>5</v>
      </c>
    </row>
    <row r="3135" spans="1:4" x14ac:dyDescent="0.25">
      <c r="A3135" s="4" t="s">
        <v>7786</v>
      </c>
      <c r="B3135" s="3" t="s">
        <v>3137</v>
      </c>
      <c r="C3135" s="14">
        <v>839.94</v>
      </c>
      <c r="D3135" s="11" t="s">
        <v>5</v>
      </c>
    </row>
    <row r="3136" spans="1:4" x14ac:dyDescent="0.25">
      <c r="A3136" s="4" t="s">
        <v>7787</v>
      </c>
      <c r="B3136" s="3" t="s">
        <v>3138</v>
      </c>
      <c r="C3136" s="14">
        <v>1345.77</v>
      </c>
      <c r="D3136" s="11" t="s">
        <v>5</v>
      </c>
    </row>
    <row r="3137" spans="1:4" x14ac:dyDescent="0.25">
      <c r="A3137" s="4" t="s">
        <v>7788</v>
      </c>
      <c r="B3137" s="3" t="s">
        <v>3139</v>
      </c>
      <c r="C3137" s="14">
        <v>635.29999999999995</v>
      </c>
      <c r="D3137" s="11" t="s">
        <v>5</v>
      </c>
    </row>
    <row r="3138" spans="1:4" x14ac:dyDescent="0.25">
      <c r="A3138" s="4" t="s">
        <v>7789</v>
      </c>
      <c r="B3138" s="3" t="s">
        <v>3140</v>
      </c>
      <c r="C3138" s="14">
        <v>839.94</v>
      </c>
      <c r="D3138" s="11" t="s">
        <v>5</v>
      </c>
    </row>
    <row r="3139" spans="1:4" x14ac:dyDescent="0.25">
      <c r="A3139" s="4" t="s">
        <v>7790</v>
      </c>
      <c r="B3139" s="3" t="s">
        <v>3141</v>
      </c>
      <c r="C3139" s="14">
        <v>794</v>
      </c>
      <c r="D3139" s="11" t="s">
        <v>5</v>
      </c>
    </row>
    <row r="3140" spans="1:4" x14ac:dyDescent="0.25">
      <c r="A3140" s="4" t="s">
        <v>7791</v>
      </c>
      <c r="B3140" s="3" t="s">
        <v>3142</v>
      </c>
      <c r="C3140" s="14">
        <v>780.11</v>
      </c>
      <c r="D3140" s="11" t="s">
        <v>5</v>
      </c>
    </row>
    <row r="3141" spans="1:4" x14ac:dyDescent="0.25">
      <c r="A3141" s="4" t="s">
        <v>7792</v>
      </c>
      <c r="B3141" s="3" t="s">
        <v>3143</v>
      </c>
      <c r="C3141" s="14">
        <v>1236.8</v>
      </c>
      <c r="D3141" s="11" t="s">
        <v>5</v>
      </c>
    </row>
    <row r="3142" spans="1:4" x14ac:dyDescent="0.25">
      <c r="A3142" s="4" t="s">
        <v>7793</v>
      </c>
      <c r="B3142" s="3" t="s">
        <v>3144</v>
      </c>
      <c r="C3142" s="14">
        <v>1411.1</v>
      </c>
      <c r="D3142" s="11" t="s">
        <v>5</v>
      </c>
    </row>
    <row r="3143" spans="1:4" x14ac:dyDescent="0.25">
      <c r="A3143" s="4" t="s">
        <v>7794</v>
      </c>
      <c r="B3143" s="3" t="s">
        <v>3145</v>
      </c>
      <c r="C3143" s="14">
        <v>2389.89</v>
      </c>
      <c r="D3143" s="11" t="s">
        <v>5</v>
      </c>
    </row>
    <row r="3144" spans="1:4" x14ac:dyDescent="0.25">
      <c r="A3144" s="4" t="s">
        <v>7795</v>
      </c>
      <c r="B3144" s="3" t="s">
        <v>3146</v>
      </c>
      <c r="C3144" s="14">
        <v>637.16</v>
      </c>
      <c r="D3144" s="11" t="s">
        <v>5</v>
      </c>
    </row>
    <row r="3145" spans="1:4" x14ac:dyDescent="0.25">
      <c r="A3145" s="4" t="s">
        <v>7796</v>
      </c>
      <c r="B3145" s="3" t="s">
        <v>3147</v>
      </c>
      <c r="C3145" s="14">
        <v>682.55</v>
      </c>
      <c r="D3145" s="11" t="s">
        <v>5</v>
      </c>
    </row>
    <row r="3146" spans="1:4" x14ac:dyDescent="0.25">
      <c r="A3146" s="4" t="s">
        <v>7797</v>
      </c>
      <c r="B3146" s="3" t="s">
        <v>3148</v>
      </c>
      <c r="C3146" s="14">
        <v>903.81</v>
      </c>
      <c r="D3146" s="11" t="s">
        <v>5</v>
      </c>
    </row>
    <row r="3147" spans="1:4" x14ac:dyDescent="0.25">
      <c r="A3147" s="4" t="s">
        <v>7798</v>
      </c>
      <c r="B3147" s="3" t="s">
        <v>3149</v>
      </c>
      <c r="C3147" s="14">
        <v>1667.04</v>
      </c>
      <c r="D3147" s="11" t="s">
        <v>5</v>
      </c>
    </row>
    <row r="3148" spans="1:4" x14ac:dyDescent="0.25">
      <c r="A3148" s="4" t="s">
        <v>7799</v>
      </c>
      <c r="B3148" s="3" t="s">
        <v>3150</v>
      </c>
      <c r="C3148" s="14">
        <v>9847.11</v>
      </c>
      <c r="D3148" s="11" t="s">
        <v>5</v>
      </c>
    </row>
    <row r="3149" spans="1:4" x14ac:dyDescent="0.25">
      <c r="A3149" s="4" t="s">
        <v>7800</v>
      </c>
      <c r="B3149" s="3" t="s">
        <v>3151</v>
      </c>
      <c r="C3149" s="14">
        <v>637.16</v>
      </c>
      <c r="D3149" s="11" t="s">
        <v>5</v>
      </c>
    </row>
    <row r="3150" spans="1:4" x14ac:dyDescent="0.25">
      <c r="A3150" s="4" t="s">
        <v>7801</v>
      </c>
      <c r="B3150" s="3" t="s">
        <v>3152</v>
      </c>
      <c r="C3150" s="14">
        <v>682.55</v>
      </c>
      <c r="D3150" s="11" t="s">
        <v>5</v>
      </c>
    </row>
    <row r="3151" spans="1:4" x14ac:dyDescent="0.25">
      <c r="A3151" s="4" t="s">
        <v>7802</v>
      </c>
      <c r="B3151" s="3" t="s">
        <v>3153</v>
      </c>
      <c r="C3151" s="14">
        <v>903.81</v>
      </c>
      <c r="D3151" s="11" t="s">
        <v>5</v>
      </c>
    </row>
    <row r="3152" spans="1:4" x14ac:dyDescent="0.25">
      <c r="A3152" s="4" t="s">
        <v>7803</v>
      </c>
      <c r="B3152" s="3" t="s">
        <v>3154</v>
      </c>
      <c r="C3152" s="14">
        <v>1667.04</v>
      </c>
      <c r="D3152" s="11" t="s">
        <v>5</v>
      </c>
    </row>
    <row r="3153" spans="1:4" x14ac:dyDescent="0.25">
      <c r="A3153" s="4" t="s">
        <v>7804</v>
      </c>
      <c r="B3153" s="3" t="s">
        <v>3155</v>
      </c>
      <c r="C3153" s="14">
        <v>9847.11</v>
      </c>
      <c r="D3153" s="11" t="s">
        <v>5</v>
      </c>
    </row>
    <row r="3154" spans="1:4" x14ac:dyDescent="0.25">
      <c r="A3154" s="4" t="s">
        <v>7805</v>
      </c>
      <c r="B3154" s="3" t="s">
        <v>3156</v>
      </c>
      <c r="C3154" s="14">
        <v>2918</v>
      </c>
      <c r="D3154" s="11" t="s">
        <v>5</v>
      </c>
    </row>
    <row r="3155" spans="1:4" x14ac:dyDescent="0.25">
      <c r="A3155" s="4" t="s">
        <v>7806</v>
      </c>
      <c r="B3155" s="3" t="s">
        <v>3157</v>
      </c>
      <c r="C3155" s="14">
        <v>3403.58</v>
      </c>
      <c r="D3155" s="11" t="s">
        <v>5</v>
      </c>
    </row>
    <row r="3156" spans="1:4" x14ac:dyDescent="0.25">
      <c r="A3156" s="4" t="s">
        <v>7807</v>
      </c>
      <c r="B3156" s="3" t="s">
        <v>3158</v>
      </c>
      <c r="C3156" s="14">
        <v>763.82</v>
      </c>
      <c r="D3156" s="11" t="s">
        <v>5</v>
      </c>
    </row>
    <row r="3157" spans="1:4" x14ac:dyDescent="0.25">
      <c r="A3157" s="4" t="s">
        <v>7808</v>
      </c>
      <c r="B3157" s="3" t="s">
        <v>3159</v>
      </c>
      <c r="C3157" s="14">
        <v>1012.43</v>
      </c>
      <c r="D3157" s="11" t="s">
        <v>5</v>
      </c>
    </row>
    <row r="3158" spans="1:4" x14ac:dyDescent="0.25">
      <c r="A3158" s="4" t="s">
        <v>7809</v>
      </c>
      <c r="B3158" s="3" t="s">
        <v>3160</v>
      </c>
      <c r="C3158" s="14">
        <v>1795.31</v>
      </c>
      <c r="D3158" s="11" t="s">
        <v>5</v>
      </c>
    </row>
    <row r="3159" spans="1:4" x14ac:dyDescent="0.25">
      <c r="A3159" s="4" t="s">
        <v>7810</v>
      </c>
      <c r="B3159" s="3" t="s">
        <v>3161</v>
      </c>
      <c r="C3159" s="14">
        <v>4597.3999999999996</v>
      </c>
      <c r="D3159" s="11" t="s">
        <v>5</v>
      </c>
    </row>
    <row r="3160" spans="1:4" x14ac:dyDescent="0.25">
      <c r="A3160" s="4" t="s">
        <v>7811</v>
      </c>
      <c r="B3160" s="3" t="s">
        <v>3162</v>
      </c>
      <c r="C3160" s="14">
        <v>12313.07</v>
      </c>
      <c r="D3160" s="11" t="s">
        <v>5</v>
      </c>
    </row>
    <row r="3161" spans="1:4" x14ac:dyDescent="0.25">
      <c r="A3161" s="4" t="s">
        <v>7812</v>
      </c>
      <c r="B3161" s="3" t="s">
        <v>3163</v>
      </c>
      <c r="C3161" s="14">
        <v>22387.83</v>
      </c>
      <c r="D3161" s="11" t="s">
        <v>5</v>
      </c>
    </row>
    <row r="3162" spans="1:4" x14ac:dyDescent="0.25">
      <c r="A3162" s="4" t="s">
        <v>7813</v>
      </c>
      <c r="B3162" s="3" t="s">
        <v>3164</v>
      </c>
      <c r="C3162" s="14">
        <v>4078.2</v>
      </c>
      <c r="D3162" s="11" t="s">
        <v>5</v>
      </c>
    </row>
    <row r="3163" spans="1:4" x14ac:dyDescent="0.25">
      <c r="A3163" s="4" t="s">
        <v>7814</v>
      </c>
      <c r="B3163" s="3" t="s">
        <v>3165</v>
      </c>
      <c r="C3163" s="14">
        <v>782.31</v>
      </c>
      <c r="D3163" s="11" t="s">
        <v>5</v>
      </c>
    </row>
    <row r="3164" spans="1:4" x14ac:dyDescent="0.25">
      <c r="A3164" s="4" t="s">
        <v>7815</v>
      </c>
      <c r="B3164" s="3" t="s">
        <v>3166</v>
      </c>
      <c r="C3164" s="14">
        <v>859.08</v>
      </c>
      <c r="D3164" s="11" t="s">
        <v>5</v>
      </c>
    </row>
    <row r="3165" spans="1:4" x14ac:dyDescent="0.25">
      <c r="A3165" s="4" t="s">
        <v>7816</v>
      </c>
      <c r="B3165" s="3" t="s">
        <v>3167</v>
      </c>
      <c r="C3165" s="14">
        <v>2538.3200000000002</v>
      </c>
      <c r="D3165" s="11" t="s">
        <v>5</v>
      </c>
    </row>
    <row r="3166" spans="1:4" x14ac:dyDescent="0.25">
      <c r="A3166" s="4" t="s">
        <v>7817</v>
      </c>
      <c r="B3166" s="3" t="s">
        <v>3168</v>
      </c>
      <c r="C3166" s="14">
        <v>1140.96</v>
      </c>
      <c r="D3166" s="11" t="s">
        <v>5</v>
      </c>
    </row>
    <row r="3167" spans="1:4" x14ac:dyDescent="0.25">
      <c r="A3167" s="4" t="s">
        <v>7818</v>
      </c>
      <c r="B3167" s="3" t="s">
        <v>3169</v>
      </c>
      <c r="C3167" s="14">
        <v>3734.46</v>
      </c>
      <c r="D3167" s="11" t="s">
        <v>5</v>
      </c>
    </row>
    <row r="3168" spans="1:4" x14ac:dyDescent="0.25">
      <c r="A3168" s="4" t="s">
        <v>7819</v>
      </c>
      <c r="B3168" s="3" t="s">
        <v>3170</v>
      </c>
      <c r="C3168" s="14">
        <v>5409.98</v>
      </c>
      <c r="D3168" s="11" t="s">
        <v>5</v>
      </c>
    </row>
    <row r="3169" spans="1:4" x14ac:dyDescent="0.25">
      <c r="A3169" s="4" t="s">
        <v>7820</v>
      </c>
      <c r="B3169" s="3" t="s">
        <v>3171</v>
      </c>
      <c r="C3169" s="14">
        <v>6246.2</v>
      </c>
      <c r="D3169" s="11" t="s">
        <v>5</v>
      </c>
    </row>
    <row r="3170" spans="1:4" x14ac:dyDescent="0.25">
      <c r="A3170" s="4" t="s">
        <v>7821</v>
      </c>
      <c r="B3170" s="3" t="s">
        <v>3172</v>
      </c>
      <c r="C3170" s="14">
        <v>4436.42</v>
      </c>
      <c r="D3170" s="11" t="s">
        <v>5</v>
      </c>
    </row>
    <row r="3171" spans="1:4" x14ac:dyDescent="0.25">
      <c r="A3171" s="4" t="s">
        <v>7822</v>
      </c>
      <c r="B3171" s="3" t="s">
        <v>3173</v>
      </c>
      <c r="C3171" s="14">
        <v>6246.2</v>
      </c>
      <c r="D3171" s="11" t="s">
        <v>5</v>
      </c>
    </row>
    <row r="3172" spans="1:4" x14ac:dyDescent="0.25">
      <c r="A3172" s="4" t="s">
        <v>7823</v>
      </c>
      <c r="B3172" s="3" t="s">
        <v>3174</v>
      </c>
      <c r="C3172" s="14">
        <v>6817.28</v>
      </c>
      <c r="D3172" s="11" t="s">
        <v>5</v>
      </c>
    </row>
    <row r="3173" spans="1:4" x14ac:dyDescent="0.25">
      <c r="A3173" s="4" t="s">
        <v>7824</v>
      </c>
      <c r="B3173" s="3" t="s">
        <v>3175</v>
      </c>
      <c r="C3173" s="14">
        <v>2756</v>
      </c>
      <c r="D3173" s="11" t="s">
        <v>5</v>
      </c>
    </row>
    <row r="3174" spans="1:4" x14ac:dyDescent="0.25">
      <c r="A3174" s="4" t="s">
        <v>7825</v>
      </c>
      <c r="B3174" s="3" t="s">
        <v>3176</v>
      </c>
      <c r="C3174" s="14">
        <v>4094.37</v>
      </c>
      <c r="D3174" s="11" t="s">
        <v>5</v>
      </c>
    </row>
    <row r="3175" spans="1:4" x14ac:dyDescent="0.25">
      <c r="A3175" s="4" t="s">
        <v>7826</v>
      </c>
      <c r="B3175" s="3" t="s">
        <v>3177</v>
      </c>
      <c r="C3175" s="14">
        <v>6582.42</v>
      </c>
      <c r="D3175" s="11" t="s">
        <v>5</v>
      </c>
    </row>
    <row r="3176" spans="1:4" x14ac:dyDescent="0.25">
      <c r="A3176" s="4" t="s">
        <v>7827</v>
      </c>
      <c r="B3176" s="3" t="s">
        <v>3178</v>
      </c>
      <c r="C3176" s="14">
        <v>6181.23</v>
      </c>
      <c r="D3176" s="11" t="s">
        <v>5</v>
      </c>
    </row>
    <row r="3177" spans="1:4" x14ac:dyDescent="0.25">
      <c r="A3177" s="4" t="s">
        <v>7828</v>
      </c>
      <c r="B3177" s="3" t="s">
        <v>3179</v>
      </c>
      <c r="C3177" s="14">
        <v>9665.33</v>
      </c>
      <c r="D3177" s="11" t="s">
        <v>5</v>
      </c>
    </row>
    <row r="3178" spans="1:4" x14ac:dyDescent="0.25">
      <c r="A3178" s="4" t="s">
        <v>7829</v>
      </c>
      <c r="B3178" s="3" t="s">
        <v>3180</v>
      </c>
      <c r="C3178" s="14">
        <v>8665.34</v>
      </c>
      <c r="D3178" s="11" t="s">
        <v>5</v>
      </c>
    </row>
    <row r="3179" spans="1:4" x14ac:dyDescent="0.25">
      <c r="A3179" s="4" t="s">
        <v>7830</v>
      </c>
      <c r="B3179" s="3" t="s">
        <v>3181</v>
      </c>
      <c r="C3179" s="14">
        <v>7621.86</v>
      </c>
      <c r="D3179" s="11" t="s">
        <v>5</v>
      </c>
    </row>
    <row r="3180" spans="1:4" x14ac:dyDescent="0.25">
      <c r="A3180" s="4" t="s">
        <v>7831</v>
      </c>
      <c r="B3180" s="3" t="s">
        <v>3182</v>
      </c>
      <c r="C3180" s="14">
        <v>6789.33</v>
      </c>
      <c r="D3180" s="11" t="s">
        <v>5</v>
      </c>
    </row>
    <row r="3181" spans="1:4" x14ac:dyDescent="0.25">
      <c r="A3181" s="4" t="s">
        <v>7832</v>
      </c>
      <c r="B3181" s="3" t="s">
        <v>3183</v>
      </c>
      <c r="C3181" s="14">
        <v>5329.4</v>
      </c>
      <c r="D3181" s="11" t="s">
        <v>5</v>
      </c>
    </row>
    <row r="3182" spans="1:4" x14ac:dyDescent="0.25">
      <c r="A3182" s="4" t="s">
        <v>7833</v>
      </c>
      <c r="B3182" s="3" t="s">
        <v>3184</v>
      </c>
      <c r="C3182" s="14">
        <v>33747.440000000002</v>
      </c>
      <c r="D3182" s="11" t="s">
        <v>5</v>
      </c>
    </row>
    <row r="3183" spans="1:4" x14ac:dyDescent="0.25">
      <c r="A3183" s="4" t="s">
        <v>7834</v>
      </c>
      <c r="B3183" s="3" t="s">
        <v>3185</v>
      </c>
      <c r="C3183" s="14">
        <v>3363</v>
      </c>
      <c r="D3183" s="11" t="s">
        <v>5</v>
      </c>
    </row>
    <row r="3184" spans="1:4" x14ac:dyDescent="0.25">
      <c r="A3184" s="4" t="s">
        <v>7835</v>
      </c>
      <c r="B3184" s="3" t="s">
        <v>3186</v>
      </c>
      <c r="C3184" s="14">
        <v>3363</v>
      </c>
      <c r="D3184" s="11" t="s">
        <v>5</v>
      </c>
    </row>
    <row r="3185" spans="1:4" x14ac:dyDescent="0.25">
      <c r="A3185" s="4" t="s">
        <v>7836</v>
      </c>
      <c r="B3185" s="3" t="s">
        <v>3187</v>
      </c>
      <c r="C3185" s="14">
        <v>3291.15</v>
      </c>
      <c r="D3185" s="11" t="s">
        <v>5</v>
      </c>
    </row>
    <row r="3186" spans="1:4" x14ac:dyDescent="0.25">
      <c r="A3186" s="4" t="s">
        <v>7837</v>
      </c>
      <c r="B3186" s="3" t="s">
        <v>3188</v>
      </c>
      <c r="C3186" s="14">
        <v>2818.28</v>
      </c>
      <c r="D3186" s="11" t="s">
        <v>5</v>
      </c>
    </row>
    <row r="3187" spans="1:4" x14ac:dyDescent="0.25">
      <c r="A3187" s="4" t="s">
        <v>7838</v>
      </c>
      <c r="B3187" s="3" t="s">
        <v>3189</v>
      </c>
      <c r="C3187" s="14">
        <v>1576.59</v>
      </c>
      <c r="D3187" s="11" t="s">
        <v>5</v>
      </c>
    </row>
    <row r="3188" spans="1:4" x14ac:dyDescent="0.25">
      <c r="A3188" s="4" t="s">
        <v>7839</v>
      </c>
      <c r="B3188" s="3" t="s">
        <v>3190</v>
      </c>
      <c r="C3188" s="14">
        <v>1542.72</v>
      </c>
      <c r="D3188" s="11" t="s">
        <v>5</v>
      </c>
    </row>
    <row r="3189" spans="1:4" x14ac:dyDescent="0.25">
      <c r="A3189" s="4" t="s">
        <v>7840</v>
      </c>
      <c r="B3189" s="3" t="s">
        <v>3191</v>
      </c>
      <c r="C3189" s="14">
        <v>4561.25</v>
      </c>
      <c r="D3189" s="11" t="s">
        <v>5</v>
      </c>
    </row>
    <row r="3190" spans="1:4" x14ac:dyDescent="0.25">
      <c r="A3190" s="4" t="s">
        <v>7841</v>
      </c>
      <c r="B3190" s="3" t="s">
        <v>3192</v>
      </c>
      <c r="C3190" s="14">
        <v>4561.25</v>
      </c>
      <c r="D3190" s="11" t="s">
        <v>5</v>
      </c>
    </row>
    <row r="3191" spans="1:4" x14ac:dyDescent="0.25">
      <c r="A3191" s="4" t="s">
        <v>7842</v>
      </c>
      <c r="B3191" s="3" t="s">
        <v>3193</v>
      </c>
      <c r="C3191" s="14">
        <v>1263.9000000000001</v>
      </c>
      <c r="D3191" s="11" t="s">
        <v>5</v>
      </c>
    </row>
    <row r="3192" spans="1:4" x14ac:dyDescent="0.25">
      <c r="A3192" s="4" t="s">
        <v>7843</v>
      </c>
      <c r="B3192" s="3" t="s">
        <v>3194</v>
      </c>
      <c r="C3192" s="14">
        <v>1263.9000000000001</v>
      </c>
      <c r="D3192" s="11" t="s">
        <v>5</v>
      </c>
    </row>
    <row r="3193" spans="1:4" x14ac:dyDescent="0.25">
      <c r="A3193" s="4" t="s">
        <v>7844</v>
      </c>
      <c r="B3193" s="3" t="s">
        <v>3195</v>
      </c>
      <c r="C3193" s="14">
        <v>3788.15</v>
      </c>
      <c r="D3193" s="11" t="s">
        <v>5</v>
      </c>
    </row>
    <row r="3194" spans="1:4" x14ac:dyDescent="0.25">
      <c r="A3194" s="4" t="s">
        <v>7845</v>
      </c>
      <c r="B3194" s="3" t="s">
        <v>3196</v>
      </c>
      <c r="C3194" s="14">
        <v>3181.52</v>
      </c>
      <c r="D3194" s="11" t="s">
        <v>5</v>
      </c>
    </row>
    <row r="3195" spans="1:4" x14ac:dyDescent="0.25">
      <c r="A3195" s="4" t="s">
        <v>7846</v>
      </c>
      <c r="B3195" s="3" t="s">
        <v>3197</v>
      </c>
      <c r="C3195" s="14">
        <v>3550.73</v>
      </c>
      <c r="D3195" s="11" t="s">
        <v>5</v>
      </c>
    </row>
    <row r="3196" spans="1:4" x14ac:dyDescent="0.25">
      <c r="A3196" s="4" t="s">
        <v>7847</v>
      </c>
      <c r="B3196" s="3" t="s">
        <v>3198</v>
      </c>
      <c r="C3196" s="14">
        <v>3608.93</v>
      </c>
      <c r="D3196" s="11" t="s">
        <v>5</v>
      </c>
    </row>
    <row r="3197" spans="1:4" x14ac:dyDescent="0.25">
      <c r="A3197" s="4" t="s">
        <v>7848</v>
      </c>
      <c r="B3197" s="3" t="s">
        <v>3199</v>
      </c>
      <c r="C3197" s="14">
        <v>2726.54</v>
      </c>
      <c r="D3197" s="11" t="s">
        <v>5</v>
      </c>
    </row>
    <row r="3198" spans="1:4" x14ac:dyDescent="0.25">
      <c r="A3198" s="4" t="s">
        <v>7849</v>
      </c>
      <c r="B3198" s="3" t="s">
        <v>3200</v>
      </c>
      <c r="C3198" s="14">
        <v>3499.34</v>
      </c>
      <c r="D3198" s="11" t="s">
        <v>5</v>
      </c>
    </row>
    <row r="3199" spans="1:4" x14ac:dyDescent="0.25">
      <c r="A3199" s="4" t="s">
        <v>7850</v>
      </c>
      <c r="B3199" s="3" t="s">
        <v>3201</v>
      </c>
      <c r="C3199" s="14">
        <v>19451.150000000001</v>
      </c>
      <c r="D3199" s="11" t="s">
        <v>5</v>
      </c>
    </row>
    <row r="3200" spans="1:4" x14ac:dyDescent="0.25">
      <c r="A3200" s="4" t="s">
        <v>7851</v>
      </c>
      <c r="B3200" s="3" t="s">
        <v>3202</v>
      </c>
      <c r="C3200" s="14">
        <v>17020.71</v>
      </c>
      <c r="D3200" s="11" t="s">
        <v>5</v>
      </c>
    </row>
    <row r="3201" spans="1:4" x14ac:dyDescent="0.25">
      <c r="A3201" s="4" t="s">
        <v>7852</v>
      </c>
      <c r="B3201" s="3" t="s">
        <v>3203</v>
      </c>
      <c r="C3201" s="14">
        <v>3544.68</v>
      </c>
      <c r="D3201" s="11" t="s">
        <v>5</v>
      </c>
    </row>
    <row r="3202" spans="1:4" x14ac:dyDescent="0.25">
      <c r="A3202" s="4" t="s">
        <v>7853</v>
      </c>
      <c r="B3202" s="3" t="s">
        <v>3204</v>
      </c>
      <c r="C3202" s="14">
        <v>2531.52</v>
      </c>
      <c r="D3202" s="11" t="s">
        <v>5</v>
      </c>
    </row>
    <row r="3203" spans="1:4" x14ac:dyDescent="0.25">
      <c r="A3203" s="4" t="s">
        <v>7854</v>
      </c>
      <c r="B3203" s="3" t="s">
        <v>3205</v>
      </c>
      <c r="C3203" s="14">
        <v>1009.83</v>
      </c>
      <c r="D3203" s="11" t="s">
        <v>5</v>
      </c>
    </row>
    <row r="3204" spans="1:4" x14ac:dyDescent="0.25">
      <c r="A3204" s="4" t="s">
        <v>7855</v>
      </c>
      <c r="B3204" s="3" t="s">
        <v>3206</v>
      </c>
      <c r="C3204" s="14">
        <v>1234.4000000000001</v>
      </c>
      <c r="D3204" s="11" t="s">
        <v>5</v>
      </c>
    </row>
    <row r="3205" spans="1:4" x14ac:dyDescent="0.25">
      <c r="A3205" s="4" t="s">
        <v>7856</v>
      </c>
      <c r="B3205" s="3" t="s">
        <v>3207</v>
      </c>
      <c r="C3205" s="14">
        <v>4487.49</v>
      </c>
      <c r="D3205" s="11" t="s">
        <v>5</v>
      </c>
    </row>
    <row r="3206" spans="1:4" x14ac:dyDescent="0.25">
      <c r="A3206" s="4" t="s">
        <v>7857</v>
      </c>
      <c r="B3206" s="3" t="s">
        <v>3208</v>
      </c>
      <c r="C3206" s="14">
        <v>5621.28</v>
      </c>
      <c r="D3206" s="11" t="s">
        <v>5</v>
      </c>
    </row>
    <row r="3207" spans="1:4" x14ac:dyDescent="0.25">
      <c r="A3207" s="4" t="s">
        <v>7858</v>
      </c>
      <c r="B3207" s="3" t="s">
        <v>3209</v>
      </c>
      <c r="C3207" s="14">
        <v>3993.08</v>
      </c>
      <c r="D3207" s="11" t="s">
        <v>5</v>
      </c>
    </row>
    <row r="3208" spans="1:4" x14ac:dyDescent="0.25">
      <c r="A3208" s="4" t="s">
        <v>7859</v>
      </c>
      <c r="B3208" s="3" t="s">
        <v>3210</v>
      </c>
      <c r="C3208" s="14">
        <v>2660.81</v>
      </c>
      <c r="D3208" s="11" t="s">
        <v>5</v>
      </c>
    </row>
    <row r="3209" spans="1:4" x14ac:dyDescent="0.25">
      <c r="A3209" s="4" t="s">
        <v>7860</v>
      </c>
      <c r="B3209" s="3" t="s">
        <v>3211</v>
      </c>
      <c r="C3209" s="14">
        <v>1459.34</v>
      </c>
      <c r="D3209" s="11" t="s">
        <v>5</v>
      </c>
    </row>
    <row r="3210" spans="1:4" x14ac:dyDescent="0.25">
      <c r="A3210" s="4" t="s">
        <v>7861</v>
      </c>
      <c r="B3210" s="3" t="s">
        <v>3212</v>
      </c>
      <c r="C3210" s="14">
        <v>1954.58</v>
      </c>
      <c r="D3210" s="11" t="s">
        <v>5</v>
      </c>
    </row>
    <row r="3211" spans="1:4" x14ac:dyDescent="0.25">
      <c r="A3211" s="4" t="s">
        <v>7862</v>
      </c>
      <c r="B3211" s="3" t="s">
        <v>3213</v>
      </c>
      <c r="C3211" s="14">
        <v>405.48</v>
      </c>
      <c r="D3211" s="11" t="s">
        <v>5</v>
      </c>
    </row>
    <row r="3212" spans="1:4" x14ac:dyDescent="0.25">
      <c r="A3212" s="4" t="s">
        <v>7863</v>
      </c>
      <c r="B3212" s="3" t="s">
        <v>3214</v>
      </c>
      <c r="C3212" s="14">
        <v>2247.75</v>
      </c>
      <c r="D3212" s="11" t="s">
        <v>5</v>
      </c>
    </row>
    <row r="3213" spans="1:4" x14ac:dyDescent="0.25">
      <c r="A3213" s="4" t="s">
        <v>7864</v>
      </c>
      <c r="B3213" s="3" t="s">
        <v>3215</v>
      </c>
      <c r="C3213" s="14">
        <v>1179.8699999999999</v>
      </c>
      <c r="D3213" s="11" t="s">
        <v>5</v>
      </c>
    </row>
    <row r="3214" spans="1:4" x14ac:dyDescent="0.25">
      <c r="A3214" s="4" t="s">
        <v>7865</v>
      </c>
      <c r="B3214" s="3" t="s">
        <v>3216</v>
      </c>
      <c r="C3214" s="14">
        <v>1179.8699999999999</v>
      </c>
      <c r="D3214" s="11" t="s">
        <v>5</v>
      </c>
    </row>
    <row r="3215" spans="1:4" x14ac:dyDescent="0.25">
      <c r="A3215" s="4" t="s">
        <v>7866</v>
      </c>
      <c r="B3215" s="3" t="s">
        <v>3217</v>
      </c>
      <c r="C3215" s="14">
        <v>1212.56</v>
      </c>
      <c r="D3215" s="11" t="s">
        <v>5</v>
      </c>
    </row>
    <row r="3216" spans="1:4" x14ac:dyDescent="0.25">
      <c r="A3216" s="4" t="s">
        <v>7867</v>
      </c>
      <c r="B3216" s="3" t="s">
        <v>3218</v>
      </c>
      <c r="C3216" s="14">
        <v>1818.62</v>
      </c>
      <c r="D3216" s="11" t="s">
        <v>5</v>
      </c>
    </row>
    <row r="3217" spans="1:4" x14ac:dyDescent="0.25">
      <c r="A3217" s="4" t="s">
        <v>7868</v>
      </c>
      <c r="B3217" s="3" t="s">
        <v>3219</v>
      </c>
      <c r="C3217" s="14">
        <v>7210.49</v>
      </c>
      <c r="D3217" s="11" t="s">
        <v>5</v>
      </c>
    </row>
    <row r="3218" spans="1:4" x14ac:dyDescent="0.25">
      <c r="A3218" s="4" t="s">
        <v>7869</v>
      </c>
      <c r="B3218" s="3" t="s">
        <v>3220</v>
      </c>
      <c r="C3218" s="14">
        <v>7279.92</v>
      </c>
      <c r="D3218" s="11" t="s">
        <v>5</v>
      </c>
    </row>
    <row r="3219" spans="1:4" x14ac:dyDescent="0.25">
      <c r="A3219" s="4" t="s">
        <v>7870</v>
      </c>
      <c r="B3219" s="3" t="s">
        <v>3221</v>
      </c>
      <c r="C3219" s="14">
        <v>7390.17</v>
      </c>
      <c r="D3219" s="11" t="s">
        <v>5</v>
      </c>
    </row>
    <row r="3220" spans="1:4" x14ac:dyDescent="0.25">
      <c r="A3220" s="4" t="s">
        <v>7871</v>
      </c>
      <c r="B3220" s="3" t="s">
        <v>3222</v>
      </c>
      <c r="C3220" s="14">
        <v>1969.76</v>
      </c>
      <c r="D3220" s="11" t="s">
        <v>5</v>
      </c>
    </row>
    <row r="3221" spans="1:4" x14ac:dyDescent="0.25">
      <c r="A3221" s="4" t="s">
        <v>7872</v>
      </c>
      <c r="B3221" s="3" t="s">
        <v>3223</v>
      </c>
      <c r="C3221" s="14">
        <v>29216.63</v>
      </c>
      <c r="D3221" s="11" t="s">
        <v>5</v>
      </c>
    </row>
    <row r="3222" spans="1:4" x14ac:dyDescent="0.25">
      <c r="A3222" s="4" t="s">
        <v>7873</v>
      </c>
      <c r="B3222" s="3" t="s">
        <v>3224</v>
      </c>
      <c r="C3222" s="14">
        <v>5576.66</v>
      </c>
      <c r="D3222" s="11" t="s">
        <v>5</v>
      </c>
    </row>
    <row r="3223" spans="1:4" x14ac:dyDescent="0.25">
      <c r="A3223" s="4" t="s">
        <v>7874</v>
      </c>
      <c r="B3223" s="3" t="s">
        <v>3225</v>
      </c>
      <c r="C3223" s="14">
        <v>3291.15</v>
      </c>
      <c r="D3223" s="11" t="s">
        <v>5</v>
      </c>
    </row>
    <row r="3224" spans="1:4" x14ac:dyDescent="0.25">
      <c r="A3224" s="4" t="s">
        <v>7875</v>
      </c>
      <c r="B3224" s="3" t="s">
        <v>3226</v>
      </c>
      <c r="C3224" s="14">
        <v>6817.28</v>
      </c>
      <c r="D3224" s="11" t="s">
        <v>5</v>
      </c>
    </row>
    <row r="3225" spans="1:4" x14ac:dyDescent="0.25">
      <c r="A3225" s="4" t="s">
        <v>7876</v>
      </c>
      <c r="B3225" s="3" t="s">
        <v>3227</v>
      </c>
      <c r="C3225" s="14">
        <v>5604.83</v>
      </c>
      <c r="D3225" s="11" t="s">
        <v>5</v>
      </c>
    </row>
    <row r="3226" spans="1:4" x14ac:dyDescent="0.25">
      <c r="A3226" s="4" t="s">
        <v>7877</v>
      </c>
      <c r="B3226" s="3" t="s">
        <v>3228</v>
      </c>
      <c r="C3226" s="14">
        <v>2840.49</v>
      </c>
      <c r="D3226" s="11" t="s">
        <v>5</v>
      </c>
    </row>
    <row r="3227" spans="1:4" x14ac:dyDescent="0.25">
      <c r="A3227" s="4" t="s">
        <v>7878</v>
      </c>
      <c r="B3227" s="3" t="s">
        <v>3229</v>
      </c>
      <c r="C3227" s="14">
        <v>1440.5</v>
      </c>
      <c r="D3227" s="11" t="s">
        <v>5</v>
      </c>
    </row>
    <row r="3228" spans="1:4" x14ac:dyDescent="0.25">
      <c r="A3228" s="4" t="s">
        <v>7879</v>
      </c>
      <c r="B3228" s="3" t="s">
        <v>3230</v>
      </c>
      <c r="C3228" s="14">
        <v>12876.45</v>
      </c>
      <c r="D3228" s="11" t="s">
        <v>5</v>
      </c>
    </row>
    <row r="3229" spans="1:4" x14ac:dyDescent="0.25">
      <c r="A3229" s="4" t="s">
        <v>7880</v>
      </c>
      <c r="B3229" s="3" t="s">
        <v>3231</v>
      </c>
      <c r="C3229" s="14">
        <v>545.69000000000005</v>
      </c>
      <c r="D3229" s="11" t="s">
        <v>5</v>
      </c>
    </row>
    <row r="3230" spans="1:4" x14ac:dyDescent="0.25">
      <c r="A3230" s="4" t="s">
        <v>7881</v>
      </c>
      <c r="B3230" s="3" t="s">
        <v>3232</v>
      </c>
      <c r="C3230" s="14">
        <v>789.65</v>
      </c>
      <c r="D3230" s="11" t="s">
        <v>5</v>
      </c>
    </row>
    <row r="3231" spans="1:4" x14ac:dyDescent="0.25">
      <c r="A3231" s="4" t="s">
        <v>7882</v>
      </c>
      <c r="B3231" s="3" t="s">
        <v>3233</v>
      </c>
      <c r="C3231" s="14">
        <v>2195.6</v>
      </c>
      <c r="D3231" s="11" t="s">
        <v>5</v>
      </c>
    </row>
    <row r="3232" spans="1:4" x14ac:dyDescent="0.25">
      <c r="A3232" s="4" t="s">
        <v>7883</v>
      </c>
      <c r="B3232" s="3" t="s">
        <v>3234</v>
      </c>
      <c r="C3232" s="14">
        <v>3070.53</v>
      </c>
    </row>
    <row r="3233" spans="1:4" x14ac:dyDescent="0.25">
      <c r="A3233" s="4" t="s">
        <v>7884</v>
      </c>
      <c r="B3233" s="3" t="s">
        <v>3235</v>
      </c>
      <c r="C3233" s="14">
        <v>933.74</v>
      </c>
      <c r="D3233" s="11" t="s">
        <v>5</v>
      </c>
    </row>
    <row r="3234" spans="1:4" x14ac:dyDescent="0.25">
      <c r="A3234" s="4" t="s">
        <v>7885</v>
      </c>
      <c r="B3234" s="3" t="s">
        <v>3236</v>
      </c>
      <c r="C3234" s="14">
        <v>1319.69</v>
      </c>
      <c r="D3234" s="11" t="s">
        <v>5</v>
      </c>
    </row>
    <row r="3235" spans="1:4" x14ac:dyDescent="0.25">
      <c r="A3235" s="4" t="s">
        <v>7886</v>
      </c>
      <c r="B3235" s="3" t="s">
        <v>3237</v>
      </c>
      <c r="C3235" s="14">
        <v>2249.1799999999998</v>
      </c>
      <c r="D3235" s="11" t="s">
        <v>5</v>
      </c>
    </row>
    <row r="3236" spans="1:4" x14ac:dyDescent="0.25">
      <c r="A3236" s="4" t="s">
        <v>7887</v>
      </c>
      <c r="B3236" s="3" t="s">
        <v>3238</v>
      </c>
      <c r="C3236" s="14">
        <v>11317.26</v>
      </c>
      <c r="D3236" s="11" t="s">
        <v>5</v>
      </c>
    </row>
    <row r="3237" spans="1:4" x14ac:dyDescent="0.25">
      <c r="A3237" s="4" t="s">
        <v>7888</v>
      </c>
      <c r="B3237" s="3" t="s">
        <v>3239</v>
      </c>
      <c r="C3237" s="14">
        <v>13068.9</v>
      </c>
      <c r="D3237" s="11" t="s">
        <v>5</v>
      </c>
    </row>
    <row r="3238" spans="1:4" x14ac:dyDescent="0.25">
      <c r="A3238" s="4" t="s">
        <v>7889</v>
      </c>
      <c r="B3238" s="3" t="s">
        <v>3240</v>
      </c>
      <c r="C3238" s="14">
        <v>12603.12</v>
      </c>
      <c r="D3238" s="11" t="s">
        <v>5</v>
      </c>
    </row>
    <row r="3239" spans="1:4" x14ac:dyDescent="0.25">
      <c r="A3239" s="4" t="s">
        <v>7890</v>
      </c>
      <c r="B3239" s="3" t="s">
        <v>3241</v>
      </c>
      <c r="C3239" s="14">
        <v>11317.26</v>
      </c>
      <c r="D3239" s="11" t="s">
        <v>5</v>
      </c>
    </row>
    <row r="3240" spans="1:4" x14ac:dyDescent="0.25">
      <c r="A3240" s="4" t="s">
        <v>7891</v>
      </c>
      <c r="B3240" s="3" t="s">
        <v>3242</v>
      </c>
      <c r="C3240" s="14">
        <v>10731.44</v>
      </c>
      <c r="D3240" s="11" t="s">
        <v>5</v>
      </c>
    </row>
    <row r="3241" spans="1:4" x14ac:dyDescent="0.25">
      <c r="A3241" s="4" t="s">
        <v>7892</v>
      </c>
      <c r="B3241" s="3" t="s">
        <v>3243</v>
      </c>
      <c r="C3241" s="14">
        <v>13068.9</v>
      </c>
      <c r="D3241" s="11" t="s">
        <v>5</v>
      </c>
    </row>
    <row r="3242" spans="1:4" x14ac:dyDescent="0.25">
      <c r="A3242" s="4" t="s">
        <v>7893</v>
      </c>
      <c r="B3242" s="3" t="s">
        <v>3244</v>
      </c>
      <c r="C3242" s="14">
        <v>12603.12</v>
      </c>
      <c r="D3242" s="11" t="s">
        <v>5</v>
      </c>
    </row>
    <row r="3243" spans="1:4" x14ac:dyDescent="0.25">
      <c r="A3243" s="4" t="s">
        <v>7894</v>
      </c>
      <c r="B3243" s="3" t="s">
        <v>3245</v>
      </c>
      <c r="C3243" s="14">
        <v>1935.32</v>
      </c>
      <c r="D3243" s="11" t="s">
        <v>5</v>
      </c>
    </row>
    <row r="3244" spans="1:4" x14ac:dyDescent="0.25">
      <c r="A3244" s="4" t="s">
        <v>7895</v>
      </c>
      <c r="B3244" s="3" t="s">
        <v>3246</v>
      </c>
      <c r="C3244" s="14">
        <v>1449.62</v>
      </c>
      <c r="D3244" s="11" t="s">
        <v>5</v>
      </c>
    </row>
    <row r="3245" spans="1:4" x14ac:dyDescent="0.25">
      <c r="A3245" s="4" t="s">
        <v>7896</v>
      </c>
      <c r="B3245" s="3" t="s">
        <v>3247</v>
      </c>
      <c r="C3245" s="14">
        <v>2147.16</v>
      </c>
      <c r="D3245" s="11" t="s">
        <v>5</v>
      </c>
    </row>
    <row r="3246" spans="1:4" x14ac:dyDescent="0.25">
      <c r="A3246" s="4" t="s">
        <v>7897</v>
      </c>
      <c r="B3246" s="3" t="s">
        <v>3248</v>
      </c>
      <c r="C3246" s="14">
        <v>429.75</v>
      </c>
      <c r="D3246" s="11" t="s">
        <v>5</v>
      </c>
    </row>
    <row r="3247" spans="1:4" x14ac:dyDescent="0.25">
      <c r="A3247" s="4" t="s">
        <v>7898</v>
      </c>
      <c r="B3247" s="3" t="s">
        <v>3249</v>
      </c>
      <c r="C3247" s="14">
        <v>1126.8</v>
      </c>
      <c r="D3247" s="11" t="s">
        <v>5</v>
      </c>
    </row>
    <row r="3248" spans="1:4" x14ac:dyDescent="0.25">
      <c r="A3248" s="4" t="s">
        <v>7899</v>
      </c>
      <c r="B3248" s="3" t="s">
        <v>3250</v>
      </c>
      <c r="C3248" s="14">
        <v>1903.91</v>
      </c>
      <c r="D3248" s="11" t="s">
        <v>5</v>
      </c>
    </row>
    <row r="3249" spans="1:4" x14ac:dyDescent="0.25">
      <c r="A3249" s="4" t="s">
        <v>7900</v>
      </c>
      <c r="B3249" s="3" t="s">
        <v>3251</v>
      </c>
      <c r="C3249" s="14">
        <v>696.26</v>
      </c>
      <c r="D3249" s="11" t="s">
        <v>5</v>
      </c>
    </row>
    <row r="3250" spans="1:4" x14ac:dyDescent="0.25">
      <c r="A3250" s="4" t="s">
        <v>7901</v>
      </c>
      <c r="B3250" s="3" t="s">
        <v>3252</v>
      </c>
      <c r="C3250" s="14">
        <v>197.13</v>
      </c>
      <c r="D3250" s="11" t="s">
        <v>5</v>
      </c>
    </row>
    <row r="3251" spans="1:4" x14ac:dyDescent="0.25">
      <c r="A3251" s="4" t="s">
        <v>7902</v>
      </c>
      <c r="B3251" s="3" t="s">
        <v>3253</v>
      </c>
      <c r="C3251" s="14">
        <v>257.27999999999997</v>
      </c>
      <c r="D3251" s="11" t="s">
        <v>5</v>
      </c>
    </row>
    <row r="3252" spans="1:4" x14ac:dyDescent="0.25">
      <c r="A3252" s="4" t="s">
        <v>7903</v>
      </c>
      <c r="B3252" s="3" t="s">
        <v>3254</v>
      </c>
      <c r="C3252" s="14">
        <v>424.89</v>
      </c>
      <c r="D3252" s="11" t="s">
        <v>5</v>
      </c>
    </row>
    <row r="3253" spans="1:4" x14ac:dyDescent="0.25">
      <c r="A3253" s="4" t="s">
        <v>7904</v>
      </c>
      <c r="B3253" s="3" t="s">
        <v>3255</v>
      </c>
      <c r="C3253" s="14">
        <v>834.03</v>
      </c>
      <c r="D3253" s="11" t="s">
        <v>5</v>
      </c>
    </row>
    <row r="3254" spans="1:4" x14ac:dyDescent="0.25">
      <c r="A3254" s="4" t="s">
        <v>7905</v>
      </c>
      <c r="B3254" s="3" t="s">
        <v>3256</v>
      </c>
      <c r="C3254" s="14">
        <v>7574.37</v>
      </c>
      <c r="D3254" s="11" t="s">
        <v>5</v>
      </c>
    </row>
    <row r="3255" spans="1:4" x14ac:dyDescent="0.25">
      <c r="A3255" s="4" t="s">
        <v>7906</v>
      </c>
      <c r="B3255" s="3" t="s">
        <v>3257</v>
      </c>
      <c r="C3255" s="14">
        <v>1185.78</v>
      </c>
      <c r="D3255" s="11" t="s">
        <v>5</v>
      </c>
    </row>
    <row r="3256" spans="1:4" x14ac:dyDescent="0.25">
      <c r="A3256" s="4" t="s">
        <v>7907</v>
      </c>
      <c r="B3256" s="3" t="s">
        <v>3258</v>
      </c>
      <c r="C3256" s="14">
        <v>301.17</v>
      </c>
      <c r="D3256" s="11" t="s">
        <v>5</v>
      </c>
    </row>
    <row r="3257" spans="1:4" x14ac:dyDescent="0.25">
      <c r="A3257" s="4" t="s">
        <v>7908</v>
      </c>
      <c r="B3257" s="3" t="s">
        <v>3259</v>
      </c>
      <c r="C3257" s="14">
        <v>378.11</v>
      </c>
      <c r="D3257" s="11" t="s">
        <v>5</v>
      </c>
    </row>
    <row r="3258" spans="1:4" x14ac:dyDescent="0.25">
      <c r="A3258" s="4" t="s">
        <v>7909</v>
      </c>
      <c r="B3258" s="3" t="s">
        <v>3260</v>
      </c>
      <c r="C3258" s="14">
        <v>1185.78</v>
      </c>
      <c r="D3258" s="11" t="s">
        <v>5</v>
      </c>
    </row>
    <row r="3259" spans="1:4" x14ac:dyDescent="0.25">
      <c r="A3259" s="4" t="s">
        <v>7910</v>
      </c>
      <c r="B3259" s="3" t="s">
        <v>3261</v>
      </c>
      <c r="C3259" s="14">
        <v>3788.12</v>
      </c>
      <c r="D3259" s="11" t="s">
        <v>5</v>
      </c>
    </row>
    <row r="3260" spans="1:4" x14ac:dyDescent="0.25">
      <c r="A3260" s="4" t="s">
        <v>7911</v>
      </c>
      <c r="B3260" s="3" t="s">
        <v>3262</v>
      </c>
      <c r="C3260" s="14">
        <v>4134.2</v>
      </c>
      <c r="D3260" s="11" t="s">
        <v>5</v>
      </c>
    </row>
    <row r="3261" spans="1:4" x14ac:dyDescent="0.25">
      <c r="A3261" s="4" t="s">
        <v>7912</v>
      </c>
      <c r="B3261" s="3" t="s">
        <v>3263</v>
      </c>
      <c r="C3261" s="14">
        <v>4941.7700000000004</v>
      </c>
      <c r="D3261" s="11" t="s">
        <v>5</v>
      </c>
    </row>
    <row r="3262" spans="1:4" x14ac:dyDescent="0.25">
      <c r="A3262" s="4" t="s">
        <v>7913</v>
      </c>
      <c r="B3262" s="3" t="s">
        <v>3264</v>
      </c>
      <c r="C3262" s="14">
        <v>7210.76</v>
      </c>
      <c r="D3262" s="11" t="s">
        <v>5</v>
      </c>
    </row>
    <row r="3263" spans="1:4" x14ac:dyDescent="0.25">
      <c r="A3263" s="4" t="s">
        <v>7914</v>
      </c>
      <c r="B3263" s="3" t="s">
        <v>3265</v>
      </c>
      <c r="C3263" s="14">
        <v>966.54</v>
      </c>
      <c r="D3263" s="11" t="s">
        <v>5</v>
      </c>
    </row>
    <row r="3264" spans="1:4" x14ac:dyDescent="0.25">
      <c r="A3264" s="4" t="s">
        <v>7915</v>
      </c>
      <c r="B3264" s="3" t="s">
        <v>3266</v>
      </c>
      <c r="C3264" s="14">
        <v>1259.24</v>
      </c>
      <c r="D3264" s="11" t="s">
        <v>5</v>
      </c>
    </row>
    <row r="3265" spans="1:4" x14ac:dyDescent="0.25">
      <c r="A3265" s="4" t="s">
        <v>7916</v>
      </c>
      <c r="B3265" s="3" t="s">
        <v>3267</v>
      </c>
      <c r="C3265" s="14">
        <v>1403.24</v>
      </c>
      <c r="D3265" s="11" t="s">
        <v>5</v>
      </c>
    </row>
    <row r="3266" spans="1:4" x14ac:dyDescent="0.25">
      <c r="A3266" s="4" t="s">
        <v>7917</v>
      </c>
      <c r="B3266" s="3" t="s">
        <v>3268</v>
      </c>
      <c r="C3266" s="14">
        <v>1887.75</v>
      </c>
      <c r="D3266" s="11" t="s">
        <v>5</v>
      </c>
    </row>
    <row r="3267" spans="1:4" x14ac:dyDescent="0.25">
      <c r="A3267" s="4" t="s">
        <v>7918</v>
      </c>
      <c r="B3267" s="3" t="s">
        <v>3269</v>
      </c>
      <c r="C3267" s="14">
        <v>2182.85</v>
      </c>
      <c r="D3267" s="11" t="s">
        <v>5</v>
      </c>
    </row>
    <row r="3268" spans="1:4" x14ac:dyDescent="0.25">
      <c r="A3268" s="4" t="s">
        <v>7919</v>
      </c>
      <c r="B3268" s="3" t="s">
        <v>3270</v>
      </c>
      <c r="C3268" s="14">
        <v>3118.71</v>
      </c>
      <c r="D3268" s="11" t="s">
        <v>5</v>
      </c>
    </row>
    <row r="3269" spans="1:4" x14ac:dyDescent="0.25">
      <c r="A3269" s="4" t="s">
        <v>7920</v>
      </c>
      <c r="B3269" s="3" t="s">
        <v>3271</v>
      </c>
      <c r="C3269" s="14">
        <v>3898.23</v>
      </c>
      <c r="D3269" s="11" t="s">
        <v>5</v>
      </c>
    </row>
    <row r="3270" spans="1:4" x14ac:dyDescent="0.25">
      <c r="A3270" s="4" t="s">
        <v>7921</v>
      </c>
      <c r="B3270" s="3" t="s">
        <v>3272</v>
      </c>
      <c r="C3270" s="14">
        <v>1325.57</v>
      </c>
      <c r="D3270" s="11" t="s">
        <v>5</v>
      </c>
    </row>
    <row r="3271" spans="1:4" x14ac:dyDescent="0.25">
      <c r="A3271" s="4" t="s">
        <v>7922</v>
      </c>
      <c r="B3271" s="3" t="s">
        <v>3273</v>
      </c>
      <c r="C3271" s="14">
        <v>1211.8499999999999</v>
      </c>
      <c r="D3271" s="11" t="s">
        <v>5</v>
      </c>
    </row>
    <row r="3272" spans="1:4" x14ac:dyDescent="0.25">
      <c r="A3272" s="4" t="s">
        <v>7923</v>
      </c>
      <c r="B3272" s="3" t="s">
        <v>3274</v>
      </c>
      <c r="C3272" s="14">
        <v>1871.19</v>
      </c>
      <c r="D3272" s="11" t="s">
        <v>5</v>
      </c>
    </row>
    <row r="3273" spans="1:4" x14ac:dyDescent="0.25">
      <c r="A3273" s="4" t="s">
        <v>7924</v>
      </c>
      <c r="B3273" s="3" t="s">
        <v>3275</v>
      </c>
      <c r="C3273" s="14">
        <v>1695.42</v>
      </c>
      <c r="D3273" s="11" t="s">
        <v>5</v>
      </c>
    </row>
    <row r="3274" spans="1:4" x14ac:dyDescent="0.25">
      <c r="A3274" s="4" t="s">
        <v>7925</v>
      </c>
      <c r="B3274" s="3" t="s">
        <v>3276</v>
      </c>
      <c r="C3274" s="14">
        <v>2806.82</v>
      </c>
      <c r="D3274" s="11" t="s">
        <v>5</v>
      </c>
    </row>
    <row r="3275" spans="1:4" x14ac:dyDescent="0.25">
      <c r="A3275" s="4" t="s">
        <v>7926</v>
      </c>
      <c r="B3275" s="3" t="s">
        <v>3277</v>
      </c>
      <c r="C3275" s="14">
        <v>3898.23</v>
      </c>
      <c r="D3275" s="11" t="s">
        <v>5</v>
      </c>
    </row>
    <row r="3276" spans="1:4" x14ac:dyDescent="0.25">
      <c r="A3276" s="4" t="s">
        <v>7927</v>
      </c>
      <c r="B3276" s="3" t="s">
        <v>3278</v>
      </c>
      <c r="C3276" s="14">
        <v>5145.5</v>
      </c>
      <c r="D3276" s="11" t="s">
        <v>5</v>
      </c>
    </row>
    <row r="3277" spans="1:4" x14ac:dyDescent="0.25">
      <c r="A3277" s="4" t="s">
        <v>7928</v>
      </c>
      <c r="B3277" s="3" t="s">
        <v>3279</v>
      </c>
      <c r="C3277" s="14">
        <v>1715.46</v>
      </c>
      <c r="D3277" s="11" t="s">
        <v>5</v>
      </c>
    </row>
    <row r="3278" spans="1:4" x14ac:dyDescent="0.25">
      <c r="A3278" s="4" t="s">
        <v>7929</v>
      </c>
      <c r="B3278" s="3" t="s">
        <v>3280</v>
      </c>
      <c r="C3278" s="14">
        <v>2123.7800000000002</v>
      </c>
      <c r="D3278" s="11" t="s">
        <v>5</v>
      </c>
    </row>
    <row r="3279" spans="1:4" x14ac:dyDescent="0.25">
      <c r="A3279" s="4" t="s">
        <v>7930</v>
      </c>
      <c r="B3279" s="3" t="s">
        <v>3281</v>
      </c>
      <c r="C3279" s="14">
        <v>2338.5300000000002</v>
      </c>
      <c r="D3279" s="11" t="s">
        <v>5</v>
      </c>
    </row>
    <row r="3280" spans="1:4" x14ac:dyDescent="0.25">
      <c r="A3280" s="4" t="s">
        <v>7931</v>
      </c>
      <c r="B3280" s="3" t="s">
        <v>3282</v>
      </c>
      <c r="C3280" s="14">
        <v>3067.65</v>
      </c>
      <c r="D3280" s="11" t="s">
        <v>5</v>
      </c>
    </row>
    <row r="3281" spans="1:4" x14ac:dyDescent="0.25">
      <c r="A3281" s="4" t="s">
        <v>7932</v>
      </c>
      <c r="B3281" s="3" t="s">
        <v>3283</v>
      </c>
      <c r="C3281" s="14">
        <v>3586.14</v>
      </c>
      <c r="D3281" s="11" t="s">
        <v>5</v>
      </c>
    </row>
    <row r="3282" spans="1:4" x14ac:dyDescent="0.25">
      <c r="A3282" s="4" t="s">
        <v>7933</v>
      </c>
      <c r="B3282" s="3" t="s">
        <v>3284</v>
      </c>
      <c r="C3282" s="14">
        <v>4677.3599999999997</v>
      </c>
      <c r="D3282" s="11" t="s">
        <v>5</v>
      </c>
    </row>
    <row r="3283" spans="1:4" x14ac:dyDescent="0.25">
      <c r="A3283" s="4" t="s">
        <v>7934</v>
      </c>
      <c r="B3283" s="3" t="s">
        <v>3285</v>
      </c>
      <c r="C3283" s="14">
        <v>6236.63</v>
      </c>
      <c r="D3283" s="11" t="s">
        <v>5</v>
      </c>
    </row>
    <row r="3284" spans="1:4" x14ac:dyDescent="0.25">
      <c r="A3284" s="4" t="s">
        <v>7935</v>
      </c>
      <c r="B3284" s="3" t="s">
        <v>3286</v>
      </c>
      <c r="C3284" s="14">
        <v>3229.59</v>
      </c>
      <c r="D3284" s="11" t="s">
        <v>5</v>
      </c>
    </row>
    <row r="3285" spans="1:4" x14ac:dyDescent="0.25">
      <c r="A3285" s="4" t="s">
        <v>7936</v>
      </c>
      <c r="B3285" s="3" t="s">
        <v>3287</v>
      </c>
      <c r="C3285" s="14">
        <v>3947.06</v>
      </c>
      <c r="D3285" s="11" t="s">
        <v>5</v>
      </c>
    </row>
    <row r="3286" spans="1:4" x14ac:dyDescent="0.25">
      <c r="A3286" s="4" t="s">
        <v>7937</v>
      </c>
      <c r="B3286" s="3" t="s">
        <v>3288</v>
      </c>
      <c r="C3286" s="14">
        <v>4759.1400000000003</v>
      </c>
      <c r="D3286" s="11" t="s">
        <v>5</v>
      </c>
    </row>
    <row r="3287" spans="1:4" x14ac:dyDescent="0.25">
      <c r="A3287" s="4" t="s">
        <v>7938</v>
      </c>
      <c r="B3287" s="3" t="s">
        <v>3289</v>
      </c>
      <c r="C3287" s="14">
        <v>6034.38</v>
      </c>
      <c r="D3287" s="11" t="s">
        <v>5</v>
      </c>
    </row>
    <row r="3288" spans="1:4" x14ac:dyDescent="0.25">
      <c r="A3288" s="4" t="s">
        <v>7939</v>
      </c>
      <c r="B3288" s="3" t="s">
        <v>3290</v>
      </c>
      <c r="C3288" s="14">
        <v>7335.41</v>
      </c>
      <c r="D3288" s="11" t="s">
        <v>5</v>
      </c>
    </row>
    <row r="3289" spans="1:4" x14ac:dyDescent="0.25">
      <c r="A3289" s="4" t="s">
        <v>7940</v>
      </c>
      <c r="B3289" s="3" t="s">
        <v>3291</v>
      </c>
      <c r="C3289" s="14">
        <v>9772.5300000000007</v>
      </c>
      <c r="D3289" s="11" t="s">
        <v>5</v>
      </c>
    </row>
    <row r="3290" spans="1:4" x14ac:dyDescent="0.25">
      <c r="A3290" s="4" t="s">
        <v>7941</v>
      </c>
      <c r="B3290" s="3" t="s">
        <v>3292</v>
      </c>
      <c r="C3290" s="14">
        <v>12700.41</v>
      </c>
      <c r="D3290" s="11" t="s">
        <v>5</v>
      </c>
    </row>
    <row r="3291" spans="1:4" x14ac:dyDescent="0.25">
      <c r="A3291" s="4" t="s">
        <v>7942</v>
      </c>
      <c r="B3291" s="3" t="s">
        <v>3293</v>
      </c>
      <c r="C3291" s="14">
        <v>11209.7</v>
      </c>
      <c r="D3291" s="11" t="s">
        <v>5</v>
      </c>
    </row>
    <row r="3292" spans="1:4" x14ac:dyDescent="0.25">
      <c r="A3292" s="4" t="s">
        <v>7943</v>
      </c>
      <c r="B3292" s="3" t="s">
        <v>3294</v>
      </c>
      <c r="C3292" s="14">
        <v>22662.69</v>
      </c>
      <c r="D3292" s="11" t="s">
        <v>5</v>
      </c>
    </row>
    <row r="3293" spans="1:4" x14ac:dyDescent="0.25">
      <c r="A3293" s="4" t="s">
        <v>7944</v>
      </c>
      <c r="B3293" s="3" t="s">
        <v>3295</v>
      </c>
      <c r="C3293" s="14">
        <v>27387.77</v>
      </c>
      <c r="D3293" s="11" t="s">
        <v>5</v>
      </c>
    </row>
    <row r="3294" spans="1:4" x14ac:dyDescent="0.25">
      <c r="A3294" s="4" t="s">
        <v>7945</v>
      </c>
      <c r="B3294" s="3" t="s">
        <v>3296</v>
      </c>
      <c r="C3294" s="14">
        <v>41084.06</v>
      </c>
      <c r="D3294" s="11" t="s">
        <v>5</v>
      </c>
    </row>
    <row r="3295" spans="1:4" x14ac:dyDescent="0.25">
      <c r="A3295" s="4" t="s">
        <v>7946</v>
      </c>
      <c r="B3295" s="3" t="s">
        <v>3297</v>
      </c>
      <c r="C3295" s="14">
        <v>1264.19</v>
      </c>
      <c r="D3295" s="11" t="s">
        <v>5</v>
      </c>
    </row>
    <row r="3296" spans="1:4" x14ac:dyDescent="0.25">
      <c r="A3296" s="4" t="s">
        <v>7947</v>
      </c>
      <c r="B3296" s="3" t="s">
        <v>3298</v>
      </c>
      <c r="C3296" s="14">
        <v>1555.98</v>
      </c>
      <c r="D3296" s="11" t="s">
        <v>5</v>
      </c>
    </row>
    <row r="3297" spans="1:4" x14ac:dyDescent="0.25">
      <c r="A3297" s="4" t="s">
        <v>7948</v>
      </c>
      <c r="B3297" s="3" t="s">
        <v>3299</v>
      </c>
      <c r="C3297" s="14">
        <v>2211.48</v>
      </c>
      <c r="D3297" s="11" t="s">
        <v>5</v>
      </c>
    </row>
    <row r="3298" spans="1:4" x14ac:dyDescent="0.25">
      <c r="A3298" s="4" t="s">
        <v>7949</v>
      </c>
      <c r="B3298" s="3" t="s">
        <v>3300</v>
      </c>
      <c r="C3298" s="14">
        <v>2816.7</v>
      </c>
      <c r="D3298" s="11" t="s">
        <v>5</v>
      </c>
    </row>
    <row r="3299" spans="1:4" x14ac:dyDescent="0.25">
      <c r="A3299" s="4" t="s">
        <v>7950</v>
      </c>
      <c r="B3299" s="3" t="s">
        <v>3301</v>
      </c>
      <c r="C3299" s="14">
        <v>3479.84</v>
      </c>
      <c r="D3299" s="11" t="s">
        <v>5</v>
      </c>
    </row>
    <row r="3300" spans="1:4" x14ac:dyDescent="0.25">
      <c r="A3300" s="4" t="s">
        <v>7951</v>
      </c>
      <c r="B3300" s="3" t="s">
        <v>3302</v>
      </c>
      <c r="C3300" s="14">
        <v>1625.52</v>
      </c>
      <c r="D3300" s="11" t="s">
        <v>5</v>
      </c>
    </row>
    <row r="3301" spans="1:4" x14ac:dyDescent="0.25">
      <c r="A3301" s="4" t="s">
        <v>7952</v>
      </c>
      <c r="B3301" s="3" t="s">
        <v>3303</v>
      </c>
      <c r="C3301" s="14">
        <v>2025.83</v>
      </c>
      <c r="D3301" s="11" t="s">
        <v>5</v>
      </c>
    </row>
    <row r="3302" spans="1:4" x14ac:dyDescent="0.25">
      <c r="A3302" s="4" t="s">
        <v>7953</v>
      </c>
      <c r="B3302" s="3" t="s">
        <v>3304</v>
      </c>
      <c r="C3302" s="14">
        <v>2837.22</v>
      </c>
      <c r="D3302" s="11" t="s">
        <v>5</v>
      </c>
    </row>
    <row r="3303" spans="1:4" x14ac:dyDescent="0.25">
      <c r="A3303" s="4" t="s">
        <v>7954</v>
      </c>
      <c r="B3303" s="3" t="s">
        <v>3305</v>
      </c>
      <c r="C3303" s="14">
        <v>3423.81</v>
      </c>
      <c r="D3303" s="11" t="s">
        <v>5</v>
      </c>
    </row>
    <row r="3304" spans="1:4" x14ac:dyDescent="0.25">
      <c r="A3304" s="4" t="s">
        <v>7955</v>
      </c>
      <c r="B3304" s="3" t="s">
        <v>3306</v>
      </c>
      <c r="C3304" s="14">
        <v>4378.74</v>
      </c>
      <c r="D3304" s="11" t="s">
        <v>5</v>
      </c>
    </row>
    <row r="3305" spans="1:4" x14ac:dyDescent="0.25">
      <c r="A3305" s="4" t="s">
        <v>7956</v>
      </c>
      <c r="B3305" s="3" t="s">
        <v>3307</v>
      </c>
      <c r="C3305" s="14">
        <v>2163.14</v>
      </c>
      <c r="D3305" s="11" t="s">
        <v>5</v>
      </c>
    </row>
    <row r="3306" spans="1:4" x14ac:dyDescent="0.25">
      <c r="A3306" s="4" t="s">
        <v>7957</v>
      </c>
      <c r="B3306" s="3" t="s">
        <v>3308</v>
      </c>
      <c r="C3306" s="14">
        <v>2707.26</v>
      </c>
      <c r="D3306" s="11" t="s">
        <v>5</v>
      </c>
    </row>
    <row r="3307" spans="1:4" x14ac:dyDescent="0.25">
      <c r="A3307" s="4" t="s">
        <v>7958</v>
      </c>
      <c r="B3307" s="3" t="s">
        <v>3309</v>
      </c>
      <c r="C3307" s="14">
        <v>3654.77</v>
      </c>
      <c r="D3307" s="11" t="s">
        <v>5</v>
      </c>
    </row>
    <row r="3308" spans="1:4" x14ac:dyDescent="0.25">
      <c r="A3308" s="4" t="s">
        <v>7959</v>
      </c>
      <c r="B3308" s="3" t="s">
        <v>3310</v>
      </c>
      <c r="C3308" s="14">
        <v>4596.9799999999996</v>
      </c>
      <c r="D3308" s="11" t="s">
        <v>5</v>
      </c>
    </row>
    <row r="3309" spans="1:4" x14ac:dyDescent="0.25">
      <c r="A3309" s="4" t="s">
        <v>7960</v>
      </c>
      <c r="B3309" s="3" t="s">
        <v>3311</v>
      </c>
      <c r="C3309" s="14">
        <v>5548.22</v>
      </c>
      <c r="D3309" s="11" t="s">
        <v>5</v>
      </c>
    </row>
    <row r="3310" spans="1:4" x14ac:dyDescent="0.25">
      <c r="A3310" s="4" t="s">
        <v>7961</v>
      </c>
      <c r="B3310" s="3" t="s">
        <v>3312</v>
      </c>
      <c r="C3310" s="14">
        <v>9874.2199999999993</v>
      </c>
      <c r="D3310" s="11" t="s">
        <v>5</v>
      </c>
    </row>
    <row r="3311" spans="1:4" x14ac:dyDescent="0.25">
      <c r="A3311" s="4" t="s">
        <v>7962</v>
      </c>
      <c r="B3311" s="3" t="s">
        <v>3313</v>
      </c>
      <c r="C3311" s="14">
        <v>3654.77</v>
      </c>
      <c r="D3311" s="11" t="s">
        <v>5</v>
      </c>
    </row>
    <row r="3312" spans="1:4" x14ac:dyDescent="0.25">
      <c r="A3312" s="4" t="s">
        <v>7963</v>
      </c>
      <c r="B3312" s="3" t="s">
        <v>3314</v>
      </c>
      <c r="C3312" s="14">
        <v>4596.9799999999996</v>
      </c>
      <c r="D3312" s="11" t="s">
        <v>5</v>
      </c>
    </row>
    <row r="3313" spans="1:4" x14ac:dyDescent="0.25">
      <c r="A3313" s="4" t="s">
        <v>7964</v>
      </c>
      <c r="B3313" s="3" t="s">
        <v>3315</v>
      </c>
      <c r="C3313" s="14">
        <v>5546.72</v>
      </c>
      <c r="D3313" s="11" t="s">
        <v>5</v>
      </c>
    </row>
    <row r="3314" spans="1:4" x14ac:dyDescent="0.25">
      <c r="A3314" s="4" t="s">
        <v>7965</v>
      </c>
      <c r="B3314" s="3" t="s">
        <v>3316</v>
      </c>
      <c r="C3314" s="14">
        <v>6761.34</v>
      </c>
      <c r="D3314" s="11" t="s">
        <v>5</v>
      </c>
    </row>
    <row r="3315" spans="1:4" x14ac:dyDescent="0.25">
      <c r="A3315" s="4" t="s">
        <v>7966</v>
      </c>
      <c r="B3315" s="3" t="s">
        <v>3317</v>
      </c>
      <c r="C3315" s="14">
        <v>8388.6200000000008</v>
      </c>
      <c r="D3315" s="11" t="s">
        <v>5</v>
      </c>
    </row>
    <row r="3316" spans="1:4" x14ac:dyDescent="0.25">
      <c r="A3316" s="4" t="s">
        <v>7967</v>
      </c>
      <c r="B3316" s="3" t="s">
        <v>3318</v>
      </c>
      <c r="C3316" s="14">
        <v>10273.64</v>
      </c>
      <c r="D3316" s="11" t="s">
        <v>5</v>
      </c>
    </row>
    <row r="3317" spans="1:4" x14ac:dyDescent="0.25">
      <c r="A3317" s="4" t="s">
        <v>7968</v>
      </c>
      <c r="B3317" s="3" t="s">
        <v>3319</v>
      </c>
      <c r="C3317" s="14">
        <v>18262.86</v>
      </c>
      <c r="D3317" s="11" t="s">
        <v>5</v>
      </c>
    </row>
    <row r="3318" spans="1:4" x14ac:dyDescent="0.25">
      <c r="A3318" s="4" t="s">
        <v>7969</v>
      </c>
      <c r="B3318" s="3" t="s">
        <v>3320</v>
      </c>
      <c r="C3318" s="14">
        <v>14324.1</v>
      </c>
      <c r="D3318" s="11" t="s">
        <v>5</v>
      </c>
    </row>
    <row r="3319" spans="1:4" x14ac:dyDescent="0.25">
      <c r="A3319" s="4" t="s">
        <v>7970</v>
      </c>
      <c r="B3319" s="3" t="s">
        <v>3321</v>
      </c>
      <c r="C3319" s="14">
        <v>55829.03</v>
      </c>
      <c r="D3319" s="11" t="s">
        <v>5</v>
      </c>
    </row>
    <row r="3320" spans="1:4" x14ac:dyDescent="0.25">
      <c r="A3320" s="4" t="s">
        <v>7971</v>
      </c>
      <c r="B3320" s="3" t="s">
        <v>3322</v>
      </c>
      <c r="C3320" s="14">
        <v>106624.14</v>
      </c>
      <c r="D3320" s="11" t="s">
        <v>5</v>
      </c>
    </row>
    <row r="3321" spans="1:4" x14ac:dyDescent="0.25">
      <c r="A3321" s="4" t="s">
        <v>7972</v>
      </c>
      <c r="B3321" s="3" t="s">
        <v>3323</v>
      </c>
      <c r="C3321" s="14">
        <v>801.32</v>
      </c>
      <c r="D3321" s="11" t="s">
        <v>5</v>
      </c>
    </row>
    <row r="3322" spans="1:4" x14ac:dyDescent="0.25">
      <c r="A3322" s="4" t="s">
        <v>7973</v>
      </c>
      <c r="B3322" s="3" t="s">
        <v>3324</v>
      </c>
      <c r="C3322" s="14">
        <v>2748.35</v>
      </c>
      <c r="D3322" s="11" t="s">
        <v>5</v>
      </c>
    </row>
    <row r="3323" spans="1:4" x14ac:dyDescent="0.25">
      <c r="A3323" s="4" t="s">
        <v>7974</v>
      </c>
      <c r="B3323" s="3" t="s">
        <v>3325</v>
      </c>
      <c r="C3323" s="14">
        <v>3515.69</v>
      </c>
      <c r="D3323" s="11" t="s">
        <v>5</v>
      </c>
    </row>
    <row r="3324" spans="1:4" x14ac:dyDescent="0.25">
      <c r="A3324" s="4" t="s">
        <v>7975</v>
      </c>
      <c r="B3324" s="3" t="s">
        <v>3326</v>
      </c>
      <c r="C3324" s="14">
        <v>3106.34</v>
      </c>
      <c r="D3324" s="11" t="s">
        <v>5</v>
      </c>
    </row>
    <row r="3325" spans="1:4" x14ac:dyDescent="0.25">
      <c r="A3325" s="4" t="s">
        <v>7976</v>
      </c>
      <c r="B3325" s="3" t="s">
        <v>3327</v>
      </c>
      <c r="C3325" s="14">
        <v>3363.89</v>
      </c>
      <c r="D3325" s="11" t="s">
        <v>5</v>
      </c>
    </row>
    <row r="3326" spans="1:4" x14ac:dyDescent="0.25">
      <c r="A3326" s="4" t="s">
        <v>7977</v>
      </c>
      <c r="B3326" s="3" t="s">
        <v>3328</v>
      </c>
      <c r="C3326" s="14">
        <v>4706.72</v>
      </c>
      <c r="D3326" s="11" t="s">
        <v>5</v>
      </c>
    </row>
    <row r="3327" spans="1:4" x14ac:dyDescent="0.25">
      <c r="A3327" s="4" t="s">
        <v>7978</v>
      </c>
      <c r="B3327" s="3" t="s">
        <v>3329</v>
      </c>
      <c r="C3327" s="14">
        <v>5689.29</v>
      </c>
      <c r="D3327" s="11" t="s">
        <v>5</v>
      </c>
    </row>
    <row r="3328" spans="1:4" x14ac:dyDescent="0.25">
      <c r="A3328" s="4" t="s">
        <v>7979</v>
      </c>
      <c r="B3328" s="3" t="s">
        <v>3330</v>
      </c>
      <c r="C3328" s="14">
        <v>7612.92</v>
      </c>
      <c r="D3328" s="11" t="s">
        <v>5</v>
      </c>
    </row>
    <row r="3329" spans="1:4" x14ac:dyDescent="0.25">
      <c r="A3329" s="4" t="s">
        <v>7980</v>
      </c>
      <c r="B3329" s="3" t="s">
        <v>3331</v>
      </c>
      <c r="C3329" s="14">
        <v>8496.57</v>
      </c>
      <c r="D3329" s="11" t="s">
        <v>5</v>
      </c>
    </row>
    <row r="3330" spans="1:4" x14ac:dyDescent="0.25">
      <c r="A3330" s="4" t="s">
        <v>7981</v>
      </c>
      <c r="B3330" s="3" t="s">
        <v>3332</v>
      </c>
      <c r="C3330" s="14">
        <v>14435.09</v>
      </c>
      <c r="D3330" s="11" t="s">
        <v>5</v>
      </c>
    </row>
    <row r="3331" spans="1:4" x14ac:dyDescent="0.25">
      <c r="A3331" s="4" t="s">
        <v>7982</v>
      </c>
      <c r="B3331" s="3" t="s">
        <v>3333</v>
      </c>
      <c r="C3331" s="14">
        <v>10740.41</v>
      </c>
      <c r="D3331" s="11" t="s">
        <v>5</v>
      </c>
    </row>
    <row r="3332" spans="1:4" x14ac:dyDescent="0.25">
      <c r="A3332" s="4" t="s">
        <v>7983</v>
      </c>
      <c r="B3332" s="3" t="s">
        <v>3334</v>
      </c>
      <c r="C3332" s="14">
        <v>540.65</v>
      </c>
      <c r="D3332" s="11" t="s">
        <v>5</v>
      </c>
    </row>
    <row r="3333" spans="1:4" x14ac:dyDescent="0.25">
      <c r="A3333" s="4" t="s">
        <v>7984</v>
      </c>
      <c r="B3333" s="3" t="s">
        <v>3335</v>
      </c>
      <c r="C3333" s="14">
        <v>801.32</v>
      </c>
      <c r="D3333" s="11" t="s">
        <v>5</v>
      </c>
    </row>
    <row r="3334" spans="1:4" x14ac:dyDescent="0.25">
      <c r="A3334" s="4" t="s">
        <v>7985</v>
      </c>
      <c r="B3334" s="3" t="s">
        <v>3336</v>
      </c>
      <c r="C3334" s="14">
        <v>1797.5</v>
      </c>
      <c r="D3334" s="11" t="s">
        <v>5</v>
      </c>
    </row>
    <row r="3335" spans="1:4" x14ac:dyDescent="0.25">
      <c r="A3335" s="4" t="s">
        <v>7986</v>
      </c>
      <c r="B3335" s="3" t="s">
        <v>3337</v>
      </c>
      <c r="C3335" s="14">
        <v>2748.35</v>
      </c>
      <c r="D3335" s="11" t="s">
        <v>5</v>
      </c>
    </row>
    <row r="3336" spans="1:4" x14ac:dyDescent="0.25">
      <c r="A3336" s="4" t="s">
        <v>7987</v>
      </c>
      <c r="B3336" s="3" t="s">
        <v>3338</v>
      </c>
      <c r="C3336" s="14">
        <v>3515.69</v>
      </c>
      <c r="D3336" s="11" t="s">
        <v>5</v>
      </c>
    </row>
    <row r="3337" spans="1:4" x14ac:dyDescent="0.25">
      <c r="A3337" s="4" t="s">
        <v>7988</v>
      </c>
      <c r="B3337" s="3" t="s">
        <v>3339</v>
      </c>
      <c r="C3337" s="14">
        <v>3106.34</v>
      </c>
      <c r="D3337" s="11" t="s">
        <v>5</v>
      </c>
    </row>
    <row r="3338" spans="1:4" x14ac:dyDescent="0.25">
      <c r="A3338" s="4" t="s">
        <v>7989</v>
      </c>
      <c r="B3338" s="3" t="s">
        <v>3340</v>
      </c>
      <c r="C3338" s="14">
        <v>3363.89</v>
      </c>
      <c r="D3338" s="11" t="s">
        <v>5</v>
      </c>
    </row>
    <row r="3339" spans="1:4" x14ac:dyDescent="0.25">
      <c r="A3339" s="4" t="s">
        <v>7990</v>
      </c>
      <c r="B3339" s="3" t="s">
        <v>3341</v>
      </c>
      <c r="C3339" s="14">
        <v>4706.72</v>
      </c>
      <c r="D3339" s="11" t="s">
        <v>5</v>
      </c>
    </row>
    <row r="3340" spans="1:4" x14ac:dyDescent="0.25">
      <c r="A3340" s="4" t="s">
        <v>7991</v>
      </c>
      <c r="B3340" s="3" t="s">
        <v>3342</v>
      </c>
      <c r="C3340" s="14">
        <v>5689.29</v>
      </c>
      <c r="D3340" s="11" t="s">
        <v>5</v>
      </c>
    </row>
    <row r="3341" spans="1:4" x14ac:dyDescent="0.25">
      <c r="A3341" s="4" t="s">
        <v>7992</v>
      </c>
      <c r="B3341" s="3" t="s">
        <v>3343</v>
      </c>
      <c r="C3341" s="14">
        <v>7612.92</v>
      </c>
      <c r="D3341" s="11" t="s">
        <v>5</v>
      </c>
    </row>
    <row r="3342" spans="1:4" x14ac:dyDescent="0.25">
      <c r="A3342" s="4" t="s">
        <v>7993</v>
      </c>
      <c r="B3342" s="3" t="s">
        <v>3344</v>
      </c>
      <c r="C3342" s="14">
        <v>8496.57</v>
      </c>
      <c r="D3342" s="11" t="s">
        <v>5</v>
      </c>
    </row>
    <row r="3343" spans="1:4" x14ac:dyDescent="0.25">
      <c r="A3343" s="4" t="s">
        <v>7994</v>
      </c>
      <c r="B3343" s="3" t="s">
        <v>3345</v>
      </c>
      <c r="C3343" s="14">
        <v>10740.41</v>
      </c>
      <c r="D3343" s="11" t="s">
        <v>5</v>
      </c>
    </row>
    <row r="3344" spans="1:4" x14ac:dyDescent="0.25">
      <c r="A3344" s="4" t="s">
        <v>7995</v>
      </c>
      <c r="B3344" s="3" t="s">
        <v>3346</v>
      </c>
      <c r="C3344" s="14">
        <v>10723.04</v>
      </c>
      <c r="D3344" s="11" t="s">
        <v>5</v>
      </c>
    </row>
    <row r="3345" spans="1:4" x14ac:dyDescent="0.25">
      <c r="A3345" s="4" t="s">
        <v>7996</v>
      </c>
      <c r="B3345" s="3" t="s">
        <v>3347</v>
      </c>
      <c r="C3345" s="14">
        <v>12537.15</v>
      </c>
      <c r="D3345" s="11" t="s">
        <v>5</v>
      </c>
    </row>
    <row r="3346" spans="1:4" x14ac:dyDescent="0.25">
      <c r="A3346" s="4" t="s">
        <v>7997</v>
      </c>
      <c r="B3346" s="3" t="s">
        <v>3348</v>
      </c>
      <c r="C3346" s="14">
        <v>14666.19</v>
      </c>
      <c r="D3346" s="11" t="s">
        <v>5</v>
      </c>
    </row>
    <row r="3347" spans="1:4" x14ac:dyDescent="0.25">
      <c r="A3347" s="4" t="s">
        <v>7998</v>
      </c>
      <c r="B3347" s="3" t="s">
        <v>3349</v>
      </c>
      <c r="C3347" s="14">
        <v>159.65</v>
      </c>
      <c r="D3347" s="11" t="s">
        <v>5</v>
      </c>
    </row>
    <row r="3348" spans="1:4" x14ac:dyDescent="0.25">
      <c r="A3348" s="4" t="s">
        <v>7999</v>
      </c>
      <c r="B3348" s="3" t="s">
        <v>3350</v>
      </c>
      <c r="C3348" s="14">
        <v>546.72</v>
      </c>
      <c r="D3348" s="11" t="s">
        <v>5</v>
      </c>
    </row>
    <row r="3349" spans="1:4" x14ac:dyDescent="0.25">
      <c r="A3349" s="4" t="s">
        <v>8000</v>
      </c>
      <c r="B3349" s="3" t="s">
        <v>3351</v>
      </c>
      <c r="C3349" s="14">
        <v>370.92</v>
      </c>
      <c r="D3349" s="11" t="s">
        <v>5</v>
      </c>
    </row>
    <row r="3350" spans="1:4" x14ac:dyDescent="0.25">
      <c r="A3350" s="4" t="s">
        <v>8001</v>
      </c>
      <c r="B3350" s="3" t="s">
        <v>3352</v>
      </c>
      <c r="C3350" s="14">
        <v>408.83</v>
      </c>
      <c r="D3350" s="11" t="s">
        <v>5</v>
      </c>
    </row>
    <row r="3351" spans="1:4" x14ac:dyDescent="0.25">
      <c r="A3351" s="4" t="s">
        <v>8002</v>
      </c>
      <c r="B3351" s="3" t="s">
        <v>3353</v>
      </c>
      <c r="C3351" s="14">
        <v>27.41</v>
      </c>
      <c r="D3351" s="11" t="s">
        <v>5</v>
      </c>
    </row>
    <row r="3352" spans="1:4" x14ac:dyDescent="0.25">
      <c r="A3352" s="4" t="s">
        <v>8003</v>
      </c>
      <c r="B3352" s="3" t="s">
        <v>3354</v>
      </c>
      <c r="C3352" s="14">
        <v>27.41</v>
      </c>
      <c r="D3352" s="11" t="s">
        <v>5</v>
      </c>
    </row>
    <row r="3353" spans="1:4" x14ac:dyDescent="0.25">
      <c r="A3353" s="4" t="s">
        <v>8004</v>
      </c>
      <c r="B3353" s="3" t="s">
        <v>3355</v>
      </c>
      <c r="C3353" s="14">
        <v>22.16</v>
      </c>
      <c r="D3353" s="11" t="s">
        <v>5</v>
      </c>
    </row>
    <row r="3354" spans="1:4" x14ac:dyDescent="0.25">
      <c r="A3354" s="4" t="s">
        <v>8005</v>
      </c>
      <c r="B3354" s="3" t="s">
        <v>3356</v>
      </c>
      <c r="C3354" s="14">
        <v>17010</v>
      </c>
      <c r="D3354" s="11" t="s">
        <v>5</v>
      </c>
    </row>
    <row r="3355" spans="1:4" x14ac:dyDescent="0.25">
      <c r="A3355" s="4" t="s">
        <v>8006</v>
      </c>
      <c r="B3355" s="3" t="s">
        <v>3357</v>
      </c>
      <c r="C3355" s="14">
        <v>15309</v>
      </c>
      <c r="D3355" s="11" t="s">
        <v>5</v>
      </c>
    </row>
    <row r="3356" spans="1:4" x14ac:dyDescent="0.25">
      <c r="A3356" s="4" t="s">
        <v>8007</v>
      </c>
      <c r="B3356" s="3" t="s">
        <v>3358</v>
      </c>
      <c r="C3356" s="14">
        <v>7371</v>
      </c>
      <c r="D3356" s="11" t="s">
        <v>5</v>
      </c>
    </row>
    <row r="3357" spans="1:4" x14ac:dyDescent="0.25">
      <c r="A3357" s="4" t="s">
        <v>8008</v>
      </c>
      <c r="B3357" s="3" t="s">
        <v>3359</v>
      </c>
      <c r="C3357" s="14">
        <v>10206</v>
      </c>
      <c r="D3357" s="11" t="s">
        <v>5</v>
      </c>
    </row>
    <row r="3358" spans="1:4" x14ac:dyDescent="0.25">
      <c r="A3358" s="4" t="s">
        <v>8009</v>
      </c>
      <c r="B3358" s="3" t="s">
        <v>3360</v>
      </c>
      <c r="C3358" s="14">
        <v>550.79999999999995</v>
      </c>
      <c r="D3358" s="11" t="s">
        <v>5</v>
      </c>
    </row>
    <row r="3359" spans="1:4" x14ac:dyDescent="0.25">
      <c r="A3359" s="4" t="s">
        <v>8010</v>
      </c>
      <c r="B3359" s="3" t="s">
        <v>3361</v>
      </c>
      <c r="C3359" s="14">
        <v>25963.08</v>
      </c>
      <c r="D3359" s="11" t="s">
        <v>5</v>
      </c>
    </row>
    <row r="3360" spans="1:4" x14ac:dyDescent="0.25">
      <c r="A3360" s="4" t="s">
        <v>8011</v>
      </c>
      <c r="B3360" s="3" t="s">
        <v>3362</v>
      </c>
      <c r="C3360" s="14">
        <v>14167.76</v>
      </c>
      <c r="D3360" s="11" t="s">
        <v>5</v>
      </c>
    </row>
    <row r="3361" spans="1:4" x14ac:dyDescent="0.25">
      <c r="A3361" s="4" t="s">
        <v>8012</v>
      </c>
      <c r="B3361" s="3" t="s">
        <v>3363</v>
      </c>
      <c r="C3361" s="14">
        <v>64.83</v>
      </c>
      <c r="D3361" s="11" t="s">
        <v>5</v>
      </c>
    </row>
    <row r="3362" spans="1:4" x14ac:dyDescent="0.25">
      <c r="A3362" s="4" t="s">
        <v>8013</v>
      </c>
      <c r="B3362" s="3" t="s">
        <v>3364</v>
      </c>
      <c r="C3362" s="14">
        <v>81.63</v>
      </c>
      <c r="D3362" s="11" t="s">
        <v>5</v>
      </c>
    </row>
    <row r="3363" spans="1:4" x14ac:dyDescent="0.25">
      <c r="A3363" s="4" t="s">
        <v>8014</v>
      </c>
      <c r="B3363" s="3" t="s">
        <v>3365</v>
      </c>
      <c r="C3363" s="14">
        <v>3432.38</v>
      </c>
      <c r="D3363" s="11" t="s">
        <v>5</v>
      </c>
    </row>
    <row r="3364" spans="1:4" x14ac:dyDescent="0.25">
      <c r="A3364" s="4" t="s">
        <v>8015</v>
      </c>
      <c r="B3364" s="3" t="s">
        <v>3366</v>
      </c>
      <c r="C3364" s="14">
        <v>2280.89</v>
      </c>
      <c r="D3364" s="11" t="s">
        <v>5</v>
      </c>
    </row>
    <row r="3365" spans="1:4" x14ac:dyDescent="0.25">
      <c r="A3365" s="4" t="s">
        <v>8016</v>
      </c>
      <c r="B3365" s="3" t="s">
        <v>3367</v>
      </c>
      <c r="C3365" s="14">
        <v>5852.24</v>
      </c>
      <c r="D3365" s="11" t="s">
        <v>5</v>
      </c>
    </row>
    <row r="3366" spans="1:4" x14ac:dyDescent="0.25">
      <c r="A3366" s="4" t="s">
        <v>8017</v>
      </c>
      <c r="B3366" s="3" t="s">
        <v>3368</v>
      </c>
      <c r="C3366" s="14">
        <v>3974.46</v>
      </c>
      <c r="D3366" s="11" t="s">
        <v>5</v>
      </c>
    </row>
    <row r="3367" spans="1:4" x14ac:dyDescent="0.25">
      <c r="A3367" s="4" t="s">
        <v>8018</v>
      </c>
      <c r="B3367" s="3" t="s">
        <v>3369</v>
      </c>
      <c r="C3367" s="14">
        <v>3417.32</v>
      </c>
      <c r="D3367" s="11" t="s">
        <v>5</v>
      </c>
    </row>
    <row r="3368" spans="1:4" x14ac:dyDescent="0.25">
      <c r="A3368" s="4" t="s">
        <v>8019</v>
      </c>
      <c r="B3368" s="3" t="s">
        <v>3370</v>
      </c>
      <c r="C3368" s="14">
        <v>1245.77</v>
      </c>
      <c r="D3368" s="11" t="s">
        <v>5</v>
      </c>
    </row>
    <row r="3369" spans="1:4" x14ac:dyDescent="0.25">
      <c r="A3369" s="4" t="s">
        <v>8020</v>
      </c>
      <c r="B3369" s="3" t="s">
        <v>3371</v>
      </c>
      <c r="C3369" s="14">
        <v>2682.15</v>
      </c>
      <c r="D3369" s="11" t="s">
        <v>5</v>
      </c>
    </row>
    <row r="3370" spans="1:4" x14ac:dyDescent="0.25">
      <c r="A3370" s="4" t="s">
        <v>8021</v>
      </c>
      <c r="B3370" s="3" t="s">
        <v>3372</v>
      </c>
      <c r="C3370" s="14">
        <v>54526.46</v>
      </c>
      <c r="D3370" s="11" t="s">
        <v>5</v>
      </c>
    </row>
    <row r="3371" spans="1:4" x14ac:dyDescent="0.25">
      <c r="A3371" s="4" t="s">
        <v>8022</v>
      </c>
      <c r="B3371" s="3" t="s">
        <v>3373</v>
      </c>
      <c r="C3371" s="14">
        <v>21214.74</v>
      </c>
      <c r="D3371" s="11" t="s">
        <v>5</v>
      </c>
    </row>
    <row r="3372" spans="1:4" x14ac:dyDescent="0.25">
      <c r="A3372" s="4" t="s">
        <v>8023</v>
      </c>
      <c r="B3372" s="3" t="s">
        <v>3374</v>
      </c>
      <c r="C3372" s="14">
        <v>19691.099999999999</v>
      </c>
      <c r="D3372" s="11" t="s">
        <v>5</v>
      </c>
    </row>
    <row r="3373" spans="1:4" x14ac:dyDescent="0.25">
      <c r="A3373" s="4" t="s">
        <v>8024</v>
      </c>
      <c r="B3373" s="3" t="s">
        <v>3375</v>
      </c>
      <c r="C3373" s="14">
        <v>5824.5</v>
      </c>
      <c r="D3373" s="11" t="s">
        <v>5</v>
      </c>
    </row>
    <row r="3374" spans="1:4" x14ac:dyDescent="0.25">
      <c r="A3374" s="4" t="s">
        <v>8025</v>
      </c>
      <c r="B3374" s="3" t="s">
        <v>3376</v>
      </c>
      <c r="C3374" s="14">
        <v>3197.96</v>
      </c>
      <c r="D3374" s="11" t="s">
        <v>5</v>
      </c>
    </row>
    <row r="3375" spans="1:4" x14ac:dyDescent="0.25">
      <c r="A3375" s="4" t="s">
        <v>8026</v>
      </c>
      <c r="B3375" s="3" t="s">
        <v>3377</v>
      </c>
      <c r="C3375" s="14">
        <v>5107.07</v>
      </c>
      <c r="D3375" s="11" t="s">
        <v>5</v>
      </c>
    </row>
    <row r="3376" spans="1:4" x14ac:dyDescent="0.25">
      <c r="A3376" s="4" t="s">
        <v>8027</v>
      </c>
      <c r="B3376" s="3" t="s">
        <v>3378</v>
      </c>
      <c r="C3376" s="14">
        <v>1653.69</v>
      </c>
      <c r="D3376" s="11" t="s">
        <v>5</v>
      </c>
    </row>
    <row r="3377" spans="1:4" x14ac:dyDescent="0.25">
      <c r="A3377" s="4" t="s">
        <v>8028</v>
      </c>
      <c r="B3377" s="3" t="s">
        <v>3379</v>
      </c>
      <c r="C3377" s="14">
        <v>1185.44</v>
      </c>
      <c r="D3377" s="11" t="s">
        <v>5</v>
      </c>
    </row>
    <row r="3378" spans="1:4" x14ac:dyDescent="0.25">
      <c r="A3378" s="4" t="s">
        <v>8029</v>
      </c>
      <c r="B3378" s="3" t="s">
        <v>3380</v>
      </c>
      <c r="C3378" s="14">
        <v>1690.82</v>
      </c>
      <c r="D3378" s="11" t="s">
        <v>5</v>
      </c>
    </row>
    <row r="3379" spans="1:4" x14ac:dyDescent="0.25">
      <c r="A3379" s="4" t="s">
        <v>8030</v>
      </c>
      <c r="B3379" s="3" t="s">
        <v>3381</v>
      </c>
      <c r="C3379" s="14">
        <v>1227.96</v>
      </c>
      <c r="D3379" s="11" t="s">
        <v>5</v>
      </c>
    </row>
    <row r="3380" spans="1:4" x14ac:dyDescent="0.25">
      <c r="A3380" s="4" t="s">
        <v>8031</v>
      </c>
      <c r="B3380" s="3" t="s">
        <v>3382</v>
      </c>
      <c r="C3380" s="14">
        <v>1690.82</v>
      </c>
      <c r="D3380" s="11" t="s">
        <v>5</v>
      </c>
    </row>
    <row r="3381" spans="1:4" x14ac:dyDescent="0.25">
      <c r="A3381" s="4" t="s">
        <v>8032</v>
      </c>
      <c r="B3381" s="3" t="s">
        <v>3383</v>
      </c>
      <c r="C3381" s="14">
        <v>1291.1300000000001</v>
      </c>
      <c r="D3381" s="11" t="s">
        <v>5</v>
      </c>
    </row>
    <row r="3382" spans="1:4" x14ac:dyDescent="0.25">
      <c r="A3382" s="4" t="s">
        <v>8033</v>
      </c>
      <c r="B3382" s="3" t="s">
        <v>3384</v>
      </c>
      <c r="C3382" s="14">
        <v>1690.82</v>
      </c>
      <c r="D3382" s="11" t="s">
        <v>5</v>
      </c>
    </row>
    <row r="3383" spans="1:4" x14ac:dyDescent="0.25">
      <c r="A3383" s="4" t="s">
        <v>8034</v>
      </c>
      <c r="B3383" s="3" t="s">
        <v>3385</v>
      </c>
      <c r="C3383" s="14">
        <v>436.88</v>
      </c>
      <c r="D3383" s="11" t="s">
        <v>5</v>
      </c>
    </row>
    <row r="3384" spans="1:4" x14ac:dyDescent="0.25">
      <c r="A3384" s="4" t="s">
        <v>8035</v>
      </c>
      <c r="B3384" s="3" t="s">
        <v>3386</v>
      </c>
      <c r="C3384" s="14">
        <v>433.49</v>
      </c>
      <c r="D3384" s="11" t="s">
        <v>5</v>
      </c>
    </row>
    <row r="3385" spans="1:4" x14ac:dyDescent="0.25">
      <c r="A3385" s="4" t="s">
        <v>8036</v>
      </c>
      <c r="B3385" s="3" t="s">
        <v>3387</v>
      </c>
      <c r="C3385" s="14">
        <v>600.38</v>
      </c>
      <c r="D3385" s="11" t="s">
        <v>5</v>
      </c>
    </row>
    <row r="3386" spans="1:4" x14ac:dyDescent="0.25">
      <c r="A3386" s="4" t="s">
        <v>8037</v>
      </c>
      <c r="B3386" s="3" t="s">
        <v>3388</v>
      </c>
      <c r="C3386" s="14">
        <v>368.51</v>
      </c>
      <c r="D3386" s="11" t="s">
        <v>5</v>
      </c>
    </row>
    <row r="3387" spans="1:4" x14ac:dyDescent="0.25">
      <c r="A3387" s="4" t="s">
        <v>8038</v>
      </c>
      <c r="B3387" s="3" t="s">
        <v>3389</v>
      </c>
      <c r="C3387" s="14">
        <v>712.56</v>
      </c>
      <c r="D3387" s="11" t="s">
        <v>5</v>
      </c>
    </row>
    <row r="3388" spans="1:4" x14ac:dyDescent="0.25">
      <c r="A3388" s="4" t="s">
        <v>8039</v>
      </c>
      <c r="B3388" s="3" t="s">
        <v>3390</v>
      </c>
      <c r="C3388" s="14">
        <v>771.54</v>
      </c>
      <c r="D3388" s="11" t="s">
        <v>5</v>
      </c>
    </row>
    <row r="3389" spans="1:4" x14ac:dyDescent="0.25">
      <c r="A3389" s="4" t="s">
        <v>8040</v>
      </c>
      <c r="B3389" s="3" t="s">
        <v>3391</v>
      </c>
      <c r="C3389" s="14">
        <v>1839.36</v>
      </c>
      <c r="D3389" s="11" t="s">
        <v>5</v>
      </c>
    </row>
    <row r="3390" spans="1:4" x14ac:dyDescent="0.25">
      <c r="A3390" s="4" t="s">
        <v>8041</v>
      </c>
      <c r="B3390" s="3" t="s">
        <v>3392</v>
      </c>
      <c r="C3390" s="14">
        <v>398.16</v>
      </c>
      <c r="D3390" s="11" t="s">
        <v>5</v>
      </c>
    </row>
    <row r="3391" spans="1:4" x14ac:dyDescent="0.25">
      <c r="A3391" s="4" t="s">
        <v>8042</v>
      </c>
      <c r="B3391" s="3" t="s">
        <v>3393</v>
      </c>
      <c r="C3391" s="14">
        <v>653.54</v>
      </c>
      <c r="D3391" s="11" t="s">
        <v>5</v>
      </c>
    </row>
    <row r="3392" spans="1:4" x14ac:dyDescent="0.25">
      <c r="A3392" s="4" t="s">
        <v>8043</v>
      </c>
      <c r="B3392" s="3" t="s">
        <v>3394</v>
      </c>
      <c r="C3392" s="14">
        <v>904.68</v>
      </c>
      <c r="D3392" s="11" t="s">
        <v>5</v>
      </c>
    </row>
    <row r="3393" spans="1:4" x14ac:dyDescent="0.25">
      <c r="A3393" s="4" t="s">
        <v>8044</v>
      </c>
      <c r="B3393" s="3" t="s">
        <v>3395</v>
      </c>
      <c r="C3393" s="14">
        <v>2454.38</v>
      </c>
      <c r="D3393" s="11" t="s">
        <v>5</v>
      </c>
    </row>
    <row r="3394" spans="1:4" x14ac:dyDescent="0.25">
      <c r="A3394" s="4" t="s">
        <v>8045</v>
      </c>
      <c r="B3394" s="3" t="s">
        <v>3396</v>
      </c>
      <c r="C3394" s="14">
        <v>2967.89</v>
      </c>
      <c r="D3394" s="11" t="s">
        <v>5</v>
      </c>
    </row>
    <row r="3395" spans="1:4" x14ac:dyDescent="0.25">
      <c r="A3395" s="4" t="s">
        <v>8046</v>
      </c>
      <c r="B3395" s="3" t="s">
        <v>3397</v>
      </c>
      <c r="C3395" s="14">
        <v>3502.02</v>
      </c>
      <c r="D3395" s="11" t="s">
        <v>5</v>
      </c>
    </row>
    <row r="3396" spans="1:4" x14ac:dyDescent="0.25">
      <c r="A3396" s="4" t="s">
        <v>8047</v>
      </c>
      <c r="B3396" s="3" t="s">
        <v>3398</v>
      </c>
      <c r="C3396" s="14">
        <v>563.84</v>
      </c>
      <c r="D3396" s="11" t="s">
        <v>5</v>
      </c>
    </row>
    <row r="3397" spans="1:4" x14ac:dyDescent="0.25">
      <c r="A3397" s="4" t="s">
        <v>8048</v>
      </c>
      <c r="B3397" s="3" t="s">
        <v>3399</v>
      </c>
      <c r="C3397" s="14">
        <v>642.32000000000005</v>
      </c>
      <c r="D3397" s="11" t="s">
        <v>5</v>
      </c>
    </row>
    <row r="3398" spans="1:4" x14ac:dyDescent="0.25">
      <c r="A3398" s="4" t="s">
        <v>8049</v>
      </c>
      <c r="B3398" s="3" t="s">
        <v>3400</v>
      </c>
      <c r="C3398" s="14">
        <v>830.04</v>
      </c>
      <c r="D3398" s="11" t="s">
        <v>5</v>
      </c>
    </row>
    <row r="3399" spans="1:4" x14ac:dyDescent="0.25">
      <c r="A3399" s="4" t="s">
        <v>8050</v>
      </c>
      <c r="B3399" s="3" t="s">
        <v>3401</v>
      </c>
      <c r="C3399" s="14">
        <v>2121.12</v>
      </c>
      <c r="D3399" s="11" t="s">
        <v>5</v>
      </c>
    </row>
    <row r="3400" spans="1:4" x14ac:dyDescent="0.25">
      <c r="A3400" s="4" t="s">
        <v>8051</v>
      </c>
      <c r="B3400" s="3" t="s">
        <v>3402</v>
      </c>
      <c r="C3400" s="14">
        <v>603.41</v>
      </c>
      <c r="D3400" s="11" t="s">
        <v>5</v>
      </c>
    </row>
    <row r="3401" spans="1:4" x14ac:dyDescent="0.25">
      <c r="A3401" s="4" t="s">
        <v>8052</v>
      </c>
      <c r="B3401" s="3" t="s">
        <v>3403</v>
      </c>
      <c r="C3401" s="14">
        <v>691.25</v>
      </c>
      <c r="D3401" s="11" t="s">
        <v>5</v>
      </c>
    </row>
    <row r="3402" spans="1:4" x14ac:dyDescent="0.25">
      <c r="A3402" s="4" t="s">
        <v>8053</v>
      </c>
      <c r="B3402" s="3" t="s">
        <v>3404</v>
      </c>
      <c r="C3402" s="14">
        <v>1067.79</v>
      </c>
      <c r="D3402" s="11" t="s">
        <v>5</v>
      </c>
    </row>
    <row r="3403" spans="1:4" x14ac:dyDescent="0.25">
      <c r="A3403" s="4" t="s">
        <v>8054</v>
      </c>
      <c r="B3403" s="3" t="s">
        <v>3405</v>
      </c>
      <c r="C3403" s="14">
        <v>2676.09</v>
      </c>
      <c r="D3403" s="11" t="s">
        <v>5</v>
      </c>
    </row>
    <row r="3404" spans="1:4" x14ac:dyDescent="0.25">
      <c r="A3404" s="4" t="s">
        <v>8055</v>
      </c>
      <c r="B3404" s="3" t="s">
        <v>3406</v>
      </c>
      <c r="C3404" s="14">
        <v>217.34</v>
      </c>
      <c r="D3404" s="11" t="s">
        <v>5</v>
      </c>
    </row>
    <row r="3405" spans="1:4" x14ac:dyDescent="0.25">
      <c r="A3405" s="4" t="s">
        <v>8056</v>
      </c>
      <c r="B3405" s="3" t="s">
        <v>3407</v>
      </c>
      <c r="C3405" s="14">
        <v>226.02</v>
      </c>
      <c r="D3405" s="11" t="s">
        <v>5</v>
      </c>
    </row>
    <row r="3406" spans="1:4" x14ac:dyDescent="0.25">
      <c r="A3406" s="4" t="s">
        <v>8057</v>
      </c>
      <c r="B3406" s="3" t="s">
        <v>3408</v>
      </c>
      <c r="C3406" s="14">
        <v>347.45</v>
      </c>
      <c r="D3406" s="11" t="s">
        <v>5</v>
      </c>
    </row>
    <row r="3407" spans="1:4" x14ac:dyDescent="0.25">
      <c r="A3407" s="4" t="s">
        <v>8058</v>
      </c>
      <c r="B3407" s="3" t="s">
        <v>3409</v>
      </c>
      <c r="C3407" s="14">
        <v>482.52</v>
      </c>
      <c r="D3407" s="11" t="s">
        <v>5</v>
      </c>
    </row>
    <row r="3408" spans="1:4" x14ac:dyDescent="0.25">
      <c r="A3408" s="4" t="s">
        <v>8059</v>
      </c>
      <c r="B3408" s="3" t="s">
        <v>3410</v>
      </c>
      <c r="C3408" s="14">
        <v>623.69000000000005</v>
      </c>
      <c r="D3408" s="11" t="s">
        <v>5</v>
      </c>
    </row>
    <row r="3409" spans="1:4" x14ac:dyDescent="0.25">
      <c r="A3409" s="4" t="s">
        <v>8060</v>
      </c>
      <c r="B3409" s="3" t="s">
        <v>3411</v>
      </c>
      <c r="C3409" s="14">
        <v>1077.48</v>
      </c>
      <c r="D3409" s="11" t="s">
        <v>5</v>
      </c>
    </row>
    <row r="3410" spans="1:4" x14ac:dyDescent="0.25">
      <c r="A3410" s="4" t="s">
        <v>8061</v>
      </c>
      <c r="B3410" s="3" t="s">
        <v>3412</v>
      </c>
      <c r="C3410" s="14">
        <v>2898.06</v>
      </c>
      <c r="D3410" s="11" t="s">
        <v>5</v>
      </c>
    </row>
    <row r="3411" spans="1:4" x14ac:dyDescent="0.25">
      <c r="A3411" s="4" t="s">
        <v>8062</v>
      </c>
      <c r="B3411" s="3" t="s">
        <v>3413</v>
      </c>
      <c r="C3411" s="14">
        <v>1702.85</v>
      </c>
      <c r="D3411" s="11" t="s">
        <v>5</v>
      </c>
    </row>
    <row r="3412" spans="1:4" x14ac:dyDescent="0.25">
      <c r="A3412" s="4" t="s">
        <v>8063</v>
      </c>
      <c r="B3412" s="3" t="s">
        <v>3414</v>
      </c>
      <c r="C3412" s="14">
        <v>1321.79</v>
      </c>
      <c r="D3412" s="11" t="s">
        <v>5</v>
      </c>
    </row>
    <row r="3413" spans="1:4" x14ac:dyDescent="0.25">
      <c r="A3413" s="4" t="s">
        <v>8064</v>
      </c>
      <c r="B3413" s="3" t="s">
        <v>3415</v>
      </c>
      <c r="C3413" s="14">
        <v>3099.14</v>
      </c>
      <c r="D3413" s="11" t="s">
        <v>5</v>
      </c>
    </row>
    <row r="3414" spans="1:4" x14ac:dyDescent="0.25">
      <c r="A3414" s="4" t="s">
        <v>8065</v>
      </c>
      <c r="B3414" s="3" t="s">
        <v>3416</v>
      </c>
      <c r="C3414" s="14">
        <v>1408.4</v>
      </c>
      <c r="D3414" s="11" t="s">
        <v>5</v>
      </c>
    </row>
    <row r="3415" spans="1:4" x14ac:dyDescent="0.25">
      <c r="A3415" s="4" t="s">
        <v>8066</v>
      </c>
      <c r="B3415" s="3" t="s">
        <v>3417</v>
      </c>
      <c r="C3415" s="14">
        <v>4807.88</v>
      </c>
      <c r="D3415" s="11" t="s">
        <v>5</v>
      </c>
    </row>
    <row r="3416" spans="1:4" x14ac:dyDescent="0.25">
      <c r="A3416" s="4" t="s">
        <v>8067</v>
      </c>
      <c r="B3416" s="3" t="s">
        <v>3418</v>
      </c>
      <c r="C3416" s="14">
        <v>11677.67</v>
      </c>
      <c r="D3416" s="11" t="s">
        <v>5</v>
      </c>
    </row>
    <row r="3417" spans="1:4" x14ac:dyDescent="0.25">
      <c r="A3417" s="4" t="s">
        <v>8068</v>
      </c>
      <c r="B3417" s="3" t="s">
        <v>3419</v>
      </c>
      <c r="C3417" s="14">
        <v>474.98</v>
      </c>
      <c r="D3417" s="11" t="s">
        <v>5</v>
      </c>
    </row>
    <row r="3418" spans="1:4" x14ac:dyDescent="0.25">
      <c r="A3418" s="4" t="s">
        <v>8069</v>
      </c>
      <c r="B3418" s="3" t="s">
        <v>3420</v>
      </c>
      <c r="C3418" s="14">
        <v>571.35</v>
      </c>
      <c r="D3418" s="11" t="s">
        <v>5</v>
      </c>
    </row>
    <row r="3419" spans="1:4" x14ac:dyDescent="0.25">
      <c r="A3419" s="4" t="s">
        <v>8070</v>
      </c>
      <c r="B3419" s="3" t="s">
        <v>3421</v>
      </c>
      <c r="C3419" s="14">
        <v>853.79</v>
      </c>
      <c r="D3419" s="11" t="s">
        <v>5</v>
      </c>
    </row>
    <row r="3420" spans="1:4" x14ac:dyDescent="0.25">
      <c r="A3420" s="4" t="s">
        <v>8071</v>
      </c>
      <c r="B3420" s="3" t="s">
        <v>3422</v>
      </c>
      <c r="C3420" s="14">
        <v>1786.46</v>
      </c>
      <c r="D3420" s="11" t="s">
        <v>5</v>
      </c>
    </row>
    <row r="3421" spans="1:4" x14ac:dyDescent="0.25">
      <c r="A3421" s="4" t="s">
        <v>8072</v>
      </c>
      <c r="B3421" s="3" t="s">
        <v>3423</v>
      </c>
      <c r="C3421" s="14">
        <v>385.53</v>
      </c>
      <c r="D3421" s="11" t="s">
        <v>5</v>
      </c>
    </row>
    <row r="3422" spans="1:4" x14ac:dyDescent="0.25">
      <c r="A3422" s="4" t="s">
        <v>8073</v>
      </c>
      <c r="B3422" s="3" t="s">
        <v>3424</v>
      </c>
      <c r="C3422" s="14">
        <v>453.41</v>
      </c>
      <c r="D3422" s="11" t="s">
        <v>5</v>
      </c>
    </row>
    <row r="3423" spans="1:4" x14ac:dyDescent="0.25">
      <c r="A3423" s="4" t="s">
        <v>8074</v>
      </c>
      <c r="B3423" s="3" t="s">
        <v>3425</v>
      </c>
      <c r="C3423" s="14">
        <v>712.56</v>
      </c>
      <c r="D3423" s="11" t="s">
        <v>5</v>
      </c>
    </row>
    <row r="3424" spans="1:4" x14ac:dyDescent="0.25">
      <c r="A3424" s="4" t="s">
        <v>8075</v>
      </c>
      <c r="B3424" s="3" t="s">
        <v>3426</v>
      </c>
      <c r="C3424" s="14">
        <v>1482.08</v>
      </c>
      <c r="D3424" s="11" t="s">
        <v>5</v>
      </c>
    </row>
    <row r="3425" spans="1:4" x14ac:dyDescent="0.25">
      <c r="A3425" s="4" t="s">
        <v>8076</v>
      </c>
      <c r="B3425" s="3" t="s">
        <v>3427</v>
      </c>
      <c r="C3425" s="14">
        <v>8755.1299999999992</v>
      </c>
      <c r="D3425" s="11" t="s">
        <v>5</v>
      </c>
    </row>
    <row r="3426" spans="1:4" x14ac:dyDescent="0.25">
      <c r="A3426" s="4" t="s">
        <v>8077</v>
      </c>
      <c r="B3426" s="3" t="s">
        <v>3428</v>
      </c>
      <c r="C3426" s="14">
        <v>251.13</v>
      </c>
      <c r="D3426" s="11" t="s">
        <v>5</v>
      </c>
    </row>
    <row r="3427" spans="1:4" x14ac:dyDescent="0.25">
      <c r="A3427" s="4" t="s">
        <v>8078</v>
      </c>
      <c r="B3427" s="3" t="s">
        <v>3429</v>
      </c>
      <c r="C3427" s="14">
        <v>267.52999999999997</v>
      </c>
      <c r="D3427" s="11" t="s">
        <v>5</v>
      </c>
    </row>
    <row r="3428" spans="1:4" x14ac:dyDescent="0.25">
      <c r="A3428" s="4" t="s">
        <v>8079</v>
      </c>
      <c r="B3428" s="3" t="s">
        <v>3430</v>
      </c>
      <c r="C3428" s="14">
        <v>347.76</v>
      </c>
      <c r="D3428" s="11" t="s">
        <v>5</v>
      </c>
    </row>
    <row r="3429" spans="1:4" x14ac:dyDescent="0.25">
      <c r="A3429" s="4" t="s">
        <v>8080</v>
      </c>
      <c r="B3429" s="3" t="s">
        <v>3431</v>
      </c>
      <c r="C3429" s="14">
        <v>519.89</v>
      </c>
      <c r="D3429" s="11" t="s">
        <v>5</v>
      </c>
    </row>
    <row r="3430" spans="1:4" x14ac:dyDescent="0.25">
      <c r="A3430" s="4" t="s">
        <v>8081</v>
      </c>
      <c r="B3430" s="3" t="s">
        <v>3432</v>
      </c>
      <c r="C3430" s="14">
        <v>767.43</v>
      </c>
      <c r="D3430" s="11" t="s">
        <v>5</v>
      </c>
    </row>
    <row r="3431" spans="1:4" x14ac:dyDescent="0.25">
      <c r="A3431" s="4" t="s">
        <v>8082</v>
      </c>
      <c r="B3431" s="3" t="s">
        <v>3433</v>
      </c>
      <c r="C3431" s="14">
        <v>996.17</v>
      </c>
      <c r="D3431" s="11" t="s">
        <v>5</v>
      </c>
    </row>
    <row r="3432" spans="1:4" x14ac:dyDescent="0.25">
      <c r="A3432" s="4" t="s">
        <v>8083</v>
      </c>
      <c r="B3432" s="3" t="s">
        <v>3434</v>
      </c>
      <c r="C3432" s="14">
        <v>2667.48</v>
      </c>
      <c r="D3432" s="11" t="s">
        <v>5</v>
      </c>
    </row>
    <row r="3433" spans="1:4" x14ac:dyDescent="0.25">
      <c r="A3433" s="4" t="s">
        <v>8084</v>
      </c>
      <c r="B3433" s="3" t="s">
        <v>3435</v>
      </c>
      <c r="C3433" s="14">
        <v>593.75</v>
      </c>
      <c r="D3433" s="11" t="s">
        <v>5</v>
      </c>
    </row>
    <row r="3434" spans="1:4" x14ac:dyDescent="0.25">
      <c r="A3434" s="4" t="s">
        <v>8085</v>
      </c>
      <c r="B3434" s="3" t="s">
        <v>3436</v>
      </c>
      <c r="C3434" s="14">
        <v>924.69</v>
      </c>
      <c r="D3434" s="11" t="s">
        <v>5</v>
      </c>
    </row>
    <row r="3435" spans="1:4" x14ac:dyDescent="0.25">
      <c r="A3435" s="4" t="s">
        <v>8086</v>
      </c>
      <c r="B3435" s="3" t="s">
        <v>3437</v>
      </c>
      <c r="C3435" s="14">
        <v>1272.3499999999999</v>
      </c>
      <c r="D3435" s="11" t="s">
        <v>5</v>
      </c>
    </row>
    <row r="3436" spans="1:4" x14ac:dyDescent="0.25">
      <c r="A3436" s="4" t="s">
        <v>8087</v>
      </c>
      <c r="B3436" s="3" t="s">
        <v>3438</v>
      </c>
      <c r="C3436" s="14">
        <v>3261.8</v>
      </c>
      <c r="D3436" s="11" t="s">
        <v>5</v>
      </c>
    </row>
    <row r="3437" spans="1:4" x14ac:dyDescent="0.25">
      <c r="A3437" s="4" t="s">
        <v>8088</v>
      </c>
      <c r="B3437" s="3" t="s">
        <v>3439</v>
      </c>
      <c r="C3437" s="14">
        <v>800.61</v>
      </c>
      <c r="D3437" s="11" t="s">
        <v>5</v>
      </c>
    </row>
    <row r="3438" spans="1:4" x14ac:dyDescent="0.25">
      <c r="A3438" s="4" t="s">
        <v>8089</v>
      </c>
      <c r="B3438" s="3" t="s">
        <v>3440</v>
      </c>
      <c r="C3438" s="14">
        <v>1177.95</v>
      </c>
      <c r="D3438" s="11" t="s">
        <v>5</v>
      </c>
    </row>
    <row r="3439" spans="1:4" x14ac:dyDescent="0.25">
      <c r="A3439" s="4" t="s">
        <v>8090</v>
      </c>
      <c r="B3439" s="3" t="s">
        <v>3441</v>
      </c>
      <c r="C3439" s="14">
        <v>2060.13</v>
      </c>
      <c r="D3439" s="11" t="s">
        <v>5</v>
      </c>
    </row>
    <row r="3440" spans="1:4" x14ac:dyDescent="0.25">
      <c r="A3440" s="4" t="s">
        <v>8091</v>
      </c>
      <c r="B3440" s="3" t="s">
        <v>3442</v>
      </c>
      <c r="C3440" s="14">
        <v>4037.49</v>
      </c>
      <c r="D3440" s="11" t="s">
        <v>5</v>
      </c>
    </row>
    <row r="3441" spans="1:4" x14ac:dyDescent="0.25">
      <c r="A3441" s="4" t="s">
        <v>8092</v>
      </c>
      <c r="B3441" s="3" t="s">
        <v>3443</v>
      </c>
      <c r="C3441" s="14">
        <v>581.28</v>
      </c>
      <c r="D3441" s="11" t="s">
        <v>5</v>
      </c>
    </row>
    <row r="3442" spans="1:4" x14ac:dyDescent="0.25">
      <c r="A3442" s="4" t="s">
        <v>8093</v>
      </c>
      <c r="B3442" s="3" t="s">
        <v>3444</v>
      </c>
      <c r="C3442" s="14">
        <v>712.56</v>
      </c>
      <c r="D3442" s="11" t="s">
        <v>5</v>
      </c>
    </row>
    <row r="3443" spans="1:4" x14ac:dyDescent="0.25">
      <c r="A3443" s="4" t="s">
        <v>8094</v>
      </c>
      <c r="B3443" s="3" t="s">
        <v>3445</v>
      </c>
      <c r="C3443" s="14">
        <v>1024.4100000000001</v>
      </c>
      <c r="D3443" s="11" t="s">
        <v>5</v>
      </c>
    </row>
    <row r="3444" spans="1:4" x14ac:dyDescent="0.25">
      <c r="A3444" s="4" t="s">
        <v>8095</v>
      </c>
      <c r="B3444" s="3" t="s">
        <v>3446</v>
      </c>
      <c r="C3444" s="14">
        <v>3261.8</v>
      </c>
      <c r="D3444" s="11" t="s">
        <v>5</v>
      </c>
    </row>
    <row r="3445" spans="1:4" x14ac:dyDescent="0.25">
      <c r="A3445" s="4" t="s">
        <v>8096</v>
      </c>
      <c r="B3445" s="3" t="s">
        <v>3447</v>
      </c>
      <c r="C3445" s="14">
        <v>682.53</v>
      </c>
      <c r="D3445" s="11" t="s">
        <v>5</v>
      </c>
    </row>
    <row r="3446" spans="1:4" x14ac:dyDescent="0.25">
      <c r="A3446" s="4" t="s">
        <v>8097</v>
      </c>
      <c r="B3446" s="3" t="s">
        <v>3448</v>
      </c>
      <c r="C3446" s="14">
        <v>1061.4000000000001</v>
      </c>
      <c r="D3446" s="11" t="s">
        <v>5</v>
      </c>
    </row>
    <row r="3447" spans="1:4" x14ac:dyDescent="0.25">
      <c r="A3447" s="4" t="s">
        <v>8098</v>
      </c>
      <c r="B3447" s="3" t="s">
        <v>3449</v>
      </c>
      <c r="C3447" s="14">
        <v>1308.69</v>
      </c>
      <c r="D3447" s="11" t="s">
        <v>5</v>
      </c>
    </row>
    <row r="3448" spans="1:4" x14ac:dyDescent="0.25">
      <c r="A3448" s="4" t="s">
        <v>8099</v>
      </c>
      <c r="B3448" s="3" t="s">
        <v>3450</v>
      </c>
      <c r="C3448" s="14">
        <v>3960.81</v>
      </c>
      <c r="D3448" s="11" t="s">
        <v>5</v>
      </c>
    </row>
    <row r="3449" spans="1:4" x14ac:dyDescent="0.25">
      <c r="A3449" s="4" t="s">
        <v>8100</v>
      </c>
      <c r="B3449" s="3" t="s">
        <v>3451</v>
      </c>
      <c r="C3449" s="14">
        <v>325.31</v>
      </c>
      <c r="D3449" s="11" t="s">
        <v>5</v>
      </c>
    </row>
    <row r="3450" spans="1:4" x14ac:dyDescent="0.25">
      <c r="A3450" s="4" t="s">
        <v>8101</v>
      </c>
      <c r="B3450" s="3" t="s">
        <v>3452</v>
      </c>
      <c r="C3450" s="14">
        <v>595.91999999999996</v>
      </c>
      <c r="D3450" s="11" t="s">
        <v>5</v>
      </c>
    </row>
    <row r="3451" spans="1:4" x14ac:dyDescent="0.25">
      <c r="A3451" s="4" t="s">
        <v>8102</v>
      </c>
      <c r="B3451" s="3" t="s">
        <v>3453</v>
      </c>
      <c r="C3451" s="14">
        <v>735.53</v>
      </c>
      <c r="D3451" s="11" t="s">
        <v>5</v>
      </c>
    </row>
    <row r="3452" spans="1:4" x14ac:dyDescent="0.25">
      <c r="A3452" s="4" t="s">
        <v>8103</v>
      </c>
      <c r="B3452" s="3" t="s">
        <v>3454</v>
      </c>
      <c r="C3452" s="14">
        <v>783.71</v>
      </c>
      <c r="D3452" s="11" t="s">
        <v>5</v>
      </c>
    </row>
    <row r="3453" spans="1:4" x14ac:dyDescent="0.25">
      <c r="A3453" s="4" t="s">
        <v>8104</v>
      </c>
      <c r="B3453" s="3" t="s">
        <v>3455</v>
      </c>
      <c r="C3453" s="14">
        <v>1956.62</v>
      </c>
      <c r="D3453" s="11" t="s">
        <v>5</v>
      </c>
    </row>
    <row r="3454" spans="1:4" x14ac:dyDescent="0.25">
      <c r="A3454" s="4" t="s">
        <v>8105</v>
      </c>
      <c r="B3454" s="3" t="s">
        <v>3456</v>
      </c>
      <c r="C3454" s="14">
        <v>2738.88</v>
      </c>
      <c r="D3454" s="11" t="s">
        <v>5</v>
      </c>
    </row>
    <row r="3455" spans="1:4" x14ac:dyDescent="0.25">
      <c r="A3455" s="4" t="s">
        <v>8106</v>
      </c>
      <c r="B3455" s="3" t="s">
        <v>3457</v>
      </c>
      <c r="C3455" s="14">
        <v>1042.4100000000001</v>
      </c>
      <c r="D3455" s="11" t="s">
        <v>5</v>
      </c>
    </row>
    <row r="3456" spans="1:4" x14ac:dyDescent="0.25">
      <c r="A3456" s="4" t="s">
        <v>8107</v>
      </c>
      <c r="B3456" s="3" t="s">
        <v>3458</v>
      </c>
      <c r="C3456" s="14">
        <v>334.62</v>
      </c>
      <c r="D3456" s="11" t="s">
        <v>5</v>
      </c>
    </row>
    <row r="3457" spans="1:4" x14ac:dyDescent="0.25">
      <c r="A3457" s="4" t="s">
        <v>8108</v>
      </c>
      <c r="B3457" s="3" t="s">
        <v>3459</v>
      </c>
      <c r="C3457" s="14">
        <v>664.41</v>
      </c>
      <c r="D3457" s="11" t="s">
        <v>5</v>
      </c>
    </row>
    <row r="3458" spans="1:4" x14ac:dyDescent="0.25">
      <c r="A3458" s="4" t="s">
        <v>8109</v>
      </c>
      <c r="B3458" s="3" t="s">
        <v>3460</v>
      </c>
      <c r="C3458" s="14">
        <v>580.35</v>
      </c>
      <c r="D3458" s="11" t="s">
        <v>5</v>
      </c>
    </row>
    <row r="3459" spans="1:4" x14ac:dyDescent="0.25">
      <c r="A3459" s="4" t="s">
        <v>8110</v>
      </c>
      <c r="B3459" s="3" t="s">
        <v>3461</v>
      </c>
      <c r="C3459" s="14">
        <v>1125.44</v>
      </c>
      <c r="D3459" s="11" t="s">
        <v>5</v>
      </c>
    </row>
    <row r="3460" spans="1:4" x14ac:dyDescent="0.25">
      <c r="A3460" s="4" t="s">
        <v>8111</v>
      </c>
      <c r="B3460" s="3" t="s">
        <v>3462</v>
      </c>
      <c r="C3460" s="14">
        <v>2049.1999999999998</v>
      </c>
      <c r="D3460" s="11" t="s">
        <v>5</v>
      </c>
    </row>
    <row r="3461" spans="1:4" x14ac:dyDescent="0.25">
      <c r="A3461" s="4" t="s">
        <v>8112</v>
      </c>
      <c r="B3461" s="3" t="s">
        <v>3463</v>
      </c>
      <c r="C3461" s="14">
        <v>4195.91</v>
      </c>
      <c r="D3461" s="11" t="s">
        <v>5</v>
      </c>
    </row>
    <row r="3462" spans="1:4" x14ac:dyDescent="0.25">
      <c r="A3462" s="4" t="s">
        <v>8113</v>
      </c>
      <c r="B3462" s="3" t="s">
        <v>3464</v>
      </c>
      <c r="C3462" s="14">
        <v>9752.2800000000007</v>
      </c>
      <c r="D3462" s="11" t="s">
        <v>5</v>
      </c>
    </row>
    <row r="3463" spans="1:4" x14ac:dyDescent="0.25">
      <c r="A3463" s="4" t="s">
        <v>8114</v>
      </c>
      <c r="B3463" s="3" t="s">
        <v>3465</v>
      </c>
      <c r="C3463" s="14">
        <v>6226.77</v>
      </c>
      <c r="D3463" s="11" t="s">
        <v>5</v>
      </c>
    </row>
    <row r="3464" spans="1:4" x14ac:dyDescent="0.25">
      <c r="A3464" s="4" t="s">
        <v>8115</v>
      </c>
      <c r="B3464" s="3" t="s">
        <v>3466</v>
      </c>
      <c r="C3464" s="14">
        <v>2146.17</v>
      </c>
      <c r="D3464" s="11" t="s">
        <v>5</v>
      </c>
    </row>
    <row r="3465" spans="1:4" x14ac:dyDescent="0.25">
      <c r="A3465" s="4" t="s">
        <v>8116</v>
      </c>
      <c r="B3465" s="3" t="s">
        <v>3467</v>
      </c>
      <c r="C3465" s="14">
        <v>2146.17</v>
      </c>
      <c r="D3465" s="11" t="s">
        <v>5</v>
      </c>
    </row>
    <row r="3466" spans="1:4" x14ac:dyDescent="0.25">
      <c r="A3466" s="4" t="s">
        <v>8117</v>
      </c>
      <c r="B3466" s="3" t="s">
        <v>3468</v>
      </c>
      <c r="C3466" s="14">
        <v>2459.12</v>
      </c>
      <c r="D3466" s="11" t="s">
        <v>5</v>
      </c>
    </row>
    <row r="3467" spans="1:4" x14ac:dyDescent="0.25">
      <c r="A3467" s="4" t="s">
        <v>8118</v>
      </c>
      <c r="B3467" s="3" t="s">
        <v>3469</v>
      </c>
      <c r="C3467" s="14">
        <v>2456.31</v>
      </c>
      <c r="D3467" s="11" t="s">
        <v>5</v>
      </c>
    </row>
    <row r="3468" spans="1:4" x14ac:dyDescent="0.25">
      <c r="A3468" s="4" t="s">
        <v>8119</v>
      </c>
      <c r="B3468" s="3" t="s">
        <v>3470</v>
      </c>
      <c r="C3468" s="14">
        <v>3024.29</v>
      </c>
      <c r="D3468" s="11" t="s">
        <v>5</v>
      </c>
    </row>
    <row r="3469" spans="1:4" x14ac:dyDescent="0.25">
      <c r="A3469" s="4" t="s">
        <v>8120</v>
      </c>
      <c r="B3469" s="3" t="s">
        <v>3471</v>
      </c>
      <c r="C3469" s="14">
        <v>3024.29</v>
      </c>
      <c r="D3469" s="11" t="s">
        <v>5</v>
      </c>
    </row>
    <row r="3470" spans="1:4" x14ac:dyDescent="0.25">
      <c r="A3470" s="4" t="s">
        <v>8121</v>
      </c>
      <c r="B3470" s="3" t="s">
        <v>3472</v>
      </c>
      <c r="C3470" s="14">
        <v>4237.1899999999996</v>
      </c>
      <c r="D3470" s="11" t="s">
        <v>5</v>
      </c>
    </row>
    <row r="3471" spans="1:4" x14ac:dyDescent="0.25">
      <c r="A3471" s="4" t="s">
        <v>8122</v>
      </c>
      <c r="B3471" s="3" t="s">
        <v>3473</v>
      </c>
      <c r="C3471" s="14">
        <v>3702.27</v>
      </c>
      <c r="D3471" s="11" t="s">
        <v>5</v>
      </c>
    </row>
    <row r="3472" spans="1:4" x14ac:dyDescent="0.25">
      <c r="A3472" s="4" t="s">
        <v>8123</v>
      </c>
      <c r="B3472" s="3" t="s">
        <v>3474</v>
      </c>
      <c r="C3472" s="14">
        <v>3702.27</v>
      </c>
      <c r="D3472" s="11" t="s">
        <v>5</v>
      </c>
    </row>
    <row r="3473" spans="1:4" x14ac:dyDescent="0.25">
      <c r="A3473" s="4" t="s">
        <v>8124</v>
      </c>
      <c r="B3473" s="3" t="s">
        <v>3475</v>
      </c>
      <c r="C3473" s="14">
        <v>0.18</v>
      </c>
      <c r="D3473" s="11" t="s">
        <v>107</v>
      </c>
    </row>
    <row r="3474" spans="1:4" x14ac:dyDescent="0.25">
      <c r="A3474" s="4" t="s">
        <v>8125</v>
      </c>
      <c r="B3474" s="3" t="s">
        <v>3476</v>
      </c>
      <c r="C3474" s="14">
        <v>0.3</v>
      </c>
      <c r="D3474" s="11" t="s">
        <v>107</v>
      </c>
    </row>
    <row r="3475" spans="1:4" x14ac:dyDescent="0.25">
      <c r="A3475" s="4" t="s">
        <v>8126</v>
      </c>
      <c r="B3475" s="3" t="s">
        <v>3477</v>
      </c>
      <c r="C3475" s="14">
        <v>0.45</v>
      </c>
      <c r="D3475" s="11" t="s">
        <v>107</v>
      </c>
    </row>
    <row r="3476" spans="1:4" x14ac:dyDescent="0.25">
      <c r="A3476" s="4" t="s">
        <v>8127</v>
      </c>
      <c r="B3476" s="3" t="s">
        <v>3478</v>
      </c>
      <c r="C3476" s="14">
        <v>0.9</v>
      </c>
      <c r="D3476" s="11" t="s">
        <v>107</v>
      </c>
    </row>
    <row r="3477" spans="1:4" x14ac:dyDescent="0.25">
      <c r="A3477" s="4" t="s">
        <v>8128</v>
      </c>
      <c r="B3477" s="3" t="s">
        <v>3479</v>
      </c>
      <c r="C3477" s="14">
        <v>1.4</v>
      </c>
      <c r="D3477" s="11" t="s">
        <v>107</v>
      </c>
    </row>
    <row r="3478" spans="1:4" x14ac:dyDescent="0.25">
      <c r="A3478" s="4" t="s">
        <v>8129</v>
      </c>
      <c r="B3478" s="3" t="s">
        <v>3480</v>
      </c>
      <c r="C3478" s="14">
        <v>1.74</v>
      </c>
      <c r="D3478" s="11" t="s">
        <v>107</v>
      </c>
    </row>
    <row r="3479" spans="1:4" x14ac:dyDescent="0.25">
      <c r="A3479" s="4" t="s">
        <v>8130</v>
      </c>
      <c r="B3479" s="3" t="s">
        <v>3481</v>
      </c>
      <c r="C3479" s="14">
        <v>6.21</v>
      </c>
      <c r="D3479" s="11" t="s">
        <v>107</v>
      </c>
    </row>
    <row r="3480" spans="1:4" x14ac:dyDescent="0.25">
      <c r="A3480" s="4" t="s">
        <v>8131</v>
      </c>
      <c r="B3480" s="3" t="s">
        <v>3482</v>
      </c>
      <c r="C3480" s="14">
        <v>10.08</v>
      </c>
      <c r="D3480" s="11" t="s">
        <v>107</v>
      </c>
    </row>
    <row r="3481" spans="1:4" x14ac:dyDescent="0.25">
      <c r="A3481" s="4" t="s">
        <v>8132</v>
      </c>
      <c r="B3481" s="3" t="s">
        <v>3483</v>
      </c>
      <c r="C3481" s="14">
        <v>18.41</v>
      </c>
      <c r="D3481" s="11" t="s">
        <v>107</v>
      </c>
    </row>
    <row r="3482" spans="1:4" x14ac:dyDescent="0.25">
      <c r="A3482" s="4" t="s">
        <v>8133</v>
      </c>
      <c r="B3482" s="3" t="s">
        <v>3484</v>
      </c>
      <c r="C3482" s="14">
        <v>20.37</v>
      </c>
      <c r="D3482" s="11" t="s">
        <v>107</v>
      </c>
    </row>
    <row r="3483" spans="1:4" x14ac:dyDescent="0.25">
      <c r="A3483" s="4" t="s">
        <v>8134</v>
      </c>
      <c r="B3483" s="3" t="s">
        <v>3485</v>
      </c>
      <c r="C3483" s="14">
        <v>0.38</v>
      </c>
      <c r="D3483" s="11" t="s">
        <v>107</v>
      </c>
    </row>
    <row r="3484" spans="1:4" x14ac:dyDescent="0.25">
      <c r="A3484" s="4" t="s">
        <v>8135</v>
      </c>
      <c r="B3484" s="3" t="s">
        <v>3486</v>
      </c>
      <c r="C3484" s="14">
        <v>0.38</v>
      </c>
      <c r="D3484" s="11" t="s">
        <v>107</v>
      </c>
    </row>
    <row r="3485" spans="1:4" x14ac:dyDescent="0.25">
      <c r="A3485" s="4" t="s">
        <v>8136</v>
      </c>
      <c r="B3485" s="3" t="s">
        <v>3487</v>
      </c>
      <c r="C3485" s="14">
        <v>0.5</v>
      </c>
      <c r="D3485" s="11" t="s">
        <v>107</v>
      </c>
    </row>
    <row r="3486" spans="1:4" x14ac:dyDescent="0.25">
      <c r="A3486" s="4" t="s">
        <v>8137</v>
      </c>
      <c r="B3486" s="3" t="s">
        <v>3488</v>
      </c>
      <c r="C3486" s="14">
        <v>0.5</v>
      </c>
      <c r="D3486" s="11" t="s">
        <v>107</v>
      </c>
    </row>
    <row r="3487" spans="1:4" x14ac:dyDescent="0.25">
      <c r="A3487" s="4" t="s">
        <v>8138</v>
      </c>
      <c r="B3487" s="3" t="s">
        <v>3489</v>
      </c>
      <c r="C3487" s="14">
        <v>0.86</v>
      </c>
      <c r="D3487" s="11" t="s">
        <v>107</v>
      </c>
    </row>
    <row r="3488" spans="1:4" x14ac:dyDescent="0.25">
      <c r="A3488" s="4" t="s">
        <v>8139</v>
      </c>
      <c r="B3488" s="3" t="s">
        <v>3490</v>
      </c>
      <c r="C3488" s="14">
        <v>0.93</v>
      </c>
      <c r="D3488" s="11" t="s">
        <v>107</v>
      </c>
    </row>
    <row r="3489" spans="1:4" x14ac:dyDescent="0.25">
      <c r="A3489" s="4" t="s">
        <v>8140</v>
      </c>
      <c r="B3489" s="3" t="s">
        <v>3491</v>
      </c>
      <c r="C3489" s="14">
        <v>1.35</v>
      </c>
      <c r="D3489" s="11" t="s">
        <v>107</v>
      </c>
    </row>
    <row r="3490" spans="1:4" x14ac:dyDescent="0.25">
      <c r="A3490" s="4" t="s">
        <v>8141</v>
      </c>
      <c r="B3490" s="3" t="s">
        <v>3492</v>
      </c>
      <c r="C3490" s="14">
        <v>911.04</v>
      </c>
      <c r="D3490" s="11" t="s">
        <v>5</v>
      </c>
    </row>
    <row r="3491" spans="1:4" x14ac:dyDescent="0.25">
      <c r="A3491" s="4" t="s">
        <v>8142</v>
      </c>
      <c r="B3491" s="3" t="s">
        <v>3493</v>
      </c>
      <c r="C3491" s="14">
        <v>1.58</v>
      </c>
      <c r="D3491" s="11" t="s">
        <v>107</v>
      </c>
    </row>
    <row r="3492" spans="1:4" x14ac:dyDescent="0.25">
      <c r="A3492" s="4" t="s">
        <v>8143</v>
      </c>
      <c r="B3492" s="3" t="s">
        <v>3494</v>
      </c>
      <c r="C3492" s="14">
        <v>1082.6400000000001</v>
      </c>
      <c r="D3492" s="11" t="s">
        <v>5</v>
      </c>
    </row>
    <row r="3493" spans="1:4" x14ac:dyDescent="0.25">
      <c r="A3493" s="4" t="s">
        <v>8144</v>
      </c>
      <c r="B3493" s="3" t="s">
        <v>3495</v>
      </c>
      <c r="C3493" s="14">
        <v>2.1800000000000002</v>
      </c>
      <c r="D3493" s="11" t="s">
        <v>107</v>
      </c>
    </row>
    <row r="3494" spans="1:4" x14ac:dyDescent="0.25">
      <c r="A3494" s="4" t="s">
        <v>8145</v>
      </c>
      <c r="B3494" s="3" t="s">
        <v>3496</v>
      </c>
      <c r="C3494" s="14">
        <v>2.4</v>
      </c>
      <c r="D3494" s="11" t="s">
        <v>107</v>
      </c>
    </row>
    <row r="3495" spans="1:4" x14ac:dyDescent="0.25">
      <c r="A3495" s="4" t="s">
        <v>8146</v>
      </c>
      <c r="B3495" s="3" t="s">
        <v>3497</v>
      </c>
      <c r="C3495" s="14">
        <v>1271.4000000000001</v>
      </c>
      <c r="D3495" s="11" t="s">
        <v>5</v>
      </c>
    </row>
    <row r="3496" spans="1:4" x14ac:dyDescent="0.25">
      <c r="A3496" s="4" t="s">
        <v>8147</v>
      </c>
      <c r="B3496" s="3" t="s">
        <v>3498</v>
      </c>
      <c r="C3496" s="14">
        <v>4.67</v>
      </c>
      <c r="D3496" s="11" t="s">
        <v>107</v>
      </c>
    </row>
    <row r="3497" spans="1:4" x14ac:dyDescent="0.25">
      <c r="A3497" s="4" t="s">
        <v>8148</v>
      </c>
      <c r="B3497" s="3" t="s">
        <v>3499</v>
      </c>
      <c r="C3497" s="14">
        <v>4.47</v>
      </c>
      <c r="D3497" s="11" t="s">
        <v>107</v>
      </c>
    </row>
    <row r="3498" spans="1:4" x14ac:dyDescent="0.25">
      <c r="A3498" s="4" t="s">
        <v>8149</v>
      </c>
      <c r="B3498" s="3" t="s">
        <v>3500</v>
      </c>
      <c r="C3498" s="14">
        <v>7.2</v>
      </c>
      <c r="D3498" s="11" t="s">
        <v>107</v>
      </c>
    </row>
    <row r="3499" spans="1:4" x14ac:dyDescent="0.25">
      <c r="A3499" s="4" t="s">
        <v>8150</v>
      </c>
      <c r="B3499" s="3" t="s">
        <v>3501</v>
      </c>
      <c r="C3499" s="14">
        <v>7.25</v>
      </c>
      <c r="D3499" s="11" t="s">
        <v>107</v>
      </c>
    </row>
    <row r="3500" spans="1:4" x14ac:dyDescent="0.25">
      <c r="A3500" s="4" t="s">
        <v>8151</v>
      </c>
      <c r="B3500" s="3" t="s">
        <v>3502</v>
      </c>
      <c r="C3500" s="14">
        <v>11.91</v>
      </c>
      <c r="D3500" s="11" t="s">
        <v>107</v>
      </c>
    </row>
    <row r="3501" spans="1:4" x14ac:dyDescent="0.25">
      <c r="A3501" s="4" t="s">
        <v>8152</v>
      </c>
      <c r="B3501" s="3" t="s">
        <v>3503</v>
      </c>
      <c r="C3501" s="14">
        <v>12.06</v>
      </c>
      <c r="D3501" s="11" t="s">
        <v>107</v>
      </c>
    </row>
    <row r="3502" spans="1:4" x14ac:dyDescent="0.25">
      <c r="A3502" s="4" t="s">
        <v>8153</v>
      </c>
      <c r="B3502" s="3" t="s">
        <v>3504</v>
      </c>
      <c r="C3502" s="14">
        <v>11.46</v>
      </c>
      <c r="D3502" s="11" t="s">
        <v>107</v>
      </c>
    </row>
    <row r="3503" spans="1:4" x14ac:dyDescent="0.25">
      <c r="A3503" s="4" t="s">
        <v>8154</v>
      </c>
      <c r="B3503" s="3" t="s">
        <v>3505</v>
      </c>
      <c r="C3503" s="14">
        <v>11.91</v>
      </c>
      <c r="D3503" s="11" t="s">
        <v>107</v>
      </c>
    </row>
    <row r="3504" spans="1:4" x14ac:dyDescent="0.25">
      <c r="A3504" s="4" t="s">
        <v>8155</v>
      </c>
      <c r="B3504" s="3" t="s">
        <v>3506</v>
      </c>
      <c r="C3504" s="14">
        <v>0.21</v>
      </c>
      <c r="D3504" s="11" t="s">
        <v>107</v>
      </c>
    </row>
    <row r="3505" spans="1:4" x14ac:dyDescent="0.25">
      <c r="A3505" s="4" t="s">
        <v>8156</v>
      </c>
      <c r="B3505" s="3" t="s">
        <v>3507</v>
      </c>
      <c r="C3505" s="14">
        <v>0.33</v>
      </c>
      <c r="D3505" s="11" t="s">
        <v>107</v>
      </c>
    </row>
    <row r="3506" spans="1:4" x14ac:dyDescent="0.25">
      <c r="A3506" s="4" t="s">
        <v>8157</v>
      </c>
      <c r="B3506" s="3" t="s">
        <v>3508</v>
      </c>
      <c r="C3506" s="14">
        <v>0.38</v>
      </c>
      <c r="D3506" s="11" t="s">
        <v>107</v>
      </c>
    </row>
    <row r="3507" spans="1:4" x14ac:dyDescent="0.25">
      <c r="A3507" s="4" t="s">
        <v>8158</v>
      </c>
      <c r="B3507" s="3" t="s">
        <v>3509</v>
      </c>
      <c r="C3507" s="14">
        <v>0.54</v>
      </c>
      <c r="D3507" s="11" t="s">
        <v>107</v>
      </c>
    </row>
    <row r="3508" spans="1:4" x14ac:dyDescent="0.25">
      <c r="A3508" s="4" t="s">
        <v>8159</v>
      </c>
      <c r="B3508" s="3" t="s">
        <v>3510</v>
      </c>
      <c r="C3508" s="14">
        <v>0.6</v>
      </c>
      <c r="D3508" s="11" t="s">
        <v>107</v>
      </c>
    </row>
    <row r="3509" spans="1:4" x14ac:dyDescent="0.25">
      <c r="A3509" s="4" t="s">
        <v>8160</v>
      </c>
      <c r="B3509" s="3" t="s">
        <v>3511</v>
      </c>
      <c r="C3509" s="14">
        <v>0.9</v>
      </c>
      <c r="D3509" s="11" t="s">
        <v>107</v>
      </c>
    </row>
    <row r="3510" spans="1:4" x14ac:dyDescent="0.25">
      <c r="A3510" s="4" t="s">
        <v>8161</v>
      </c>
      <c r="B3510" s="3" t="s">
        <v>3512</v>
      </c>
      <c r="C3510" s="14">
        <v>756.6</v>
      </c>
      <c r="D3510" s="11" t="s">
        <v>5</v>
      </c>
    </row>
    <row r="3511" spans="1:4" x14ac:dyDescent="0.25">
      <c r="A3511" s="4" t="s">
        <v>8162</v>
      </c>
      <c r="B3511" s="3" t="s">
        <v>3513</v>
      </c>
      <c r="C3511" s="14">
        <v>0.62</v>
      </c>
      <c r="D3511" s="11" t="s">
        <v>107</v>
      </c>
    </row>
    <row r="3512" spans="1:4" x14ac:dyDescent="0.25">
      <c r="A3512" s="4" t="s">
        <v>8163</v>
      </c>
      <c r="B3512" s="3" t="s">
        <v>3514</v>
      </c>
      <c r="C3512" s="14">
        <v>0.75</v>
      </c>
      <c r="D3512" s="11" t="s">
        <v>107</v>
      </c>
    </row>
    <row r="3513" spans="1:4" x14ac:dyDescent="0.25">
      <c r="A3513" s="4" t="s">
        <v>8164</v>
      </c>
      <c r="B3513" s="3" t="s">
        <v>3515</v>
      </c>
      <c r="C3513" s="14">
        <v>1.35</v>
      </c>
      <c r="D3513" s="11" t="s">
        <v>107</v>
      </c>
    </row>
    <row r="3514" spans="1:4" x14ac:dyDescent="0.25">
      <c r="A3514" s="4" t="s">
        <v>8165</v>
      </c>
      <c r="B3514" s="3" t="s">
        <v>3516</v>
      </c>
      <c r="C3514" s="14">
        <v>975</v>
      </c>
      <c r="D3514" s="11" t="s">
        <v>5</v>
      </c>
    </row>
    <row r="3515" spans="1:4" x14ac:dyDescent="0.25">
      <c r="A3515" s="4" t="s">
        <v>8166</v>
      </c>
      <c r="B3515" s="3" t="s">
        <v>3517</v>
      </c>
      <c r="C3515" s="14">
        <v>0.96</v>
      </c>
      <c r="D3515" s="11" t="s">
        <v>107</v>
      </c>
    </row>
    <row r="3516" spans="1:4" x14ac:dyDescent="0.25">
      <c r="A3516" s="4" t="s">
        <v>8167</v>
      </c>
      <c r="B3516" s="3" t="s">
        <v>3518</v>
      </c>
      <c r="C3516" s="14">
        <v>1.17</v>
      </c>
      <c r="D3516" s="11" t="s">
        <v>107</v>
      </c>
    </row>
    <row r="3517" spans="1:4" x14ac:dyDescent="0.25">
      <c r="A3517" s="4" t="s">
        <v>8168</v>
      </c>
      <c r="B3517" s="3" t="s">
        <v>3519</v>
      </c>
      <c r="C3517" s="14">
        <v>1.31</v>
      </c>
      <c r="D3517" s="11" t="s">
        <v>107</v>
      </c>
    </row>
    <row r="3518" spans="1:4" x14ac:dyDescent="0.25">
      <c r="A3518" s="4" t="s">
        <v>8169</v>
      </c>
      <c r="B3518" s="3" t="s">
        <v>3520</v>
      </c>
      <c r="C3518" s="14">
        <v>5.46</v>
      </c>
      <c r="D3518" s="11" t="s">
        <v>107</v>
      </c>
    </row>
    <row r="3519" spans="1:4" x14ac:dyDescent="0.25">
      <c r="A3519" s="4" t="s">
        <v>8170</v>
      </c>
      <c r="B3519" s="3" t="s">
        <v>3521</v>
      </c>
      <c r="C3519" s="14">
        <v>3.98</v>
      </c>
      <c r="D3519" s="11" t="s">
        <v>107</v>
      </c>
    </row>
    <row r="3520" spans="1:4" x14ac:dyDescent="0.25">
      <c r="A3520" s="4" t="s">
        <v>8171</v>
      </c>
      <c r="B3520" s="3" t="s">
        <v>3522</v>
      </c>
      <c r="C3520" s="14">
        <v>3.59</v>
      </c>
      <c r="D3520" s="11" t="s">
        <v>107</v>
      </c>
    </row>
    <row r="3521" spans="1:4" x14ac:dyDescent="0.25">
      <c r="A3521" s="4" t="s">
        <v>8172</v>
      </c>
      <c r="B3521" s="3" t="s">
        <v>3523</v>
      </c>
      <c r="C3521" s="14">
        <v>10.02</v>
      </c>
      <c r="D3521" s="11" t="s">
        <v>107</v>
      </c>
    </row>
    <row r="3522" spans="1:4" x14ac:dyDescent="0.25">
      <c r="A3522" s="4" t="s">
        <v>8173</v>
      </c>
      <c r="B3522" s="3" t="s">
        <v>3524</v>
      </c>
      <c r="C3522" s="14">
        <v>0</v>
      </c>
      <c r="D3522" s="11" t="s">
        <v>5</v>
      </c>
    </row>
    <row r="3523" spans="1:4" x14ac:dyDescent="0.25">
      <c r="A3523" s="4" t="s">
        <v>8174</v>
      </c>
      <c r="B3523" s="3" t="s">
        <v>3525</v>
      </c>
      <c r="C3523" s="14">
        <v>0</v>
      </c>
      <c r="D3523" s="11" t="s">
        <v>5</v>
      </c>
    </row>
    <row r="3524" spans="1:4" x14ac:dyDescent="0.25">
      <c r="A3524" s="4" t="s">
        <v>8175</v>
      </c>
      <c r="B3524" s="3" t="s">
        <v>3526</v>
      </c>
      <c r="C3524" s="14">
        <v>10.19</v>
      </c>
      <c r="D3524" s="11" t="s">
        <v>107</v>
      </c>
    </row>
    <row r="3525" spans="1:4" x14ac:dyDescent="0.25">
      <c r="A3525" s="4" t="s">
        <v>8176</v>
      </c>
      <c r="B3525" s="3" t="s">
        <v>3527</v>
      </c>
      <c r="C3525" s="14">
        <v>6.6</v>
      </c>
      <c r="D3525" s="11" t="s">
        <v>107</v>
      </c>
    </row>
    <row r="3526" spans="1:4" x14ac:dyDescent="0.25">
      <c r="A3526" s="4" t="s">
        <v>8177</v>
      </c>
      <c r="B3526" s="3" t="s">
        <v>3528</v>
      </c>
      <c r="C3526" s="14">
        <v>0.26</v>
      </c>
      <c r="D3526" s="11" t="s">
        <v>107</v>
      </c>
    </row>
    <row r="3527" spans="1:4" x14ac:dyDescent="0.25">
      <c r="A3527" s="4" t="s">
        <v>8178</v>
      </c>
      <c r="B3527" s="3" t="s">
        <v>3529</v>
      </c>
      <c r="C3527" s="14">
        <v>0.3</v>
      </c>
      <c r="D3527" s="11" t="s">
        <v>107</v>
      </c>
    </row>
    <row r="3528" spans="1:4" x14ac:dyDescent="0.25">
      <c r="A3528" s="4" t="s">
        <v>8179</v>
      </c>
      <c r="B3528" s="3" t="s">
        <v>3530</v>
      </c>
      <c r="C3528" s="14">
        <v>0.5</v>
      </c>
      <c r="D3528" s="11" t="s">
        <v>107</v>
      </c>
    </row>
    <row r="3529" spans="1:4" x14ac:dyDescent="0.25">
      <c r="A3529" s="4" t="s">
        <v>8180</v>
      </c>
      <c r="B3529" s="3" t="s">
        <v>3531</v>
      </c>
      <c r="C3529" s="14">
        <v>0.45</v>
      </c>
      <c r="D3529" s="11" t="s">
        <v>107</v>
      </c>
    </row>
    <row r="3530" spans="1:4" x14ac:dyDescent="0.25">
      <c r="A3530" s="4" t="s">
        <v>8181</v>
      </c>
      <c r="B3530" s="3" t="s">
        <v>3532</v>
      </c>
      <c r="C3530" s="14">
        <v>0.68</v>
      </c>
      <c r="D3530" s="11" t="s">
        <v>107</v>
      </c>
    </row>
    <row r="3531" spans="1:4" x14ac:dyDescent="0.25">
      <c r="A3531" s="4" t="s">
        <v>8182</v>
      </c>
      <c r="B3531" s="3" t="s">
        <v>3533</v>
      </c>
      <c r="C3531" s="14">
        <v>0.71</v>
      </c>
      <c r="D3531" s="11" t="s">
        <v>107</v>
      </c>
    </row>
    <row r="3532" spans="1:4" x14ac:dyDescent="0.25">
      <c r="A3532" s="4" t="s">
        <v>8183</v>
      </c>
      <c r="B3532" s="3" t="s">
        <v>3534</v>
      </c>
      <c r="C3532" s="14">
        <v>823.68</v>
      </c>
      <c r="D3532" s="11" t="s">
        <v>5</v>
      </c>
    </row>
    <row r="3533" spans="1:4" x14ac:dyDescent="0.25">
      <c r="A3533" s="4" t="s">
        <v>8184</v>
      </c>
      <c r="B3533" s="3" t="s">
        <v>3535</v>
      </c>
      <c r="C3533" s="14">
        <v>1.05</v>
      </c>
      <c r="D3533" s="11" t="s">
        <v>107</v>
      </c>
    </row>
    <row r="3534" spans="1:4" x14ac:dyDescent="0.25">
      <c r="A3534" s="4" t="s">
        <v>8185</v>
      </c>
      <c r="B3534" s="3" t="s">
        <v>3536</v>
      </c>
      <c r="C3534" s="14">
        <v>1.52</v>
      </c>
      <c r="D3534" s="11" t="s">
        <v>107</v>
      </c>
    </row>
    <row r="3535" spans="1:4" x14ac:dyDescent="0.25">
      <c r="A3535" s="4" t="s">
        <v>8186</v>
      </c>
      <c r="B3535" s="3" t="s">
        <v>3537</v>
      </c>
      <c r="C3535" s="14">
        <v>0.75</v>
      </c>
      <c r="D3535" s="11" t="s">
        <v>107</v>
      </c>
    </row>
    <row r="3536" spans="1:4" x14ac:dyDescent="0.25">
      <c r="A3536" s="4" t="s">
        <v>8187</v>
      </c>
      <c r="B3536" s="3" t="s">
        <v>3538</v>
      </c>
      <c r="C3536" s="14">
        <v>1.91</v>
      </c>
      <c r="D3536" s="11" t="s">
        <v>107</v>
      </c>
    </row>
    <row r="3537" spans="1:4" x14ac:dyDescent="0.25">
      <c r="A3537" s="4" t="s">
        <v>8188</v>
      </c>
      <c r="B3537" s="3" t="s">
        <v>3539</v>
      </c>
      <c r="C3537" s="14">
        <v>1.86</v>
      </c>
      <c r="D3537" s="11" t="s">
        <v>107</v>
      </c>
    </row>
    <row r="3538" spans="1:4" x14ac:dyDescent="0.25">
      <c r="A3538" s="4" t="s">
        <v>8189</v>
      </c>
      <c r="B3538" s="3" t="s">
        <v>3540</v>
      </c>
      <c r="C3538" s="14">
        <v>1.77</v>
      </c>
      <c r="D3538" s="11" t="s">
        <v>107</v>
      </c>
    </row>
    <row r="3539" spans="1:4" x14ac:dyDescent="0.25">
      <c r="A3539" s="4" t="s">
        <v>8190</v>
      </c>
      <c r="B3539" s="3" t="s">
        <v>3541</v>
      </c>
      <c r="C3539" s="14">
        <v>0</v>
      </c>
      <c r="D3539" s="11" t="s">
        <v>5</v>
      </c>
    </row>
    <row r="3540" spans="1:4" x14ac:dyDescent="0.25">
      <c r="A3540" s="4" t="s">
        <v>8191</v>
      </c>
      <c r="B3540" s="3" t="s">
        <v>3542</v>
      </c>
      <c r="C3540" s="14">
        <v>1.73</v>
      </c>
      <c r="D3540" s="11" t="s">
        <v>107</v>
      </c>
    </row>
    <row r="3541" spans="1:4" x14ac:dyDescent="0.25">
      <c r="A3541" s="4" t="s">
        <v>8192</v>
      </c>
      <c r="B3541" s="3" t="s">
        <v>3543</v>
      </c>
      <c r="C3541" s="14">
        <v>285.12</v>
      </c>
      <c r="D3541" s="11" t="s">
        <v>5</v>
      </c>
    </row>
    <row r="3542" spans="1:4" x14ac:dyDescent="0.25">
      <c r="A3542" s="4" t="s">
        <v>8193</v>
      </c>
      <c r="B3542" s="3" t="s">
        <v>3544</v>
      </c>
      <c r="C3542" s="14">
        <v>1068.5999999999999</v>
      </c>
      <c r="D3542" s="11" t="s">
        <v>5</v>
      </c>
    </row>
    <row r="3543" spans="1:4" x14ac:dyDescent="0.25">
      <c r="A3543" s="4" t="s">
        <v>8194</v>
      </c>
      <c r="B3543" s="3" t="s">
        <v>3545</v>
      </c>
      <c r="C3543" s="14">
        <v>3.17</v>
      </c>
      <c r="D3543" s="11" t="s">
        <v>107</v>
      </c>
    </row>
    <row r="3544" spans="1:4" x14ac:dyDescent="0.25">
      <c r="A3544" s="4" t="s">
        <v>8195</v>
      </c>
      <c r="B3544" s="3" t="s">
        <v>3546</v>
      </c>
      <c r="C3544" s="14">
        <v>3.53</v>
      </c>
      <c r="D3544" s="11" t="s">
        <v>107</v>
      </c>
    </row>
    <row r="3545" spans="1:4" x14ac:dyDescent="0.25">
      <c r="A3545" s="4" t="s">
        <v>8196</v>
      </c>
      <c r="B3545" s="3" t="s">
        <v>3547</v>
      </c>
      <c r="C3545" s="14">
        <v>2.0299999999999998</v>
      </c>
      <c r="D3545" s="11" t="s">
        <v>107</v>
      </c>
    </row>
    <row r="3546" spans="1:4" x14ac:dyDescent="0.25">
      <c r="A3546" s="4" t="s">
        <v>8197</v>
      </c>
      <c r="B3546" s="3" t="s">
        <v>3548</v>
      </c>
      <c r="C3546" s="14">
        <v>2.9</v>
      </c>
      <c r="D3546" s="11" t="s">
        <v>107</v>
      </c>
    </row>
    <row r="3547" spans="1:4" x14ac:dyDescent="0.25">
      <c r="A3547" s="4" t="s">
        <v>8198</v>
      </c>
      <c r="B3547" s="3" t="s">
        <v>3549</v>
      </c>
      <c r="C3547" s="14">
        <v>6.68</v>
      </c>
      <c r="D3547" s="11" t="s">
        <v>107</v>
      </c>
    </row>
    <row r="3548" spans="1:4" x14ac:dyDescent="0.25">
      <c r="A3548" s="4" t="s">
        <v>8199</v>
      </c>
      <c r="B3548" s="3" t="s">
        <v>3550</v>
      </c>
      <c r="C3548" s="14">
        <v>6.72</v>
      </c>
      <c r="D3548" s="11" t="s">
        <v>107</v>
      </c>
    </row>
    <row r="3549" spans="1:4" x14ac:dyDescent="0.25">
      <c r="A3549" s="4" t="s">
        <v>8200</v>
      </c>
      <c r="B3549" s="3" t="s">
        <v>3551</v>
      </c>
      <c r="C3549" s="14">
        <v>4.34</v>
      </c>
      <c r="D3549" s="11" t="s">
        <v>107</v>
      </c>
    </row>
    <row r="3550" spans="1:4" x14ac:dyDescent="0.25">
      <c r="A3550" s="4" t="s">
        <v>8201</v>
      </c>
      <c r="B3550" s="3" t="s">
        <v>3552</v>
      </c>
      <c r="C3550" s="14">
        <v>4.2300000000000004</v>
      </c>
      <c r="D3550" s="11" t="s">
        <v>107</v>
      </c>
    </row>
    <row r="3551" spans="1:4" x14ac:dyDescent="0.25">
      <c r="A3551" s="4" t="s">
        <v>8202</v>
      </c>
      <c r="B3551" s="3" t="s">
        <v>3553</v>
      </c>
      <c r="C3551" s="14">
        <v>7.26</v>
      </c>
      <c r="D3551" s="11" t="s">
        <v>107</v>
      </c>
    </row>
    <row r="3552" spans="1:4" x14ac:dyDescent="0.25">
      <c r="A3552" s="4" t="s">
        <v>8203</v>
      </c>
      <c r="B3552" s="3" t="s">
        <v>3554</v>
      </c>
      <c r="C3552" s="14">
        <v>6.71</v>
      </c>
      <c r="D3552" s="11" t="s">
        <v>107</v>
      </c>
    </row>
    <row r="3553" spans="1:4" x14ac:dyDescent="0.25">
      <c r="A3553" s="4" t="s">
        <v>8204</v>
      </c>
      <c r="B3553" s="3" t="s">
        <v>3555</v>
      </c>
      <c r="C3553" s="14">
        <v>10.82</v>
      </c>
      <c r="D3553" s="11" t="s">
        <v>107</v>
      </c>
    </row>
    <row r="3554" spans="1:4" x14ac:dyDescent="0.25">
      <c r="A3554" s="4" t="s">
        <v>8205</v>
      </c>
      <c r="B3554" s="3" t="s">
        <v>3556</v>
      </c>
      <c r="C3554" s="14">
        <v>9.3800000000000008</v>
      </c>
      <c r="D3554" s="11" t="s">
        <v>107</v>
      </c>
    </row>
    <row r="3555" spans="1:4" x14ac:dyDescent="0.25">
      <c r="A3555" s="4" t="s">
        <v>8206</v>
      </c>
      <c r="B3555" s="3" t="s">
        <v>3557</v>
      </c>
      <c r="C3555" s="14">
        <v>0.14000000000000001</v>
      </c>
      <c r="D3555" s="11" t="s">
        <v>107</v>
      </c>
    </row>
    <row r="3556" spans="1:4" x14ac:dyDescent="0.25">
      <c r="A3556" s="4" t="s">
        <v>8207</v>
      </c>
      <c r="B3556" s="3" t="s">
        <v>3558</v>
      </c>
      <c r="C3556" s="14">
        <v>0.24</v>
      </c>
      <c r="D3556" s="11" t="s">
        <v>107</v>
      </c>
    </row>
    <row r="3557" spans="1:4" x14ac:dyDescent="0.25">
      <c r="A3557" s="4" t="s">
        <v>8208</v>
      </c>
      <c r="B3557" s="3" t="s">
        <v>3559</v>
      </c>
      <c r="C3557" s="14">
        <v>0.42</v>
      </c>
      <c r="D3557" s="11" t="s">
        <v>107</v>
      </c>
    </row>
    <row r="3558" spans="1:4" x14ac:dyDescent="0.25">
      <c r="A3558" s="4" t="s">
        <v>8209</v>
      </c>
      <c r="B3558" s="3" t="s">
        <v>3560</v>
      </c>
      <c r="C3558" s="14">
        <v>0.69</v>
      </c>
      <c r="D3558" s="11" t="s">
        <v>107</v>
      </c>
    </row>
    <row r="3559" spans="1:4" x14ac:dyDescent="0.25">
      <c r="A3559" s="4" t="s">
        <v>8210</v>
      </c>
      <c r="B3559" s="3" t="s">
        <v>3561</v>
      </c>
      <c r="C3559" s="14">
        <v>1.07</v>
      </c>
      <c r="D3559" s="11" t="s">
        <v>107</v>
      </c>
    </row>
    <row r="3560" spans="1:4" x14ac:dyDescent="0.25">
      <c r="A3560" s="4" t="s">
        <v>8211</v>
      </c>
      <c r="B3560" s="3" t="s">
        <v>3562</v>
      </c>
      <c r="C3560" s="14">
        <v>2.5099999999999998</v>
      </c>
      <c r="D3560" s="11" t="s">
        <v>107</v>
      </c>
    </row>
    <row r="3561" spans="1:4" x14ac:dyDescent="0.25">
      <c r="A3561" s="4" t="s">
        <v>8212</v>
      </c>
      <c r="B3561" s="3" t="s">
        <v>3563</v>
      </c>
      <c r="C3561" s="14">
        <v>3</v>
      </c>
      <c r="D3561" s="11" t="s">
        <v>107</v>
      </c>
    </row>
    <row r="3562" spans="1:4" x14ac:dyDescent="0.25">
      <c r="A3562" s="4" t="s">
        <v>8213</v>
      </c>
      <c r="B3562" s="3" t="s">
        <v>3564</v>
      </c>
      <c r="C3562" s="14">
        <v>5.3</v>
      </c>
      <c r="D3562" s="11" t="s">
        <v>107</v>
      </c>
    </row>
    <row r="3563" spans="1:4" x14ac:dyDescent="0.25">
      <c r="A3563" s="4" t="s">
        <v>8214</v>
      </c>
      <c r="B3563" s="3" t="s">
        <v>3565</v>
      </c>
      <c r="C3563" s="14">
        <v>0.45</v>
      </c>
      <c r="D3563" s="11" t="s">
        <v>107</v>
      </c>
    </row>
    <row r="3564" spans="1:4" x14ac:dyDescent="0.25">
      <c r="A3564" s="4" t="s">
        <v>8215</v>
      </c>
      <c r="B3564" s="3" t="s">
        <v>3566</v>
      </c>
      <c r="C3564" s="14">
        <v>0.47</v>
      </c>
      <c r="D3564" s="11" t="s">
        <v>107</v>
      </c>
    </row>
    <row r="3565" spans="1:4" x14ac:dyDescent="0.25">
      <c r="A3565" s="4" t="s">
        <v>8216</v>
      </c>
      <c r="B3565" s="3" t="s">
        <v>3567</v>
      </c>
      <c r="C3565" s="14">
        <v>0.71</v>
      </c>
      <c r="D3565" s="11" t="s">
        <v>107</v>
      </c>
    </row>
    <row r="3566" spans="1:4" x14ac:dyDescent="0.25">
      <c r="A3566" s="4" t="s">
        <v>8217</v>
      </c>
      <c r="B3566" s="3" t="s">
        <v>3568</v>
      </c>
      <c r="C3566" s="14">
        <v>0.65</v>
      </c>
      <c r="D3566" s="11" t="s">
        <v>107</v>
      </c>
    </row>
    <row r="3567" spans="1:4" x14ac:dyDescent="0.25">
      <c r="A3567" s="4" t="s">
        <v>8218</v>
      </c>
      <c r="B3567" s="3" t="s">
        <v>3569</v>
      </c>
      <c r="C3567" s="14">
        <v>0.83</v>
      </c>
      <c r="D3567" s="11" t="s">
        <v>107</v>
      </c>
    </row>
    <row r="3568" spans="1:4" x14ac:dyDescent="0.25">
      <c r="A3568" s="4" t="s">
        <v>8219</v>
      </c>
      <c r="B3568" s="3" t="s">
        <v>3570</v>
      </c>
      <c r="C3568" s="14">
        <v>1.2</v>
      </c>
      <c r="D3568" s="11" t="s">
        <v>107</v>
      </c>
    </row>
    <row r="3569" spans="1:4" x14ac:dyDescent="0.25">
      <c r="A3569" s="4" t="s">
        <v>8220</v>
      </c>
      <c r="B3569" s="3" t="s">
        <v>3571</v>
      </c>
      <c r="C3569" s="14">
        <v>2.4300000000000002</v>
      </c>
      <c r="D3569" s="11" t="s">
        <v>107</v>
      </c>
    </row>
    <row r="3570" spans="1:4" x14ac:dyDescent="0.25">
      <c r="A3570" s="4" t="s">
        <v>8221</v>
      </c>
      <c r="B3570" s="3" t="s">
        <v>3572</v>
      </c>
      <c r="C3570" s="14">
        <v>1161.5999999999999</v>
      </c>
      <c r="D3570" s="11" t="s">
        <v>5</v>
      </c>
    </row>
    <row r="3571" spans="1:4" x14ac:dyDescent="0.25">
      <c r="A3571" s="4" t="s">
        <v>8222</v>
      </c>
      <c r="B3571" s="3" t="s">
        <v>3573</v>
      </c>
      <c r="C3571" s="14">
        <v>3.59</v>
      </c>
      <c r="D3571" s="11" t="s">
        <v>107</v>
      </c>
    </row>
    <row r="3572" spans="1:4" x14ac:dyDescent="0.25">
      <c r="A3572" s="4" t="s">
        <v>8223</v>
      </c>
      <c r="B3572" s="3" t="s">
        <v>3574</v>
      </c>
      <c r="C3572" s="14">
        <v>5.6</v>
      </c>
      <c r="D3572" s="11" t="s">
        <v>107</v>
      </c>
    </row>
    <row r="3573" spans="1:4" x14ac:dyDescent="0.25">
      <c r="A3573" s="4" t="s">
        <v>8224</v>
      </c>
      <c r="B3573" s="3" t="s">
        <v>3575</v>
      </c>
      <c r="C3573" s="14">
        <v>10.23</v>
      </c>
      <c r="D3573" s="11" t="s">
        <v>107</v>
      </c>
    </row>
    <row r="3574" spans="1:4" x14ac:dyDescent="0.25">
      <c r="A3574" s="4" t="s">
        <v>8225</v>
      </c>
      <c r="B3574" s="3" t="s">
        <v>3576</v>
      </c>
      <c r="C3574" s="14">
        <v>12.45</v>
      </c>
      <c r="D3574" s="11" t="s">
        <v>107</v>
      </c>
    </row>
    <row r="3575" spans="1:4" x14ac:dyDescent="0.25">
      <c r="A3575" s="4" t="s">
        <v>8226</v>
      </c>
      <c r="B3575" s="3" t="s">
        <v>3577</v>
      </c>
      <c r="C3575" s="14">
        <v>95.16</v>
      </c>
      <c r="D3575" s="11" t="s">
        <v>107</v>
      </c>
    </row>
    <row r="3576" spans="1:4" x14ac:dyDescent="0.25">
      <c r="A3576" s="4" t="s">
        <v>8227</v>
      </c>
      <c r="B3576" s="3" t="s">
        <v>3578</v>
      </c>
      <c r="C3576" s="14">
        <v>43.64</v>
      </c>
      <c r="D3576" s="11" t="s">
        <v>107</v>
      </c>
    </row>
    <row r="3577" spans="1:4" x14ac:dyDescent="0.25">
      <c r="A3577" s="4" t="s">
        <v>8228</v>
      </c>
      <c r="B3577" s="3" t="s">
        <v>3579</v>
      </c>
      <c r="C3577" s="14">
        <v>59.73</v>
      </c>
      <c r="D3577" s="11" t="s">
        <v>107</v>
      </c>
    </row>
    <row r="3578" spans="1:4" x14ac:dyDescent="0.25">
      <c r="A3578" s="4" t="s">
        <v>8229</v>
      </c>
      <c r="B3578" s="3" t="s">
        <v>3580</v>
      </c>
      <c r="C3578" s="14">
        <v>137.78</v>
      </c>
      <c r="D3578" s="11" t="s">
        <v>107</v>
      </c>
    </row>
    <row r="3579" spans="1:4" x14ac:dyDescent="0.25">
      <c r="A3579" s="4" t="s">
        <v>8230</v>
      </c>
      <c r="B3579" s="3" t="s">
        <v>3581</v>
      </c>
      <c r="C3579" s="14">
        <v>61.23</v>
      </c>
      <c r="D3579" s="11" t="s">
        <v>107</v>
      </c>
    </row>
    <row r="3580" spans="1:4" x14ac:dyDescent="0.25">
      <c r="A3580" s="4" t="s">
        <v>8231</v>
      </c>
      <c r="B3580" s="3" t="s">
        <v>3582</v>
      </c>
      <c r="C3580" s="14">
        <v>81.06</v>
      </c>
      <c r="D3580" s="11" t="s">
        <v>107</v>
      </c>
    </row>
    <row r="3581" spans="1:4" x14ac:dyDescent="0.25">
      <c r="A3581" s="4" t="s">
        <v>8232</v>
      </c>
      <c r="B3581" s="3" t="s">
        <v>3583</v>
      </c>
      <c r="C3581" s="14">
        <v>167.15</v>
      </c>
      <c r="D3581" s="11" t="s">
        <v>107</v>
      </c>
    </row>
    <row r="3582" spans="1:4" x14ac:dyDescent="0.25">
      <c r="A3582" s="4" t="s">
        <v>8233</v>
      </c>
      <c r="B3582" s="3" t="s">
        <v>3584</v>
      </c>
      <c r="C3582" s="14">
        <v>73.11</v>
      </c>
      <c r="D3582" s="11" t="s">
        <v>107</v>
      </c>
    </row>
    <row r="3583" spans="1:4" x14ac:dyDescent="0.25">
      <c r="A3583" s="4" t="s">
        <v>8234</v>
      </c>
      <c r="B3583" s="3" t="s">
        <v>3585</v>
      </c>
      <c r="C3583" s="14">
        <v>96.51</v>
      </c>
      <c r="D3583" s="11" t="s">
        <v>107</v>
      </c>
    </row>
    <row r="3584" spans="1:4" x14ac:dyDescent="0.25">
      <c r="A3584" s="4" t="s">
        <v>8235</v>
      </c>
      <c r="B3584" s="3" t="s">
        <v>3586</v>
      </c>
      <c r="C3584" s="14">
        <v>214.43</v>
      </c>
      <c r="D3584" s="11" t="s">
        <v>107</v>
      </c>
    </row>
    <row r="3585" spans="1:4" x14ac:dyDescent="0.25">
      <c r="A3585" s="4" t="s">
        <v>8236</v>
      </c>
      <c r="B3585" s="3" t="s">
        <v>3587</v>
      </c>
      <c r="C3585" s="14">
        <v>93.66</v>
      </c>
      <c r="D3585" s="11" t="s">
        <v>107</v>
      </c>
    </row>
    <row r="3586" spans="1:4" x14ac:dyDescent="0.25">
      <c r="A3586" s="4" t="s">
        <v>8237</v>
      </c>
      <c r="B3586" s="3" t="s">
        <v>3588</v>
      </c>
      <c r="C3586" s="14">
        <v>122.79</v>
      </c>
      <c r="D3586" s="11" t="s">
        <v>107</v>
      </c>
    </row>
    <row r="3587" spans="1:4" x14ac:dyDescent="0.25">
      <c r="A3587" s="4" t="s">
        <v>8238</v>
      </c>
      <c r="B3587" s="3" t="s">
        <v>3589</v>
      </c>
      <c r="C3587" s="14">
        <v>332.7</v>
      </c>
      <c r="D3587" s="11" t="s">
        <v>107</v>
      </c>
    </row>
    <row r="3588" spans="1:4" x14ac:dyDescent="0.25">
      <c r="A3588" s="4" t="s">
        <v>8239</v>
      </c>
      <c r="B3588" s="3" t="s">
        <v>3590</v>
      </c>
      <c r="C3588" s="14">
        <v>144.32</v>
      </c>
      <c r="D3588" s="11" t="s">
        <v>107</v>
      </c>
    </row>
    <row r="3589" spans="1:4" x14ac:dyDescent="0.25">
      <c r="A3589" s="4" t="s">
        <v>8240</v>
      </c>
      <c r="B3589" s="3" t="s">
        <v>3591</v>
      </c>
      <c r="C3589" s="14">
        <v>187.71</v>
      </c>
      <c r="D3589" s="11" t="s">
        <v>107</v>
      </c>
    </row>
    <row r="3590" spans="1:4" x14ac:dyDescent="0.25">
      <c r="A3590" s="4" t="s">
        <v>8241</v>
      </c>
      <c r="B3590" s="3" t="s">
        <v>3592</v>
      </c>
      <c r="C3590" s="14">
        <v>421.64</v>
      </c>
      <c r="D3590" s="11" t="s">
        <v>107</v>
      </c>
    </row>
    <row r="3591" spans="1:4" x14ac:dyDescent="0.25">
      <c r="A3591" s="4" t="s">
        <v>8242</v>
      </c>
      <c r="B3591" s="3" t="s">
        <v>3593</v>
      </c>
      <c r="C3591" s="14">
        <v>231.89</v>
      </c>
      <c r="D3591" s="11" t="s">
        <v>107</v>
      </c>
    </row>
    <row r="3592" spans="1:4" x14ac:dyDescent="0.25">
      <c r="A3592" s="4" t="s">
        <v>8243</v>
      </c>
      <c r="B3592" s="3" t="s">
        <v>3594</v>
      </c>
      <c r="C3592" s="14">
        <v>518.58000000000004</v>
      </c>
      <c r="D3592" s="11" t="s">
        <v>107</v>
      </c>
    </row>
    <row r="3593" spans="1:4" x14ac:dyDescent="0.25">
      <c r="A3593" s="4" t="s">
        <v>8244</v>
      </c>
      <c r="B3593" s="3" t="s">
        <v>3595</v>
      </c>
      <c r="C3593" s="14">
        <v>227.94</v>
      </c>
      <c r="D3593" s="11" t="s">
        <v>107</v>
      </c>
    </row>
    <row r="3594" spans="1:4" x14ac:dyDescent="0.25">
      <c r="A3594" s="4" t="s">
        <v>8245</v>
      </c>
      <c r="B3594" s="3" t="s">
        <v>3596</v>
      </c>
      <c r="C3594" s="14">
        <v>297.33</v>
      </c>
      <c r="D3594" s="11" t="s">
        <v>107</v>
      </c>
    </row>
    <row r="3595" spans="1:4" x14ac:dyDescent="0.25">
      <c r="A3595" s="4" t="s">
        <v>8246</v>
      </c>
      <c r="B3595" s="3" t="s">
        <v>3597</v>
      </c>
      <c r="C3595" s="14">
        <v>825.68</v>
      </c>
      <c r="D3595" s="11" t="s">
        <v>107</v>
      </c>
    </row>
    <row r="3596" spans="1:4" x14ac:dyDescent="0.25">
      <c r="A3596" s="4" t="s">
        <v>8247</v>
      </c>
      <c r="B3596" s="3" t="s">
        <v>3598</v>
      </c>
      <c r="C3596" s="14">
        <v>357.87</v>
      </c>
      <c r="D3596" s="11" t="s">
        <v>107</v>
      </c>
    </row>
    <row r="3597" spans="1:4" x14ac:dyDescent="0.25">
      <c r="A3597" s="4" t="s">
        <v>8248</v>
      </c>
      <c r="B3597" s="3" t="s">
        <v>3599</v>
      </c>
      <c r="C3597" s="14">
        <v>461.79</v>
      </c>
      <c r="D3597" s="11" t="s">
        <v>107</v>
      </c>
    </row>
    <row r="3598" spans="1:4" x14ac:dyDescent="0.25">
      <c r="A3598" s="4" t="s">
        <v>8249</v>
      </c>
      <c r="B3598" s="3" t="s">
        <v>3600</v>
      </c>
      <c r="C3598" s="14">
        <v>1056.3</v>
      </c>
      <c r="D3598" s="11" t="s">
        <v>107</v>
      </c>
    </row>
    <row r="3599" spans="1:4" x14ac:dyDescent="0.25">
      <c r="A3599" s="4" t="s">
        <v>8250</v>
      </c>
      <c r="B3599" s="3" t="s">
        <v>3601</v>
      </c>
      <c r="C3599" s="14">
        <v>436.4</v>
      </c>
      <c r="D3599" s="11" t="s">
        <v>107</v>
      </c>
    </row>
    <row r="3600" spans="1:4" x14ac:dyDescent="0.25">
      <c r="A3600" s="4" t="s">
        <v>8251</v>
      </c>
      <c r="B3600" s="3" t="s">
        <v>3602</v>
      </c>
      <c r="C3600" s="14">
        <v>589.52</v>
      </c>
      <c r="D3600" s="11" t="s">
        <v>107</v>
      </c>
    </row>
    <row r="3601" spans="1:4" x14ac:dyDescent="0.25">
      <c r="A3601" s="4" t="s">
        <v>8252</v>
      </c>
      <c r="B3601" s="3" t="s">
        <v>3603</v>
      </c>
      <c r="C3601" s="14">
        <v>1376.34</v>
      </c>
      <c r="D3601" s="11" t="s">
        <v>107</v>
      </c>
    </row>
    <row r="3602" spans="1:4" x14ac:dyDescent="0.25">
      <c r="A3602" s="4" t="s">
        <v>8253</v>
      </c>
      <c r="B3602" s="3" t="s">
        <v>3604</v>
      </c>
      <c r="C3602" s="14">
        <v>572.99</v>
      </c>
      <c r="D3602" s="11" t="s">
        <v>107</v>
      </c>
    </row>
    <row r="3603" spans="1:4" x14ac:dyDescent="0.25">
      <c r="A3603" s="4" t="s">
        <v>8254</v>
      </c>
      <c r="B3603" s="3" t="s">
        <v>3605</v>
      </c>
      <c r="C3603" s="14">
        <v>746.79</v>
      </c>
      <c r="D3603" s="11" t="s">
        <v>107</v>
      </c>
    </row>
    <row r="3604" spans="1:4" x14ac:dyDescent="0.25">
      <c r="A3604" s="4" t="s">
        <v>8255</v>
      </c>
      <c r="B3604" s="3" t="s">
        <v>3606</v>
      </c>
      <c r="C3604" s="14">
        <v>899.16</v>
      </c>
      <c r="D3604" s="11" t="s">
        <v>107</v>
      </c>
    </row>
    <row r="3605" spans="1:4" x14ac:dyDescent="0.25">
      <c r="A3605" s="4" t="s">
        <v>8256</v>
      </c>
      <c r="B3605" s="3" t="s">
        <v>3607</v>
      </c>
      <c r="C3605" s="14">
        <v>94.71</v>
      </c>
      <c r="D3605" s="11" t="s">
        <v>107</v>
      </c>
    </row>
    <row r="3606" spans="1:4" x14ac:dyDescent="0.25">
      <c r="A3606" s="4" t="s">
        <v>8257</v>
      </c>
      <c r="B3606" s="3" t="s">
        <v>3608</v>
      </c>
      <c r="C3606" s="14">
        <v>41.24</v>
      </c>
      <c r="D3606" s="11" t="s">
        <v>107</v>
      </c>
    </row>
    <row r="3607" spans="1:4" x14ac:dyDescent="0.25">
      <c r="A3607" s="4" t="s">
        <v>8258</v>
      </c>
      <c r="B3607" s="3" t="s">
        <v>3609</v>
      </c>
      <c r="C3607" s="14">
        <v>58.38</v>
      </c>
      <c r="D3607" s="11" t="s">
        <v>107</v>
      </c>
    </row>
    <row r="3608" spans="1:4" x14ac:dyDescent="0.25">
      <c r="A3608" s="4" t="s">
        <v>8259</v>
      </c>
      <c r="B3608" s="3" t="s">
        <v>3610</v>
      </c>
      <c r="C3608" s="14">
        <v>137.78</v>
      </c>
      <c r="D3608" s="11" t="s">
        <v>107</v>
      </c>
    </row>
    <row r="3609" spans="1:4" x14ac:dyDescent="0.25">
      <c r="A3609" s="4" t="s">
        <v>8260</v>
      </c>
      <c r="B3609" s="3" t="s">
        <v>3611</v>
      </c>
      <c r="C3609" s="14">
        <v>58.59</v>
      </c>
      <c r="D3609" s="11" t="s">
        <v>107</v>
      </c>
    </row>
    <row r="3610" spans="1:4" x14ac:dyDescent="0.25">
      <c r="A3610" s="4" t="s">
        <v>8261</v>
      </c>
      <c r="B3610" s="3" t="s">
        <v>3612</v>
      </c>
      <c r="C3610" s="14">
        <v>81.05</v>
      </c>
      <c r="D3610" s="11" t="s">
        <v>107</v>
      </c>
    </row>
    <row r="3611" spans="1:4" x14ac:dyDescent="0.25">
      <c r="A3611" s="4" t="s">
        <v>8262</v>
      </c>
      <c r="B3611" s="3" t="s">
        <v>3613</v>
      </c>
      <c r="C3611" s="14">
        <v>166.29</v>
      </c>
      <c r="D3611" s="11" t="s">
        <v>107</v>
      </c>
    </row>
    <row r="3612" spans="1:4" x14ac:dyDescent="0.25">
      <c r="A3612" s="4" t="s">
        <v>8263</v>
      </c>
      <c r="B3612" s="3" t="s">
        <v>3614</v>
      </c>
      <c r="C3612" s="14">
        <v>71.16</v>
      </c>
      <c r="D3612" s="11" t="s">
        <v>107</v>
      </c>
    </row>
    <row r="3613" spans="1:4" x14ac:dyDescent="0.25">
      <c r="A3613" s="4" t="s">
        <v>8264</v>
      </c>
      <c r="B3613" s="3" t="s">
        <v>3615</v>
      </c>
      <c r="C3613" s="14">
        <v>95.72</v>
      </c>
      <c r="D3613" s="11" t="s">
        <v>107</v>
      </c>
    </row>
    <row r="3614" spans="1:4" x14ac:dyDescent="0.25">
      <c r="A3614" s="4" t="s">
        <v>8265</v>
      </c>
      <c r="B3614" s="3" t="s">
        <v>3616</v>
      </c>
      <c r="C3614" s="14">
        <v>213.5</v>
      </c>
      <c r="D3614" s="11" t="s">
        <v>107</v>
      </c>
    </row>
    <row r="3615" spans="1:4" x14ac:dyDescent="0.25">
      <c r="A3615" s="4" t="s">
        <v>8266</v>
      </c>
      <c r="B3615" s="3" t="s">
        <v>3617</v>
      </c>
      <c r="C3615" s="14">
        <v>92.7</v>
      </c>
      <c r="D3615" s="11" t="s">
        <v>107</v>
      </c>
    </row>
    <row r="3616" spans="1:4" x14ac:dyDescent="0.25">
      <c r="A3616" s="4" t="s">
        <v>8267</v>
      </c>
      <c r="B3616" s="3" t="s">
        <v>3618</v>
      </c>
      <c r="C3616" s="14">
        <v>123.8</v>
      </c>
      <c r="D3616" s="11" t="s">
        <v>107</v>
      </c>
    </row>
    <row r="3617" spans="1:4" x14ac:dyDescent="0.25">
      <c r="A3617" s="4" t="s">
        <v>8268</v>
      </c>
      <c r="B3617" s="3" t="s">
        <v>3619</v>
      </c>
      <c r="C3617" s="14">
        <v>331.1</v>
      </c>
      <c r="D3617" s="11" t="s">
        <v>107</v>
      </c>
    </row>
    <row r="3618" spans="1:4" x14ac:dyDescent="0.25">
      <c r="A3618" s="4" t="s">
        <v>8269</v>
      </c>
      <c r="B3618" s="3" t="s">
        <v>3620</v>
      </c>
      <c r="C3618" s="14">
        <v>142.74</v>
      </c>
      <c r="D3618" s="11" t="s">
        <v>107</v>
      </c>
    </row>
    <row r="3619" spans="1:4" x14ac:dyDescent="0.25">
      <c r="A3619" s="4" t="s">
        <v>8270</v>
      </c>
      <c r="B3619" s="3" t="s">
        <v>3621</v>
      </c>
      <c r="C3619" s="14">
        <v>189</v>
      </c>
      <c r="D3619" s="11" t="s">
        <v>107</v>
      </c>
    </row>
    <row r="3620" spans="1:4" x14ac:dyDescent="0.25">
      <c r="A3620" s="4" t="s">
        <v>8271</v>
      </c>
      <c r="B3620" s="3" t="s">
        <v>3622</v>
      </c>
      <c r="C3620" s="14">
        <v>7.73</v>
      </c>
      <c r="D3620" s="11" t="s">
        <v>107</v>
      </c>
    </row>
    <row r="3621" spans="1:4" x14ac:dyDescent="0.25">
      <c r="A3621" s="4" t="s">
        <v>8272</v>
      </c>
      <c r="B3621" s="3" t="s">
        <v>3623</v>
      </c>
      <c r="C3621" s="14">
        <v>539.69000000000005</v>
      </c>
      <c r="D3621" s="11" t="s">
        <v>107</v>
      </c>
    </row>
    <row r="3622" spans="1:4" x14ac:dyDescent="0.25">
      <c r="A3622" s="4" t="s">
        <v>8273</v>
      </c>
      <c r="B3622" s="3" t="s">
        <v>3624</v>
      </c>
      <c r="C3622" s="14">
        <v>859.83</v>
      </c>
      <c r="D3622" s="11" t="s">
        <v>107</v>
      </c>
    </row>
    <row r="3623" spans="1:4" x14ac:dyDescent="0.25">
      <c r="A3623" s="4" t="s">
        <v>8274</v>
      </c>
      <c r="B3623" s="3" t="s">
        <v>3625</v>
      </c>
      <c r="C3623" s="14">
        <v>10.59</v>
      </c>
      <c r="D3623" s="11" t="s">
        <v>107</v>
      </c>
    </row>
    <row r="3624" spans="1:4" x14ac:dyDescent="0.25">
      <c r="A3624" s="4" t="s">
        <v>8275</v>
      </c>
      <c r="B3624" s="3" t="s">
        <v>3626</v>
      </c>
      <c r="C3624" s="14">
        <v>1097.43</v>
      </c>
      <c r="D3624" s="11" t="s">
        <v>107</v>
      </c>
    </row>
    <row r="3625" spans="1:4" x14ac:dyDescent="0.25">
      <c r="A3625" s="4" t="s">
        <v>8276</v>
      </c>
      <c r="B3625" s="3" t="s">
        <v>3627</v>
      </c>
      <c r="C3625" s="14">
        <v>12.98</v>
      </c>
      <c r="D3625" s="11" t="s">
        <v>107</v>
      </c>
    </row>
    <row r="3626" spans="1:4" x14ac:dyDescent="0.25">
      <c r="A3626" s="4" t="s">
        <v>8277</v>
      </c>
      <c r="B3626" s="3" t="s">
        <v>3628</v>
      </c>
      <c r="C3626" s="14">
        <v>10.19</v>
      </c>
      <c r="D3626" s="11" t="s">
        <v>107</v>
      </c>
    </row>
    <row r="3627" spans="1:4" x14ac:dyDescent="0.25">
      <c r="A3627" s="4" t="s">
        <v>8278</v>
      </c>
      <c r="B3627" s="3" t="s">
        <v>3629</v>
      </c>
      <c r="C3627" s="14">
        <v>1430.28</v>
      </c>
      <c r="D3627" s="11" t="s">
        <v>107</v>
      </c>
    </row>
    <row r="3628" spans="1:4" x14ac:dyDescent="0.25">
      <c r="A3628" s="4" t="s">
        <v>8279</v>
      </c>
      <c r="B3628" s="3" t="s">
        <v>3630</v>
      </c>
      <c r="C3628" s="14">
        <v>19.98</v>
      </c>
      <c r="D3628" s="11" t="s">
        <v>107</v>
      </c>
    </row>
    <row r="3629" spans="1:4" x14ac:dyDescent="0.25">
      <c r="A3629" s="4" t="s">
        <v>8280</v>
      </c>
      <c r="B3629" s="3" t="s">
        <v>3631</v>
      </c>
      <c r="C3629" s="14">
        <v>12.83</v>
      </c>
      <c r="D3629" s="11" t="s">
        <v>107</v>
      </c>
    </row>
    <row r="3630" spans="1:4" x14ac:dyDescent="0.25">
      <c r="A3630" s="4" t="s">
        <v>8281</v>
      </c>
      <c r="B3630" s="3" t="s">
        <v>3632</v>
      </c>
      <c r="C3630" s="14">
        <v>15.18</v>
      </c>
      <c r="D3630" s="11" t="s">
        <v>107</v>
      </c>
    </row>
    <row r="3631" spans="1:4" x14ac:dyDescent="0.25">
      <c r="A3631" s="4" t="s">
        <v>8282</v>
      </c>
      <c r="B3631" s="3" t="s">
        <v>3633</v>
      </c>
      <c r="C3631" s="14">
        <v>31.22</v>
      </c>
      <c r="D3631" s="11" t="s">
        <v>107</v>
      </c>
    </row>
    <row r="3632" spans="1:4" x14ac:dyDescent="0.25">
      <c r="A3632" s="4" t="s">
        <v>8283</v>
      </c>
      <c r="B3632" s="3" t="s">
        <v>3634</v>
      </c>
      <c r="C3632" s="14">
        <v>16.25</v>
      </c>
      <c r="D3632" s="11" t="s">
        <v>107</v>
      </c>
    </row>
    <row r="3633" spans="1:4" x14ac:dyDescent="0.25">
      <c r="A3633" s="4" t="s">
        <v>8284</v>
      </c>
      <c r="B3633" s="3" t="s">
        <v>3635</v>
      </c>
      <c r="C3633" s="14">
        <v>20.37</v>
      </c>
      <c r="D3633" s="11" t="s">
        <v>107</v>
      </c>
    </row>
    <row r="3634" spans="1:4" x14ac:dyDescent="0.25">
      <c r="A3634" s="4" t="s">
        <v>8285</v>
      </c>
      <c r="B3634" s="3" t="s">
        <v>3636</v>
      </c>
      <c r="C3634" s="14">
        <v>43.7</v>
      </c>
      <c r="D3634" s="11" t="s">
        <v>107</v>
      </c>
    </row>
    <row r="3635" spans="1:4" x14ac:dyDescent="0.25">
      <c r="A3635" s="4" t="s">
        <v>8286</v>
      </c>
      <c r="B3635" s="3" t="s">
        <v>3637</v>
      </c>
      <c r="C3635" s="14">
        <v>20.72</v>
      </c>
      <c r="D3635" s="11" t="s">
        <v>107</v>
      </c>
    </row>
    <row r="3636" spans="1:4" x14ac:dyDescent="0.25">
      <c r="A3636" s="4" t="s">
        <v>8287</v>
      </c>
      <c r="B3636" s="3" t="s">
        <v>3638</v>
      </c>
      <c r="C3636" s="14">
        <v>27.87</v>
      </c>
      <c r="D3636" s="11" t="s">
        <v>107</v>
      </c>
    </row>
    <row r="3637" spans="1:4" x14ac:dyDescent="0.25">
      <c r="A3637" s="4" t="s">
        <v>8288</v>
      </c>
      <c r="B3637" s="3" t="s">
        <v>3639</v>
      </c>
      <c r="C3637" s="14">
        <v>64.56</v>
      </c>
      <c r="D3637" s="11" t="s">
        <v>107</v>
      </c>
    </row>
    <row r="3638" spans="1:4" x14ac:dyDescent="0.25">
      <c r="A3638" s="4" t="s">
        <v>8289</v>
      </c>
      <c r="B3638" s="3" t="s">
        <v>3640</v>
      </c>
      <c r="C3638" s="14">
        <v>27.32</v>
      </c>
      <c r="D3638" s="11" t="s">
        <v>107</v>
      </c>
    </row>
    <row r="3639" spans="1:4" x14ac:dyDescent="0.25">
      <c r="A3639" s="4" t="s">
        <v>8290</v>
      </c>
      <c r="B3639" s="3" t="s">
        <v>3641</v>
      </c>
      <c r="C3639" s="14">
        <v>39.83</v>
      </c>
      <c r="D3639" s="11" t="s">
        <v>107</v>
      </c>
    </row>
    <row r="3640" spans="1:4" x14ac:dyDescent="0.25">
      <c r="A3640" s="4" t="s">
        <v>8291</v>
      </c>
      <c r="B3640" s="3" t="s">
        <v>3642</v>
      </c>
      <c r="C3640" s="14">
        <v>1.44</v>
      </c>
      <c r="D3640" s="11" t="s">
        <v>107</v>
      </c>
    </row>
    <row r="3641" spans="1:4" x14ac:dyDescent="0.25">
      <c r="A3641" s="4" t="s">
        <v>8292</v>
      </c>
      <c r="B3641" s="3" t="s">
        <v>3643</v>
      </c>
      <c r="C3641" s="14">
        <v>1.97</v>
      </c>
      <c r="D3641" s="11" t="s">
        <v>107</v>
      </c>
    </row>
    <row r="3642" spans="1:4" x14ac:dyDescent="0.25">
      <c r="A3642" s="4" t="s">
        <v>8293</v>
      </c>
      <c r="B3642" s="3" t="s">
        <v>3644</v>
      </c>
      <c r="C3642" s="14">
        <v>3.2</v>
      </c>
      <c r="D3642" s="11" t="s">
        <v>107</v>
      </c>
    </row>
    <row r="3643" spans="1:4" x14ac:dyDescent="0.25">
      <c r="A3643" s="4" t="s">
        <v>8294</v>
      </c>
      <c r="B3643" s="3" t="s">
        <v>3645</v>
      </c>
      <c r="C3643" s="14">
        <v>5.46</v>
      </c>
      <c r="D3643" s="11" t="s">
        <v>107</v>
      </c>
    </row>
    <row r="3644" spans="1:4" x14ac:dyDescent="0.25">
      <c r="A3644" s="4" t="s">
        <v>8295</v>
      </c>
      <c r="B3644" s="3" t="s">
        <v>3646</v>
      </c>
      <c r="C3644" s="14">
        <v>6.24</v>
      </c>
      <c r="D3644" s="11" t="s">
        <v>107</v>
      </c>
    </row>
    <row r="3645" spans="1:4" x14ac:dyDescent="0.25">
      <c r="A3645" s="4" t="s">
        <v>8296</v>
      </c>
      <c r="B3645" s="3" t="s">
        <v>3647</v>
      </c>
      <c r="C3645" s="14">
        <v>11.04</v>
      </c>
      <c r="D3645" s="11" t="s">
        <v>107</v>
      </c>
    </row>
    <row r="3646" spans="1:4" x14ac:dyDescent="0.25">
      <c r="A3646" s="4" t="s">
        <v>8297</v>
      </c>
      <c r="B3646" s="3" t="s">
        <v>3648</v>
      </c>
      <c r="C3646" s="14">
        <v>20.3</v>
      </c>
      <c r="D3646" s="11" t="s">
        <v>107</v>
      </c>
    </row>
    <row r="3647" spans="1:4" x14ac:dyDescent="0.25">
      <c r="A3647" s="4" t="s">
        <v>8298</v>
      </c>
      <c r="B3647" s="3" t="s">
        <v>3649</v>
      </c>
      <c r="C3647" s="14">
        <v>30.86</v>
      </c>
      <c r="D3647" s="11" t="s">
        <v>107</v>
      </c>
    </row>
    <row r="3648" spans="1:4" x14ac:dyDescent="0.25">
      <c r="A3648" s="4" t="s">
        <v>8299</v>
      </c>
      <c r="B3648" s="3" t="s">
        <v>3650</v>
      </c>
      <c r="C3648" s="14">
        <v>49.65</v>
      </c>
      <c r="D3648" s="11" t="s">
        <v>107</v>
      </c>
    </row>
    <row r="3649" spans="1:4" x14ac:dyDescent="0.25">
      <c r="A3649" s="4" t="s">
        <v>8300</v>
      </c>
      <c r="B3649" s="3" t="s">
        <v>3651</v>
      </c>
      <c r="C3649" s="14">
        <v>8.1199999999999992</v>
      </c>
      <c r="D3649" s="11" t="s">
        <v>107</v>
      </c>
    </row>
    <row r="3650" spans="1:4" x14ac:dyDescent="0.25">
      <c r="A3650" s="4" t="s">
        <v>8301</v>
      </c>
      <c r="B3650" s="3" t="s">
        <v>3652</v>
      </c>
      <c r="C3650" s="14">
        <v>16.23</v>
      </c>
      <c r="D3650" s="11" t="s">
        <v>107</v>
      </c>
    </row>
    <row r="3651" spans="1:4" x14ac:dyDescent="0.25">
      <c r="A3651" s="4" t="s">
        <v>8302</v>
      </c>
      <c r="B3651" s="3" t="s">
        <v>3653</v>
      </c>
      <c r="C3651" s="14">
        <v>10.83</v>
      </c>
      <c r="D3651" s="11" t="s">
        <v>107</v>
      </c>
    </row>
    <row r="3652" spans="1:4" x14ac:dyDescent="0.25">
      <c r="A3652" s="4" t="s">
        <v>8303</v>
      </c>
      <c r="B3652" s="3" t="s">
        <v>3654</v>
      </c>
      <c r="C3652" s="14">
        <v>3.54</v>
      </c>
      <c r="D3652" s="11" t="s">
        <v>107</v>
      </c>
    </row>
    <row r="3653" spans="1:4" x14ac:dyDescent="0.25">
      <c r="A3653" s="4" t="s">
        <v>8304</v>
      </c>
      <c r="B3653" s="3" t="s">
        <v>3655</v>
      </c>
      <c r="C3653" s="14">
        <v>157.68</v>
      </c>
      <c r="D3653" s="11" t="s">
        <v>107</v>
      </c>
    </row>
    <row r="3654" spans="1:4" x14ac:dyDescent="0.25">
      <c r="A3654" s="4" t="s">
        <v>8305</v>
      </c>
      <c r="B3654" s="3" t="s">
        <v>3656</v>
      </c>
      <c r="C3654" s="14">
        <v>27.03</v>
      </c>
      <c r="D3654" s="11" t="s">
        <v>107</v>
      </c>
    </row>
    <row r="3655" spans="1:4" x14ac:dyDescent="0.25">
      <c r="A3655" s="4" t="s">
        <v>8306</v>
      </c>
      <c r="B3655" s="3" t="s">
        <v>3657</v>
      </c>
      <c r="C3655" s="14">
        <v>44.75</v>
      </c>
      <c r="D3655" s="11" t="s">
        <v>107</v>
      </c>
    </row>
    <row r="3656" spans="1:4" x14ac:dyDescent="0.25">
      <c r="A3656" s="4" t="s">
        <v>8307</v>
      </c>
      <c r="B3656" s="3" t="s">
        <v>3658</v>
      </c>
      <c r="C3656" s="14">
        <v>3.54</v>
      </c>
      <c r="D3656" s="11" t="s">
        <v>107</v>
      </c>
    </row>
    <row r="3657" spans="1:4" x14ac:dyDescent="0.25">
      <c r="A3657" s="4" t="s">
        <v>8308</v>
      </c>
      <c r="B3657" s="3" t="s">
        <v>3659</v>
      </c>
      <c r="C3657" s="14">
        <v>5.94</v>
      </c>
      <c r="D3657" s="11" t="s">
        <v>107</v>
      </c>
    </row>
    <row r="3658" spans="1:4" x14ac:dyDescent="0.25">
      <c r="A3658" s="4" t="s">
        <v>8309</v>
      </c>
      <c r="B3658" s="3" t="s">
        <v>3660</v>
      </c>
      <c r="C3658" s="14">
        <v>101.97</v>
      </c>
      <c r="D3658" s="11" t="s">
        <v>107</v>
      </c>
    </row>
    <row r="3659" spans="1:4" x14ac:dyDescent="0.25">
      <c r="A3659" s="4" t="s">
        <v>8310</v>
      </c>
      <c r="B3659" s="3" t="s">
        <v>3661</v>
      </c>
      <c r="C3659" s="14">
        <v>5.94</v>
      </c>
      <c r="D3659" s="11" t="s">
        <v>107</v>
      </c>
    </row>
    <row r="3660" spans="1:4" x14ac:dyDescent="0.25">
      <c r="A3660" s="4" t="s">
        <v>8311</v>
      </c>
      <c r="B3660" s="3" t="s">
        <v>3662</v>
      </c>
      <c r="C3660" s="14">
        <v>8.1199999999999992</v>
      </c>
      <c r="D3660" s="11" t="s">
        <v>107</v>
      </c>
    </row>
    <row r="3661" spans="1:4" x14ac:dyDescent="0.25">
      <c r="A3661" s="4" t="s">
        <v>8312</v>
      </c>
      <c r="B3661" s="3" t="s">
        <v>3663</v>
      </c>
      <c r="C3661" s="14">
        <v>157.68</v>
      </c>
      <c r="D3661" s="11" t="s">
        <v>107</v>
      </c>
    </row>
    <row r="3662" spans="1:4" x14ac:dyDescent="0.25">
      <c r="A3662" s="4" t="s">
        <v>8313</v>
      </c>
      <c r="B3662" s="3" t="s">
        <v>3664</v>
      </c>
      <c r="C3662" s="14">
        <v>10.83</v>
      </c>
      <c r="D3662" s="11" t="s">
        <v>107</v>
      </c>
    </row>
    <row r="3663" spans="1:4" x14ac:dyDescent="0.25">
      <c r="A3663" s="4" t="s">
        <v>8314</v>
      </c>
      <c r="B3663" s="3" t="s">
        <v>3665</v>
      </c>
      <c r="C3663" s="14">
        <v>16.23</v>
      </c>
      <c r="D3663" s="11" t="s">
        <v>107</v>
      </c>
    </row>
    <row r="3664" spans="1:4" x14ac:dyDescent="0.25">
      <c r="A3664" s="4" t="s">
        <v>8315</v>
      </c>
      <c r="B3664" s="3" t="s">
        <v>3666</v>
      </c>
      <c r="C3664" s="14">
        <v>30.72</v>
      </c>
      <c r="D3664" s="11" t="s">
        <v>107</v>
      </c>
    </row>
    <row r="3665" spans="1:4" x14ac:dyDescent="0.25">
      <c r="A3665" s="4" t="s">
        <v>8316</v>
      </c>
      <c r="B3665" s="3" t="s">
        <v>3667</v>
      </c>
      <c r="C3665" s="14">
        <v>44.75</v>
      </c>
      <c r="D3665" s="11" t="s">
        <v>107</v>
      </c>
    </row>
    <row r="3666" spans="1:4" x14ac:dyDescent="0.25">
      <c r="A3666" s="4" t="s">
        <v>8317</v>
      </c>
      <c r="B3666" s="3" t="s">
        <v>3668</v>
      </c>
      <c r="C3666" s="14">
        <v>101.97</v>
      </c>
      <c r="D3666" s="11" t="s">
        <v>107</v>
      </c>
    </row>
    <row r="3667" spans="1:4" x14ac:dyDescent="0.25">
      <c r="A3667" s="4" t="s">
        <v>8318</v>
      </c>
      <c r="B3667" s="3" t="s">
        <v>3669</v>
      </c>
      <c r="C3667" s="14">
        <v>771.54</v>
      </c>
      <c r="D3667" s="11" t="s">
        <v>5</v>
      </c>
    </row>
    <row r="3668" spans="1:4" x14ac:dyDescent="0.25">
      <c r="A3668" s="4" t="s">
        <v>8319</v>
      </c>
      <c r="B3668" s="3" t="s">
        <v>3670</v>
      </c>
      <c r="C3668" s="14">
        <v>1127.5999999999999</v>
      </c>
      <c r="D3668" s="11" t="s">
        <v>5</v>
      </c>
    </row>
    <row r="3669" spans="1:4" x14ac:dyDescent="0.25">
      <c r="A3669" s="4" t="s">
        <v>8320</v>
      </c>
      <c r="B3669" s="3" t="s">
        <v>3671</v>
      </c>
      <c r="C3669" s="14">
        <v>6357</v>
      </c>
      <c r="D3669" s="11" t="s">
        <v>5</v>
      </c>
    </row>
    <row r="3670" spans="1:4" x14ac:dyDescent="0.25">
      <c r="A3670" s="4" t="s">
        <v>8321</v>
      </c>
      <c r="B3670" s="3" t="s">
        <v>3672</v>
      </c>
      <c r="C3670" s="14">
        <v>1863.87</v>
      </c>
      <c r="D3670" s="11" t="s">
        <v>5</v>
      </c>
    </row>
    <row r="3671" spans="1:4" x14ac:dyDescent="0.25">
      <c r="A3671" s="4" t="s">
        <v>8322</v>
      </c>
      <c r="B3671" s="3" t="s">
        <v>3673</v>
      </c>
      <c r="C3671" s="14">
        <v>565.83000000000004</v>
      </c>
      <c r="D3671" s="11" t="s">
        <v>5</v>
      </c>
    </row>
    <row r="3672" spans="1:4" x14ac:dyDescent="0.25">
      <c r="A3672" s="4" t="s">
        <v>8323</v>
      </c>
      <c r="B3672" s="3" t="s">
        <v>3674</v>
      </c>
      <c r="C3672" s="14">
        <v>937.34</v>
      </c>
      <c r="D3672" s="11" t="s">
        <v>5</v>
      </c>
    </row>
    <row r="3673" spans="1:4" x14ac:dyDescent="0.25">
      <c r="A3673" s="4" t="s">
        <v>8324</v>
      </c>
      <c r="B3673" s="3" t="s">
        <v>3675</v>
      </c>
      <c r="C3673" s="14">
        <v>1276.56</v>
      </c>
      <c r="D3673" s="11" t="s">
        <v>5</v>
      </c>
    </row>
    <row r="3674" spans="1:4" x14ac:dyDescent="0.25">
      <c r="A3674" s="4" t="s">
        <v>8325</v>
      </c>
      <c r="B3674" s="3" t="s">
        <v>3676</v>
      </c>
      <c r="C3674" s="14">
        <v>11814.66</v>
      </c>
      <c r="D3674" s="11" t="s">
        <v>5</v>
      </c>
    </row>
    <row r="3675" spans="1:4" x14ac:dyDescent="0.25">
      <c r="A3675" s="4" t="s">
        <v>8326</v>
      </c>
      <c r="B3675" s="3" t="s">
        <v>3677</v>
      </c>
      <c r="C3675" s="14">
        <v>1589.96</v>
      </c>
      <c r="D3675" s="11" t="s">
        <v>5</v>
      </c>
    </row>
    <row r="3676" spans="1:4" x14ac:dyDescent="0.25">
      <c r="A3676" s="4" t="s">
        <v>8327</v>
      </c>
      <c r="B3676" s="3" t="s">
        <v>3678</v>
      </c>
      <c r="C3676" s="14">
        <v>1235.3699999999999</v>
      </c>
      <c r="D3676" s="11" t="s">
        <v>5</v>
      </c>
    </row>
    <row r="3677" spans="1:4" x14ac:dyDescent="0.25">
      <c r="A3677" s="4" t="s">
        <v>8328</v>
      </c>
      <c r="B3677" s="3" t="s">
        <v>3679</v>
      </c>
      <c r="C3677" s="14">
        <v>1361.06</v>
      </c>
      <c r="D3677" s="11" t="s">
        <v>5</v>
      </c>
    </row>
    <row r="3678" spans="1:4" x14ac:dyDescent="0.25">
      <c r="A3678" s="4" t="s">
        <v>8329</v>
      </c>
      <c r="B3678" s="3" t="s">
        <v>3680</v>
      </c>
      <c r="C3678" s="14">
        <v>384</v>
      </c>
      <c r="D3678" s="11" t="s">
        <v>5</v>
      </c>
    </row>
    <row r="3679" spans="1:4" x14ac:dyDescent="0.25">
      <c r="A3679" s="4" t="s">
        <v>8330</v>
      </c>
      <c r="B3679" s="3" t="s">
        <v>3681</v>
      </c>
      <c r="C3679" s="14">
        <v>455.54</v>
      </c>
      <c r="D3679" s="11" t="s">
        <v>5</v>
      </c>
    </row>
    <row r="3680" spans="1:4" x14ac:dyDescent="0.25">
      <c r="A3680" s="4" t="s">
        <v>8331</v>
      </c>
      <c r="B3680" s="3" t="s">
        <v>3682</v>
      </c>
      <c r="C3680" s="14">
        <v>546.27</v>
      </c>
      <c r="D3680" s="11" t="s">
        <v>5</v>
      </c>
    </row>
    <row r="3681" spans="1:4" x14ac:dyDescent="0.25">
      <c r="A3681" s="4" t="s">
        <v>8332</v>
      </c>
      <c r="B3681" s="3" t="s">
        <v>3683</v>
      </c>
      <c r="C3681" s="14">
        <v>673.92</v>
      </c>
      <c r="D3681" s="11" t="s">
        <v>5</v>
      </c>
    </row>
    <row r="3682" spans="1:4" x14ac:dyDescent="0.25">
      <c r="A3682" s="4" t="s">
        <v>8333</v>
      </c>
      <c r="B3682" s="3" t="s">
        <v>3684</v>
      </c>
      <c r="C3682" s="14">
        <v>7680.69</v>
      </c>
      <c r="D3682" s="11" t="s">
        <v>5</v>
      </c>
    </row>
    <row r="3683" spans="1:4" x14ac:dyDescent="0.25">
      <c r="A3683" s="4" t="s">
        <v>8334</v>
      </c>
      <c r="B3683" s="3" t="s">
        <v>3685</v>
      </c>
      <c r="C3683" s="14">
        <v>4754.22</v>
      </c>
      <c r="D3683" s="11" t="s">
        <v>5</v>
      </c>
    </row>
    <row r="3684" spans="1:4" x14ac:dyDescent="0.25">
      <c r="A3684" s="4" t="s">
        <v>8335</v>
      </c>
      <c r="B3684" s="3" t="s">
        <v>3686</v>
      </c>
      <c r="C3684" s="14">
        <v>8411.7900000000009</v>
      </c>
      <c r="D3684" s="11" t="s">
        <v>5</v>
      </c>
    </row>
    <row r="3685" spans="1:4" x14ac:dyDescent="0.25">
      <c r="A3685" s="4" t="s">
        <v>8336</v>
      </c>
      <c r="B3685" s="3" t="s">
        <v>3687</v>
      </c>
      <c r="C3685" s="14">
        <v>8411.7900000000009</v>
      </c>
      <c r="D3685" s="11" t="s">
        <v>5</v>
      </c>
    </row>
    <row r="3686" spans="1:4" x14ac:dyDescent="0.25">
      <c r="A3686" s="4" t="s">
        <v>8337</v>
      </c>
      <c r="B3686" s="3" t="s">
        <v>3688</v>
      </c>
      <c r="C3686" s="14">
        <v>5485.4</v>
      </c>
      <c r="D3686" s="11" t="s">
        <v>5</v>
      </c>
    </row>
    <row r="3687" spans="1:4" x14ac:dyDescent="0.25">
      <c r="A3687" s="4" t="s">
        <v>8338</v>
      </c>
      <c r="B3687" s="3" t="s">
        <v>3689</v>
      </c>
      <c r="C3687" s="14">
        <v>7315.91</v>
      </c>
      <c r="D3687" s="11" t="s">
        <v>5</v>
      </c>
    </row>
    <row r="3688" spans="1:4" x14ac:dyDescent="0.25">
      <c r="A3688" s="4" t="s">
        <v>8339</v>
      </c>
      <c r="B3688" s="3" t="s">
        <v>3690</v>
      </c>
      <c r="C3688" s="14">
        <v>5070.42</v>
      </c>
      <c r="D3688" s="11" t="s">
        <v>5</v>
      </c>
    </row>
    <row r="3689" spans="1:4" x14ac:dyDescent="0.25">
      <c r="A3689" s="4" t="s">
        <v>8340</v>
      </c>
      <c r="B3689" s="3" t="s">
        <v>3691</v>
      </c>
      <c r="C3689" s="14">
        <v>2652.09</v>
      </c>
      <c r="D3689" s="11" t="s">
        <v>5</v>
      </c>
    </row>
    <row r="3690" spans="1:4" x14ac:dyDescent="0.25">
      <c r="A3690" s="4" t="s">
        <v>8341</v>
      </c>
      <c r="B3690" s="3" t="s">
        <v>3692</v>
      </c>
      <c r="C3690" s="14">
        <v>3779.48</v>
      </c>
      <c r="D3690" s="11" t="s">
        <v>5</v>
      </c>
    </row>
    <row r="3691" spans="1:4" x14ac:dyDescent="0.25">
      <c r="A3691" s="4" t="s">
        <v>8342</v>
      </c>
      <c r="B3691" s="3" t="s">
        <v>3693</v>
      </c>
      <c r="C3691" s="14">
        <v>7214.01</v>
      </c>
      <c r="D3691" s="11" t="s">
        <v>5</v>
      </c>
    </row>
    <row r="3692" spans="1:4" x14ac:dyDescent="0.25">
      <c r="A3692" s="4" t="s">
        <v>8343</v>
      </c>
      <c r="B3692" s="3" t="s">
        <v>3694</v>
      </c>
      <c r="C3692" s="14">
        <v>9763.5499999999993</v>
      </c>
      <c r="D3692" s="11" t="s">
        <v>5</v>
      </c>
    </row>
    <row r="3693" spans="1:4" x14ac:dyDescent="0.25">
      <c r="A3693" s="4" t="s">
        <v>8344</v>
      </c>
      <c r="B3693" s="3" t="s">
        <v>3695</v>
      </c>
      <c r="C3693" s="14">
        <v>2777.48</v>
      </c>
      <c r="D3693" s="11" t="s">
        <v>5</v>
      </c>
    </row>
    <row r="3694" spans="1:4" x14ac:dyDescent="0.25">
      <c r="A3694" s="4" t="s">
        <v>8345</v>
      </c>
      <c r="B3694" s="3" t="s">
        <v>3696</v>
      </c>
      <c r="C3694" s="14">
        <v>72.59</v>
      </c>
      <c r="D3694" s="11" t="s">
        <v>107</v>
      </c>
    </row>
    <row r="3695" spans="1:4" x14ac:dyDescent="0.25">
      <c r="A3695" s="4" t="s">
        <v>8346</v>
      </c>
      <c r="B3695" s="3" t="s">
        <v>3697</v>
      </c>
      <c r="C3695" s="14">
        <v>77.97</v>
      </c>
      <c r="D3695" s="11" t="s">
        <v>107</v>
      </c>
    </row>
    <row r="3696" spans="1:4" x14ac:dyDescent="0.25">
      <c r="A3696" s="4" t="s">
        <v>8347</v>
      </c>
      <c r="B3696" s="3" t="s">
        <v>3698</v>
      </c>
      <c r="C3696" s="14">
        <v>144.16999999999999</v>
      </c>
      <c r="D3696" s="11" t="s">
        <v>107</v>
      </c>
    </row>
    <row r="3697" spans="1:4" x14ac:dyDescent="0.25">
      <c r="A3697" s="4" t="s">
        <v>8348</v>
      </c>
      <c r="B3697" s="3" t="s">
        <v>3699</v>
      </c>
      <c r="C3697" s="14">
        <v>74.64</v>
      </c>
      <c r="D3697" s="11" t="s">
        <v>107</v>
      </c>
    </row>
    <row r="3698" spans="1:4" x14ac:dyDescent="0.25">
      <c r="A3698" s="4" t="s">
        <v>8349</v>
      </c>
      <c r="B3698" s="3" t="s">
        <v>3700</v>
      </c>
      <c r="C3698" s="14">
        <v>80.760000000000005</v>
      </c>
      <c r="D3698" s="11" t="s">
        <v>107</v>
      </c>
    </row>
    <row r="3699" spans="1:4" x14ac:dyDescent="0.25">
      <c r="A3699" s="4" t="s">
        <v>8350</v>
      </c>
      <c r="B3699" s="3" t="s">
        <v>3701</v>
      </c>
      <c r="C3699" s="14">
        <v>53111.82</v>
      </c>
      <c r="D3699" s="11" t="s">
        <v>5</v>
      </c>
    </row>
    <row r="3700" spans="1:4" x14ac:dyDescent="0.25">
      <c r="A3700" s="4" t="s">
        <v>8351</v>
      </c>
      <c r="B3700" s="3" t="s">
        <v>3702</v>
      </c>
      <c r="C3700" s="14">
        <v>40.43</v>
      </c>
      <c r="D3700" s="11" t="s">
        <v>5</v>
      </c>
    </row>
    <row r="3701" spans="1:4" x14ac:dyDescent="0.25">
      <c r="A3701" s="4" t="s">
        <v>8352</v>
      </c>
      <c r="B3701" s="3" t="s">
        <v>3703</v>
      </c>
      <c r="C3701" s="14">
        <v>4070.04</v>
      </c>
      <c r="D3701" s="11" t="s">
        <v>5</v>
      </c>
    </row>
    <row r="3702" spans="1:4" x14ac:dyDescent="0.25">
      <c r="A3702" s="4" t="s">
        <v>8353</v>
      </c>
      <c r="B3702" s="3" t="s">
        <v>3704</v>
      </c>
      <c r="C3702" s="14">
        <v>1127.5999999999999</v>
      </c>
      <c r="D3702" s="11" t="s">
        <v>5</v>
      </c>
    </row>
    <row r="3703" spans="1:4" x14ac:dyDescent="0.25">
      <c r="A3703" s="4" t="s">
        <v>8354</v>
      </c>
      <c r="B3703" s="3" t="s">
        <v>3705</v>
      </c>
      <c r="C3703" s="14">
        <v>2668.17</v>
      </c>
      <c r="D3703" s="11" t="s">
        <v>5</v>
      </c>
    </row>
    <row r="3704" spans="1:4" x14ac:dyDescent="0.25">
      <c r="A3704" s="4" t="s">
        <v>8355</v>
      </c>
      <c r="B3704" s="3" t="s">
        <v>3706</v>
      </c>
      <c r="C3704" s="14">
        <v>3465.59</v>
      </c>
      <c r="D3704" s="11" t="s">
        <v>5</v>
      </c>
    </row>
    <row r="3705" spans="1:4" x14ac:dyDescent="0.25">
      <c r="A3705" s="4" t="s">
        <v>8356</v>
      </c>
      <c r="B3705" s="3" t="s">
        <v>3707</v>
      </c>
      <c r="C3705" s="14">
        <v>2063.2399999999998</v>
      </c>
      <c r="D3705" s="11" t="s">
        <v>5</v>
      </c>
    </row>
    <row r="3706" spans="1:4" x14ac:dyDescent="0.25">
      <c r="A3706" s="4" t="s">
        <v>8357</v>
      </c>
      <c r="B3706" s="3" t="s">
        <v>3708</v>
      </c>
      <c r="C3706" s="14">
        <v>1373.13</v>
      </c>
      <c r="D3706" s="11" t="s">
        <v>5</v>
      </c>
    </row>
    <row r="3707" spans="1:4" x14ac:dyDescent="0.25">
      <c r="A3707" s="4" t="s">
        <v>8358</v>
      </c>
      <c r="B3707" s="3" t="s">
        <v>3709</v>
      </c>
      <c r="C3707" s="14">
        <v>1314.33</v>
      </c>
      <c r="D3707" s="11" t="s">
        <v>5</v>
      </c>
    </row>
    <row r="3708" spans="1:4" x14ac:dyDescent="0.25">
      <c r="A3708" s="4" t="s">
        <v>8359</v>
      </c>
      <c r="B3708" s="3" t="s">
        <v>3710</v>
      </c>
      <c r="C3708" s="14">
        <v>1262.8699999999999</v>
      </c>
      <c r="D3708" s="11" t="s">
        <v>5</v>
      </c>
    </row>
    <row r="3709" spans="1:4" x14ac:dyDescent="0.25">
      <c r="A3709" s="4" t="s">
        <v>8360</v>
      </c>
      <c r="B3709" s="3" t="s">
        <v>3711</v>
      </c>
      <c r="C3709" s="14">
        <v>4685.01</v>
      </c>
      <c r="D3709" s="11" t="s">
        <v>5</v>
      </c>
    </row>
    <row r="3710" spans="1:4" x14ac:dyDescent="0.25">
      <c r="A3710" s="4" t="s">
        <v>8361</v>
      </c>
      <c r="B3710" s="3" t="s">
        <v>3712</v>
      </c>
      <c r="C3710" s="14">
        <v>3914.46</v>
      </c>
      <c r="D3710" s="11" t="s">
        <v>5</v>
      </c>
    </row>
    <row r="3711" spans="1:4" x14ac:dyDescent="0.25">
      <c r="A3711" s="4" t="s">
        <v>8362</v>
      </c>
      <c r="B3711" s="3" t="s">
        <v>3713</v>
      </c>
      <c r="C3711" s="14">
        <v>2906.34</v>
      </c>
      <c r="D3711" s="11" t="s">
        <v>5</v>
      </c>
    </row>
    <row r="3712" spans="1:4" x14ac:dyDescent="0.25">
      <c r="A3712" s="4" t="s">
        <v>8363</v>
      </c>
      <c r="B3712" s="3" t="s">
        <v>3714</v>
      </c>
      <c r="C3712" s="14">
        <v>3914.46</v>
      </c>
      <c r="D3712" s="11" t="s">
        <v>5</v>
      </c>
    </row>
    <row r="3713" spans="1:4" x14ac:dyDescent="0.25">
      <c r="A3713" s="4" t="s">
        <v>8364</v>
      </c>
      <c r="B3713" s="3" t="s">
        <v>3715</v>
      </c>
      <c r="C3713" s="14">
        <v>3258.92</v>
      </c>
      <c r="D3713" s="11" t="s">
        <v>5</v>
      </c>
    </row>
    <row r="3714" spans="1:4" x14ac:dyDescent="0.25">
      <c r="A3714" s="4" t="s">
        <v>8365</v>
      </c>
      <c r="B3714" s="3" t="s">
        <v>3716</v>
      </c>
      <c r="C3714" s="14">
        <v>2488.4699999999998</v>
      </c>
      <c r="D3714" s="11" t="s">
        <v>5</v>
      </c>
    </row>
    <row r="3715" spans="1:4" x14ac:dyDescent="0.25">
      <c r="A3715" s="4" t="s">
        <v>8366</v>
      </c>
      <c r="B3715" s="3" t="s">
        <v>3717</v>
      </c>
      <c r="C3715" s="14">
        <v>2039.16</v>
      </c>
      <c r="D3715" s="11" t="s">
        <v>5</v>
      </c>
    </row>
    <row r="3716" spans="1:4" x14ac:dyDescent="0.25">
      <c r="A3716" s="4" t="s">
        <v>8367</v>
      </c>
      <c r="B3716" s="3" t="s">
        <v>3718</v>
      </c>
      <c r="C3716" s="14">
        <v>1898.61</v>
      </c>
      <c r="D3716" s="11" t="s">
        <v>5</v>
      </c>
    </row>
    <row r="3717" spans="1:4" x14ac:dyDescent="0.25">
      <c r="A3717" s="4" t="s">
        <v>8368</v>
      </c>
      <c r="B3717" s="3" t="s">
        <v>3719</v>
      </c>
      <c r="C3717" s="14">
        <v>2902.23</v>
      </c>
      <c r="D3717" s="11" t="s">
        <v>5</v>
      </c>
    </row>
    <row r="3718" spans="1:4" x14ac:dyDescent="0.25">
      <c r="A3718" s="4" t="s">
        <v>8369</v>
      </c>
      <c r="B3718" s="3" t="s">
        <v>3720</v>
      </c>
      <c r="C3718" s="14">
        <v>2522.75</v>
      </c>
      <c r="D3718" s="11" t="s">
        <v>5</v>
      </c>
    </row>
    <row r="3719" spans="1:4" x14ac:dyDescent="0.25">
      <c r="A3719" s="4" t="s">
        <v>8370</v>
      </c>
      <c r="B3719" s="3" t="s">
        <v>3721</v>
      </c>
      <c r="C3719" s="14">
        <v>9496.5</v>
      </c>
      <c r="D3719" s="11" t="s">
        <v>5</v>
      </c>
    </row>
    <row r="3720" spans="1:4" x14ac:dyDescent="0.25">
      <c r="A3720" s="4" t="s">
        <v>8371</v>
      </c>
      <c r="B3720" s="3" t="s">
        <v>3722</v>
      </c>
      <c r="C3720" s="14">
        <v>9389.7199999999993</v>
      </c>
      <c r="D3720" s="11" t="s">
        <v>5</v>
      </c>
    </row>
    <row r="3721" spans="1:4" x14ac:dyDescent="0.25">
      <c r="A3721" s="4" t="s">
        <v>8372</v>
      </c>
      <c r="B3721" s="3" t="s">
        <v>3723</v>
      </c>
      <c r="C3721" s="14">
        <v>6793.32</v>
      </c>
      <c r="D3721" s="11" t="s">
        <v>5</v>
      </c>
    </row>
    <row r="3722" spans="1:4" x14ac:dyDescent="0.25">
      <c r="A3722" s="4" t="s">
        <v>8373</v>
      </c>
      <c r="B3722" s="3" t="s">
        <v>3724</v>
      </c>
      <c r="C3722" s="14">
        <v>6577.76</v>
      </c>
      <c r="D3722" s="11" t="s">
        <v>5</v>
      </c>
    </row>
    <row r="3723" spans="1:4" x14ac:dyDescent="0.25">
      <c r="A3723" s="4" t="s">
        <v>8374</v>
      </c>
      <c r="B3723" s="3" t="s">
        <v>3725</v>
      </c>
      <c r="C3723" s="14">
        <v>1245.77</v>
      </c>
      <c r="D3723" s="11" t="s">
        <v>5</v>
      </c>
    </row>
    <row r="3724" spans="1:4" x14ac:dyDescent="0.25">
      <c r="A3724" s="4" t="s">
        <v>8375</v>
      </c>
      <c r="B3724" s="3" t="s">
        <v>3726</v>
      </c>
      <c r="C3724" s="14">
        <v>964.23</v>
      </c>
      <c r="D3724" s="11" t="s">
        <v>5</v>
      </c>
    </row>
    <row r="3725" spans="1:4" x14ac:dyDescent="0.25">
      <c r="A3725" s="4" t="s">
        <v>8376</v>
      </c>
      <c r="B3725" s="3" t="s">
        <v>3727</v>
      </c>
      <c r="C3725" s="14">
        <v>713.52</v>
      </c>
      <c r="D3725" s="11" t="s">
        <v>5</v>
      </c>
    </row>
    <row r="3726" spans="1:4" x14ac:dyDescent="0.25">
      <c r="A3726" s="4" t="s">
        <v>8377</v>
      </c>
      <c r="B3726" s="3" t="s">
        <v>3728</v>
      </c>
      <c r="C3726" s="14">
        <v>1008.9</v>
      </c>
      <c r="D3726" s="11" t="s">
        <v>5</v>
      </c>
    </row>
    <row r="3727" spans="1:4" x14ac:dyDescent="0.25">
      <c r="A3727" s="4" t="s">
        <v>8378</v>
      </c>
      <c r="B3727" s="3" t="s">
        <v>3729</v>
      </c>
      <c r="C3727" s="14">
        <v>508.01</v>
      </c>
      <c r="D3727" s="11" t="s">
        <v>5</v>
      </c>
    </row>
    <row r="3728" spans="1:4" x14ac:dyDescent="0.25">
      <c r="A3728" s="4" t="s">
        <v>8379</v>
      </c>
      <c r="B3728" s="3" t="s">
        <v>3730</v>
      </c>
      <c r="C3728" s="14">
        <v>902.46</v>
      </c>
      <c r="D3728" s="11" t="s">
        <v>5</v>
      </c>
    </row>
    <row r="3729" spans="1:4" x14ac:dyDescent="0.25">
      <c r="A3729" s="4" t="s">
        <v>8380</v>
      </c>
      <c r="B3729" s="3" t="s">
        <v>3731</v>
      </c>
      <c r="C3729" s="14">
        <v>1621.73</v>
      </c>
      <c r="D3729" s="11" t="s">
        <v>5</v>
      </c>
    </row>
    <row r="3730" spans="1:4" x14ac:dyDescent="0.25">
      <c r="A3730" s="4" t="s">
        <v>8381</v>
      </c>
      <c r="B3730" s="3" t="s">
        <v>3732</v>
      </c>
      <c r="C3730" s="14">
        <v>1332.15</v>
      </c>
      <c r="D3730" s="11" t="s">
        <v>5</v>
      </c>
    </row>
    <row r="3731" spans="1:4" x14ac:dyDescent="0.25">
      <c r="A3731" s="4" t="s">
        <v>8382</v>
      </c>
      <c r="B3731" s="3" t="s">
        <v>3733</v>
      </c>
      <c r="C3731" s="14">
        <v>939.72</v>
      </c>
      <c r="D3731" s="11" t="s">
        <v>5</v>
      </c>
    </row>
    <row r="3732" spans="1:4" x14ac:dyDescent="0.25">
      <c r="A3732" s="4" t="s">
        <v>8383</v>
      </c>
      <c r="B3732" s="3" t="s">
        <v>3734</v>
      </c>
      <c r="C3732" s="14">
        <v>1196.4000000000001</v>
      </c>
      <c r="D3732" s="11" t="s">
        <v>5</v>
      </c>
    </row>
    <row r="3733" spans="1:4" x14ac:dyDescent="0.25">
      <c r="A3733" s="4" t="s">
        <v>8384</v>
      </c>
      <c r="B3733" s="3" t="s">
        <v>3735</v>
      </c>
      <c r="C3733" s="14">
        <v>751.29</v>
      </c>
      <c r="D3733" s="11" t="s">
        <v>5</v>
      </c>
    </row>
    <row r="3734" spans="1:4" x14ac:dyDescent="0.25">
      <c r="A3734" s="4" t="s">
        <v>8385</v>
      </c>
      <c r="B3734" s="3" t="s">
        <v>3736</v>
      </c>
      <c r="C3734" s="14">
        <v>1131.8699999999999</v>
      </c>
      <c r="D3734" s="11" t="s">
        <v>5</v>
      </c>
    </row>
    <row r="3735" spans="1:4" x14ac:dyDescent="0.25">
      <c r="A3735" s="4" t="s">
        <v>8386</v>
      </c>
      <c r="B3735" s="3" t="s">
        <v>3737</v>
      </c>
      <c r="C3735" s="14">
        <v>751.29</v>
      </c>
      <c r="D3735" s="11" t="s">
        <v>5</v>
      </c>
    </row>
    <row r="3736" spans="1:4" x14ac:dyDescent="0.25">
      <c r="A3736" s="4" t="s">
        <v>8387</v>
      </c>
      <c r="B3736" s="3" t="s">
        <v>3738</v>
      </c>
      <c r="C3736" s="14">
        <v>989.51</v>
      </c>
      <c r="D3736" s="11" t="s">
        <v>5</v>
      </c>
    </row>
    <row r="3737" spans="1:4" x14ac:dyDescent="0.25">
      <c r="A3737" s="4" t="s">
        <v>8388</v>
      </c>
      <c r="B3737" s="3" t="s">
        <v>3739</v>
      </c>
      <c r="C3737" s="14">
        <v>1007.1</v>
      </c>
      <c r="D3737" s="11" t="s">
        <v>5</v>
      </c>
    </row>
    <row r="3738" spans="1:4" x14ac:dyDescent="0.25">
      <c r="A3738" s="4" t="s">
        <v>8389</v>
      </c>
      <c r="B3738" s="3" t="s">
        <v>3740</v>
      </c>
      <c r="C3738" s="14">
        <v>2195.6999999999998</v>
      </c>
      <c r="D3738" s="11" t="s">
        <v>5</v>
      </c>
    </row>
    <row r="3739" spans="1:4" x14ac:dyDescent="0.25">
      <c r="A3739" s="4" t="s">
        <v>8390</v>
      </c>
      <c r="B3739" s="3" t="s">
        <v>3741</v>
      </c>
      <c r="C3739" s="14">
        <v>1773.87</v>
      </c>
      <c r="D3739" s="11" t="s">
        <v>5</v>
      </c>
    </row>
    <row r="3740" spans="1:4" x14ac:dyDescent="0.25">
      <c r="A3740" s="4" t="s">
        <v>8391</v>
      </c>
      <c r="B3740" s="3" t="s">
        <v>3742</v>
      </c>
      <c r="C3740" s="14">
        <v>1897.95</v>
      </c>
      <c r="D3740" s="11" t="s">
        <v>5</v>
      </c>
    </row>
    <row r="3741" spans="1:4" x14ac:dyDescent="0.25">
      <c r="A3741" s="4" t="s">
        <v>8392</v>
      </c>
      <c r="B3741" s="3" t="s">
        <v>3743</v>
      </c>
      <c r="C3741" s="14">
        <v>1629.92</v>
      </c>
      <c r="D3741" s="11" t="s">
        <v>5</v>
      </c>
    </row>
    <row r="3742" spans="1:4" x14ac:dyDescent="0.25">
      <c r="A3742" s="4" t="s">
        <v>8393</v>
      </c>
      <c r="B3742" s="3" t="s">
        <v>3744</v>
      </c>
      <c r="C3742" s="14">
        <v>10749.24</v>
      </c>
      <c r="D3742" s="11" t="s">
        <v>5</v>
      </c>
    </row>
    <row r="3743" spans="1:4" x14ac:dyDescent="0.25">
      <c r="A3743" s="4" t="s">
        <v>8394</v>
      </c>
      <c r="B3743" s="3" t="s">
        <v>3745</v>
      </c>
      <c r="C3743" s="14">
        <v>4159.1400000000003</v>
      </c>
      <c r="D3743" s="11" t="s">
        <v>5</v>
      </c>
    </row>
    <row r="3744" spans="1:4" x14ac:dyDescent="0.25">
      <c r="A3744" s="4" t="s">
        <v>8395</v>
      </c>
      <c r="B3744" s="3" t="s">
        <v>3746</v>
      </c>
      <c r="C3744" s="14">
        <v>3823.19</v>
      </c>
      <c r="D3744" s="11" t="s">
        <v>5</v>
      </c>
    </row>
    <row r="3745" spans="1:4" x14ac:dyDescent="0.25">
      <c r="A3745" s="4" t="s">
        <v>8396</v>
      </c>
      <c r="B3745" s="3" t="s">
        <v>3747</v>
      </c>
      <c r="C3745" s="14">
        <v>10749.24</v>
      </c>
      <c r="D3745" s="11" t="s">
        <v>5</v>
      </c>
    </row>
    <row r="3746" spans="1:4" x14ac:dyDescent="0.25">
      <c r="A3746" s="4" t="s">
        <v>8397</v>
      </c>
      <c r="B3746" s="3" t="s">
        <v>3748</v>
      </c>
      <c r="C3746" s="14">
        <v>49.89</v>
      </c>
      <c r="D3746" s="11" t="s">
        <v>107</v>
      </c>
    </row>
    <row r="3747" spans="1:4" x14ac:dyDescent="0.25">
      <c r="A3747" s="4" t="s">
        <v>8398</v>
      </c>
      <c r="B3747" s="3" t="s">
        <v>3749</v>
      </c>
      <c r="C3747" s="14">
        <v>7834.17</v>
      </c>
      <c r="D3747" s="11" t="s">
        <v>5</v>
      </c>
    </row>
    <row r="3748" spans="1:4" x14ac:dyDescent="0.25">
      <c r="A3748" s="4" t="s">
        <v>8399</v>
      </c>
      <c r="B3748" s="3" t="s">
        <v>3750</v>
      </c>
      <c r="C3748" s="14">
        <v>1892.64</v>
      </c>
      <c r="D3748" s="11" t="s">
        <v>5</v>
      </c>
    </row>
    <row r="3749" spans="1:4" x14ac:dyDescent="0.25">
      <c r="A3749" s="4" t="s">
        <v>8400</v>
      </c>
      <c r="B3749" s="3" t="s">
        <v>3751</v>
      </c>
      <c r="C3749" s="14">
        <v>1129.1300000000001</v>
      </c>
      <c r="D3749" s="11" t="s">
        <v>5</v>
      </c>
    </row>
    <row r="3750" spans="1:4" x14ac:dyDescent="0.25">
      <c r="A3750" s="4" t="s">
        <v>8401</v>
      </c>
      <c r="B3750" s="3" t="s">
        <v>3752</v>
      </c>
      <c r="C3750" s="14">
        <v>1294.8</v>
      </c>
      <c r="D3750" s="11" t="s">
        <v>5</v>
      </c>
    </row>
    <row r="3751" spans="1:4" x14ac:dyDescent="0.25">
      <c r="A3751" s="4" t="s">
        <v>8402</v>
      </c>
      <c r="B3751" s="3" t="s">
        <v>3753</v>
      </c>
      <c r="C3751" s="14">
        <v>869.07</v>
      </c>
      <c r="D3751" s="11" t="s">
        <v>5</v>
      </c>
    </row>
    <row r="3752" spans="1:4" x14ac:dyDescent="0.25">
      <c r="A3752" s="4" t="s">
        <v>8403</v>
      </c>
      <c r="B3752" s="3" t="s">
        <v>3754</v>
      </c>
      <c r="C3752" s="14">
        <v>897.8</v>
      </c>
      <c r="D3752" s="11" t="s">
        <v>5</v>
      </c>
    </row>
    <row r="3753" spans="1:4" x14ac:dyDescent="0.25">
      <c r="A3753" s="4" t="s">
        <v>8404</v>
      </c>
      <c r="B3753" s="3" t="s">
        <v>3755</v>
      </c>
      <c r="C3753" s="14">
        <v>976.95</v>
      </c>
      <c r="D3753" s="11" t="s">
        <v>5</v>
      </c>
    </row>
    <row r="3754" spans="1:4" x14ac:dyDescent="0.25">
      <c r="A3754" s="4" t="s">
        <v>8405</v>
      </c>
      <c r="B3754" s="3" t="s">
        <v>3756</v>
      </c>
      <c r="C3754" s="14">
        <v>981.89</v>
      </c>
      <c r="D3754" s="11" t="s">
        <v>5</v>
      </c>
    </row>
    <row r="3755" spans="1:4" x14ac:dyDescent="0.25">
      <c r="A3755" s="4" t="s">
        <v>8406</v>
      </c>
      <c r="B3755" s="3" t="s">
        <v>3757</v>
      </c>
      <c r="C3755" s="14">
        <v>1225.5</v>
      </c>
      <c r="D3755" s="11" t="s">
        <v>5</v>
      </c>
    </row>
    <row r="3756" spans="1:4" x14ac:dyDescent="0.25">
      <c r="A3756" s="4" t="s">
        <v>8407</v>
      </c>
      <c r="B3756" s="3" t="s">
        <v>3758</v>
      </c>
      <c r="C3756" s="14">
        <v>13165.4</v>
      </c>
      <c r="D3756" s="11" t="s">
        <v>5</v>
      </c>
    </row>
    <row r="3757" spans="1:4" x14ac:dyDescent="0.25">
      <c r="A3757" s="4" t="s">
        <v>8408</v>
      </c>
      <c r="B3757" s="3" t="s">
        <v>3759</v>
      </c>
      <c r="C3757" s="14">
        <v>1388.33</v>
      </c>
      <c r="D3757" s="11" t="s">
        <v>5</v>
      </c>
    </row>
    <row r="3758" spans="1:4" x14ac:dyDescent="0.25">
      <c r="A3758" s="4" t="s">
        <v>8409</v>
      </c>
      <c r="B3758" s="3" t="s">
        <v>3760</v>
      </c>
      <c r="C3758" s="14">
        <v>3199.49</v>
      </c>
      <c r="D3758" s="11" t="s">
        <v>5</v>
      </c>
    </row>
    <row r="3759" spans="1:4" x14ac:dyDescent="0.25">
      <c r="A3759" s="4" t="s">
        <v>8410</v>
      </c>
      <c r="B3759" s="3" t="s">
        <v>3761</v>
      </c>
      <c r="C3759" s="14">
        <v>361.34</v>
      </c>
      <c r="D3759" s="11" t="s">
        <v>5</v>
      </c>
    </row>
    <row r="3760" spans="1:4" x14ac:dyDescent="0.25">
      <c r="A3760" s="4" t="s">
        <v>8411</v>
      </c>
      <c r="B3760" s="3" t="s">
        <v>3762</v>
      </c>
      <c r="C3760" s="14">
        <v>319.08</v>
      </c>
      <c r="D3760" s="11" t="s">
        <v>5</v>
      </c>
    </row>
    <row r="3761" spans="1:4" x14ac:dyDescent="0.25">
      <c r="A3761" s="4" t="s">
        <v>8412</v>
      </c>
      <c r="B3761" s="3" t="s">
        <v>3763</v>
      </c>
      <c r="C3761" s="14">
        <v>404.69</v>
      </c>
      <c r="D3761" s="11" t="s">
        <v>5</v>
      </c>
    </row>
    <row r="3762" spans="1:4" x14ac:dyDescent="0.25">
      <c r="A3762" s="4" t="s">
        <v>8413</v>
      </c>
      <c r="B3762" s="3" t="s">
        <v>3764</v>
      </c>
      <c r="C3762" s="14">
        <v>319.08</v>
      </c>
      <c r="D3762" s="11" t="s">
        <v>5</v>
      </c>
    </row>
    <row r="3763" spans="1:4" x14ac:dyDescent="0.25">
      <c r="A3763" s="4" t="s">
        <v>8414</v>
      </c>
      <c r="B3763" s="3" t="s">
        <v>3765</v>
      </c>
      <c r="C3763" s="14">
        <v>405.17</v>
      </c>
      <c r="D3763" s="11" t="s">
        <v>5</v>
      </c>
    </row>
    <row r="3764" spans="1:4" x14ac:dyDescent="0.25">
      <c r="A3764" s="4" t="s">
        <v>8415</v>
      </c>
      <c r="B3764" s="3" t="s">
        <v>3766</v>
      </c>
      <c r="C3764" s="14">
        <v>405.17</v>
      </c>
      <c r="D3764" s="11" t="s">
        <v>5</v>
      </c>
    </row>
    <row r="3765" spans="1:4" x14ac:dyDescent="0.25">
      <c r="A3765" s="4" t="s">
        <v>8416</v>
      </c>
      <c r="B3765" s="3" t="s">
        <v>3767</v>
      </c>
      <c r="C3765" s="14">
        <v>512.48</v>
      </c>
      <c r="D3765" s="11" t="s">
        <v>5</v>
      </c>
    </row>
    <row r="3766" spans="1:4" x14ac:dyDescent="0.25">
      <c r="A3766" s="4" t="s">
        <v>8417</v>
      </c>
      <c r="B3766" s="3" t="s">
        <v>3768</v>
      </c>
      <c r="C3766" s="14">
        <v>628.53</v>
      </c>
      <c r="D3766" s="11" t="s">
        <v>5</v>
      </c>
    </row>
    <row r="3767" spans="1:4" x14ac:dyDescent="0.25">
      <c r="A3767" s="4" t="s">
        <v>8418</v>
      </c>
      <c r="B3767" s="3" t="s">
        <v>3769</v>
      </c>
      <c r="C3767" s="14">
        <v>901.31</v>
      </c>
      <c r="D3767" s="11" t="s">
        <v>5</v>
      </c>
    </row>
    <row r="3768" spans="1:4" x14ac:dyDescent="0.25">
      <c r="A3768" s="4" t="s">
        <v>8419</v>
      </c>
      <c r="B3768" s="3" t="s">
        <v>3770</v>
      </c>
      <c r="C3768" s="14">
        <v>736.4</v>
      </c>
      <c r="D3768" s="11" t="s">
        <v>5</v>
      </c>
    </row>
    <row r="3769" spans="1:4" x14ac:dyDescent="0.25">
      <c r="A3769" s="4" t="s">
        <v>8420</v>
      </c>
      <c r="B3769" s="3" t="s">
        <v>3771</v>
      </c>
      <c r="C3769" s="14">
        <v>1299.47</v>
      </c>
      <c r="D3769" s="11" t="s">
        <v>5</v>
      </c>
    </row>
    <row r="3770" spans="1:4" x14ac:dyDescent="0.25">
      <c r="A3770" s="4" t="s">
        <v>8421</v>
      </c>
      <c r="B3770" s="3" t="s">
        <v>3772</v>
      </c>
      <c r="C3770" s="14">
        <v>1387.52</v>
      </c>
      <c r="D3770" s="11" t="s">
        <v>5</v>
      </c>
    </row>
    <row r="3771" spans="1:4" x14ac:dyDescent="0.25">
      <c r="A3771" s="4" t="s">
        <v>8422</v>
      </c>
      <c r="B3771" s="3" t="s">
        <v>3773</v>
      </c>
      <c r="C3771" s="14">
        <v>1072.8</v>
      </c>
      <c r="D3771" s="11" t="s">
        <v>5</v>
      </c>
    </row>
    <row r="3772" spans="1:4" x14ac:dyDescent="0.25">
      <c r="A3772" s="4" t="s">
        <v>8423</v>
      </c>
      <c r="B3772" s="3" t="s">
        <v>3774</v>
      </c>
      <c r="C3772" s="14">
        <v>3143.09</v>
      </c>
      <c r="D3772" s="11" t="s">
        <v>5</v>
      </c>
    </row>
    <row r="3773" spans="1:4" x14ac:dyDescent="0.25">
      <c r="A3773" s="4" t="s">
        <v>8424</v>
      </c>
      <c r="B3773" s="3" t="s">
        <v>3775</v>
      </c>
      <c r="C3773" s="14">
        <v>409.92</v>
      </c>
      <c r="D3773" s="11" t="s">
        <v>5</v>
      </c>
    </row>
    <row r="3774" spans="1:4" x14ac:dyDescent="0.25">
      <c r="A3774" s="4" t="s">
        <v>8425</v>
      </c>
      <c r="B3774" s="3" t="s">
        <v>3776</v>
      </c>
      <c r="C3774" s="14">
        <v>169.68</v>
      </c>
      <c r="D3774" s="11" t="s">
        <v>5</v>
      </c>
    </row>
    <row r="3775" spans="1:4" x14ac:dyDescent="0.25">
      <c r="A3775" s="4" t="s">
        <v>8426</v>
      </c>
      <c r="B3775" s="3" t="s">
        <v>3777</v>
      </c>
      <c r="C3775" s="14">
        <v>363.03</v>
      </c>
      <c r="D3775" s="11" t="s">
        <v>5</v>
      </c>
    </row>
    <row r="3776" spans="1:4" x14ac:dyDescent="0.25">
      <c r="A3776" s="4" t="s">
        <v>8427</v>
      </c>
      <c r="B3776" s="3" t="s">
        <v>3778</v>
      </c>
      <c r="C3776" s="14">
        <v>265.89</v>
      </c>
      <c r="D3776" s="11" t="s">
        <v>5</v>
      </c>
    </row>
    <row r="3777" spans="1:4" x14ac:dyDescent="0.25">
      <c r="A3777" s="4" t="s">
        <v>8428</v>
      </c>
      <c r="B3777" s="3" t="s">
        <v>3779</v>
      </c>
      <c r="C3777" s="14">
        <v>596.99</v>
      </c>
      <c r="D3777" s="11" t="s">
        <v>5</v>
      </c>
    </row>
    <row r="3778" spans="1:4" x14ac:dyDescent="0.25">
      <c r="A3778" s="4" t="s">
        <v>8429</v>
      </c>
      <c r="B3778" s="3" t="s">
        <v>3780</v>
      </c>
      <c r="C3778" s="14">
        <v>302.82</v>
      </c>
      <c r="D3778" s="11" t="s">
        <v>5</v>
      </c>
    </row>
    <row r="3779" spans="1:4" x14ac:dyDescent="0.25">
      <c r="A3779" s="4" t="s">
        <v>8430</v>
      </c>
      <c r="B3779" s="3" t="s">
        <v>3781</v>
      </c>
      <c r="C3779" s="14">
        <v>1390.43</v>
      </c>
      <c r="D3779" s="11" t="s">
        <v>5</v>
      </c>
    </row>
    <row r="3780" spans="1:4" x14ac:dyDescent="0.25">
      <c r="A3780" s="4" t="s">
        <v>8431</v>
      </c>
      <c r="B3780" s="3" t="s">
        <v>3782</v>
      </c>
      <c r="C3780" s="14">
        <v>433.35</v>
      </c>
      <c r="D3780" s="11" t="s">
        <v>5</v>
      </c>
    </row>
    <row r="3781" spans="1:4" x14ac:dyDescent="0.25">
      <c r="A3781" s="4" t="s">
        <v>8432</v>
      </c>
      <c r="B3781" s="3" t="s">
        <v>3783</v>
      </c>
      <c r="C3781" s="14">
        <v>872.66</v>
      </c>
      <c r="D3781" s="11" t="s">
        <v>5</v>
      </c>
    </row>
    <row r="3782" spans="1:4" x14ac:dyDescent="0.25">
      <c r="A3782" s="4" t="s">
        <v>8433</v>
      </c>
      <c r="B3782" s="3" t="s">
        <v>3784</v>
      </c>
      <c r="C3782" s="14">
        <v>653.54</v>
      </c>
      <c r="D3782" s="11" t="s">
        <v>5</v>
      </c>
    </row>
    <row r="3783" spans="1:4" x14ac:dyDescent="0.25">
      <c r="A3783" s="4" t="s">
        <v>8434</v>
      </c>
      <c r="B3783" s="3" t="s">
        <v>3785</v>
      </c>
      <c r="C3783" s="14">
        <v>1232.55</v>
      </c>
      <c r="D3783" s="11" t="s">
        <v>5</v>
      </c>
    </row>
    <row r="3784" spans="1:4" x14ac:dyDescent="0.25">
      <c r="A3784" s="4" t="s">
        <v>8435</v>
      </c>
      <c r="B3784" s="3" t="s">
        <v>3786</v>
      </c>
      <c r="C3784" s="14">
        <v>705.84</v>
      </c>
      <c r="D3784" s="11" t="s">
        <v>5</v>
      </c>
    </row>
    <row r="3785" spans="1:4" x14ac:dyDescent="0.25">
      <c r="A3785" s="4" t="s">
        <v>8436</v>
      </c>
      <c r="B3785" s="3" t="s">
        <v>3787</v>
      </c>
      <c r="C3785" s="14">
        <v>1303.2</v>
      </c>
      <c r="D3785" s="11" t="s">
        <v>5</v>
      </c>
    </row>
    <row r="3786" spans="1:4" x14ac:dyDescent="0.25">
      <c r="A3786" s="4" t="s">
        <v>8437</v>
      </c>
      <c r="B3786" s="3" t="s">
        <v>3788</v>
      </c>
      <c r="C3786" s="14">
        <v>2034.99</v>
      </c>
      <c r="D3786" s="11" t="s">
        <v>5</v>
      </c>
    </row>
    <row r="3787" spans="1:4" x14ac:dyDescent="0.25">
      <c r="A3787" s="4" t="s">
        <v>8438</v>
      </c>
      <c r="B3787" s="3" t="s">
        <v>3789</v>
      </c>
      <c r="C3787" s="14">
        <v>33.24</v>
      </c>
      <c r="D3787" s="11" t="s">
        <v>5</v>
      </c>
    </row>
    <row r="3788" spans="1:4" x14ac:dyDescent="0.25">
      <c r="A3788" s="4" t="s">
        <v>8439</v>
      </c>
      <c r="B3788" s="3" t="s">
        <v>3790</v>
      </c>
      <c r="C3788" s="14">
        <v>396.87</v>
      </c>
      <c r="D3788" s="11" t="s">
        <v>5</v>
      </c>
    </row>
    <row r="3789" spans="1:4" x14ac:dyDescent="0.25">
      <c r="A3789" s="4" t="s">
        <v>8440</v>
      </c>
      <c r="B3789" s="3" t="s">
        <v>3791</v>
      </c>
      <c r="C3789" s="14">
        <v>2820.23</v>
      </c>
      <c r="D3789" s="11" t="s">
        <v>5</v>
      </c>
    </row>
    <row r="3790" spans="1:4" x14ac:dyDescent="0.25">
      <c r="A3790" s="4" t="s">
        <v>8441</v>
      </c>
      <c r="B3790" s="3" t="s">
        <v>3792</v>
      </c>
      <c r="C3790" s="14">
        <v>3795.75</v>
      </c>
      <c r="D3790" s="11" t="s">
        <v>5</v>
      </c>
    </row>
    <row r="3791" spans="1:4" x14ac:dyDescent="0.25">
      <c r="A3791" s="4" t="s">
        <v>8442</v>
      </c>
      <c r="B3791" s="3" t="s">
        <v>3793</v>
      </c>
      <c r="C3791" s="14">
        <v>937.34</v>
      </c>
      <c r="D3791" s="11" t="s">
        <v>5</v>
      </c>
    </row>
    <row r="3792" spans="1:4" x14ac:dyDescent="0.25">
      <c r="A3792" s="4" t="s">
        <v>8443</v>
      </c>
      <c r="B3792" s="3" t="s">
        <v>3794</v>
      </c>
      <c r="C3792" s="14">
        <v>651.17999999999995</v>
      </c>
      <c r="D3792" s="11" t="s">
        <v>5</v>
      </c>
    </row>
    <row r="3793" spans="1:4" x14ac:dyDescent="0.25">
      <c r="A3793" s="4" t="s">
        <v>8444</v>
      </c>
      <c r="B3793" s="3" t="s">
        <v>3795</v>
      </c>
      <c r="C3793" s="14">
        <v>565.83000000000004</v>
      </c>
      <c r="D3793" s="11" t="s">
        <v>5</v>
      </c>
    </row>
    <row r="3794" spans="1:4" x14ac:dyDescent="0.25">
      <c r="A3794" s="4" t="s">
        <v>8445</v>
      </c>
      <c r="B3794" s="3" t="s">
        <v>3796</v>
      </c>
      <c r="C3794" s="14">
        <v>593.75</v>
      </c>
      <c r="D3794" s="11" t="s">
        <v>5</v>
      </c>
    </row>
    <row r="3795" spans="1:4" x14ac:dyDescent="0.25">
      <c r="A3795" s="4" t="s">
        <v>8446</v>
      </c>
      <c r="B3795" s="3" t="s">
        <v>3797</v>
      </c>
      <c r="C3795" s="14">
        <v>919.47</v>
      </c>
      <c r="D3795" s="11" t="s">
        <v>5</v>
      </c>
    </row>
    <row r="3796" spans="1:4" x14ac:dyDescent="0.25">
      <c r="A3796" s="4" t="s">
        <v>8447</v>
      </c>
      <c r="B3796" s="3" t="s">
        <v>3798</v>
      </c>
      <c r="C3796" s="14">
        <v>1008.9</v>
      </c>
      <c r="D3796" s="11" t="s">
        <v>5</v>
      </c>
    </row>
    <row r="3797" spans="1:4" x14ac:dyDescent="0.25">
      <c r="A3797" s="4" t="s">
        <v>8448</v>
      </c>
      <c r="B3797" s="3" t="s">
        <v>3799</v>
      </c>
      <c r="C3797" s="14">
        <v>1156.4100000000001</v>
      </c>
      <c r="D3797" s="11" t="s">
        <v>5</v>
      </c>
    </row>
    <row r="3798" spans="1:4" x14ac:dyDescent="0.25">
      <c r="A3798" s="4" t="s">
        <v>8449</v>
      </c>
      <c r="B3798" s="3" t="s">
        <v>3800</v>
      </c>
      <c r="C3798" s="14">
        <v>977.1</v>
      </c>
      <c r="D3798" s="11" t="s">
        <v>5</v>
      </c>
    </row>
    <row r="3799" spans="1:4" x14ac:dyDescent="0.25">
      <c r="A3799" s="4" t="s">
        <v>8450</v>
      </c>
      <c r="B3799" s="3" t="s">
        <v>3801</v>
      </c>
      <c r="C3799" s="14">
        <v>857.54</v>
      </c>
      <c r="D3799" s="11" t="s">
        <v>5</v>
      </c>
    </row>
    <row r="3800" spans="1:4" x14ac:dyDescent="0.25">
      <c r="A3800" s="4" t="s">
        <v>8451</v>
      </c>
      <c r="B3800" s="3" t="s">
        <v>3802</v>
      </c>
      <c r="C3800" s="14">
        <v>387.98</v>
      </c>
      <c r="D3800" s="11" t="s">
        <v>5</v>
      </c>
    </row>
    <row r="3801" spans="1:4" x14ac:dyDescent="0.25">
      <c r="A3801" s="4" t="s">
        <v>8452</v>
      </c>
      <c r="B3801" s="3" t="s">
        <v>3803</v>
      </c>
      <c r="C3801" s="14">
        <v>387.98</v>
      </c>
      <c r="D3801" s="11" t="s">
        <v>5</v>
      </c>
    </row>
    <row r="3802" spans="1:4" x14ac:dyDescent="0.25">
      <c r="A3802" s="4" t="s">
        <v>8453</v>
      </c>
      <c r="B3802" s="3" t="s">
        <v>3804</v>
      </c>
      <c r="C3802" s="14">
        <v>565.83000000000004</v>
      </c>
      <c r="D3802" s="11" t="s">
        <v>5</v>
      </c>
    </row>
    <row r="3803" spans="1:4" x14ac:dyDescent="0.25">
      <c r="A3803" s="4" t="s">
        <v>8454</v>
      </c>
      <c r="B3803" s="3" t="s">
        <v>3805</v>
      </c>
      <c r="C3803" s="14">
        <v>848.7</v>
      </c>
      <c r="D3803" s="11" t="s">
        <v>5</v>
      </c>
    </row>
    <row r="3804" spans="1:4" x14ac:dyDescent="0.25">
      <c r="A3804" s="4" t="s">
        <v>8455</v>
      </c>
      <c r="B3804" s="3" t="s">
        <v>3806</v>
      </c>
      <c r="C3804" s="14">
        <v>1244.9100000000001</v>
      </c>
      <c r="D3804" s="11" t="s">
        <v>5</v>
      </c>
    </row>
    <row r="3805" spans="1:4" x14ac:dyDescent="0.25">
      <c r="A3805" s="4" t="s">
        <v>8456</v>
      </c>
      <c r="B3805" s="3" t="s">
        <v>3807</v>
      </c>
      <c r="C3805" s="14">
        <v>2245.17</v>
      </c>
      <c r="D3805" s="11" t="s">
        <v>5</v>
      </c>
    </row>
    <row r="3806" spans="1:4" x14ac:dyDescent="0.25">
      <c r="A3806" s="4" t="s">
        <v>8457</v>
      </c>
      <c r="B3806" s="3" t="s">
        <v>3808</v>
      </c>
      <c r="C3806" s="14">
        <v>1305.1099999999999</v>
      </c>
      <c r="D3806" s="11" t="s">
        <v>5</v>
      </c>
    </row>
    <row r="3807" spans="1:4" x14ac:dyDescent="0.25">
      <c r="A3807" s="4" t="s">
        <v>8458</v>
      </c>
      <c r="B3807" s="3" t="s">
        <v>3809</v>
      </c>
      <c r="C3807" s="14">
        <v>348.21</v>
      </c>
      <c r="D3807" s="11" t="s">
        <v>5</v>
      </c>
    </row>
    <row r="3808" spans="1:4" x14ac:dyDescent="0.25">
      <c r="A3808" s="4" t="s">
        <v>8459</v>
      </c>
      <c r="B3808" s="3" t="s">
        <v>3810</v>
      </c>
      <c r="C3808" s="14">
        <v>1021.28</v>
      </c>
      <c r="D3808" s="11" t="s">
        <v>5</v>
      </c>
    </row>
    <row r="3809" spans="1:4" x14ac:dyDescent="0.25">
      <c r="A3809" s="4" t="s">
        <v>8460</v>
      </c>
      <c r="B3809" s="3" t="s">
        <v>3811</v>
      </c>
      <c r="C3809" s="14">
        <v>479.96</v>
      </c>
      <c r="D3809" s="11" t="s">
        <v>5</v>
      </c>
    </row>
    <row r="3810" spans="1:4" x14ac:dyDescent="0.25">
      <c r="A3810" s="4" t="s">
        <v>8461</v>
      </c>
      <c r="B3810" s="3" t="s">
        <v>3812</v>
      </c>
      <c r="C3810" s="14">
        <v>13.86</v>
      </c>
      <c r="D3810" s="11" t="s">
        <v>107</v>
      </c>
    </row>
    <row r="3811" spans="1:4" x14ac:dyDescent="0.25">
      <c r="A3811" s="4" t="s">
        <v>8462</v>
      </c>
      <c r="B3811" s="3" t="s">
        <v>3813</v>
      </c>
      <c r="C3811" s="14">
        <v>34.64</v>
      </c>
      <c r="D3811" s="11" t="s">
        <v>5</v>
      </c>
    </row>
    <row r="3812" spans="1:4" x14ac:dyDescent="0.25">
      <c r="A3812" s="4" t="s">
        <v>8463</v>
      </c>
      <c r="B3812" s="3" t="s">
        <v>3814</v>
      </c>
      <c r="C3812" s="14">
        <v>1530.93</v>
      </c>
      <c r="D3812" s="11" t="s">
        <v>5</v>
      </c>
    </row>
    <row r="3813" spans="1:4" x14ac:dyDescent="0.25">
      <c r="A3813" s="4" t="s">
        <v>8464</v>
      </c>
      <c r="B3813" s="3" t="s">
        <v>3815</v>
      </c>
      <c r="C3813" s="14">
        <v>297.63</v>
      </c>
      <c r="D3813" s="11" t="s">
        <v>5</v>
      </c>
    </row>
    <row r="3814" spans="1:4" x14ac:dyDescent="0.25">
      <c r="A3814" s="4" t="s">
        <v>8465</v>
      </c>
      <c r="B3814" s="3" t="s">
        <v>3816</v>
      </c>
      <c r="C3814" s="14">
        <v>150.05000000000001</v>
      </c>
      <c r="D3814" s="11" t="s">
        <v>5</v>
      </c>
    </row>
    <row r="3815" spans="1:4" x14ac:dyDescent="0.25">
      <c r="A3815" s="4" t="s">
        <v>8466</v>
      </c>
      <c r="B3815" s="3" t="s">
        <v>3817</v>
      </c>
      <c r="C3815" s="14">
        <v>309.41000000000003</v>
      </c>
      <c r="D3815" s="11" t="s">
        <v>5</v>
      </c>
    </row>
    <row r="3816" spans="1:4" x14ac:dyDescent="0.25">
      <c r="A3816" s="4" t="s">
        <v>8467</v>
      </c>
      <c r="B3816" s="3" t="s">
        <v>3818</v>
      </c>
      <c r="C3816" s="14">
        <v>225.39</v>
      </c>
      <c r="D3816" s="11" t="s">
        <v>5</v>
      </c>
    </row>
    <row r="3817" spans="1:4" x14ac:dyDescent="0.25">
      <c r="A3817" s="4" t="s">
        <v>8468</v>
      </c>
      <c r="B3817" s="3" t="s">
        <v>3819</v>
      </c>
      <c r="C3817" s="14">
        <v>230.54</v>
      </c>
      <c r="D3817" s="11" t="s">
        <v>5</v>
      </c>
    </row>
    <row r="3818" spans="1:4" x14ac:dyDescent="0.25">
      <c r="A3818" s="4" t="s">
        <v>8469</v>
      </c>
      <c r="B3818" s="3" t="s">
        <v>3820</v>
      </c>
      <c r="C3818" s="14">
        <v>379.73</v>
      </c>
      <c r="D3818" s="11" t="s">
        <v>5</v>
      </c>
    </row>
    <row r="3819" spans="1:4" x14ac:dyDescent="0.25">
      <c r="A3819" s="4" t="s">
        <v>8470</v>
      </c>
      <c r="B3819" s="3" t="s">
        <v>3821</v>
      </c>
      <c r="C3819" s="14">
        <v>467.22</v>
      </c>
      <c r="D3819" s="11" t="s">
        <v>5</v>
      </c>
    </row>
    <row r="3820" spans="1:4" x14ac:dyDescent="0.25">
      <c r="A3820" s="4" t="s">
        <v>8471</v>
      </c>
      <c r="B3820" s="3" t="s">
        <v>3822</v>
      </c>
      <c r="C3820" s="14">
        <v>7548.93</v>
      </c>
      <c r="D3820" s="11" t="s">
        <v>5</v>
      </c>
    </row>
    <row r="3821" spans="1:4" x14ac:dyDescent="0.25">
      <c r="A3821" s="4" t="s">
        <v>8472</v>
      </c>
      <c r="B3821" s="3" t="s">
        <v>3823</v>
      </c>
      <c r="C3821" s="14">
        <v>314.75</v>
      </c>
      <c r="D3821" s="11" t="s">
        <v>5</v>
      </c>
    </row>
    <row r="3822" spans="1:4" x14ac:dyDescent="0.25">
      <c r="A3822" s="4" t="s">
        <v>8473</v>
      </c>
      <c r="B3822" s="3" t="s">
        <v>3824</v>
      </c>
      <c r="C3822" s="14">
        <v>2127.48</v>
      </c>
      <c r="D3822" s="11" t="s">
        <v>5</v>
      </c>
    </row>
    <row r="3823" spans="1:4" x14ac:dyDescent="0.25">
      <c r="A3823" s="4" t="s">
        <v>8474</v>
      </c>
      <c r="B3823" s="3" t="s">
        <v>3825</v>
      </c>
      <c r="C3823" s="14">
        <v>771.54</v>
      </c>
      <c r="D3823" s="11" t="s">
        <v>5</v>
      </c>
    </row>
    <row r="3824" spans="1:4" x14ac:dyDescent="0.25">
      <c r="A3824" s="4" t="s">
        <v>8475</v>
      </c>
      <c r="B3824" s="3" t="s">
        <v>3826</v>
      </c>
      <c r="C3824" s="14">
        <v>1874.22</v>
      </c>
      <c r="D3824" s="11" t="s">
        <v>5</v>
      </c>
    </row>
    <row r="3825" spans="1:4" x14ac:dyDescent="0.25">
      <c r="A3825" s="4" t="s">
        <v>8476</v>
      </c>
      <c r="B3825" s="3" t="s">
        <v>3827</v>
      </c>
      <c r="C3825" s="14">
        <v>3994.76</v>
      </c>
      <c r="D3825" s="11" t="s">
        <v>5</v>
      </c>
    </row>
    <row r="3826" spans="1:4" x14ac:dyDescent="0.25">
      <c r="A3826" s="4" t="s">
        <v>8477</v>
      </c>
      <c r="B3826" s="3" t="s">
        <v>3828</v>
      </c>
      <c r="C3826" s="14">
        <v>7991.12</v>
      </c>
      <c r="D3826" s="11" t="s">
        <v>5</v>
      </c>
    </row>
    <row r="3827" spans="1:4" x14ac:dyDescent="0.25">
      <c r="A3827" s="4" t="s">
        <v>8478</v>
      </c>
      <c r="B3827" s="3" t="s">
        <v>3829</v>
      </c>
      <c r="C3827" s="14">
        <v>9192.2099999999991</v>
      </c>
      <c r="D3827" s="11" t="s">
        <v>5</v>
      </c>
    </row>
    <row r="3828" spans="1:4" x14ac:dyDescent="0.25">
      <c r="A3828" s="4" t="s">
        <v>8479</v>
      </c>
      <c r="B3828" s="3" t="s">
        <v>3830</v>
      </c>
      <c r="C3828" s="14">
        <v>9192.2099999999991</v>
      </c>
      <c r="D3828" s="11" t="s">
        <v>5</v>
      </c>
    </row>
    <row r="3829" spans="1:4" x14ac:dyDescent="0.25">
      <c r="A3829" s="4" t="s">
        <v>8480</v>
      </c>
      <c r="B3829" s="3" t="s">
        <v>3831</v>
      </c>
      <c r="C3829" s="14">
        <v>9192.2099999999991</v>
      </c>
      <c r="D3829" s="11" t="s">
        <v>5</v>
      </c>
    </row>
    <row r="3830" spans="1:4" x14ac:dyDescent="0.25">
      <c r="A3830" s="4" t="s">
        <v>8481</v>
      </c>
      <c r="B3830" s="3" t="s">
        <v>3832</v>
      </c>
      <c r="C3830" s="14">
        <v>3123.05</v>
      </c>
      <c r="D3830" s="11" t="s">
        <v>5</v>
      </c>
    </row>
    <row r="3831" spans="1:4" x14ac:dyDescent="0.25">
      <c r="A3831" s="4" t="s">
        <v>8482</v>
      </c>
      <c r="B3831" s="3" t="s">
        <v>3833</v>
      </c>
      <c r="C3831" s="14">
        <v>1825.83</v>
      </c>
      <c r="D3831" s="11" t="s">
        <v>5</v>
      </c>
    </row>
    <row r="3832" spans="1:4" x14ac:dyDescent="0.25">
      <c r="A3832" s="4" t="s">
        <v>8483</v>
      </c>
      <c r="B3832" s="3" t="s">
        <v>3834</v>
      </c>
      <c r="C3832" s="14">
        <v>2223.7800000000002</v>
      </c>
      <c r="D3832" s="11" t="s">
        <v>5</v>
      </c>
    </row>
    <row r="3833" spans="1:4" x14ac:dyDescent="0.25">
      <c r="A3833" s="4" t="s">
        <v>8484</v>
      </c>
      <c r="B3833" s="3" t="s">
        <v>3835</v>
      </c>
      <c r="C3833" s="14">
        <v>2492.8200000000002</v>
      </c>
      <c r="D3833" s="11" t="s">
        <v>5</v>
      </c>
    </row>
    <row r="3834" spans="1:4" x14ac:dyDescent="0.25">
      <c r="A3834" s="4" t="s">
        <v>8485</v>
      </c>
      <c r="B3834" s="3" t="s">
        <v>3836</v>
      </c>
      <c r="C3834" s="14">
        <v>2620.71</v>
      </c>
      <c r="D3834" s="11" t="s">
        <v>5</v>
      </c>
    </row>
    <row r="3835" spans="1:4" x14ac:dyDescent="0.25">
      <c r="A3835" s="4" t="s">
        <v>8486</v>
      </c>
      <c r="B3835" s="3" t="s">
        <v>3837</v>
      </c>
      <c r="C3835" s="14">
        <v>776.48</v>
      </c>
      <c r="D3835" s="11" t="s">
        <v>5</v>
      </c>
    </row>
    <row r="3836" spans="1:4" x14ac:dyDescent="0.25">
      <c r="A3836" s="4" t="s">
        <v>8487</v>
      </c>
      <c r="B3836" s="3" t="s">
        <v>3838</v>
      </c>
      <c r="C3836" s="14">
        <v>884</v>
      </c>
      <c r="D3836" s="11" t="s">
        <v>5</v>
      </c>
    </row>
    <row r="3837" spans="1:4" x14ac:dyDescent="0.25">
      <c r="A3837" s="4" t="s">
        <v>8488</v>
      </c>
      <c r="B3837" s="3" t="s">
        <v>3839</v>
      </c>
      <c r="C3837" s="14">
        <v>1160.52</v>
      </c>
      <c r="D3837" s="11" t="s">
        <v>5</v>
      </c>
    </row>
    <row r="3838" spans="1:4" x14ac:dyDescent="0.25">
      <c r="A3838" s="4" t="s">
        <v>8489</v>
      </c>
      <c r="B3838" s="3" t="s">
        <v>3840</v>
      </c>
      <c r="C3838" s="14">
        <v>8626.67</v>
      </c>
      <c r="D3838" s="11" t="s">
        <v>5</v>
      </c>
    </row>
    <row r="3839" spans="1:4" x14ac:dyDescent="0.25">
      <c r="A3839" s="4" t="s">
        <v>8490</v>
      </c>
      <c r="B3839" s="3" t="s">
        <v>3841</v>
      </c>
      <c r="C3839" s="14">
        <v>10974.44</v>
      </c>
      <c r="D3839" s="11" t="s">
        <v>5</v>
      </c>
    </row>
    <row r="3840" spans="1:4" x14ac:dyDescent="0.25">
      <c r="A3840" s="4" t="s">
        <v>8491</v>
      </c>
      <c r="B3840" s="3" t="s">
        <v>3842</v>
      </c>
      <c r="C3840" s="14">
        <v>14024.81</v>
      </c>
      <c r="D3840" s="11" t="s">
        <v>5</v>
      </c>
    </row>
    <row r="3841" spans="1:4" x14ac:dyDescent="0.25">
      <c r="A3841" s="4" t="s">
        <v>8492</v>
      </c>
      <c r="B3841" s="3" t="s">
        <v>3843</v>
      </c>
      <c r="C3841" s="14">
        <v>21703.439999999999</v>
      </c>
      <c r="D3841" s="11" t="s">
        <v>5</v>
      </c>
    </row>
    <row r="3842" spans="1:4" x14ac:dyDescent="0.25">
      <c r="A3842" s="4" t="s">
        <v>8493</v>
      </c>
      <c r="B3842" s="3" t="s">
        <v>3844</v>
      </c>
      <c r="C3842" s="14">
        <v>34391.93</v>
      </c>
      <c r="D3842" s="11" t="s">
        <v>5</v>
      </c>
    </row>
    <row r="3843" spans="1:4" x14ac:dyDescent="0.25">
      <c r="A3843" s="4" t="s">
        <v>8494</v>
      </c>
      <c r="B3843" s="3" t="s">
        <v>3845</v>
      </c>
      <c r="C3843" s="14">
        <v>54000.74</v>
      </c>
      <c r="D3843" s="11" t="s">
        <v>5</v>
      </c>
    </row>
    <row r="3844" spans="1:4" x14ac:dyDescent="0.25">
      <c r="A3844" s="4" t="s">
        <v>8495</v>
      </c>
      <c r="B3844" s="3" t="s">
        <v>3846</v>
      </c>
      <c r="C3844" s="14">
        <v>6833.21</v>
      </c>
      <c r="D3844" s="11" t="s">
        <v>5</v>
      </c>
    </row>
    <row r="3845" spans="1:4" x14ac:dyDescent="0.25">
      <c r="A3845" s="4" t="s">
        <v>8496</v>
      </c>
      <c r="B3845" s="3" t="s">
        <v>3847</v>
      </c>
      <c r="C3845" s="14">
        <v>8652.42</v>
      </c>
      <c r="D3845" s="11" t="s">
        <v>5</v>
      </c>
    </row>
    <row r="3846" spans="1:4" x14ac:dyDescent="0.25">
      <c r="A3846" s="4" t="s">
        <v>8497</v>
      </c>
      <c r="B3846" s="3" t="s">
        <v>3848</v>
      </c>
      <c r="C3846" s="14">
        <v>11022.35</v>
      </c>
      <c r="D3846" s="11" t="s">
        <v>5</v>
      </c>
    </row>
    <row r="3847" spans="1:4" x14ac:dyDescent="0.25">
      <c r="A3847" s="4" t="s">
        <v>8498</v>
      </c>
      <c r="B3847" s="3" t="s">
        <v>3849</v>
      </c>
      <c r="C3847" s="14">
        <v>17278.189999999999</v>
      </c>
      <c r="D3847" s="11" t="s">
        <v>5</v>
      </c>
    </row>
    <row r="3848" spans="1:4" x14ac:dyDescent="0.25">
      <c r="A3848" s="4" t="s">
        <v>8499</v>
      </c>
      <c r="B3848" s="3" t="s">
        <v>3850</v>
      </c>
      <c r="C3848" s="14">
        <v>5072.45</v>
      </c>
      <c r="D3848" s="11" t="s">
        <v>5</v>
      </c>
    </row>
    <row r="3849" spans="1:4" x14ac:dyDescent="0.25">
      <c r="A3849" s="4" t="s">
        <v>8500</v>
      </c>
      <c r="B3849" s="3" t="s">
        <v>3851</v>
      </c>
      <c r="C3849" s="14">
        <v>6403.83</v>
      </c>
      <c r="D3849" s="11" t="s">
        <v>5</v>
      </c>
    </row>
    <row r="3850" spans="1:4" x14ac:dyDescent="0.25">
      <c r="A3850" s="4" t="s">
        <v>8501</v>
      </c>
      <c r="B3850" s="3" t="s">
        <v>3852</v>
      </c>
      <c r="C3850" s="14">
        <v>8135.42</v>
      </c>
      <c r="D3850" s="11" t="s">
        <v>5</v>
      </c>
    </row>
    <row r="3851" spans="1:4" x14ac:dyDescent="0.25">
      <c r="A3851" s="4" t="s">
        <v>8502</v>
      </c>
      <c r="B3851" s="3" t="s">
        <v>3853</v>
      </c>
      <c r="C3851" s="14">
        <v>13356.42</v>
      </c>
      <c r="D3851" s="11" t="s">
        <v>5</v>
      </c>
    </row>
    <row r="3852" spans="1:4" x14ac:dyDescent="0.25">
      <c r="A3852" s="4" t="s">
        <v>8503</v>
      </c>
      <c r="B3852" s="3" t="s">
        <v>3854</v>
      </c>
      <c r="C3852" s="14">
        <v>28757.57</v>
      </c>
      <c r="D3852" s="11" t="s">
        <v>5</v>
      </c>
    </row>
    <row r="3853" spans="1:4" x14ac:dyDescent="0.25">
      <c r="A3853" s="4" t="s">
        <v>8504</v>
      </c>
      <c r="B3853" s="3" t="s">
        <v>3855</v>
      </c>
      <c r="C3853" s="14">
        <v>43174.5</v>
      </c>
      <c r="D3853" s="11" t="s">
        <v>5</v>
      </c>
    </row>
    <row r="3854" spans="1:4" x14ac:dyDescent="0.25">
      <c r="A3854" s="4" t="s">
        <v>8505</v>
      </c>
      <c r="B3854" s="3" t="s">
        <v>3856</v>
      </c>
      <c r="C3854" s="14">
        <v>12242.21</v>
      </c>
      <c r="D3854" s="11" t="s">
        <v>5</v>
      </c>
    </row>
    <row r="3855" spans="1:4" x14ac:dyDescent="0.25">
      <c r="A3855" s="4" t="s">
        <v>8506</v>
      </c>
      <c r="B3855" s="3" t="s">
        <v>3857</v>
      </c>
      <c r="C3855" s="14">
        <v>12487.71</v>
      </c>
      <c r="D3855" s="11" t="s">
        <v>5</v>
      </c>
    </row>
    <row r="3856" spans="1:4" x14ac:dyDescent="0.25">
      <c r="A3856" s="4" t="s">
        <v>8507</v>
      </c>
      <c r="B3856" s="3" t="s">
        <v>3858</v>
      </c>
      <c r="C3856" s="14">
        <v>8204</v>
      </c>
      <c r="D3856" s="11" t="s">
        <v>5</v>
      </c>
    </row>
    <row r="3857" spans="1:4" x14ac:dyDescent="0.25">
      <c r="A3857" s="4" t="s">
        <v>8508</v>
      </c>
      <c r="B3857" s="3" t="s">
        <v>3859</v>
      </c>
      <c r="C3857" s="14">
        <v>10169.6</v>
      </c>
      <c r="D3857" s="11" t="s">
        <v>5</v>
      </c>
    </row>
    <row r="3858" spans="1:4" x14ac:dyDescent="0.25">
      <c r="A3858" s="4" t="s">
        <v>8509</v>
      </c>
      <c r="B3858" s="3" t="s">
        <v>3860</v>
      </c>
      <c r="C3858" s="14">
        <v>4049.64</v>
      </c>
      <c r="D3858" s="11" t="s">
        <v>5</v>
      </c>
    </row>
    <row r="3859" spans="1:4" x14ac:dyDescent="0.25">
      <c r="A3859" s="4" t="s">
        <v>8510</v>
      </c>
      <c r="B3859" s="3" t="s">
        <v>3861</v>
      </c>
      <c r="C3859" s="14">
        <v>5228.6099999999997</v>
      </c>
      <c r="D3859" s="11" t="s">
        <v>5</v>
      </c>
    </row>
    <row r="3860" spans="1:4" x14ac:dyDescent="0.25">
      <c r="A3860" s="4" t="s">
        <v>8511</v>
      </c>
      <c r="B3860" s="3" t="s">
        <v>3862</v>
      </c>
      <c r="C3860" s="14">
        <v>5699.63</v>
      </c>
      <c r="D3860" s="11" t="s">
        <v>5</v>
      </c>
    </row>
    <row r="3861" spans="1:4" x14ac:dyDescent="0.25">
      <c r="A3861" s="4" t="s">
        <v>8512</v>
      </c>
      <c r="B3861" s="3" t="s">
        <v>3863</v>
      </c>
      <c r="C3861" s="14">
        <v>11797.8</v>
      </c>
      <c r="D3861" s="11" t="s">
        <v>5</v>
      </c>
    </row>
    <row r="3862" spans="1:4" x14ac:dyDescent="0.25">
      <c r="A3862" s="4" t="s">
        <v>8513</v>
      </c>
      <c r="B3862" s="3" t="s">
        <v>3864</v>
      </c>
      <c r="C3862" s="14">
        <v>16638.3</v>
      </c>
      <c r="D3862" s="11" t="s">
        <v>5</v>
      </c>
    </row>
    <row r="3863" spans="1:4" x14ac:dyDescent="0.25">
      <c r="A3863" s="4" t="s">
        <v>8514</v>
      </c>
      <c r="B3863" s="3" t="s">
        <v>3865</v>
      </c>
      <c r="C3863" s="14">
        <v>19205.810000000001</v>
      </c>
      <c r="D3863" s="11" t="s">
        <v>5</v>
      </c>
    </row>
    <row r="3864" spans="1:4" x14ac:dyDescent="0.25">
      <c r="A3864" s="4" t="s">
        <v>8515</v>
      </c>
      <c r="B3864" s="3" t="s">
        <v>3866</v>
      </c>
      <c r="C3864" s="14">
        <v>38401.769999999997</v>
      </c>
      <c r="D3864" s="11" t="s">
        <v>5</v>
      </c>
    </row>
    <row r="3865" spans="1:4" x14ac:dyDescent="0.25">
      <c r="A3865" s="4" t="s">
        <v>8516</v>
      </c>
      <c r="B3865" s="3" t="s">
        <v>3867</v>
      </c>
      <c r="C3865" s="14">
        <v>1756.08</v>
      </c>
      <c r="D3865" s="11" t="s">
        <v>5</v>
      </c>
    </row>
    <row r="3866" spans="1:4" x14ac:dyDescent="0.25">
      <c r="A3866" s="4" t="s">
        <v>8517</v>
      </c>
      <c r="B3866" s="3" t="s">
        <v>3868</v>
      </c>
      <c r="C3866" s="14">
        <v>2563.79</v>
      </c>
      <c r="D3866" s="11" t="s">
        <v>5</v>
      </c>
    </row>
    <row r="3867" spans="1:4" x14ac:dyDescent="0.25">
      <c r="A3867" s="4" t="s">
        <v>8518</v>
      </c>
      <c r="B3867" s="3" t="s">
        <v>3869</v>
      </c>
      <c r="C3867" s="14">
        <v>13954.68</v>
      </c>
      <c r="D3867" s="11" t="s">
        <v>5</v>
      </c>
    </row>
    <row r="3868" spans="1:4" x14ac:dyDescent="0.25">
      <c r="A3868" s="4" t="s">
        <v>8519</v>
      </c>
      <c r="B3868" s="3" t="s">
        <v>3870</v>
      </c>
      <c r="C3868" s="14">
        <v>19753.189999999999</v>
      </c>
      <c r="D3868" s="11" t="s">
        <v>5</v>
      </c>
    </row>
    <row r="3869" spans="1:4" x14ac:dyDescent="0.25">
      <c r="A3869" s="4" t="s">
        <v>8520</v>
      </c>
      <c r="B3869" s="3" t="s">
        <v>3871</v>
      </c>
      <c r="C3869" s="14">
        <v>3915.54</v>
      </c>
      <c r="D3869" s="11" t="s">
        <v>5</v>
      </c>
    </row>
    <row r="3870" spans="1:4" x14ac:dyDescent="0.25">
      <c r="A3870" s="4" t="s">
        <v>8521</v>
      </c>
      <c r="B3870" s="3" t="s">
        <v>3872</v>
      </c>
      <c r="C3870" s="14">
        <v>5711.19</v>
      </c>
      <c r="D3870" s="11" t="s">
        <v>5</v>
      </c>
    </row>
    <row r="3871" spans="1:4" x14ac:dyDescent="0.25">
      <c r="A3871" s="4" t="s">
        <v>8522</v>
      </c>
      <c r="B3871" s="3" t="s">
        <v>3873</v>
      </c>
      <c r="C3871" s="14">
        <v>7048.62</v>
      </c>
      <c r="D3871" s="11" t="s">
        <v>5</v>
      </c>
    </row>
    <row r="3872" spans="1:4" x14ac:dyDescent="0.25">
      <c r="A3872" s="4" t="s">
        <v>8523</v>
      </c>
      <c r="B3872" s="3" t="s">
        <v>3874</v>
      </c>
      <c r="C3872" s="14">
        <v>10778.45</v>
      </c>
      <c r="D3872" s="11" t="s">
        <v>5</v>
      </c>
    </row>
    <row r="3873" spans="1:4" x14ac:dyDescent="0.25">
      <c r="A3873" s="4" t="s">
        <v>8524</v>
      </c>
      <c r="B3873" s="3" t="s">
        <v>3875</v>
      </c>
      <c r="C3873" s="14">
        <v>1176.1199999999999</v>
      </c>
      <c r="D3873" s="11" t="s">
        <v>5</v>
      </c>
    </row>
    <row r="3874" spans="1:4" x14ac:dyDescent="0.25">
      <c r="A3874" s="4" t="s">
        <v>8525</v>
      </c>
      <c r="B3874" s="3" t="s">
        <v>3876</v>
      </c>
      <c r="C3874" s="14">
        <v>1906.74</v>
      </c>
      <c r="D3874" s="11" t="s">
        <v>5</v>
      </c>
    </row>
    <row r="3875" spans="1:4" x14ac:dyDescent="0.25">
      <c r="A3875" s="4" t="s">
        <v>8526</v>
      </c>
      <c r="B3875" s="3" t="s">
        <v>3877</v>
      </c>
      <c r="C3875" s="14">
        <v>5129.57</v>
      </c>
      <c r="D3875" s="11" t="s">
        <v>5</v>
      </c>
    </row>
    <row r="3876" spans="1:4" x14ac:dyDescent="0.25">
      <c r="A3876" s="4" t="s">
        <v>8527</v>
      </c>
      <c r="B3876" s="3" t="s">
        <v>3878</v>
      </c>
      <c r="C3876" s="14">
        <v>6926.73</v>
      </c>
      <c r="D3876" s="11" t="s">
        <v>5</v>
      </c>
    </row>
    <row r="3877" spans="1:4" x14ac:dyDescent="0.25">
      <c r="A3877" s="4" t="s">
        <v>8528</v>
      </c>
      <c r="B3877" s="3" t="s">
        <v>3879</v>
      </c>
      <c r="C3877" s="14">
        <v>11446.53</v>
      </c>
      <c r="D3877" s="11" t="s">
        <v>5</v>
      </c>
    </row>
    <row r="3878" spans="1:4" x14ac:dyDescent="0.25">
      <c r="A3878" s="4" t="s">
        <v>8529</v>
      </c>
      <c r="B3878" s="3" t="s">
        <v>3880</v>
      </c>
      <c r="C3878" s="14">
        <v>3344.48</v>
      </c>
      <c r="D3878" s="11" t="s">
        <v>5</v>
      </c>
    </row>
    <row r="3879" spans="1:4" x14ac:dyDescent="0.25">
      <c r="A3879" s="4" t="s">
        <v>8530</v>
      </c>
      <c r="B3879" s="3" t="s">
        <v>3881</v>
      </c>
      <c r="C3879" s="14">
        <v>3026.16</v>
      </c>
      <c r="D3879" s="11" t="s">
        <v>5</v>
      </c>
    </row>
    <row r="3880" spans="1:4" x14ac:dyDescent="0.25">
      <c r="A3880" s="4" t="s">
        <v>8531</v>
      </c>
      <c r="B3880" s="3" t="s">
        <v>3882</v>
      </c>
      <c r="C3880" s="14">
        <v>4228.2</v>
      </c>
      <c r="D3880" s="11" t="s">
        <v>5</v>
      </c>
    </row>
    <row r="3881" spans="1:4" x14ac:dyDescent="0.25">
      <c r="A3881" s="4" t="s">
        <v>8532</v>
      </c>
      <c r="B3881" s="3" t="s">
        <v>3883</v>
      </c>
      <c r="C3881" s="14">
        <v>2822.04</v>
      </c>
      <c r="D3881" s="11" t="s">
        <v>5</v>
      </c>
    </row>
    <row r="3882" spans="1:4" x14ac:dyDescent="0.25">
      <c r="A3882" s="4" t="s">
        <v>8533</v>
      </c>
      <c r="B3882" s="3" t="s">
        <v>3884</v>
      </c>
      <c r="C3882" s="14">
        <v>26409.24</v>
      </c>
      <c r="D3882" s="11" t="s">
        <v>5</v>
      </c>
    </row>
    <row r="3883" spans="1:4" x14ac:dyDescent="0.25">
      <c r="A3883" s="4" t="s">
        <v>8534</v>
      </c>
      <c r="B3883" s="3" t="s">
        <v>3885</v>
      </c>
      <c r="C3883" s="14">
        <v>670.68</v>
      </c>
      <c r="D3883" s="11" t="s">
        <v>5</v>
      </c>
    </row>
    <row r="3884" spans="1:4" x14ac:dyDescent="0.25">
      <c r="A3884" s="4" t="s">
        <v>8535</v>
      </c>
      <c r="B3884" s="3" t="s">
        <v>3886</v>
      </c>
      <c r="C3884" s="14">
        <v>1472.58</v>
      </c>
      <c r="D3884" s="11" t="s">
        <v>5</v>
      </c>
    </row>
    <row r="3885" spans="1:4" x14ac:dyDescent="0.25">
      <c r="A3885" s="4" t="s">
        <v>8536</v>
      </c>
      <c r="B3885" s="3" t="s">
        <v>3887</v>
      </c>
      <c r="C3885" s="14">
        <v>571.53</v>
      </c>
      <c r="D3885" s="11" t="s">
        <v>5</v>
      </c>
    </row>
    <row r="3886" spans="1:4" x14ac:dyDescent="0.25">
      <c r="A3886" s="4" t="s">
        <v>8537</v>
      </c>
      <c r="B3886" s="3" t="s">
        <v>3888</v>
      </c>
      <c r="C3886" s="14">
        <v>991.44</v>
      </c>
      <c r="D3886" s="11" t="s">
        <v>5</v>
      </c>
    </row>
    <row r="3887" spans="1:4" x14ac:dyDescent="0.25">
      <c r="A3887" s="4" t="s">
        <v>8538</v>
      </c>
      <c r="B3887" s="3" t="s">
        <v>3889</v>
      </c>
      <c r="C3887" s="14">
        <v>1997.46</v>
      </c>
      <c r="D3887" s="11" t="s">
        <v>5</v>
      </c>
    </row>
    <row r="3888" spans="1:4" x14ac:dyDescent="0.25">
      <c r="A3888" s="4" t="s">
        <v>8539</v>
      </c>
      <c r="B3888" s="3" t="s">
        <v>3890</v>
      </c>
      <c r="C3888" s="14">
        <v>720.9</v>
      </c>
      <c r="D3888" s="11" t="s">
        <v>5</v>
      </c>
    </row>
    <row r="3889" spans="1:4" x14ac:dyDescent="0.25">
      <c r="A3889" s="4" t="s">
        <v>8540</v>
      </c>
      <c r="B3889" s="3" t="s">
        <v>3891</v>
      </c>
      <c r="C3889" s="14">
        <v>4649.3999999999996</v>
      </c>
      <c r="D3889" s="11" t="s">
        <v>5</v>
      </c>
    </row>
    <row r="3890" spans="1:4" x14ac:dyDescent="0.25">
      <c r="A3890" s="4" t="s">
        <v>8541</v>
      </c>
      <c r="B3890" s="3" t="s">
        <v>3892</v>
      </c>
      <c r="C3890" s="14">
        <v>3645.48</v>
      </c>
      <c r="D3890" s="11" t="s">
        <v>5</v>
      </c>
    </row>
    <row r="3891" spans="1:4" x14ac:dyDescent="0.25">
      <c r="A3891" s="4" t="s">
        <v>8542</v>
      </c>
      <c r="B3891" s="3" t="s">
        <v>3893</v>
      </c>
      <c r="C3891" s="14">
        <v>609.12</v>
      </c>
      <c r="D3891" s="11" t="s">
        <v>5</v>
      </c>
    </row>
    <row r="3892" spans="1:4" x14ac:dyDescent="0.25">
      <c r="A3892" s="4" t="s">
        <v>8543</v>
      </c>
      <c r="B3892" s="3" t="s">
        <v>3894</v>
      </c>
      <c r="C3892" s="14">
        <v>2225.88</v>
      </c>
      <c r="D3892" s="11" t="s">
        <v>5</v>
      </c>
    </row>
    <row r="3893" spans="1:4" x14ac:dyDescent="0.25">
      <c r="A3893" s="4" t="s">
        <v>8544</v>
      </c>
      <c r="B3893" s="3" t="s">
        <v>3895</v>
      </c>
      <c r="C3893" s="14">
        <v>850.5</v>
      </c>
      <c r="D3893" s="11" t="s">
        <v>5</v>
      </c>
    </row>
    <row r="3894" spans="1:4" x14ac:dyDescent="0.25">
      <c r="A3894" s="4" t="s">
        <v>8545</v>
      </c>
      <c r="B3894" s="3" t="s">
        <v>3896</v>
      </c>
      <c r="C3894" s="14">
        <v>1650.78</v>
      </c>
      <c r="D3894" s="11" t="s">
        <v>5</v>
      </c>
    </row>
    <row r="3895" spans="1:4" x14ac:dyDescent="0.25">
      <c r="A3895" s="4" t="s">
        <v>8546</v>
      </c>
      <c r="B3895" s="3" t="s">
        <v>3897</v>
      </c>
      <c r="C3895" s="14">
        <v>1027.08</v>
      </c>
      <c r="D3895" s="11" t="s">
        <v>5</v>
      </c>
    </row>
    <row r="3896" spans="1:4" x14ac:dyDescent="0.25">
      <c r="A3896" s="4" t="s">
        <v>8547</v>
      </c>
      <c r="B3896" s="3" t="s">
        <v>3898</v>
      </c>
      <c r="C3896" s="14">
        <v>1514.7</v>
      </c>
      <c r="D3896" s="11" t="s">
        <v>5</v>
      </c>
    </row>
    <row r="3897" spans="1:4" x14ac:dyDescent="0.25">
      <c r="A3897" s="4" t="s">
        <v>8548</v>
      </c>
      <c r="B3897" s="3" t="s">
        <v>3899</v>
      </c>
      <c r="C3897" s="14">
        <v>2634.12</v>
      </c>
      <c r="D3897" s="11" t="s">
        <v>5</v>
      </c>
    </row>
    <row r="3898" spans="1:4" x14ac:dyDescent="0.25">
      <c r="A3898" s="4" t="s">
        <v>8549</v>
      </c>
      <c r="B3898" s="3" t="s">
        <v>3900</v>
      </c>
      <c r="C3898" s="14">
        <v>1155.06</v>
      </c>
      <c r="D3898" s="11" t="s">
        <v>5</v>
      </c>
    </row>
    <row r="3899" spans="1:4" x14ac:dyDescent="0.25">
      <c r="A3899" s="4" t="s">
        <v>8550</v>
      </c>
      <c r="B3899" s="3" t="s">
        <v>3901</v>
      </c>
      <c r="C3899" s="14">
        <v>657.72</v>
      </c>
      <c r="D3899" s="11" t="s">
        <v>5</v>
      </c>
    </row>
    <row r="3900" spans="1:4" x14ac:dyDescent="0.25">
      <c r="A3900" s="4" t="s">
        <v>8551</v>
      </c>
      <c r="B3900" s="3" t="s">
        <v>3902</v>
      </c>
      <c r="C3900" s="14">
        <v>3766.5</v>
      </c>
      <c r="D3900" s="11" t="s">
        <v>5</v>
      </c>
    </row>
    <row r="3901" spans="1:4" x14ac:dyDescent="0.25">
      <c r="A3901" s="4" t="s">
        <v>8552</v>
      </c>
      <c r="B3901" s="3" t="s">
        <v>3903</v>
      </c>
      <c r="C3901" s="14">
        <v>4608.8999999999996</v>
      </c>
      <c r="D3901" s="11" t="s">
        <v>5</v>
      </c>
    </row>
    <row r="3902" spans="1:4" x14ac:dyDescent="0.25">
      <c r="A3902" s="4" t="s">
        <v>8553</v>
      </c>
      <c r="B3902" s="3" t="s">
        <v>3904</v>
      </c>
      <c r="C3902" s="14">
        <v>1061.0999999999999</v>
      </c>
      <c r="D3902" s="11" t="s">
        <v>5</v>
      </c>
    </row>
    <row r="3903" spans="1:4" x14ac:dyDescent="0.25">
      <c r="A3903" s="4" t="s">
        <v>8554</v>
      </c>
      <c r="B3903" s="3" t="s">
        <v>3905</v>
      </c>
      <c r="C3903" s="14">
        <v>1564.92</v>
      </c>
      <c r="D3903" s="11" t="s">
        <v>5</v>
      </c>
    </row>
    <row r="3904" spans="1:4" x14ac:dyDescent="0.25">
      <c r="A3904" s="4" t="s">
        <v>8555</v>
      </c>
      <c r="B3904" s="3" t="s">
        <v>3906</v>
      </c>
      <c r="C3904" s="14">
        <v>2721.6</v>
      </c>
      <c r="D3904" s="11" t="s">
        <v>5</v>
      </c>
    </row>
    <row r="3905" spans="1:4" x14ac:dyDescent="0.25">
      <c r="A3905" s="4" t="s">
        <v>8556</v>
      </c>
      <c r="B3905" s="3" t="s">
        <v>3907</v>
      </c>
      <c r="C3905" s="14">
        <v>678.78</v>
      </c>
      <c r="D3905" s="11" t="s">
        <v>5</v>
      </c>
    </row>
    <row r="3906" spans="1:4" x14ac:dyDescent="0.25">
      <c r="A3906" s="4" t="s">
        <v>8557</v>
      </c>
      <c r="B3906" s="3" t="s">
        <v>3908</v>
      </c>
      <c r="C3906" s="14">
        <v>521.64</v>
      </c>
      <c r="D3906" s="11" t="s">
        <v>5</v>
      </c>
    </row>
    <row r="3907" spans="1:4" x14ac:dyDescent="0.25">
      <c r="A3907" s="4" t="s">
        <v>8558</v>
      </c>
      <c r="B3907" s="3" t="s">
        <v>3909</v>
      </c>
      <c r="C3907" s="14">
        <v>4759.5600000000004</v>
      </c>
      <c r="D3907" s="11" t="s">
        <v>5</v>
      </c>
    </row>
    <row r="3908" spans="1:4" x14ac:dyDescent="0.25">
      <c r="A3908" s="4" t="s">
        <v>8559</v>
      </c>
      <c r="B3908" s="3" t="s">
        <v>3910</v>
      </c>
      <c r="C3908" s="14">
        <v>1490.4</v>
      </c>
      <c r="D3908" s="11" t="s">
        <v>5</v>
      </c>
    </row>
    <row r="3909" spans="1:4" x14ac:dyDescent="0.25">
      <c r="A3909" s="4" t="s">
        <v>8560</v>
      </c>
      <c r="B3909" s="3" t="s">
        <v>3911</v>
      </c>
      <c r="C3909" s="14">
        <v>11352.96</v>
      </c>
      <c r="D3909" s="11" t="s">
        <v>5</v>
      </c>
    </row>
    <row r="3910" spans="1:4" x14ac:dyDescent="0.25">
      <c r="A3910" s="4" t="s">
        <v>8561</v>
      </c>
      <c r="B3910" s="3" t="s">
        <v>3912</v>
      </c>
      <c r="C3910" s="14">
        <v>2567.6999999999998</v>
      </c>
      <c r="D3910" s="11" t="s">
        <v>5</v>
      </c>
    </row>
    <row r="3911" spans="1:4" x14ac:dyDescent="0.25">
      <c r="A3911" s="4" t="s">
        <v>8562</v>
      </c>
      <c r="B3911" s="3" t="s">
        <v>3913</v>
      </c>
      <c r="C3911" s="14">
        <v>5853.06</v>
      </c>
      <c r="D3911" s="11" t="s">
        <v>5</v>
      </c>
    </row>
    <row r="3912" spans="1:4" x14ac:dyDescent="0.25">
      <c r="A3912" s="4" t="s">
        <v>8563</v>
      </c>
      <c r="B3912" s="3" t="s">
        <v>3914</v>
      </c>
      <c r="C3912" s="14">
        <v>1861.38</v>
      </c>
      <c r="D3912" s="11" t="s">
        <v>5</v>
      </c>
    </row>
    <row r="3913" spans="1:4" x14ac:dyDescent="0.25">
      <c r="A3913" s="4" t="s">
        <v>8564</v>
      </c>
      <c r="B3913" s="3" t="s">
        <v>3915</v>
      </c>
      <c r="C3913" s="14">
        <v>933.12</v>
      </c>
      <c r="D3913" s="11" t="s">
        <v>5</v>
      </c>
    </row>
    <row r="3914" spans="1:4" x14ac:dyDescent="0.25">
      <c r="A3914" s="4" t="s">
        <v>8565</v>
      </c>
      <c r="B3914" s="3" t="s">
        <v>3916</v>
      </c>
      <c r="C3914" s="14">
        <v>4772.5200000000004</v>
      </c>
      <c r="D3914" s="11" t="s">
        <v>5</v>
      </c>
    </row>
    <row r="3915" spans="1:4" x14ac:dyDescent="0.25">
      <c r="A3915" s="4" t="s">
        <v>8566</v>
      </c>
      <c r="B3915" s="3" t="s">
        <v>3917</v>
      </c>
      <c r="C3915" s="14">
        <v>453.6</v>
      </c>
      <c r="D3915" s="11" t="s">
        <v>5</v>
      </c>
    </row>
    <row r="3916" spans="1:4" x14ac:dyDescent="0.25">
      <c r="A3916" s="4" t="s">
        <v>8567</v>
      </c>
      <c r="B3916" s="3" t="s">
        <v>3918</v>
      </c>
      <c r="C3916" s="14">
        <v>338.58</v>
      </c>
      <c r="D3916" s="11" t="s">
        <v>5</v>
      </c>
    </row>
    <row r="3917" spans="1:4" x14ac:dyDescent="0.25">
      <c r="A3917" s="4" t="s">
        <v>8568</v>
      </c>
      <c r="B3917" s="3" t="s">
        <v>3919</v>
      </c>
      <c r="C3917" s="14">
        <v>829.44</v>
      </c>
      <c r="D3917" s="11" t="s">
        <v>5</v>
      </c>
    </row>
    <row r="3918" spans="1:4" x14ac:dyDescent="0.25">
      <c r="A3918" s="4" t="s">
        <v>8569</v>
      </c>
      <c r="B3918" s="3" t="s">
        <v>3920</v>
      </c>
      <c r="C3918" s="14">
        <v>4719.0600000000004</v>
      </c>
      <c r="D3918" s="11" t="s">
        <v>5</v>
      </c>
    </row>
    <row r="3919" spans="1:4" x14ac:dyDescent="0.25">
      <c r="A3919" s="4" t="s">
        <v>8570</v>
      </c>
      <c r="B3919" s="3" t="s">
        <v>3921</v>
      </c>
      <c r="C3919" s="14">
        <v>3538.97</v>
      </c>
      <c r="D3919" s="11" t="s">
        <v>5</v>
      </c>
    </row>
    <row r="3920" spans="1:4" x14ac:dyDescent="0.25">
      <c r="A3920" s="4" t="s">
        <v>8571</v>
      </c>
      <c r="B3920" s="3" t="s">
        <v>3922</v>
      </c>
      <c r="C3920" s="14">
        <v>1706.82</v>
      </c>
      <c r="D3920" s="11" t="s">
        <v>5</v>
      </c>
    </row>
    <row r="3921" spans="1:4" x14ac:dyDescent="0.25">
      <c r="A3921" s="4" t="s">
        <v>8572</v>
      </c>
      <c r="B3921" s="3" t="s">
        <v>3923</v>
      </c>
      <c r="C3921" s="14">
        <v>71349.66</v>
      </c>
      <c r="D3921" s="11" t="s">
        <v>5</v>
      </c>
    </row>
    <row r="3922" spans="1:4" x14ac:dyDescent="0.25">
      <c r="A3922" s="4" t="s">
        <v>8573</v>
      </c>
      <c r="B3922" s="3" t="s">
        <v>3924</v>
      </c>
      <c r="C3922" s="14">
        <v>37794.980000000003</v>
      </c>
      <c r="D3922" s="11" t="s">
        <v>5</v>
      </c>
    </row>
    <row r="3923" spans="1:4" x14ac:dyDescent="0.25">
      <c r="A3923" s="4" t="s">
        <v>8574</v>
      </c>
      <c r="B3923" s="3" t="s">
        <v>3925</v>
      </c>
      <c r="C3923" s="14">
        <v>20298.95</v>
      </c>
      <c r="D3923" s="11" t="s">
        <v>5</v>
      </c>
    </row>
    <row r="3924" spans="1:4" x14ac:dyDescent="0.25">
      <c r="A3924" s="4" t="s">
        <v>8575</v>
      </c>
      <c r="B3924" s="3" t="s">
        <v>3926</v>
      </c>
      <c r="C3924" s="14">
        <v>17828.099999999999</v>
      </c>
      <c r="D3924" s="11" t="s">
        <v>5</v>
      </c>
    </row>
    <row r="3925" spans="1:4" x14ac:dyDescent="0.25">
      <c r="A3925" s="4" t="s">
        <v>8576</v>
      </c>
      <c r="B3925" s="3" t="s">
        <v>3927</v>
      </c>
      <c r="C3925" s="14">
        <v>7212.05</v>
      </c>
      <c r="D3925" s="11" t="s">
        <v>5</v>
      </c>
    </row>
    <row r="3926" spans="1:4" x14ac:dyDescent="0.25">
      <c r="A3926" s="4" t="s">
        <v>8577</v>
      </c>
      <c r="B3926" s="3" t="s">
        <v>3928</v>
      </c>
      <c r="C3926" s="14">
        <v>5323.47</v>
      </c>
      <c r="D3926" s="11" t="s">
        <v>5</v>
      </c>
    </row>
    <row r="3927" spans="1:4" x14ac:dyDescent="0.25">
      <c r="A3927" s="4" t="s">
        <v>8578</v>
      </c>
      <c r="B3927" s="3" t="s">
        <v>3929</v>
      </c>
      <c r="C3927" s="14">
        <v>23038.02</v>
      </c>
      <c r="D3927" s="11" t="s">
        <v>5</v>
      </c>
    </row>
    <row r="3928" spans="1:4" x14ac:dyDescent="0.25">
      <c r="A3928" s="4" t="s">
        <v>8579</v>
      </c>
      <c r="B3928" s="3" t="s">
        <v>3930</v>
      </c>
      <c r="C3928" s="14">
        <v>6434.64</v>
      </c>
      <c r="D3928" s="11" t="s">
        <v>5</v>
      </c>
    </row>
    <row r="3929" spans="1:4" x14ac:dyDescent="0.25">
      <c r="A3929" s="4" t="s">
        <v>8580</v>
      </c>
      <c r="B3929" s="3" t="s">
        <v>3931</v>
      </c>
      <c r="C3929" s="14">
        <v>11866.5</v>
      </c>
      <c r="D3929" s="11" t="s">
        <v>5</v>
      </c>
    </row>
    <row r="3930" spans="1:4" x14ac:dyDescent="0.25">
      <c r="A3930" s="4" t="s">
        <v>8581</v>
      </c>
      <c r="B3930" s="3" t="s">
        <v>3932</v>
      </c>
      <c r="C3930" s="14">
        <v>2786.4</v>
      </c>
      <c r="D3930" s="11" t="s">
        <v>5</v>
      </c>
    </row>
    <row r="3931" spans="1:4" x14ac:dyDescent="0.25">
      <c r="A3931" s="4" t="s">
        <v>8582</v>
      </c>
      <c r="B3931" s="3" t="s">
        <v>3933</v>
      </c>
      <c r="C3931" s="14">
        <v>2604.96</v>
      </c>
      <c r="D3931" s="11" t="s">
        <v>5</v>
      </c>
    </row>
    <row r="3932" spans="1:4" x14ac:dyDescent="0.25">
      <c r="A3932" s="4" t="s">
        <v>8583</v>
      </c>
      <c r="B3932" s="3" t="s">
        <v>3934</v>
      </c>
      <c r="C3932" s="14">
        <v>824.58</v>
      </c>
      <c r="D3932" s="11" t="s">
        <v>5</v>
      </c>
    </row>
    <row r="3933" spans="1:4" x14ac:dyDescent="0.25">
      <c r="A3933" s="4" t="s">
        <v>8584</v>
      </c>
      <c r="B3933" s="3" t="s">
        <v>3935</v>
      </c>
      <c r="C3933" s="14">
        <v>1404.54</v>
      </c>
      <c r="D3933" s="11" t="s">
        <v>5</v>
      </c>
    </row>
    <row r="3934" spans="1:4" x14ac:dyDescent="0.25">
      <c r="A3934" s="4" t="s">
        <v>8585</v>
      </c>
      <c r="B3934" s="3" t="s">
        <v>3936</v>
      </c>
      <c r="C3934" s="14">
        <v>4432.8500000000004</v>
      </c>
      <c r="D3934" s="11" t="s">
        <v>5</v>
      </c>
    </row>
    <row r="3935" spans="1:4" x14ac:dyDescent="0.25">
      <c r="A3935" s="4" t="s">
        <v>8586</v>
      </c>
      <c r="B3935" s="3" t="s">
        <v>3937</v>
      </c>
      <c r="C3935" s="14">
        <v>2600.9699999999998</v>
      </c>
      <c r="D3935" s="11" t="s">
        <v>5</v>
      </c>
    </row>
    <row r="3936" spans="1:4" x14ac:dyDescent="0.25">
      <c r="A3936" s="4" t="s">
        <v>8587</v>
      </c>
      <c r="B3936" s="3" t="s">
        <v>3938</v>
      </c>
      <c r="C3936" s="14">
        <v>7285.14</v>
      </c>
      <c r="D3936" s="11" t="s">
        <v>5</v>
      </c>
    </row>
    <row r="3937" spans="1:4" x14ac:dyDescent="0.25">
      <c r="A3937" s="4" t="s">
        <v>8588</v>
      </c>
      <c r="B3937" s="3" t="s">
        <v>3939</v>
      </c>
      <c r="C3937" s="14">
        <v>3254.58</v>
      </c>
      <c r="D3937" s="11" t="s">
        <v>5</v>
      </c>
    </row>
    <row r="3938" spans="1:4" x14ac:dyDescent="0.25">
      <c r="A3938" s="4" t="s">
        <v>8589</v>
      </c>
      <c r="B3938" s="3" t="s">
        <v>3940</v>
      </c>
      <c r="C3938" s="14">
        <v>1678.32</v>
      </c>
      <c r="D3938" s="11" t="s">
        <v>5</v>
      </c>
    </row>
    <row r="3939" spans="1:4" x14ac:dyDescent="0.25">
      <c r="A3939" s="4" t="s">
        <v>8590</v>
      </c>
      <c r="B3939" s="3" t="s">
        <v>3941</v>
      </c>
      <c r="C3939" s="14">
        <v>1764.18</v>
      </c>
      <c r="D3939" s="11" t="s">
        <v>5</v>
      </c>
    </row>
    <row r="3940" spans="1:4" x14ac:dyDescent="0.25">
      <c r="A3940" s="4" t="s">
        <v>8591</v>
      </c>
      <c r="B3940" s="3" t="s">
        <v>3942</v>
      </c>
      <c r="C3940" s="14">
        <v>2365.1999999999998</v>
      </c>
      <c r="D3940" s="11" t="s">
        <v>5</v>
      </c>
    </row>
    <row r="3941" spans="1:4" x14ac:dyDescent="0.25">
      <c r="A3941" s="4" t="s">
        <v>8592</v>
      </c>
      <c r="B3941" s="3" t="s">
        <v>3943</v>
      </c>
      <c r="C3941" s="14">
        <v>599.4</v>
      </c>
      <c r="D3941" s="11" t="s">
        <v>5</v>
      </c>
    </row>
    <row r="3942" spans="1:4" x14ac:dyDescent="0.25">
      <c r="A3942" s="4" t="s">
        <v>8593</v>
      </c>
      <c r="B3942" s="3" t="s">
        <v>3944</v>
      </c>
      <c r="C3942" s="14">
        <v>955.8</v>
      </c>
      <c r="D3942" s="11" t="s">
        <v>5</v>
      </c>
    </row>
    <row r="3943" spans="1:4" x14ac:dyDescent="0.25">
      <c r="A3943" s="4" t="s">
        <v>8594</v>
      </c>
      <c r="B3943" s="3" t="s">
        <v>3945</v>
      </c>
      <c r="C3943" s="14">
        <v>10430.06</v>
      </c>
      <c r="D3943" s="11" t="s">
        <v>5</v>
      </c>
    </row>
    <row r="3944" spans="1:4" x14ac:dyDescent="0.25">
      <c r="A3944" s="4" t="s">
        <v>8595</v>
      </c>
      <c r="B3944" s="3" t="s">
        <v>3946</v>
      </c>
      <c r="C3944" s="14">
        <v>2159.46</v>
      </c>
      <c r="D3944" s="11" t="s">
        <v>5</v>
      </c>
    </row>
    <row r="3945" spans="1:4" x14ac:dyDescent="0.25">
      <c r="A3945" s="4" t="s">
        <v>8596</v>
      </c>
      <c r="B3945" s="3" t="s">
        <v>3947</v>
      </c>
      <c r="C3945" s="14">
        <v>391.91</v>
      </c>
      <c r="D3945" s="11" t="s">
        <v>5</v>
      </c>
    </row>
    <row r="3946" spans="1:4" x14ac:dyDescent="0.25">
      <c r="A3946" s="4" t="s">
        <v>8597</v>
      </c>
      <c r="B3946" s="3" t="s">
        <v>3948</v>
      </c>
      <c r="C3946" s="14">
        <v>410</v>
      </c>
      <c r="D3946" s="11" t="s">
        <v>5</v>
      </c>
    </row>
    <row r="3947" spans="1:4" x14ac:dyDescent="0.25">
      <c r="A3947" s="4" t="s">
        <v>8598</v>
      </c>
      <c r="B3947" s="3" t="s">
        <v>3949</v>
      </c>
      <c r="C3947" s="14">
        <v>974.52</v>
      </c>
      <c r="D3947" s="11" t="s">
        <v>5</v>
      </c>
    </row>
    <row r="3948" spans="1:4" x14ac:dyDescent="0.25">
      <c r="A3948" s="4" t="s">
        <v>8599</v>
      </c>
      <c r="B3948" s="3" t="s">
        <v>3950</v>
      </c>
      <c r="C3948" s="14">
        <v>1043.3399999999999</v>
      </c>
      <c r="D3948" s="11" t="s">
        <v>5</v>
      </c>
    </row>
    <row r="3949" spans="1:4" x14ac:dyDescent="0.25">
      <c r="A3949" s="4" t="s">
        <v>8600</v>
      </c>
      <c r="B3949" s="3" t="s">
        <v>3951</v>
      </c>
      <c r="C3949" s="14">
        <v>3644.25</v>
      </c>
      <c r="D3949" s="11" t="s">
        <v>5</v>
      </c>
    </row>
    <row r="3950" spans="1:4" x14ac:dyDescent="0.25">
      <c r="A3950" s="4" t="s">
        <v>8601</v>
      </c>
      <c r="B3950" s="3" t="s">
        <v>3952</v>
      </c>
      <c r="C3950" s="14">
        <v>3034.19</v>
      </c>
      <c r="D3950" s="11" t="s">
        <v>5</v>
      </c>
    </row>
    <row r="3951" spans="1:4" x14ac:dyDescent="0.25">
      <c r="A3951" s="4" t="s">
        <v>8602</v>
      </c>
      <c r="B3951" s="3" t="s">
        <v>3953</v>
      </c>
      <c r="C3951" s="14">
        <v>1149.83</v>
      </c>
      <c r="D3951" s="11" t="s">
        <v>5</v>
      </c>
    </row>
    <row r="3952" spans="1:4" x14ac:dyDescent="0.25">
      <c r="A3952" s="4" t="s">
        <v>8603</v>
      </c>
      <c r="B3952" s="3" t="s">
        <v>3954</v>
      </c>
      <c r="C3952" s="14">
        <v>1041.72</v>
      </c>
      <c r="D3952" s="11" t="s">
        <v>5</v>
      </c>
    </row>
    <row r="3953" spans="1:4" x14ac:dyDescent="0.25">
      <c r="A3953" s="4" t="s">
        <v>8604</v>
      </c>
      <c r="B3953" s="3" t="s">
        <v>3955</v>
      </c>
      <c r="C3953" s="14">
        <v>896.39</v>
      </c>
      <c r="D3953" s="11" t="s">
        <v>5</v>
      </c>
    </row>
    <row r="3954" spans="1:4" x14ac:dyDescent="0.25">
      <c r="A3954" s="4" t="s">
        <v>8605</v>
      </c>
      <c r="B3954" s="3" t="s">
        <v>3956</v>
      </c>
      <c r="C3954" s="14">
        <v>835.98</v>
      </c>
      <c r="D3954" s="11" t="s">
        <v>5</v>
      </c>
    </row>
    <row r="3955" spans="1:4" x14ac:dyDescent="0.25">
      <c r="A3955" s="4" t="s">
        <v>8606</v>
      </c>
      <c r="B3955" s="3" t="s">
        <v>3957</v>
      </c>
      <c r="C3955" s="14">
        <v>799.49</v>
      </c>
      <c r="D3955" s="11" t="s">
        <v>5</v>
      </c>
    </row>
    <row r="3956" spans="1:4" x14ac:dyDescent="0.25">
      <c r="A3956" s="4" t="s">
        <v>8607</v>
      </c>
      <c r="B3956" s="3" t="s">
        <v>3958</v>
      </c>
      <c r="C3956" s="14">
        <v>745.62</v>
      </c>
      <c r="D3956" s="11" t="s">
        <v>5</v>
      </c>
    </row>
    <row r="3957" spans="1:4" x14ac:dyDescent="0.25">
      <c r="A3957" s="4" t="s">
        <v>8608</v>
      </c>
      <c r="B3957" s="3" t="s">
        <v>3959</v>
      </c>
      <c r="C3957" s="14">
        <v>1032.93</v>
      </c>
      <c r="D3957" s="11" t="s">
        <v>5</v>
      </c>
    </row>
    <row r="3958" spans="1:4" x14ac:dyDescent="0.25">
      <c r="A3958" s="4" t="s">
        <v>8609</v>
      </c>
      <c r="B3958" s="3" t="s">
        <v>3960</v>
      </c>
      <c r="C3958" s="14">
        <v>2476.3200000000002</v>
      </c>
      <c r="D3958" s="11" t="s">
        <v>5</v>
      </c>
    </row>
    <row r="3959" spans="1:4" x14ac:dyDescent="0.25">
      <c r="A3959" s="4" t="s">
        <v>8610</v>
      </c>
      <c r="B3959" s="3" t="s">
        <v>3961</v>
      </c>
      <c r="C3959" s="14">
        <v>1775.9</v>
      </c>
      <c r="D3959" s="11" t="s">
        <v>5</v>
      </c>
    </row>
    <row r="3960" spans="1:4" x14ac:dyDescent="0.25">
      <c r="A3960" s="4" t="s">
        <v>8611</v>
      </c>
      <c r="B3960" s="3" t="s">
        <v>3962</v>
      </c>
      <c r="C3960" s="14">
        <v>3488.96</v>
      </c>
      <c r="D3960" s="11" t="s">
        <v>5</v>
      </c>
    </row>
    <row r="3961" spans="1:4" x14ac:dyDescent="0.25">
      <c r="A3961" s="4" t="s">
        <v>8612</v>
      </c>
      <c r="B3961" s="3" t="s">
        <v>3963</v>
      </c>
      <c r="C3961" s="14">
        <v>2000.7</v>
      </c>
      <c r="D3961" s="11" t="s">
        <v>5</v>
      </c>
    </row>
    <row r="3962" spans="1:4" x14ac:dyDescent="0.25">
      <c r="A3962" s="4" t="s">
        <v>8613</v>
      </c>
      <c r="B3962" s="3" t="s">
        <v>3964</v>
      </c>
      <c r="C3962" s="14">
        <v>2592</v>
      </c>
      <c r="D3962" s="11" t="s">
        <v>5</v>
      </c>
    </row>
    <row r="3963" spans="1:4" x14ac:dyDescent="0.25">
      <c r="A3963" s="4" t="s">
        <v>8614</v>
      </c>
      <c r="B3963" s="3" t="s">
        <v>3965</v>
      </c>
      <c r="C3963" s="14">
        <v>3369.6</v>
      </c>
      <c r="D3963" s="11" t="s">
        <v>5</v>
      </c>
    </row>
    <row r="3964" spans="1:4" x14ac:dyDescent="0.25">
      <c r="A3964" s="4" t="s">
        <v>8615</v>
      </c>
      <c r="B3964" s="3" t="s">
        <v>3966</v>
      </c>
      <c r="C3964" s="14">
        <v>5634.36</v>
      </c>
      <c r="D3964" s="11" t="s">
        <v>5</v>
      </c>
    </row>
    <row r="3965" spans="1:4" x14ac:dyDescent="0.25">
      <c r="A3965" s="4" t="s">
        <v>8616</v>
      </c>
      <c r="B3965" s="3" t="s">
        <v>3967</v>
      </c>
      <c r="C3965" s="14">
        <v>518.4</v>
      </c>
      <c r="D3965" s="11" t="s">
        <v>5</v>
      </c>
    </row>
    <row r="3966" spans="1:4" x14ac:dyDescent="0.25">
      <c r="A3966" s="4" t="s">
        <v>8617</v>
      </c>
      <c r="B3966" s="3" t="s">
        <v>3968</v>
      </c>
      <c r="C3966" s="14">
        <v>2991.15</v>
      </c>
      <c r="D3966" s="11" t="s">
        <v>5</v>
      </c>
    </row>
    <row r="3967" spans="1:4" x14ac:dyDescent="0.25">
      <c r="A3967" s="4" t="s">
        <v>8618</v>
      </c>
      <c r="B3967" s="3" t="s">
        <v>3969</v>
      </c>
      <c r="C3967" s="14">
        <v>5180.76</v>
      </c>
      <c r="D3967" s="11" t="s">
        <v>5</v>
      </c>
    </row>
    <row r="3968" spans="1:4" x14ac:dyDescent="0.25">
      <c r="A3968" s="4" t="s">
        <v>8619</v>
      </c>
      <c r="B3968" s="3" t="s">
        <v>3970</v>
      </c>
      <c r="C3968" s="14">
        <v>3196.64</v>
      </c>
      <c r="D3968" s="11" t="s">
        <v>5</v>
      </c>
    </row>
    <row r="3969" spans="1:4" x14ac:dyDescent="0.25">
      <c r="A3969" s="4" t="s">
        <v>8620</v>
      </c>
      <c r="B3969" s="3" t="s">
        <v>3971</v>
      </c>
      <c r="C3969" s="14">
        <v>6954.66</v>
      </c>
      <c r="D3969" s="11" t="s">
        <v>5</v>
      </c>
    </row>
    <row r="3970" spans="1:4" x14ac:dyDescent="0.25">
      <c r="A3970" s="4" t="s">
        <v>8621</v>
      </c>
      <c r="B3970" s="3" t="s">
        <v>3972</v>
      </c>
      <c r="C3970" s="14">
        <v>8487.18</v>
      </c>
      <c r="D3970" s="11" t="s">
        <v>5</v>
      </c>
    </row>
    <row r="3971" spans="1:4" x14ac:dyDescent="0.25">
      <c r="A3971" s="4" t="s">
        <v>8622</v>
      </c>
      <c r="B3971" s="3" t="s">
        <v>3973</v>
      </c>
      <c r="C3971" s="14">
        <v>14711.22</v>
      </c>
      <c r="D3971" s="11" t="s">
        <v>5</v>
      </c>
    </row>
    <row r="3972" spans="1:4" x14ac:dyDescent="0.25">
      <c r="A3972" s="4" t="s">
        <v>8623</v>
      </c>
      <c r="B3972" s="3" t="s">
        <v>3974</v>
      </c>
      <c r="C3972" s="14">
        <v>2384.1799999999998</v>
      </c>
      <c r="D3972" s="11" t="s">
        <v>5</v>
      </c>
    </row>
    <row r="3973" spans="1:4" x14ac:dyDescent="0.25">
      <c r="A3973" s="4" t="s">
        <v>8624</v>
      </c>
      <c r="B3973" s="3" t="s">
        <v>3975</v>
      </c>
      <c r="C3973" s="14">
        <v>4949.1000000000004</v>
      </c>
      <c r="D3973" s="11" t="s">
        <v>5</v>
      </c>
    </row>
    <row r="3974" spans="1:4" x14ac:dyDescent="0.25">
      <c r="A3974" s="4" t="s">
        <v>8625</v>
      </c>
      <c r="B3974" s="3" t="s">
        <v>3976</v>
      </c>
      <c r="C3974" s="14">
        <v>2711.43</v>
      </c>
      <c r="D3974" s="11" t="s">
        <v>5</v>
      </c>
    </row>
    <row r="3975" spans="1:4" x14ac:dyDescent="0.25">
      <c r="A3975" s="4" t="s">
        <v>8626</v>
      </c>
      <c r="B3975" s="3" t="s">
        <v>3977</v>
      </c>
      <c r="C3975" s="14">
        <v>2853.63</v>
      </c>
      <c r="D3975" s="11" t="s">
        <v>5</v>
      </c>
    </row>
    <row r="3976" spans="1:4" x14ac:dyDescent="0.25">
      <c r="A3976" s="4" t="s">
        <v>8627</v>
      </c>
      <c r="B3976" s="3" t="s">
        <v>3978</v>
      </c>
      <c r="C3976" s="14">
        <v>3329.57</v>
      </c>
      <c r="D3976" s="11" t="s">
        <v>5</v>
      </c>
    </row>
    <row r="3977" spans="1:4" x14ac:dyDescent="0.25">
      <c r="A3977" s="4" t="s">
        <v>8628</v>
      </c>
      <c r="B3977" s="3" t="s">
        <v>3979</v>
      </c>
      <c r="C3977" s="14">
        <v>1800.18</v>
      </c>
      <c r="D3977" s="11" t="s">
        <v>5</v>
      </c>
    </row>
    <row r="3978" spans="1:4" x14ac:dyDescent="0.25">
      <c r="A3978" s="4" t="s">
        <v>8629</v>
      </c>
      <c r="B3978" s="3" t="s">
        <v>3980</v>
      </c>
      <c r="C3978" s="14">
        <v>2059.85</v>
      </c>
      <c r="D3978" s="11" t="s">
        <v>5</v>
      </c>
    </row>
    <row r="3979" spans="1:4" x14ac:dyDescent="0.25">
      <c r="A3979" s="4" t="s">
        <v>8630</v>
      </c>
      <c r="B3979" s="3" t="s">
        <v>3981</v>
      </c>
      <c r="C3979" s="14">
        <v>2779.19</v>
      </c>
      <c r="D3979" s="11" t="s">
        <v>5</v>
      </c>
    </row>
    <row r="3980" spans="1:4" x14ac:dyDescent="0.25">
      <c r="A3980" s="4" t="s">
        <v>8631</v>
      </c>
      <c r="B3980" s="3" t="s">
        <v>3982</v>
      </c>
      <c r="C3980" s="14">
        <v>4299.2</v>
      </c>
      <c r="D3980" s="11" t="s">
        <v>5</v>
      </c>
    </row>
    <row r="3981" spans="1:4" x14ac:dyDescent="0.25">
      <c r="A3981" s="4" t="s">
        <v>8632</v>
      </c>
      <c r="B3981" s="3" t="s">
        <v>3983</v>
      </c>
      <c r="C3981" s="14">
        <v>1504.46</v>
      </c>
      <c r="D3981" s="11" t="s">
        <v>5</v>
      </c>
    </row>
    <row r="3982" spans="1:4" x14ac:dyDescent="0.25">
      <c r="A3982" s="4" t="s">
        <v>8633</v>
      </c>
      <c r="B3982" s="3" t="s">
        <v>3984</v>
      </c>
      <c r="C3982" s="14">
        <v>2252.9899999999998</v>
      </c>
      <c r="D3982" s="11" t="s">
        <v>5</v>
      </c>
    </row>
    <row r="3983" spans="1:4" x14ac:dyDescent="0.25">
      <c r="A3983" s="4" t="s">
        <v>8634</v>
      </c>
      <c r="B3983" s="3" t="s">
        <v>3985</v>
      </c>
      <c r="C3983" s="14">
        <v>2575.86</v>
      </c>
      <c r="D3983" s="11" t="s">
        <v>5</v>
      </c>
    </row>
    <row r="3984" spans="1:4" x14ac:dyDescent="0.25">
      <c r="A3984" s="4" t="s">
        <v>8635</v>
      </c>
      <c r="B3984" s="3" t="s">
        <v>3986</v>
      </c>
      <c r="C3984" s="14">
        <v>3863.33</v>
      </c>
      <c r="D3984" s="11" t="s">
        <v>5</v>
      </c>
    </row>
    <row r="3985" spans="1:4" x14ac:dyDescent="0.25">
      <c r="A3985" s="4" t="s">
        <v>8636</v>
      </c>
      <c r="B3985" s="3" t="s">
        <v>3987</v>
      </c>
      <c r="C3985" s="14">
        <v>5514.83</v>
      </c>
      <c r="D3985" s="11" t="s">
        <v>5</v>
      </c>
    </row>
    <row r="3986" spans="1:4" x14ac:dyDescent="0.25">
      <c r="A3986" s="4" t="s">
        <v>8637</v>
      </c>
      <c r="B3986" s="3" t="s">
        <v>3988</v>
      </c>
      <c r="C3986" s="14">
        <v>2149.62</v>
      </c>
      <c r="D3986" s="11" t="s">
        <v>5</v>
      </c>
    </row>
    <row r="3987" spans="1:4" x14ac:dyDescent="0.25">
      <c r="A3987" s="4" t="s">
        <v>8638</v>
      </c>
      <c r="B3987" s="3" t="s">
        <v>3989</v>
      </c>
      <c r="C3987" s="14">
        <v>3207.96</v>
      </c>
      <c r="D3987" s="11" t="s">
        <v>5</v>
      </c>
    </row>
    <row r="3988" spans="1:4" x14ac:dyDescent="0.25">
      <c r="A3988" s="4" t="s">
        <v>8639</v>
      </c>
      <c r="B3988" s="3" t="s">
        <v>3990</v>
      </c>
      <c r="C3988" s="14">
        <v>3742.62</v>
      </c>
      <c r="D3988" s="11" t="s">
        <v>5</v>
      </c>
    </row>
    <row r="3989" spans="1:4" x14ac:dyDescent="0.25">
      <c r="A3989" s="4" t="s">
        <v>8640</v>
      </c>
      <c r="B3989" s="3" t="s">
        <v>3991</v>
      </c>
      <c r="C3989" s="14">
        <v>5667.39</v>
      </c>
      <c r="D3989" s="11" t="s">
        <v>5</v>
      </c>
    </row>
    <row r="3990" spans="1:4" x14ac:dyDescent="0.25">
      <c r="A3990" s="4" t="s">
        <v>8641</v>
      </c>
      <c r="B3990" s="3" t="s">
        <v>3992</v>
      </c>
      <c r="C3990" s="14">
        <v>4617</v>
      </c>
      <c r="D3990" s="11" t="s">
        <v>5</v>
      </c>
    </row>
    <row r="3991" spans="1:4" x14ac:dyDescent="0.25">
      <c r="A3991" s="4" t="s">
        <v>8642</v>
      </c>
      <c r="B3991" s="3" t="s">
        <v>3993</v>
      </c>
      <c r="C3991" s="14">
        <v>6050.39</v>
      </c>
      <c r="D3991" s="11" t="s">
        <v>5</v>
      </c>
    </row>
    <row r="3992" spans="1:4" x14ac:dyDescent="0.25">
      <c r="A3992" s="4" t="s">
        <v>8643</v>
      </c>
      <c r="B3992" s="3" t="s">
        <v>3994</v>
      </c>
      <c r="C3992" s="14">
        <v>8068.49</v>
      </c>
      <c r="D3992" s="11" t="s">
        <v>5</v>
      </c>
    </row>
    <row r="3993" spans="1:4" x14ac:dyDescent="0.25">
      <c r="A3993" s="4" t="s">
        <v>8644</v>
      </c>
      <c r="B3993" s="3" t="s">
        <v>3995</v>
      </c>
      <c r="C3993" s="14">
        <v>3249.03</v>
      </c>
      <c r="D3993" s="11" t="s">
        <v>5</v>
      </c>
    </row>
    <row r="3994" spans="1:4" x14ac:dyDescent="0.25">
      <c r="A3994" s="4" t="s">
        <v>8645</v>
      </c>
      <c r="B3994" s="3" t="s">
        <v>3996</v>
      </c>
      <c r="C3994" s="14">
        <v>7290</v>
      </c>
      <c r="D3994" s="11" t="s">
        <v>5</v>
      </c>
    </row>
    <row r="3995" spans="1:4" x14ac:dyDescent="0.25">
      <c r="A3995" s="4" t="s">
        <v>8646</v>
      </c>
      <c r="B3995" s="3" t="s">
        <v>3997</v>
      </c>
      <c r="C3995" s="14">
        <v>7290</v>
      </c>
      <c r="D3995" s="11" t="s">
        <v>5</v>
      </c>
    </row>
    <row r="3996" spans="1:4" x14ac:dyDescent="0.25">
      <c r="A3996" s="4" t="s">
        <v>8647</v>
      </c>
      <c r="B3996" s="3" t="s">
        <v>3998</v>
      </c>
      <c r="C3996" s="14">
        <v>7290</v>
      </c>
      <c r="D3996" s="11" t="s">
        <v>5</v>
      </c>
    </row>
    <row r="3997" spans="1:4" x14ac:dyDescent="0.25">
      <c r="A3997" s="4" t="s">
        <v>8648</v>
      </c>
      <c r="B3997" s="3" t="s">
        <v>3999</v>
      </c>
      <c r="C3997" s="14">
        <v>7290</v>
      </c>
      <c r="D3997" s="11" t="s">
        <v>5</v>
      </c>
    </row>
    <row r="3998" spans="1:4" x14ac:dyDescent="0.25">
      <c r="A3998" s="4" t="s">
        <v>8649</v>
      </c>
      <c r="B3998" s="3" t="s">
        <v>4000</v>
      </c>
      <c r="C3998" s="14">
        <v>10264.32</v>
      </c>
      <c r="D3998" s="11" t="s">
        <v>5</v>
      </c>
    </row>
    <row r="3999" spans="1:4" x14ac:dyDescent="0.25">
      <c r="A3999" s="4" t="s">
        <v>8650</v>
      </c>
      <c r="B3999" s="3" t="s">
        <v>4001</v>
      </c>
      <c r="C3999" s="14">
        <v>10264.32</v>
      </c>
      <c r="D3999" s="11" t="s">
        <v>5</v>
      </c>
    </row>
    <row r="4000" spans="1:4" x14ac:dyDescent="0.25">
      <c r="A4000" s="4" t="s">
        <v>8651</v>
      </c>
      <c r="B4000" s="3" t="s">
        <v>4002</v>
      </c>
      <c r="C4000" s="14">
        <v>10264.32</v>
      </c>
      <c r="D4000" s="11" t="s">
        <v>5</v>
      </c>
    </row>
    <row r="4001" spans="1:4" x14ac:dyDescent="0.25">
      <c r="A4001" s="4" t="s">
        <v>8652</v>
      </c>
      <c r="B4001" s="3" t="s">
        <v>4003</v>
      </c>
      <c r="C4001" s="14">
        <v>10264.32</v>
      </c>
      <c r="D4001" s="11" t="s">
        <v>5</v>
      </c>
    </row>
    <row r="4002" spans="1:4" x14ac:dyDescent="0.25">
      <c r="A4002" s="4" t="s">
        <v>8653</v>
      </c>
      <c r="B4002" s="3" t="s">
        <v>4004</v>
      </c>
      <c r="C4002" s="14">
        <v>13355.28</v>
      </c>
      <c r="D4002" s="11" t="s">
        <v>5</v>
      </c>
    </row>
    <row r="4003" spans="1:4" x14ac:dyDescent="0.25">
      <c r="A4003" s="4" t="s">
        <v>8654</v>
      </c>
      <c r="B4003" s="3" t="s">
        <v>4005</v>
      </c>
      <c r="C4003" s="14">
        <v>13355.28</v>
      </c>
      <c r="D4003" s="11" t="s">
        <v>5</v>
      </c>
    </row>
    <row r="4004" spans="1:4" x14ac:dyDescent="0.25">
      <c r="A4004" s="4" t="s">
        <v>8655</v>
      </c>
      <c r="B4004" s="3" t="s">
        <v>4006</v>
      </c>
      <c r="C4004" s="14">
        <v>13355.28</v>
      </c>
      <c r="D4004" s="11" t="s">
        <v>5</v>
      </c>
    </row>
    <row r="4005" spans="1:4" x14ac:dyDescent="0.25">
      <c r="A4005" s="4" t="s">
        <v>8656</v>
      </c>
      <c r="B4005" s="3" t="s">
        <v>4007</v>
      </c>
      <c r="C4005" s="14">
        <v>13355.28</v>
      </c>
      <c r="D4005" s="11" t="s">
        <v>5</v>
      </c>
    </row>
    <row r="4006" spans="1:4" x14ac:dyDescent="0.25">
      <c r="A4006" s="4" t="s">
        <v>8657</v>
      </c>
      <c r="B4006" s="3" t="s">
        <v>4008</v>
      </c>
      <c r="C4006" s="14">
        <v>22099.919999999998</v>
      </c>
      <c r="D4006" s="11" t="s">
        <v>5</v>
      </c>
    </row>
    <row r="4007" spans="1:4" x14ac:dyDescent="0.25">
      <c r="A4007" s="4" t="s">
        <v>8658</v>
      </c>
      <c r="B4007" s="3" t="s">
        <v>4009</v>
      </c>
      <c r="C4007" s="14">
        <v>2058.02</v>
      </c>
      <c r="D4007" s="11" t="s">
        <v>5</v>
      </c>
    </row>
    <row r="4008" spans="1:4" x14ac:dyDescent="0.25">
      <c r="A4008" s="4" t="s">
        <v>8659</v>
      </c>
      <c r="B4008" s="3" t="s">
        <v>4010</v>
      </c>
      <c r="C4008" s="14">
        <v>790.56</v>
      </c>
      <c r="D4008" s="11" t="s">
        <v>5</v>
      </c>
    </row>
    <row r="4009" spans="1:4" x14ac:dyDescent="0.25">
      <c r="A4009" s="4" t="s">
        <v>8660</v>
      </c>
      <c r="B4009" s="3" t="s">
        <v>4011</v>
      </c>
      <c r="C4009" s="14">
        <v>749.97</v>
      </c>
      <c r="D4009" s="11" t="s">
        <v>5</v>
      </c>
    </row>
    <row r="4010" spans="1:4" x14ac:dyDescent="0.25">
      <c r="A4010" s="4" t="s">
        <v>8661</v>
      </c>
      <c r="B4010" s="3" t="s">
        <v>4012</v>
      </c>
      <c r="C4010" s="14">
        <v>1600.56</v>
      </c>
      <c r="D4010" s="11" t="s">
        <v>5</v>
      </c>
    </row>
    <row r="4011" spans="1:4" x14ac:dyDescent="0.25">
      <c r="A4011" s="4" t="s">
        <v>8662</v>
      </c>
      <c r="B4011" s="3" t="s">
        <v>4013</v>
      </c>
      <c r="C4011" s="14">
        <v>1743.06</v>
      </c>
      <c r="D4011" s="11" t="s">
        <v>5</v>
      </c>
    </row>
    <row r="4012" spans="1:4" x14ac:dyDescent="0.25">
      <c r="A4012" s="4" t="s">
        <v>8663</v>
      </c>
      <c r="B4012" s="3" t="s">
        <v>4014</v>
      </c>
      <c r="C4012" s="14">
        <v>1250.1500000000001</v>
      </c>
      <c r="D4012" s="11" t="s">
        <v>5</v>
      </c>
    </row>
    <row r="4013" spans="1:4" x14ac:dyDescent="0.25">
      <c r="A4013" s="4" t="s">
        <v>8664</v>
      </c>
      <c r="B4013" s="3" t="s">
        <v>4015</v>
      </c>
      <c r="C4013" s="14">
        <v>12242.13</v>
      </c>
      <c r="D4013" s="11" t="s">
        <v>5</v>
      </c>
    </row>
    <row r="4014" spans="1:4" x14ac:dyDescent="0.25">
      <c r="A4014" s="4" t="s">
        <v>8665</v>
      </c>
      <c r="B4014" s="3" t="s">
        <v>4016</v>
      </c>
      <c r="C4014" s="14">
        <v>2269.61</v>
      </c>
      <c r="D4014" s="11" t="s">
        <v>5</v>
      </c>
    </row>
    <row r="4015" spans="1:4" x14ac:dyDescent="0.25">
      <c r="A4015" s="4" t="s">
        <v>8666</v>
      </c>
      <c r="B4015" s="3" t="s">
        <v>4017</v>
      </c>
      <c r="C4015" s="14">
        <v>2127.02</v>
      </c>
      <c r="D4015" s="11" t="s">
        <v>5</v>
      </c>
    </row>
    <row r="4016" spans="1:4" x14ac:dyDescent="0.25">
      <c r="A4016" s="4" t="s">
        <v>8667</v>
      </c>
      <c r="B4016" s="3" t="s">
        <v>4018</v>
      </c>
      <c r="C4016" s="14">
        <v>1322.39</v>
      </c>
      <c r="D4016" s="11" t="s">
        <v>5</v>
      </c>
    </row>
    <row r="4017" spans="1:4" x14ac:dyDescent="0.25">
      <c r="A4017" s="4" t="s">
        <v>8668</v>
      </c>
      <c r="B4017" s="3" t="s">
        <v>4019</v>
      </c>
      <c r="C4017" s="14">
        <v>36.17</v>
      </c>
      <c r="D4017" s="11" t="s">
        <v>5</v>
      </c>
    </row>
    <row r="4018" spans="1:4" x14ac:dyDescent="0.25">
      <c r="A4018" s="4" t="s">
        <v>8669</v>
      </c>
      <c r="B4018" s="3" t="s">
        <v>4020</v>
      </c>
      <c r="C4018" s="14">
        <v>53.07</v>
      </c>
      <c r="D4018" s="11" t="s">
        <v>5</v>
      </c>
    </row>
    <row r="4019" spans="1:4" x14ac:dyDescent="0.25">
      <c r="A4019" s="4" t="s">
        <v>8670</v>
      </c>
      <c r="B4019" s="3" t="s">
        <v>4021</v>
      </c>
      <c r="C4019" s="14">
        <v>307.35000000000002</v>
      </c>
      <c r="D4019" s="11" t="s">
        <v>5</v>
      </c>
    </row>
    <row r="4020" spans="1:4" x14ac:dyDescent="0.25">
      <c r="A4020" s="4" t="s">
        <v>8671</v>
      </c>
      <c r="B4020" s="3" t="s">
        <v>4022</v>
      </c>
      <c r="C4020" s="14">
        <v>214.04</v>
      </c>
      <c r="D4020" s="11" t="s">
        <v>5</v>
      </c>
    </row>
    <row r="4021" spans="1:4" x14ac:dyDescent="0.25">
      <c r="A4021" s="4" t="s">
        <v>8672</v>
      </c>
      <c r="B4021" s="3" t="s">
        <v>4023</v>
      </c>
      <c r="C4021" s="14">
        <v>57.15</v>
      </c>
      <c r="D4021" s="11" t="s">
        <v>5</v>
      </c>
    </row>
    <row r="4022" spans="1:4" x14ac:dyDescent="0.25">
      <c r="A4022" s="4" t="s">
        <v>8673</v>
      </c>
      <c r="B4022" s="3" t="s">
        <v>4024</v>
      </c>
      <c r="C4022" s="14">
        <v>252.56</v>
      </c>
      <c r="D4022" s="11" t="s">
        <v>5</v>
      </c>
    </row>
    <row r="4023" spans="1:4" x14ac:dyDescent="0.25">
      <c r="A4023" s="4" t="s">
        <v>8674</v>
      </c>
      <c r="B4023" s="3" t="s">
        <v>4025</v>
      </c>
      <c r="C4023" s="14">
        <v>740.79</v>
      </c>
      <c r="D4023" s="11" t="s">
        <v>5</v>
      </c>
    </row>
    <row r="4024" spans="1:4" x14ac:dyDescent="0.25">
      <c r="A4024" s="4" t="s">
        <v>8675</v>
      </c>
      <c r="B4024" s="3" t="s">
        <v>4026</v>
      </c>
      <c r="C4024" s="14">
        <v>740.79</v>
      </c>
      <c r="D4024" s="11" t="s">
        <v>5</v>
      </c>
    </row>
    <row r="4025" spans="1:4" x14ac:dyDescent="0.25">
      <c r="A4025" s="4" t="s">
        <v>8676</v>
      </c>
      <c r="B4025" s="3" t="s">
        <v>4027</v>
      </c>
      <c r="C4025" s="14">
        <v>4137.6000000000004</v>
      </c>
      <c r="D4025" s="11" t="s">
        <v>5</v>
      </c>
    </row>
    <row r="4026" spans="1:4" x14ac:dyDescent="0.25">
      <c r="A4026" s="4" t="s">
        <v>8677</v>
      </c>
      <c r="B4026" s="3" t="s">
        <v>4028</v>
      </c>
      <c r="C4026" s="14">
        <v>2652.75</v>
      </c>
      <c r="D4026" s="11" t="s">
        <v>5</v>
      </c>
    </row>
    <row r="4027" spans="1:4" x14ac:dyDescent="0.25">
      <c r="A4027" s="4" t="s">
        <v>8678</v>
      </c>
      <c r="B4027" s="3" t="s">
        <v>4029</v>
      </c>
      <c r="C4027" s="14">
        <v>643.52</v>
      </c>
      <c r="D4027" s="11" t="s">
        <v>5</v>
      </c>
    </row>
    <row r="4028" spans="1:4" x14ac:dyDescent="0.25">
      <c r="A4028" s="4" t="s">
        <v>8679</v>
      </c>
      <c r="B4028" s="3" t="s">
        <v>4030</v>
      </c>
      <c r="C4028" s="14">
        <v>2185.35</v>
      </c>
      <c r="D4028" s="11" t="s">
        <v>5</v>
      </c>
    </row>
    <row r="4029" spans="1:4" x14ac:dyDescent="0.25">
      <c r="A4029" s="4" t="s">
        <v>8680</v>
      </c>
      <c r="B4029" s="3" t="s">
        <v>4031</v>
      </c>
      <c r="C4029" s="14">
        <v>5616</v>
      </c>
      <c r="D4029" s="11" t="s">
        <v>5</v>
      </c>
    </row>
    <row r="4030" spans="1:4" x14ac:dyDescent="0.25">
      <c r="A4030" s="4" t="s">
        <v>8681</v>
      </c>
      <c r="B4030" s="3" t="s">
        <v>4032</v>
      </c>
      <c r="C4030" s="14">
        <v>2194.91</v>
      </c>
      <c r="D4030" s="11" t="s">
        <v>5</v>
      </c>
    </row>
    <row r="4031" spans="1:4" x14ac:dyDescent="0.25">
      <c r="A4031" s="4" t="s">
        <v>8682</v>
      </c>
      <c r="B4031" s="3" t="s">
        <v>4033</v>
      </c>
      <c r="C4031" s="14">
        <v>33</v>
      </c>
      <c r="D4031" s="11" t="s">
        <v>107</v>
      </c>
    </row>
    <row r="4032" spans="1:4" x14ac:dyDescent="0.25">
      <c r="A4032" s="4" t="s">
        <v>8683</v>
      </c>
      <c r="B4032" s="3" t="s">
        <v>4034</v>
      </c>
      <c r="C4032" s="14">
        <v>5484.08</v>
      </c>
      <c r="D4032" s="11" t="s">
        <v>5</v>
      </c>
    </row>
    <row r="4033" spans="1:4" x14ac:dyDescent="0.25">
      <c r="A4033" s="4" t="s">
        <v>8684</v>
      </c>
      <c r="B4033" s="3" t="s">
        <v>4035</v>
      </c>
      <c r="C4033" s="14">
        <v>6362.28</v>
      </c>
      <c r="D4033" s="11" t="s">
        <v>5</v>
      </c>
    </row>
    <row r="4034" spans="1:4" x14ac:dyDescent="0.25">
      <c r="A4034" s="4" t="s">
        <v>8685</v>
      </c>
      <c r="B4034" s="3" t="s">
        <v>4036</v>
      </c>
      <c r="C4034" s="14">
        <v>20060.21</v>
      </c>
      <c r="D4034" s="11" t="s">
        <v>5</v>
      </c>
    </row>
    <row r="4035" spans="1:4" x14ac:dyDescent="0.25">
      <c r="A4035" s="4" t="s">
        <v>8686</v>
      </c>
      <c r="B4035" s="3" t="s">
        <v>4037</v>
      </c>
      <c r="C4035" s="14">
        <v>75.739999999999995</v>
      </c>
      <c r="D4035" s="11" t="s">
        <v>5</v>
      </c>
    </row>
    <row r="4036" spans="1:4" x14ac:dyDescent="0.25">
      <c r="A4036" s="4" t="s">
        <v>8687</v>
      </c>
      <c r="B4036" s="3" t="s">
        <v>4038</v>
      </c>
      <c r="C4036" s="14">
        <v>233.15</v>
      </c>
      <c r="D4036" s="11" t="s">
        <v>5</v>
      </c>
    </row>
    <row r="4037" spans="1:4" x14ac:dyDescent="0.25">
      <c r="A4037" s="4" t="s">
        <v>8688</v>
      </c>
      <c r="B4037" s="3" t="s">
        <v>4039</v>
      </c>
      <c r="C4037" s="14">
        <v>215.94</v>
      </c>
      <c r="D4037" s="11" t="s">
        <v>5</v>
      </c>
    </row>
    <row r="4038" spans="1:4" x14ac:dyDescent="0.25">
      <c r="A4038" s="4" t="s">
        <v>8689</v>
      </c>
      <c r="B4038" s="3" t="s">
        <v>4040</v>
      </c>
      <c r="C4038" s="14">
        <v>225.83</v>
      </c>
      <c r="D4038" s="11" t="s">
        <v>5</v>
      </c>
    </row>
    <row r="4039" spans="1:4" x14ac:dyDescent="0.25">
      <c r="A4039" s="4" t="s">
        <v>8690</v>
      </c>
      <c r="B4039" s="3" t="s">
        <v>4041</v>
      </c>
      <c r="C4039" s="14">
        <v>1357.31</v>
      </c>
      <c r="D4039" s="11" t="s">
        <v>5</v>
      </c>
    </row>
    <row r="4040" spans="1:4" x14ac:dyDescent="0.25">
      <c r="A4040" s="4" t="s">
        <v>8691</v>
      </c>
      <c r="B4040" s="3" t="s">
        <v>4042</v>
      </c>
      <c r="C4040" s="14">
        <v>498.06</v>
      </c>
      <c r="D4040" s="11" t="s">
        <v>5</v>
      </c>
    </row>
    <row r="4041" spans="1:4" x14ac:dyDescent="0.25">
      <c r="A4041" s="4" t="s">
        <v>8692</v>
      </c>
      <c r="B4041" s="3" t="s">
        <v>4043</v>
      </c>
      <c r="C4041" s="14">
        <v>564.54</v>
      </c>
      <c r="D4041" s="11" t="s">
        <v>5</v>
      </c>
    </row>
    <row r="4042" spans="1:4" x14ac:dyDescent="0.25">
      <c r="A4042" s="4" t="s">
        <v>8693</v>
      </c>
      <c r="B4042" s="3" t="s">
        <v>4044</v>
      </c>
      <c r="C4042" s="14">
        <v>338.52</v>
      </c>
      <c r="D4042" s="11" t="s">
        <v>5</v>
      </c>
    </row>
    <row r="4043" spans="1:4" x14ac:dyDescent="0.25">
      <c r="A4043" s="4" t="s">
        <v>8694</v>
      </c>
      <c r="B4043" s="3" t="s">
        <v>4045</v>
      </c>
      <c r="C4043" s="14">
        <v>9.5</v>
      </c>
      <c r="D4043" s="11" t="s">
        <v>107</v>
      </c>
    </row>
    <row r="4044" spans="1:4" x14ac:dyDescent="0.25">
      <c r="A4044" s="4" t="s">
        <v>8695</v>
      </c>
      <c r="B4044" s="3" t="s">
        <v>4046</v>
      </c>
      <c r="C4044" s="14">
        <v>9.02</v>
      </c>
      <c r="D4044" s="11" t="s">
        <v>107</v>
      </c>
    </row>
    <row r="4045" spans="1:4" x14ac:dyDescent="0.25">
      <c r="A4045" s="4" t="s">
        <v>8696</v>
      </c>
      <c r="B4045" s="3" t="s">
        <v>4047</v>
      </c>
      <c r="C4045" s="14">
        <v>10.039999999999999</v>
      </c>
      <c r="D4045" s="11" t="s">
        <v>107</v>
      </c>
    </row>
    <row r="4046" spans="1:4" x14ac:dyDescent="0.25">
      <c r="A4046" s="4" t="s">
        <v>8697</v>
      </c>
      <c r="B4046" s="3" t="s">
        <v>4048</v>
      </c>
      <c r="C4046" s="14">
        <v>9.09</v>
      </c>
      <c r="D4046" s="11" t="s">
        <v>107</v>
      </c>
    </row>
    <row r="4047" spans="1:4" x14ac:dyDescent="0.25">
      <c r="A4047" s="4" t="s">
        <v>8698</v>
      </c>
      <c r="B4047" s="3" t="s">
        <v>4049</v>
      </c>
      <c r="C4047" s="14">
        <v>24.6</v>
      </c>
      <c r="D4047" s="11" t="s">
        <v>107</v>
      </c>
    </row>
    <row r="4048" spans="1:4" x14ac:dyDescent="0.25">
      <c r="A4048" s="4" t="s">
        <v>8699</v>
      </c>
      <c r="B4048" s="3" t="s">
        <v>4050</v>
      </c>
      <c r="C4048" s="14">
        <v>39.99</v>
      </c>
      <c r="D4048" s="11" t="s">
        <v>107</v>
      </c>
    </row>
    <row r="4049" spans="1:4" x14ac:dyDescent="0.25">
      <c r="A4049" s="4" t="s">
        <v>8700</v>
      </c>
      <c r="B4049" s="3" t="s">
        <v>4051</v>
      </c>
      <c r="C4049" s="14">
        <v>1.88</v>
      </c>
      <c r="D4049" s="11" t="s">
        <v>107</v>
      </c>
    </row>
    <row r="4050" spans="1:4" x14ac:dyDescent="0.25">
      <c r="A4050" s="4" t="s">
        <v>8701</v>
      </c>
      <c r="B4050" s="3" t="s">
        <v>4052</v>
      </c>
      <c r="C4050" s="14">
        <v>2</v>
      </c>
      <c r="D4050" s="11" t="s">
        <v>107</v>
      </c>
    </row>
    <row r="4051" spans="1:4" x14ac:dyDescent="0.25">
      <c r="A4051" s="4" t="s">
        <v>8702</v>
      </c>
      <c r="B4051" s="3" t="s">
        <v>4053</v>
      </c>
      <c r="C4051" s="14">
        <v>2.1800000000000002</v>
      </c>
      <c r="D4051" s="11" t="s">
        <v>107</v>
      </c>
    </row>
    <row r="4052" spans="1:4" x14ac:dyDescent="0.25">
      <c r="A4052" s="4" t="s">
        <v>8703</v>
      </c>
      <c r="B4052" s="3" t="s">
        <v>4054</v>
      </c>
      <c r="C4052" s="14">
        <v>2.25</v>
      </c>
      <c r="D4052" s="11" t="s">
        <v>107</v>
      </c>
    </row>
    <row r="4053" spans="1:4" x14ac:dyDescent="0.25">
      <c r="A4053" s="4" t="s">
        <v>8704</v>
      </c>
      <c r="B4053" s="3" t="s">
        <v>4055</v>
      </c>
      <c r="C4053" s="14">
        <v>2.69</v>
      </c>
      <c r="D4053" s="11" t="s">
        <v>107</v>
      </c>
    </row>
    <row r="4054" spans="1:4" x14ac:dyDescent="0.25">
      <c r="A4054" s="4" t="s">
        <v>8705</v>
      </c>
      <c r="B4054" s="3" t="s">
        <v>4056</v>
      </c>
      <c r="C4054" s="14">
        <v>2.31</v>
      </c>
      <c r="D4054" s="11" t="s">
        <v>107</v>
      </c>
    </row>
    <row r="4055" spans="1:4" x14ac:dyDescent="0.25">
      <c r="A4055" s="4" t="s">
        <v>8706</v>
      </c>
      <c r="B4055" s="3" t="s">
        <v>4057</v>
      </c>
      <c r="C4055" s="14">
        <v>2.4</v>
      </c>
      <c r="D4055" s="11" t="s">
        <v>107</v>
      </c>
    </row>
    <row r="4056" spans="1:4" x14ac:dyDescent="0.25">
      <c r="A4056" s="4" t="s">
        <v>8707</v>
      </c>
      <c r="B4056" s="3" t="s">
        <v>4058</v>
      </c>
      <c r="C4056" s="14">
        <v>4.5199999999999996</v>
      </c>
      <c r="D4056" s="11" t="s">
        <v>107</v>
      </c>
    </row>
    <row r="4057" spans="1:4" x14ac:dyDescent="0.25">
      <c r="A4057" s="4" t="s">
        <v>8708</v>
      </c>
      <c r="B4057" s="3" t="s">
        <v>4059</v>
      </c>
      <c r="C4057" s="14">
        <v>4.01</v>
      </c>
      <c r="D4057" s="11" t="s">
        <v>107</v>
      </c>
    </row>
    <row r="4058" spans="1:4" x14ac:dyDescent="0.25">
      <c r="A4058" s="4" t="s">
        <v>8709</v>
      </c>
      <c r="B4058" s="3" t="s">
        <v>4060</v>
      </c>
      <c r="C4058" s="14">
        <v>4.1100000000000003</v>
      </c>
      <c r="D4058" s="11" t="s">
        <v>107</v>
      </c>
    </row>
    <row r="4059" spans="1:4" x14ac:dyDescent="0.25">
      <c r="A4059" s="4" t="s">
        <v>8710</v>
      </c>
      <c r="B4059" s="3" t="s">
        <v>4061</v>
      </c>
      <c r="C4059" s="14">
        <v>6.74</v>
      </c>
      <c r="D4059" s="11" t="s">
        <v>107</v>
      </c>
    </row>
    <row r="4060" spans="1:4" x14ac:dyDescent="0.25">
      <c r="A4060" s="4" t="s">
        <v>8711</v>
      </c>
      <c r="B4060" s="3" t="s">
        <v>4062</v>
      </c>
      <c r="C4060" s="14">
        <v>5.97</v>
      </c>
      <c r="D4060" s="11" t="s">
        <v>107</v>
      </c>
    </row>
    <row r="4061" spans="1:4" x14ac:dyDescent="0.25">
      <c r="A4061" s="4" t="s">
        <v>8712</v>
      </c>
      <c r="B4061" s="3" t="s">
        <v>4063</v>
      </c>
      <c r="C4061" s="14">
        <v>6.08</v>
      </c>
      <c r="D4061" s="11" t="s">
        <v>107</v>
      </c>
    </row>
    <row r="4062" spans="1:4" x14ac:dyDescent="0.25">
      <c r="A4062" s="4" t="s">
        <v>8713</v>
      </c>
      <c r="B4062" s="3" t="s">
        <v>4064</v>
      </c>
      <c r="C4062" s="14">
        <v>8.33</v>
      </c>
      <c r="D4062" s="11" t="s">
        <v>107</v>
      </c>
    </row>
    <row r="4063" spans="1:4" x14ac:dyDescent="0.25">
      <c r="A4063" s="4" t="s">
        <v>8714</v>
      </c>
      <c r="B4063" s="3" t="s">
        <v>4065</v>
      </c>
      <c r="C4063" s="14">
        <v>7.26</v>
      </c>
      <c r="D4063" s="11" t="s">
        <v>107</v>
      </c>
    </row>
    <row r="4064" spans="1:4" x14ac:dyDescent="0.25">
      <c r="A4064" s="4" t="s">
        <v>8715</v>
      </c>
      <c r="B4064" s="3" t="s">
        <v>4066</v>
      </c>
      <c r="C4064" s="14">
        <v>7.41</v>
      </c>
      <c r="D4064" s="11" t="s">
        <v>107</v>
      </c>
    </row>
    <row r="4065" spans="1:4" x14ac:dyDescent="0.25">
      <c r="A4065" s="4" t="s">
        <v>8716</v>
      </c>
      <c r="B4065" s="3" t="s">
        <v>4067</v>
      </c>
      <c r="C4065" s="14">
        <v>10822.31</v>
      </c>
      <c r="D4065" s="11" t="s">
        <v>5</v>
      </c>
    </row>
    <row r="4066" spans="1:4" x14ac:dyDescent="0.25">
      <c r="A4066" s="4" t="s">
        <v>8717</v>
      </c>
      <c r="B4066" s="3" t="s">
        <v>4068</v>
      </c>
      <c r="C4066" s="14">
        <v>324.69</v>
      </c>
      <c r="D4066" s="11" t="s">
        <v>5</v>
      </c>
    </row>
    <row r="4067" spans="1:4" x14ac:dyDescent="0.25">
      <c r="A4067" s="4" t="s">
        <v>8718</v>
      </c>
      <c r="B4067" s="3" t="s">
        <v>4069</v>
      </c>
      <c r="C4067" s="14">
        <v>886.49</v>
      </c>
      <c r="D4067" s="11" t="s">
        <v>5</v>
      </c>
    </row>
    <row r="4068" spans="1:4" x14ac:dyDescent="0.25">
      <c r="A4068" s="4" t="s">
        <v>8719</v>
      </c>
      <c r="B4068" s="3" t="s">
        <v>4070</v>
      </c>
      <c r="C4068" s="14">
        <v>363</v>
      </c>
      <c r="D4068" s="11" t="s">
        <v>5</v>
      </c>
    </row>
    <row r="4069" spans="1:4" x14ac:dyDescent="0.25">
      <c r="A4069" s="4" t="s">
        <v>8720</v>
      </c>
      <c r="B4069" s="3" t="s">
        <v>4071</v>
      </c>
      <c r="C4069" s="14">
        <v>228.23</v>
      </c>
      <c r="D4069" s="11" t="s">
        <v>5</v>
      </c>
    </row>
    <row r="4070" spans="1:4" x14ac:dyDescent="0.25">
      <c r="A4070" s="4" t="s">
        <v>8721</v>
      </c>
      <c r="B4070" s="3" t="s">
        <v>4072</v>
      </c>
      <c r="C4070" s="14">
        <v>401.12</v>
      </c>
      <c r="D4070" s="11" t="s">
        <v>5</v>
      </c>
    </row>
    <row r="4071" spans="1:4" x14ac:dyDescent="0.25">
      <c r="A4071" s="4" t="s">
        <v>8722</v>
      </c>
      <c r="B4071" s="3" t="s">
        <v>4073</v>
      </c>
      <c r="C4071" s="14">
        <v>593</v>
      </c>
      <c r="D4071" s="11" t="s">
        <v>5</v>
      </c>
    </row>
    <row r="4072" spans="1:4" x14ac:dyDescent="0.25">
      <c r="A4072" s="4" t="s">
        <v>8723</v>
      </c>
      <c r="B4072" s="3" t="s">
        <v>4074</v>
      </c>
      <c r="C4072" s="14">
        <v>187.77</v>
      </c>
      <c r="D4072" s="11" t="s">
        <v>5</v>
      </c>
    </row>
    <row r="4073" spans="1:4" x14ac:dyDescent="0.25">
      <c r="A4073" s="4" t="s">
        <v>8724</v>
      </c>
      <c r="B4073" s="3" t="s">
        <v>4075</v>
      </c>
      <c r="C4073" s="14">
        <v>864.27</v>
      </c>
      <c r="D4073" s="11" t="s">
        <v>5</v>
      </c>
    </row>
    <row r="4074" spans="1:4" x14ac:dyDescent="0.25">
      <c r="A4074" s="4" t="s">
        <v>8725</v>
      </c>
      <c r="B4074" s="3" t="s">
        <v>4076</v>
      </c>
      <c r="C4074" s="14">
        <v>1003.19</v>
      </c>
      <c r="D4074" s="11" t="s">
        <v>5</v>
      </c>
    </row>
    <row r="4075" spans="1:4" x14ac:dyDescent="0.25">
      <c r="A4075" s="4" t="s">
        <v>8726</v>
      </c>
      <c r="B4075" s="3" t="s">
        <v>4077</v>
      </c>
      <c r="C4075" s="14">
        <v>686.76</v>
      </c>
      <c r="D4075" s="11" t="s">
        <v>5</v>
      </c>
    </row>
    <row r="4076" spans="1:4" x14ac:dyDescent="0.25">
      <c r="A4076" s="4" t="s">
        <v>8727</v>
      </c>
      <c r="B4076" s="3" t="s">
        <v>4078</v>
      </c>
      <c r="C4076" s="14">
        <v>0.83</v>
      </c>
      <c r="D4076" s="11" t="s">
        <v>107</v>
      </c>
    </row>
    <row r="4077" spans="1:4" x14ac:dyDescent="0.25">
      <c r="A4077" s="4" t="s">
        <v>8728</v>
      </c>
      <c r="B4077" s="3" t="s">
        <v>4079</v>
      </c>
      <c r="C4077" s="14">
        <v>11.33</v>
      </c>
      <c r="D4077" s="11" t="s">
        <v>107</v>
      </c>
    </row>
    <row r="4078" spans="1:4" x14ac:dyDescent="0.25">
      <c r="A4078" s="4" t="s">
        <v>8729</v>
      </c>
      <c r="B4078" s="3" t="s">
        <v>4080</v>
      </c>
      <c r="C4078" s="14">
        <v>6.38</v>
      </c>
      <c r="D4078" s="11" t="s">
        <v>107</v>
      </c>
    </row>
    <row r="4079" spans="1:4" x14ac:dyDescent="0.25">
      <c r="A4079" s="4" t="s">
        <v>8730</v>
      </c>
      <c r="B4079" s="3" t="s">
        <v>4081</v>
      </c>
      <c r="C4079" s="14">
        <v>11.33</v>
      </c>
      <c r="D4079" s="11" t="s">
        <v>107</v>
      </c>
    </row>
    <row r="4080" spans="1:4" x14ac:dyDescent="0.25">
      <c r="A4080" s="4" t="s">
        <v>8731</v>
      </c>
      <c r="B4080" s="3" t="s">
        <v>4082</v>
      </c>
      <c r="C4080" s="14">
        <v>5769.21</v>
      </c>
      <c r="D4080" s="11" t="s">
        <v>5</v>
      </c>
    </row>
    <row r="4081" spans="1:4" x14ac:dyDescent="0.25">
      <c r="A4081" s="4" t="s">
        <v>8732</v>
      </c>
      <c r="B4081" s="3" t="s">
        <v>4083</v>
      </c>
      <c r="C4081" s="14">
        <v>5690.51</v>
      </c>
      <c r="D4081" s="11" t="s">
        <v>5</v>
      </c>
    </row>
    <row r="4082" spans="1:4" x14ac:dyDescent="0.25">
      <c r="A4082" s="4" t="s">
        <v>8733</v>
      </c>
      <c r="B4082" s="3" t="s">
        <v>4084</v>
      </c>
      <c r="C4082" s="14">
        <v>2040.18</v>
      </c>
      <c r="D4082" s="11" t="s">
        <v>5</v>
      </c>
    </row>
    <row r="4083" spans="1:4" x14ac:dyDescent="0.25">
      <c r="A4083" s="4" t="s">
        <v>8734</v>
      </c>
      <c r="B4083" s="3" t="s">
        <v>4085</v>
      </c>
      <c r="C4083" s="14">
        <v>3585.21</v>
      </c>
      <c r="D4083" s="11" t="s">
        <v>5</v>
      </c>
    </row>
    <row r="4084" spans="1:4" x14ac:dyDescent="0.25">
      <c r="A4084" s="4" t="s">
        <v>8735</v>
      </c>
      <c r="B4084" s="3" t="s">
        <v>4086</v>
      </c>
      <c r="C4084" s="14">
        <v>1183.47</v>
      </c>
      <c r="D4084" s="11" t="s">
        <v>5</v>
      </c>
    </row>
    <row r="4085" spans="1:4" x14ac:dyDescent="0.25">
      <c r="A4085" s="4" t="s">
        <v>8736</v>
      </c>
      <c r="B4085" s="3" t="s">
        <v>4087</v>
      </c>
      <c r="C4085" s="14">
        <v>1183.47</v>
      </c>
      <c r="D4085" s="11" t="s">
        <v>5</v>
      </c>
    </row>
    <row r="4086" spans="1:4" x14ac:dyDescent="0.25">
      <c r="A4086" s="4" t="s">
        <v>8737</v>
      </c>
      <c r="B4086" s="3" t="s">
        <v>4088</v>
      </c>
      <c r="C4086" s="14">
        <v>4.1900000000000004</v>
      </c>
      <c r="D4086" s="11" t="s">
        <v>107</v>
      </c>
    </row>
    <row r="4087" spans="1:4" x14ac:dyDescent="0.25">
      <c r="A4087" s="4" t="s">
        <v>8738</v>
      </c>
      <c r="B4087" s="3" t="s">
        <v>4089</v>
      </c>
      <c r="C4087" s="14">
        <v>5.66</v>
      </c>
      <c r="D4087" s="11" t="s">
        <v>107</v>
      </c>
    </row>
    <row r="4088" spans="1:4" x14ac:dyDescent="0.25">
      <c r="A4088" s="4" t="s">
        <v>8739</v>
      </c>
      <c r="B4088" s="3" t="s">
        <v>4090</v>
      </c>
      <c r="C4088" s="14">
        <v>8.57</v>
      </c>
      <c r="D4088" s="11" t="s">
        <v>107</v>
      </c>
    </row>
    <row r="4089" spans="1:4" x14ac:dyDescent="0.25">
      <c r="A4089" s="4" t="s">
        <v>8740</v>
      </c>
      <c r="B4089" s="3" t="s">
        <v>4091</v>
      </c>
      <c r="C4089" s="14">
        <v>9.81</v>
      </c>
      <c r="D4089" s="11" t="s">
        <v>107</v>
      </c>
    </row>
    <row r="4090" spans="1:4" x14ac:dyDescent="0.25">
      <c r="A4090" s="4" t="s">
        <v>8741</v>
      </c>
      <c r="B4090" s="3" t="s">
        <v>4092</v>
      </c>
      <c r="C4090" s="14">
        <v>10.34</v>
      </c>
      <c r="D4090" s="11" t="s">
        <v>107</v>
      </c>
    </row>
    <row r="4091" spans="1:4" x14ac:dyDescent="0.25">
      <c r="A4091" s="4" t="s">
        <v>8742</v>
      </c>
      <c r="B4091" s="3" t="s">
        <v>4093</v>
      </c>
      <c r="C4091" s="14">
        <v>10.32</v>
      </c>
      <c r="D4091" s="11" t="s">
        <v>107</v>
      </c>
    </row>
    <row r="4092" spans="1:4" x14ac:dyDescent="0.25">
      <c r="A4092" s="4" t="s">
        <v>8743</v>
      </c>
      <c r="B4092" s="3" t="s">
        <v>4094</v>
      </c>
      <c r="C4092" s="14">
        <v>10.32</v>
      </c>
      <c r="D4092" s="11" t="s">
        <v>107</v>
      </c>
    </row>
    <row r="4093" spans="1:4" x14ac:dyDescent="0.25">
      <c r="A4093" s="4" t="s">
        <v>8744</v>
      </c>
      <c r="B4093" s="3" t="s">
        <v>4095</v>
      </c>
      <c r="C4093" s="14">
        <v>16.190000000000001</v>
      </c>
      <c r="D4093" s="11" t="s">
        <v>107</v>
      </c>
    </row>
    <row r="4094" spans="1:4" x14ac:dyDescent="0.25">
      <c r="A4094" s="4" t="s">
        <v>8745</v>
      </c>
      <c r="B4094" s="3" t="s">
        <v>4096</v>
      </c>
      <c r="C4094" s="14">
        <v>16.190000000000001</v>
      </c>
      <c r="D4094" s="11" t="s">
        <v>107</v>
      </c>
    </row>
    <row r="4095" spans="1:4" x14ac:dyDescent="0.25">
      <c r="A4095" s="4" t="s">
        <v>8746</v>
      </c>
      <c r="B4095" s="3" t="s">
        <v>4097</v>
      </c>
      <c r="C4095" s="14">
        <v>16.2</v>
      </c>
      <c r="D4095" s="11" t="s">
        <v>107</v>
      </c>
    </row>
    <row r="4096" spans="1:4" x14ac:dyDescent="0.25">
      <c r="A4096" s="4" t="s">
        <v>8747</v>
      </c>
      <c r="B4096" s="3" t="s">
        <v>4098</v>
      </c>
      <c r="C4096" s="14">
        <v>9.8699999999999992</v>
      </c>
      <c r="D4096" s="11" t="s">
        <v>107</v>
      </c>
    </row>
    <row r="4097" spans="1:4" x14ac:dyDescent="0.25">
      <c r="A4097" s="4" t="s">
        <v>8748</v>
      </c>
      <c r="B4097" s="3" t="s">
        <v>4099</v>
      </c>
      <c r="C4097" s="14">
        <v>14.4</v>
      </c>
      <c r="D4097" s="11" t="s">
        <v>107</v>
      </c>
    </row>
    <row r="4098" spans="1:4" x14ac:dyDescent="0.25">
      <c r="A4098" s="4" t="s">
        <v>8749</v>
      </c>
      <c r="B4098" s="3" t="s">
        <v>4100</v>
      </c>
      <c r="C4098" s="14">
        <v>21.42</v>
      </c>
      <c r="D4098" s="11" t="s">
        <v>107</v>
      </c>
    </row>
    <row r="4099" spans="1:4" x14ac:dyDescent="0.25">
      <c r="A4099" s="4" t="s">
        <v>8750</v>
      </c>
      <c r="B4099" s="3" t="s">
        <v>4101</v>
      </c>
      <c r="C4099" s="14">
        <v>30.62</v>
      </c>
      <c r="D4099" s="11" t="s">
        <v>107</v>
      </c>
    </row>
    <row r="4100" spans="1:4" x14ac:dyDescent="0.25">
      <c r="A4100" s="4" t="s">
        <v>8751</v>
      </c>
      <c r="B4100" s="3" t="s">
        <v>4102</v>
      </c>
      <c r="C4100" s="14">
        <v>42.81</v>
      </c>
      <c r="D4100" s="11" t="s">
        <v>107</v>
      </c>
    </row>
    <row r="4101" spans="1:4" x14ac:dyDescent="0.25">
      <c r="A4101" s="4" t="s">
        <v>8752</v>
      </c>
      <c r="B4101" s="3" t="s">
        <v>4103</v>
      </c>
      <c r="C4101" s="14">
        <v>4.83</v>
      </c>
      <c r="D4101" s="11" t="s">
        <v>107</v>
      </c>
    </row>
    <row r="4102" spans="1:4" x14ac:dyDescent="0.25">
      <c r="A4102" s="4" t="s">
        <v>8753</v>
      </c>
      <c r="B4102" s="3" t="s">
        <v>4104</v>
      </c>
      <c r="C4102" s="14">
        <v>7.08</v>
      </c>
      <c r="D4102" s="11" t="s">
        <v>107</v>
      </c>
    </row>
    <row r="4103" spans="1:4" x14ac:dyDescent="0.25">
      <c r="A4103" s="4" t="s">
        <v>8754</v>
      </c>
      <c r="B4103" s="3" t="s">
        <v>4105</v>
      </c>
      <c r="C4103" s="14">
        <v>10.8</v>
      </c>
      <c r="D4103" s="11" t="s">
        <v>107</v>
      </c>
    </row>
    <row r="4104" spans="1:4" x14ac:dyDescent="0.25">
      <c r="A4104" s="4" t="s">
        <v>8755</v>
      </c>
      <c r="B4104" s="3" t="s">
        <v>4106</v>
      </c>
      <c r="C4104" s="14">
        <v>14.76</v>
      </c>
      <c r="D4104" s="11" t="s">
        <v>107</v>
      </c>
    </row>
    <row r="4105" spans="1:4" x14ac:dyDescent="0.25">
      <c r="A4105" s="4" t="s">
        <v>8756</v>
      </c>
      <c r="B4105" s="3" t="s">
        <v>4107</v>
      </c>
      <c r="C4105" s="14">
        <v>20.12</v>
      </c>
      <c r="D4105" s="11" t="s">
        <v>107</v>
      </c>
    </row>
    <row r="4106" spans="1:4" x14ac:dyDescent="0.25">
      <c r="A4106" s="4" t="s">
        <v>8757</v>
      </c>
      <c r="B4106" s="3" t="s">
        <v>4108</v>
      </c>
      <c r="C4106" s="14">
        <v>6.83</v>
      </c>
      <c r="D4106" s="11" t="s">
        <v>107</v>
      </c>
    </row>
    <row r="4107" spans="1:4" x14ac:dyDescent="0.25">
      <c r="A4107" s="4" t="s">
        <v>8758</v>
      </c>
      <c r="B4107" s="3" t="s">
        <v>4109</v>
      </c>
      <c r="C4107" s="14">
        <v>7.95</v>
      </c>
      <c r="D4107" s="11" t="s">
        <v>107</v>
      </c>
    </row>
    <row r="4108" spans="1:4" x14ac:dyDescent="0.25">
      <c r="A4108" s="4" t="s">
        <v>8759</v>
      </c>
      <c r="B4108" s="3" t="s">
        <v>4110</v>
      </c>
      <c r="C4108" s="14">
        <v>9.18</v>
      </c>
      <c r="D4108" s="11" t="s">
        <v>107</v>
      </c>
    </row>
    <row r="4109" spans="1:4" x14ac:dyDescent="0.25">
      <c r="A4109" s="4" t="s">
        <v>8760</v>
      </c>
      <c r="B4109" s="3" t="s">
        <v>4111</v>
      </c>
      <c r="C4109" s="14">
        <v>4.58</v>
      </c>
      <c r="D4109" s="11" t="s">
        <v>107</v>
      </c>
    </row>
    <row r="4110" spans="1:4" x14ac:dyDescent="0.25">
      <c r="A4110" s="4" t="s">
        <v>8761</v>
      </c>
      <c r="B4110" s="3" t="s">
        <v>4112</v>
      </c>
      <c r="C4110" s="14">
        <v>5.07</v>
      </c>
      <c r="D4110" s="11" t="s">
        <v>107</v>
      </c>
    </row>
    <row r="4111" spans="1:4" x14ac:dyDescent="0.25">
      <c r="A4111" s="4" t="s">
        <v>8762</v>
      </c>
      <c r="B4111" s="3" t="s">
        <v>4113</v>
      </c>
      <c r="C4111" s="14">
        <v>5.75</v>
      </c>
      <c r="D4111" s="11" t="s">
        <v>107</v>
      </c>
    </row>
    <row r="4112" spans="1:4" x14ac:dyDescent="0.25">
      <c r="A4112" s="4" t="s">
        <v>8763</v>
      </c>
      <c r="B4112" s="3" t="s">
        <v>4114</v>
      </c>
      <c r="C4112" s="14">
        <v>6.66</v>
      </c>
      <c r="D4112" s="11" t="s">
        <v>107</v>
      </c>
    </row>
    <row r="4113" spans="1:4" x14ac:dyDescent="0.25">
      <c r="A4113" s="4" t="s">
        <v>8764</v>
      </c>
      <c r="B4113" s="3" t="s">
        <v>4115</v>
      </c>
      <c r="C4113" s="14">
        <v>7.61</v>
      </c>
      <c r="D4113" s="11" t="s">
        <v>107</v>
      </c>
    </row>
    <row r="4114" spans="1:4" x14ac:dyDescent="0.25">
      <c r="A4114" s="4" t="s">
        <v>8765</v>
      </c>
      <c r="B4114" s="3" t="s">
        <v>4116</v>
      </c>
      <c r="C4114" s="14">
        <v>9.41</v>
      </c>
      <c r="D4114" s="11" t="s">
        <v>107</v>
      </c>
    </row>
    <row r="4115" spans="1:4" x14ac:dyDescent="0.25">
      <c r="A4115" s="4" t="s">
        <v>8766</v>
      </c>
      <c r="B4115" s="3" t="s">
        <v>4117</v>
      </c>
      <c r="C4115" s="14">
        <v>10.59</v>
      </c>
      <c r="D4115" s="11" t="s">
        <v>107</v>
      </c>
    </row>
    <row r="4116" spans="1:4" x14ac:dyDescent="0.25">
      <c r="A4116" s="4" t="s">
        <v>8767</v>
      </c>
      <c r="B4116" s="3" t="s">
        <v>4118</v>
      </c>
      <c r="C4116" s="14">
        <v>13.01</v>
      </c>
      <c r="D4116" s="11" t="s">
        <v>107</v>
      </c>
    </row>
    <row r="4117" spans="1:4" x14ac:dyDescent="0.25">
      <c r="A4117" s="4" t="s">
        <v>8768</v>
      </c>
      <c r="B4117" s="3" t="s">
        <v>4119</v>
      </c>
      <c r="C4117" s="14">
        <v>5.13</v>
      </c>
      <c r="D4117" s="11" t="s">
        <v>107</v>
      </c>
    </row>
    <row r="4118" spans="1:4" x14ac:dyDescent="0.25">
      <c r="A4118" s="4" t="s">
        <v>8769</v>
      </c>
      <c r="B4118" s="3" t="s">
        <v>4120</v>
      </c>
      <c r="C4118" s="14">
        <v>5.45</v>
      </c>
      <c r="D4118" s="11" t="s">
        <v>107</v>
      </c>
    </row>
    <row r="4119" spans="1:4" x14ac:dyDescent="0.25">
      <c r="A4119" s="4" t="s">
        <v>8770</v>
      </c>
      <c r="B4119" s="3" t="s">
        <v>4121</v>
      </c>
      <c r="C4119" s="14">
        <v>6.15</v>
      </c>
      <c r="D4119" s="11" t="s">
        <v>107</v>
      </c>
    </row>
    <row r="4120" spans="1:4" x14ac:dyDescent="0.25">
      <c r="A4120" s="4" t="s">
        <v>8771</v>
      </c>
      <c r="B4120" s="3" t="s">
        <v>4122</v>
      </c>
      <c r="C4120" s="14">
        <v>7.43</v>
      </c>
      <c r="D4120" s="11" t="s">
        <v>107</v>
      </c>
    </row>
    <row r="4121" spans="1:4" x14ac:dyDescent="0.25">
      <c r="A4121" s="4" t="s">
        <v>8772</v>
      </c>
      <c r="B4121" s="3" t="s">
        <v>4123</v>
      </c>
      <c r="C4121" s="14">
        <v>8.3699999999999992</v>
      </c>
      <c r="D4121" s="11" t="s">
        <v>107</v>
      </c>
    </row>
    <row r="4122" spans="1:4" x14ac:dyDescent="0.25">
      <c r="A4122" s="4" t="s">
        <v>8773</v>
      </c>
      <c r="B4122" s="3" t="s">
        <v>4124</v>
      </c>
      <c r="C4122" s="14">
        <v>10.199999999999999</v>
      </c>
      <c r="D4122" s="11" t="s">
        <v>107</v>
      </c>
    </row>
    <row r="4123" spans="1:4" x14ac:dyDescent="0.25">
      <c r="A4123" s="4" t="s">
        <v>8774</v>
      </c>
      <c r="B4123" s="3" t="s">
        <v>4125</v>
      </c>
      <c r="C4123" s="14">
        <v>12.29</v>
      </c>
      <c r="D4123" s="11" t="s">
        <v>107</v>
      </c>
    </row>
    <row r="4124" spans="1:4" x14ac:dyDescent="0.25">
      <c r="A4124" s="4" t="s">
        <v>8775</v>
      </c>
      <c r="B4124" s="3" t="s">
        <v>4126</v>
      </c>
      <c r="C4124" s="14">
        <v>6.83</v>
      </c>
      <c r="D4124" s="11" t="s">
        <v>107</v>
      </c>
    </row>
    <row r="4125" spans="1:4" x14ac:dyDescent="0.25">
      <c r="A4125" s="4" t="s">
        <v>8776</v>
      </c>
      <c r="B4125" s="3" t="s">
        <v>4127</v>
      </c>
      <c r="C4125" s="14">
        <v>7.25</v>
      </c>
      <c r="D4125" s="11" t="s">
        <v>107</v>
      </c>
    </row>
    <row r="4126" spans="1:4" x14ac:dyDescent="0.25">
      <c r="A4126" s="4" t="s">
        <v>8777</v>
      </c>
      <c r="B4126" s="3" t="s">
        <v>4128</v>
      </c>
      <c r="C4126" s="14">
        <v>7.95</v>
      </c>
      <c r="D4126" s="11" t="s">
        <v>107</v>
      </c>
    </row>
    <row r="4127" spans="1:4" x14ac:dyDescent="0.25">
      <c r="A4127" s="4" t="s">
        <v>8778</v>
      </c>
      <c r="B4127" s="3" t="s">
        <v>4129</v>
      </c>
      <c r="C4127" s="14">
        <v>9.15</v>
      </c>
      <c r="D4127" s="11" t="s">
        <v>107</v>
      </c>
    </row>
    <row r="4128" spans="1:4" x14ac:dyDescent="0.25">
      <c r="A4128" s="4" t="s">
        <v>8779</v>
      </c>
      <c r="B4128" s="3" t="s">
        <v>4130</v>
      </c>
      <c r="C4128" s="14">
        <v>10.98</v>
      </c>
      <c r="D4128" s="11" t="s">
        <v>107</v>
      </c>
    </row>
    <row r="4129" spans="1:4" x14ac:dyDescent="0.25">
      <c r="A4129" s="4" t="s">
        <v>8780</v>
      </c>
      <c r="B4129" s="3" t="s">
        <v>4131</v>
      </c>
      <c r="C4129" s="14">
        <v>12.81</v>
      </c>
      <c r="D4129" s="11" t="s">
        <v>107</v>
      </c>
    </row>
    <row r="4130" spans="1:4" x14ac:dyDescent="0.25">
      <c r="A4130" s="4" t="s">
        <v>8781</v>
      </c>
      <c r="B4130" s="3" t="s">
        <v>4132</v>
      </c>
      <c r="C4130" s="14">
        <v>15.45</v>
      </c>
      <c r="D4130" s="11" t="s">
        <v>107</v>
      </c>
    </row>
    <row r="4131" spans="1:4" x14ac:dyDescent="0.25">
      <c r="A4131" s="4" t="s">
        <v>8782</v>
      </c>
      <c r="B4131" s="3" t="s">
        <v>4133</v>
      </c>
      <c r="C4131" s="14">
        <v>17.66</v>
      </c>
      <c r="D4131" s="11" t="s">
        <v>107</v>
      </c>
    </row>
    <row r="4132" spans="1:4" x14ac:dyDescent="0.25">
      <c r="A4132" s="4" t="s">
        <v>8783</v>
      </c>
      <c r="B4132" s="3" t="s">
        <v>4134</v>
      </c>
      <c r="C4132" s="14">
        <v>8.42</v>
      </c>
      <c r="D4132" s="11" t="s">
        <v>107</v>
      </c>
    </row>
    <row r="4133" spans="1:4" x14ac:dyDescent="0.25">
      <c r="A4133" s="4" t="s">
        <v>8784</v>
      </c>
      <c r="B4133" s="3" t="s">
        <v>4135</v>
      </c>
      <c r="C4133" s="14">
        <v>9.36</v>
      </c>
      <c r="D4133" s="11" t="s">
        <v>107</v>
      </c>
    </row>
    <row r="4134" spans="1:4" x14ac:dyDescent="0.25">
      <c r="A4134" s="4" t="s">
        <v>8785</v>
      </c>
      <c r="B4134" s="3" t="s">
        <v>4136</v>
      </c>
      <c r="C4134" s="14">
        <v>12.54</v>
      </c>
      <c r="D4134" s="11" t="s">
        <v>107</v>
      </c>
    </row>
    <row r="4135" spans="1:4" x14ac:dyDescent="0.25">
      <c r="A4135" s="4" t="s">
        <v>8786</v>
      </c>
      <c r="B4135" s="3" t="s">
        <v>4137</v>
      </c>
      <c r="C4135" s="14">
        <v>10.199999999999999</v>
      </c>
      <c r="D4135" s="11" t="s">
        <v>107</v>
      </c>
    </row>
    <row r="4136" spans="1:4" x14ac:dyDescent="0.25">
      <c r="A4136" s="4" t="s">
        <v>8787</v>
      </c>
      <c r="B4136" s="3" t="s">
        <v>4138</v>
      </c>
      <c r="C4136" s="14">
        <v>6.26</v>
      </c>
      <c r="D4136" s="11" t="s">
        <v>107</v>
      </c>
    </row>
    <row r="4137" spans="1:4" x14ac:dyDescent="0.25">
      <c r="A4137" s="4" t="s">
        <v>8788</v>
      </c>
      <c r="B4137" s="3" t="s">
        <v>4139</v>
      </c>
      <c r="C4137" s="14">
        <v>9.08</v>
      </c>
      <c r="D4137" s="11" t="s">
        <v>107</v>
      </c>
    </row>
    <row r="4138" spans="1:4" x14ac:dyDescent="0.25">
      <c r="A4138" s="4" t="s">
        <v>8789</v>
      </c>
      <c r="B4138" s="3" t="s">
        <v>4140</v>
      </c>
      <c r="C4138" s="14">
        <v>11.7</v>
      </c>
      <c r="D4138" s="11" t="s">
        <v>107</v>
      </c>
    </row>
    <row r="4139" spans="1:4" x14ac:dyDescent="0.25">
      <c r="A4139" s="4" t="s">
        <v>8790</v>
      </c>
      <c r="B4139" s="3" t="s">
        <v>4141</v>
      </c>
      <c r="C4139" s="14">
        <v>14.03</v>
      </c>
      <c r="D4139" s="11" t="s">
        <v>107</v>
      </c>
    </row>
    <row r="4140" spans="1:4" x14ac:dyDescent="0.25">
      <c r="A4140" s="4" t="s">
        <v>8791</v>
      </c>
      <c r="B4140" s="3" t="s">
        <v>4142</v>
      </c>
      <c r="C4140" s="14">
        <v>23.72</v>
      </c>
      <c r="D4140" s="11" t="s">
        <v>107</v>
      </c>
    </row>
    <row r="4141" spans="1:4" x14ac:dyDescent="0.25">
      <c r="A4141" s="4" t="s">
        <v>8792</v>
      </c>
      <c r="B4141" s="3" t="s">
        <v>4143</v>
      </c>
      <c r="C4141" s="14">
        <v>12.21</v>
      </c>
      <c r="D4141" s="11" t="s">
        <v>107</v>
      </c>
    </row>
    <row r="4142" spans="1:4" x14ac:dyDescent="0.25">
      <c r="A4142" s="4" t="s">
        <v>8793</v>
      </c>
      <c r="B4142" s="3" t="s">
        <v>4144</v>
      </c>
      <c r="C4142" s="14">
        <v>18.48</v>
      </c>
      <c r="D4142" s="11" t="s">
        <v>107</v>
      </c>
    </row>
    <row r="4143" spans="1:4" x14ac:dyDescent="0.25">
      <c r="A4143" s="4" t="s">
        <v>8794</v>
      </c>
      <c r="B4143" s="3" t="s">
        <v>4145</v>
      </c>
      <c r="C4143" s="14">
        <v>27.56</v>
      </c>
      <c r="D4143" s="11" t="s">
        <v>107</v>
      </c>
    </row>
    <row r="4144" spans="1:4" x14ac:dyDescent="0.25">
      <c r="A4144" s="4" t="s">
        <v>8795</v>
      </c>
      <c r="B4144" s="3" t="s">
        <v>4146</v>
      </c>
      <c r="C4144" s="14">
        <v>37.979999999999997</v>
      </c>
      <c r="D4144" s="11" t="s">
        <v>107</v>
      </c>
    </row>
    <row r="4145" spans="1:4" x14ac:dyDescent="0.25">
      <c r="A4145" s="4" t="s">
        <v>8796</v>
      </c>
      <c r="B4145" s="3" t="s">
        <v>4147</v>
      </c>
      <c r="C4145" s="14">
        <v>56.51</v>
      </c>
      <c r="D4145" s="11" t="s">
        <v>107</v>
      </c>
    </row>
    <row r="4146" spans="1:4" x14ac:dyDescent="0.25">
      <c r="A4146" s="4" t="s">
        <v>8797</v>
      </c>
      <c r="B4146" s="3" t="s">
        <v>4148</v>
      </c>
      <c r="C4146" s="14">
        <v>19.79</v>
      </c>
      <c r="D4146" s="11" t="s">
        <v>107</v>
      </c>
    </row>
    <row r="4147" spans="1:4" x14ac:dyDescent="0.25">
      <c r="A4147" s="4" t="s">
        <v>8798</v>
      </c>
      <c r="B4147" s="3" t="s">
        <v>4149</v>
      </c>
      <c r="C4147" s="14">
        <v>20.91</v>
      </c>
      <c r="D4147" s="11" t="s">
        <v>107</v>
      </c>
    </row>
    <row r="4148" spans="1:4" x14ac:dyDescent="0.25">
      <c r="A4148" s="4" t="s">
        <v>8799</v>
      </c>
      <c r="B4148" s="3" t="s">
        <v>4150</v>
      </c>
      <c r="C4148" s="14">
        <v>32.01</v>
      </c>
      <c r="D4148" s="11" t="s">
        <v>107</v>
      </c>
    </row>
    <row r="4149" spans="1:4" x14ac:dyDescent="0.25">
      <c r="A4149" s="4" t="s">
        <v>8800</v>
      </c>
      <c r="B4149" s="3" t="s">
        <v>4151</v>
      </c>
      <c r="C4149" s="14">
        <v>39.869999999999997</v>
      </c>
      <c r="D4149" s="11" t="s">
        <v>107</v>
      </c>
    </row>
    <row r="4150" spans="1:4" x14ac:dyDescent="0.25">
      <c r="A4150" s="4" t="s">
        <v>8801</v>
      </c>
      <c r="B4150" s="3" t="s">
        <v>4152</v>
      </c>
      <c r="C4150" s="14">
        <v>55.49</v>
      </c>
      <c r="D4150" s="11" t="s">
        <v>107</v>
      </c>
    </row>
    <row r="4151" spans="1:4" x14ac:dyDescent="0.25">
      <c r="A4151" s="4" t="s">
        <v>8802</v>
      </c>
      <c r="B4151" s="3" t="s">
        <v>4153</v>
      </c>
      <c r="C4151" s="14">
        <v>1179.93</v>
      </c>
      <c r="D4151" s="11" t="s">
        <v>5</v>
      </c>
    </row>
    <row r="4152" spans="1:4" x14ac:dyDescent="0.25">
      <c r="A4152" s="4" t="s">
        <v>8803</v>
      </c>
      <c r="B4152" s="3" t="s">
        <v>4154</v>
      </c>
      <c r="C4152" s="14">
        <v>1420.98</v>
      </c>
      <c r="D4152" s="11" t="s">
        <v>5</v>
      </c>
    </row>
    <row r="4153" spans="1:4" x14ac:dyDescent="0.25">
      <c r="A4153" s="4" t="s">
        <v>8804</v>
      </c>
      <c r="B4153" s="3" t="s">
        <v>4155</v>
      </c>
      <c r="C4153" s="14">
        <v>29507.01</v>
      </c>
      <c r="D4153" s="11" t="s">
        <v>5</v>
      </c>
    </row>
    <row r="4154" spans="1:4" x14ac:dyDescent="0.25">
      <c r="A4154" s="4" t="s">
        <v>8805</v>
      </c>
      <c r="B4154" s="3" t="s">
        <v>4156</v>
      </c>
      <c r="C4154" s="14">
        <v>8653.02</v>
      </c>
      <c r="D4154" s="11" t="s">
        <v>5</v>
      </c>
    </row>
    <row r="4155" spans="1:4" x14ac:dyDescent="0.25">
      <c r="A4155" s="4" t="s">
        <v>8806</v>
      </c>
      <c r="B4155" s="3" t="s">
        <v>4157</v>
      </c>
      <c r="C4155" s="14">
        <v>7199.63</v>
      </c>
      <c r="D4155" s="11" t="s">
        <v>5</v>
      </c>
    </row>
    <row r="4156" spans="1:4" x14ac:dyDescent="0.25">
      <c r="A4156" s="4" t="s">
        <v>8807</v>
      </c>
      <c r="B4156" s="3" t="s">
        <v>4158</v>
      </c>
      <c r="C4156" s="14">
        <v>9630.81</v>
      </c>
      <c r="D4156" s="11" t="s">
        <v>5</v>
      </c>
    </row>
    <row r="4157" spans="1:4" x14ac:dyDescent="0.25">
      <c r="A4157" s="4" t="s">
        <v>8808</v>
      </c>
      <c r="B4157" s="3" t="s">
        <v>4159</v>
      </c>
      <c r="C4157" s="14">
        <v>4800.18</v>
      </c>
      <c r="D4157" s="11" t="s">
        <v>5</v>
      </c>
    </row>
    <row r="4158" spans="1:4" x14ac:dyDescent="0.25">
      <c r="A4158" s="4" t="s">
        <v>8809</v>
      </c>
      <c r="B4158" s="3" t="s">
        <v>4160</v>
      </c>
      <c r="C4158" s="14">
        <v>8116.25</v>
      </c>
      <c r="D4158" s="11" t="s">
        <v>5</v>
      </c>
    </row>
    <row r="4159" spans="1:4" x14ac:dyDescent="0.25">
      <c r="A4159" s="4" t="s">
        <v>8810</v>
      </c>
      <c r="B4159" s="3" t="s">
        <v>4161</v>
      </c>
      <c r="C4159" s="14">
        <v>8892</v>
      </c>
      <c r="D4159" s="11" t="s">
        <v>5</v>
      </c>
    </row>
    <row r="4160" spans="1:4" x14ac:dyDescent="0.25">
      <c r="A4160" s="4" t="s">
        <v>8811</v>
      </c>
      <c r="B4160" s="3" t="s">
        <v>4162</v>
      </c>
      <c r="C4160" s="14">
        <v>15242.61</v>
      </c>
      <c r="D4160" s="11" t="s">
        <v>5</v>
      </c>
    </row>
    <row r="4161" spans="1:4" x14ac:dyDescent="0.25">
      <c r="A4161" s="4" t="s">
        <v>8812</v>
      </c>
      <c r="B4161" s="3" t="s">
        <v>4163</v>
      </c>
      <c r="C4161" s="14">
        <v>8978.2800000000007</v>
      </c>
      <c r="D4161" s="11" t="s">
        <v>5</v>
      </c>
    </row>
    <row r="4162" spans="1:4" x14ac:dyDescent="0.25">
      <c r="A4162" s="4" t="s">
        <v>8813</v>
      </c>
      <c r="B4162" s="3" t="s">
        <v>4164</v>
      </c>
      <c r="C4162" s="14">
        <v>5994</v>
      </c>
      <c r="D4162" s="11" t="s">
        <v>5</v>
      </c>
    </row>
    <row r="4163" spans="1:4" x14ac:dyDescent="0.25">
      <c r="A4163" s="4" t="s">
        <v>8814</v>
      </c>
      <c r="B4163" s="3" t="s">
        <v>4165</v>
      </c>
      <c r="C4163" s="14">
        <v>8910</v>
      </c>
      <c r="D4163" s="11" t="s">
        <v>5</v>
      </c>
    </row>
    <row r="4164" spans="1:4" x14ac:dyDescent="0.25">
      <c r="A4164" s="4" t="s">
        <v>8815</v>
      </c>
      <c r="B4164" s="3" t="s">
        <v>4166</v>
      </c>
      <c r="C4164" s="14">
        <v>13290.32</v>
      </c>
      <c r="D4164" s="11" t="s">
        <v>5</v>
      </c>
    </row>
    <row r="4165" spans="1:4" x14ac:dyDescent="0.25">
      <c r="A4165" s="4" t="s">
        <v>8816</v>
      </c>
      <c r="B4165" s="3" t="s">
        <v>4167</v>
      </c>
      <c r="C4165" s="14">
        <v>4702.5200000000004</v>
      </c>
      <c r="D4165" s="11" t="s">
        <v>5</v>
      </c>
    </row>
    <row r="4166" spans="1:4" x14ac:dyDescent="0.25">
      <c r="A4166" s="4" t="s">
        <v>8817</v>
      </c>
      <c r="B4166" s="3" t="s">
        <v>4168</v>
      </c>
      <c r="C4166" s="14">
        <v>3215.67</v>
      </c>
      <c r="D4166" s="11" t="s">
        <v>5</v>
      </c>
    </row>
    <row r="4167" spans="1:4" x14ac:dyDescent="0.25">
      <c r="A4167" s="4" t="s">
        <v>8818</v>
      </c>
      <c r="B4167" s="3" t="s">
        <v>4169</v>
      </c>
      <c r="C4167" s="14">
        <v>5352.81</v>
      </c>
      <c r="D4167" s="11" t="s">
        <v>5</v>
      </c>
    </row>
    <row r="4168" spans="1:4" x14ac:dyDescent="0.25">
      <c r="A4168" s="4" t="s">
        <v>8819</v>
      </c>
      <c r="B4168" s="3" t="s">
        <v>4170</v>
      </c>
      <c r="C4168" s="14">
        <v>2185.35</v>
      </c>
      <c r="D4168" s="11" t="s">
        <v>5</v>
      </c>
    </row>
    <row r="4169" spans="1:4" x14ac:dyDescent="0.25">
      <c r="A4169" s="4" t="s">
        <v>8820</v>
      </c>
      <c r="B4169" s="3" t="s">
        <v>4171</v>
      </c>
      <c r="C4169" s="14">
        <v>4156.6499999999996</v>
      </c>
      <c r="D4169" s="11" t="s">
        <v>5</v>
      </c>
    </row>
    <row r="4170" spans="1:4" x14ac:dyDescent="0.25">
      <c r="A4170" s="4" t="s">
        <v>8821</v>
      </c>
      <c r="B4170" s="3" t="s">
        <v>4172</v>
      </c>
      <c r="C4170" s="14">
        <v>5616</v>
      </c>
      <c r="D4170" s="11" t="s">
        <v>5</v>
      </c>
    </row>
    <row r="4171" spans="1:4" x14ac:dyDescent="0.25">
      <c r="A4171" s="4" t="s">
        <v>8822</v>
      </c>
      <c r="B4171" s="3" t="s">
        <v>4173</v>
      </c>
      <c r="C4171" s="14">
        <v>3020.85</v>
      </c>
      <c r="D4171" s="11" t="s">
        <v>5</v>
      </c>
    </row>
    <row r="4172" spans="1:4" x14ac:dyDescent="0.25">
      <c r="A4172" s="4" t="s">
        <v>8823</v>
      </c>
      <c r="B4172" s="3" t="s">
        <v>4174</v>
      </c>
      <c r="C4172" s="14">
        <v>3328.7</v>
      </c>
      <c r="D4172" s="11" t="s">
        <v>5</v>
      </c>
    </row>
    <row r="4173" spans="1:4" x14ac:dyDescent="0.25">
      <c r="A4173" s="4" t="s">
        <v>8824</v>
      </c>
      <c r="B4173" s="3" t="s">
        <v>4175</v>
      </c>
      <c r="C4173" s="14">
        <v>11296.46</v>
      </c>
      <c r="D4173" s="11" t="s">
        <v>5</v>
      </c>
    </row>
    <row r="4174" spans="1:4" x14ac:dyDescent="0.25">
      <c r="A4174" s="4" t="s">
        <v>8825</v>
      </c>
      <c r="B4174" s="3" t="s">
        <v>4176</v>
      </c>
      <c r="C4174" s="14">
        <v>10914.62</v>
      </c>
      <c r="D4174" s="11" t="s">
        <v>5</v>
      </c>
    </row>
    <row r="4175" spans="1:4" x14ac:dyDescent="0.25">
      <c r="A4175" s="4" t="s">
        <v>8826</v>
      </c>
      <c r="B4175" s="3" t="s">
        <v>4177</v>
      </c>
      <c r="C4175" s="14">
        <v>829.88</v>
      </c>
      <c r="D4175" s="11" t="s">
        <v>5</v>
      </c>
    </row>
    <row r="4176" spans="1:4" x14ac:dyDescent="0.25">
      <c r="A4176" s="4" t="s">
        <v>8827</v>
      </c>
      <c r="B4176" s="3" t="s">
        <v>4178</v>
      </c>
      <c r="C4176" s="14">
        <v>904.88</v>
      </c>
      <c r="D4176" s="11" t="s">
        <v>5</v>
      </c>
    </row>
    <row r="4177" spans="1:4" x14ac:dyDescent="0.25">
      <c r="A4177" s="4" t="s">
        <v>8828</v>
      </c>
      <c r="B4177" s="3" t="s">
        <v>4179</v>
      </c>
      <c r="C4177" s="14">
        <v>728.07</v>
      </c>
      <c r="D4177" s="11" t="s">
        <v>5</v>
      </c>
    </row>
    <row r="4178" spans="1:4" x14ac:dyDescent="0.25">
      <c r="A4178" s="4" t="s">
        <v>8829</v>
      </c>
      <c r="B4178" s="3" t="s">
        <v>4180</v>
      </c>
      <c r="C4178" s="14">
        <v>40500</v>
      </c>
      <c r="D4178" s="11" t="s">
        <v>5</v>
      </c>
    </row>
    <row r="4179" spans="1:4" x14ac:dyDescent="0.25">
      <c r="A4179" s="4" t="s">
        <v>8830</v>
      </c>
      <c r="B4179" s="3" t="s">
        <v>4181</v>
      </c>
      <c r="C4179" s="14">
        <v>58320</v>
      </c>
      <c r="D4179" s="11" t="s">
        <v>5</v>
      </c>
    </row>
    <row r="4180" spans="1:4" x14ac:dyDescent="0.25">
      <c r="A4180" s="4" t="s">
        <v>8831</v>
      </c>
      <c r="B4180" s="3" t="s">
        <v>4182</v>
      </c>
      <c r="C4180" s="14">
        <v>231141.93</v>
      </c>
      <c r="D4180" s="11" t="s">
        <v>5</v>
      </c>
    </row>
    <row r="4181" spans="1:4" x14ac:dyDescent="0.25">
      <c r="A4181" s="4" t="s">
        <v>8832</v>
      </c>
      <c r="B4181" s="3" t="s">
        <v>4183</v>
      </c>
      <c r="C4181" s="14">
        <v>52.71</v>
      </c>
      <c r="D4181" s="11" t="s">
        <v>5</v>
      </c>
    </row>
    <row r="4182" spans="1:4" x14ac:dyDescent="0.25">
      <c r="A4182" s="4" t="s">
        <v>8833</v>
      </c>
      <c r="B4182" s="3" t="s">
        <v>4184</v>
      </c>
      <c r="C4182" s="14">
        <v>52.71</v>
      </c>
      <c r="D4182" s="11" t="s">
        <v>5</v>
      </c>
    </row>
    <row r="4183" spans="1:4" x14ac:dyDescent="0.25">
      <c r="A4183" s="4" t="s">
        <v>8834</v>
      </c>
      <c r="B4183" s="3" t="s">
        <v>4185</v>
      </c>
      <c r="C4183" s="14">
        <v>2367</v>
      </c>
      <c r="D4183" s="11" t="s">
        <v>5</v>
      </c>
    </row>
    <row r="4184" spans="1:4" x14ac:dyDescent="0.25">
      <c r="A4184" s="4" t="s">
        <v>8835</v>
      </c>
      <c r="B4184" s="3" t="s">
        <v>4186</v>
      </c>
      <c r="C4184" s="14">
        <v>4384.88</v>
      </c>
      <c r="D4184" s="11" t="s">
        <v>5</v>
      </c>
    </row>
    <row r="4185" spans="1:4" x14ac:dyDescent="0.25">
      <c r="A4185" s="4" t="s">
        <v>8836</v>
      </c>
      <c r="B4185" s="3" t="s">
        <v>4187</v>
      </c>
      <c r="C4185" s="14">
        <v>9705.7999999999993</v>
      </c>
      <c r="D4185" s="11" t="s">
        <v>5</v>
      </c>
    </row>
    <row r="4186" spans="1:4" x14ac:dyDescent="0.25">
      <c r="A4186" s="4" t="s">
        <v>8837</v>
      </c>
      <c r="B4186" s="3" t="s">
        <v>4188</v>
      </c>
      <c r="C4186" s="14">
        <v>9058.76</v>
      </c>
      <c r="D4186" s="11" t="s">
        <v>5</v>
      </c>
    </row>
    <row r="4187" spans="1:4" x14ac:dyDescent="0.25">
      <c r="A4187" s="4" t="s">
        <v>8838</v>
      </c>
      <c r="B4187" s="3" t="s">
        <v>4189</v>
      </c>
      <c r="C4187" s="14">
        <v>7700.7</v>
      </c>
      <c r="D4187" s="11" t="s">
        <v>5</v>
      </c>
    </row>
    <row r="4188" spans="1:4" x14ac:dyDescent="0.25">
      <c r="A4188" s="4" t="s">
        <v>8839</v>
      </c>
      <c r="B4188" s="3" t="s">
        <v>4190</v>
      </c>
      <c r="C4188" s="14">
        <v>3030.05</v>
      </c>
      <c r="D4188" s="11" t="s">
        <v>5</v>
      </c>
    </row>
    <row r="4189" spans="1:4" x14ac:dyDescent="0.25">
      <c r="A4189" s="4" t="s">
        <v>8840</v>
      </c>
      <c r="B4189" s="3" t="s">
        <v>4191</v>
      </c>
      <c r="C4189" s="14">
        <v>3329.18</v>
      </c>
      <c r="D4189" s="11" t="s">
        <v>5</v>
      </c>
    </row>
    <row r="4190" spans="1:4" x14ac:dyDescent="0.25">
      <c r="A4190" s="4" t="s">
        <v>8841</v>
      </c>
      <c r="B4190" s="3" t="s">
        <v>4192</v>
      </c>
      <c r="C4190" s="14">
        <v>2099.96</v>
      </c>
      <c r="D4190" s="11" t="s">
        <v>5</v>
      </c>
    </row>
    <row r="4191" spans="1:4" x14ac:dyDescent="0.25">
      <c r="A4191" s="4" t="s">
        <v>8842</v>
      </c>
      <c r="B4191" s="3" t="s">
        <v>4193</v>
      </c>
      <c r="C4191" s="14">
        <v>1759.28</v>
      </c>
      <c r="D4191" s="11" t="s">
        <v>5</v>
      </c>
    </row>
    <row r="4192" spans="1:4" x14ac:dyDescent="0.25">
      <c r="A4192" s="4" t="s">
        <v>8843</v>
      </c>
      <c r="B4192" s="3" t="s">
        <v>4194</v>
      </c>
      <c r="C4192" s="14">
        <v>1370.24</v>
      </c>
      <c r="D4192" s="11" t="s">
        <v>5</v>
      </c>
    </row>
    <row r="4193" spans="1:4" x14ac:dyDescent="0.25">
      <c r="A4193" s="4" t="s">
        <v>8844</v>
      </c>
      <c r="B4193" s="3" t="s">
        <v>4195</v>
      </c>
      <c r="C4193" s="14">
        <v>3644.69</v>
      </c>
      <c r="D4193" s="11" t="s">
        <v>5</v>
      </c>
    </row>
    <row r="4194" spans="1:4" x14ac:dyDescent="0.25">
      <c r="A4194" s="4" t="s">
        <v>8845</v>
      </c>
      <c r="B4194" s="3" t="s">
        <v>4196</v>
      </c>
      <c r="C4194" s="14">
        <v>2348.7199999999998</v>
      </c>
      <c r="D4194" s="11" t="s">
        <v>5</v>
      </c>
    </row>
    <row r="4195" spans="1:4" x14ac:dyDescent="0.25">
      <c r="A4195" s="4" t="s">
        <v>8846</v>
      </c>
      <c r="B4195" s="3" t="s">
        <v>4197</v>
      </c>
      <c r="C4195" s="14">
        <v>2119.9499999999998</v>
      </c>
      <c r="D4195" s="11" t="s">
        <v>5</v>
      </c>
    </row>
    <row r="4196" spans="1:4" x14ac:dyDescent="0.25">
      <c r="A4196" s="4" t="s">
        <v>8847</v>
      </c>
      <c r="B4196" s="3" t="s">
        <v>4198</v>
      </c>
      <c r="C4196" s="14">
        <v>1623.99</v>
      </c>
      <c r="D4196" s="11" t="s">
        <v>5</v>
      </c>
    </row>
    <row r="4197" spans="1:4" x14ac:dyDescent="0.25">
      <c r="A4197" s="4" t="s">
        <v>8848</v>
      </c>
      <c r="B4197" s="3" t="s">
        <v>4199</v>
      </c>
      <c r="C4197" s="14">
        <v>1686.33</v>
      </c>
      <c r="D4197" s="11" t="s">
        <v>5</v>
      </c>
    </row>
    <row r="4198" spans="1:4" x14ac:dyDescent="0.25">
      <c r="A4198" s="4" t="s">
        <v>8849</v>
      </c>
      <c r="B4198" s="3" t="s">
        <v>4200</v>
      </c>
      <c r="C4198" s="14">
        <v>1370.24</v>
      </c>
      <c r="D4198" s="11" t="s">
        <v>5</v>
      </c>
    </row>
    <row r="4199" spans="1:4" x14ac:dyDescent="0.25">
      <c r="A4199" s="4" t="s">
        <v>8850</v>
      </c>
      <c r="B4199" s="3" t="s">
        <v>4201</v>
      </c>
      <c r="C4199" s="14">
        <v>10680.02</v>
      </c>
      <c r="D4199" s="11" t="s">
        <v>5</v>
      </c>
    </row>
    <row r="4200" spans="1:4" x14ac:dyDescent="0.25">
      <c r="A4200" s="4" t="s">
        <v>8851</v>
      </c>
      <c r="B4200" s="3" t="s">
        <v>4202</v>
      </c>
      <c r="C4200" s="14">
        <v>7833.3</v>
      </c>
      <c r="D4200" s="11" t="s">
        <v>5</v>
      </c>
    </row>
    <row r="4201" spans="1:4" x14ac:dyDescent="0.25">
      <c r="A4201" s="4" t="s">
        <v>8852</v>
      </c>
      <c r="B4201" s="3" t="s">
        <v>4203</v>
      </c>
      <c r="C4201" s="14">
        <v>9632.9599999999991</v>
      </c>
      <c r="D4201" s="11" t="s">
        <v>5</v>
      </c>
    </row>
    <row r="4202" spans="1:4" x14ac:dyDescent="0.25">
      <c r="A4202" s="4" t="s">
        <v>8853</v>
      </c>
      <c r="B4202" s="3" t="s">
        <v>4204</v>
      </c>
      <c r="C4202" s="14">
        <v>10173.57</v>
      </c>
      <c r="D4202" s="11" t="s">
        <v>5</v>
      </c>
    </row>
    <row r="4203" spans="1:4" x14ac:dyDescent="0.25">
      <c r="A4203" s="4" t="s">
        <v>8854</v>
      </c>
      <c r="B4203" s="3" t="s">
        <v>4205</v>
      </c>
      <c r="C4203" s="14">
        <v>13696.86</v>
      </c>
      <c r="D4203" s="11" t="s">
        <v>5</v>
      </c>
    </row>
    <row r="4204" spans="1:4" x14ac:dyDescent="0.25">
      <c r="A4204" s="4" t="s">
        <v>8855</v>
      </c>
      <c r="B4204" s="3" t="s">
        <v>4206</v>
      </c>
      <c r="C4204" s="14">
        <v>12130.04</v>
      </c>
      <c r="D4204" s="11" t="s">
        <v>5</v>
      </c>
    </row>
    <row r="4205" spans="1:4" x14ac:dyDescent="0.25">
      <c r="A4205" s="4" t="s">
        <v>8856</v>
      </c>
      <c r="B4205" s="3" t="s">
        <v>4207</v>
      </c>
      <c r="C4205" s="14">
        <v>14036.04</v>
      </c>
      <c r="D4205" s="11" t="s">
        <v>5</v>
      </c>
    </row>
    <row r="4206" spans="1:4" x14ac:dyDescent="0.25">
      <c r="A4206" s="4" t="s">
        <v>8857</v>
      </c>
      <c r="B4206" s="3" t="s">
        <v>4208</v>
      </c>
      <c r="C4206" s="14">
        <v>12504.9</v>
      </c>
      <c r="D4206" s="11" t="s">
        <v>5</v>
      </c>
    </row>
    <row r="4207" spans="1:4" x14ac:dyDescent="0.25">
      <c r="A4207" s="4" t="s">
        <v>8858</v>
      </c>
      <c r="B4207" s="3" t="s">
        <v>4209</v>
      </c>
      <c r="C4207" s="14">
        <v>15325.95</v>
      </c>
      <c r="D4207" s="11" t="s">
        <v>5</v>
      </c>
    </row>
    <row r="4208" spans="1:4" x14ac:dyDescent="0.25">
      <c r="A4208" s="4" t="s">
        <v>8859</v>
      </c>
      <c r="B4208" s="3" t="s">
        <v>4210</v>
      </c>
      <c r="C4208" s="14">
        <v>600.57000000000005</v>
      </c>
      <c r="D4208" s="11" t="s">
        <v>5</v>
      </c>
    </row>
    <row r="4209" spans="1:4" x14ac:dyDescent="0.25">
      <c r="A4209" s="4" t="s">
        <v>8860</v>
      </c>
      <c r="B4209" s="3" t="s">
        <v>4211</v>
      </c>
      <c r="C4209" s="14">
        <v>611.42999999999995</v>
      </c>
      <c r="D4209" s="11" t="s">
        <v>5</v>
      </c>
    </row>
    <row r="4210" spans="1:4" x14ac:dyDescent="0.25">
      <c r="A4210" s="4" t="s">
        <v>8861</v>
      </c>
      <c r="B4210" s="3" t="s">
        <v>4212</v>
      </c>
      <c r="C4210" s="14">
        <v>18370.8</v>
      </c>
      <c r="D4210" s="11" t="s">
        <v>5</v>
      </c>
    </row>
    <row r="4211" spans="1:4" x14ac:dyDescent="0.25">
      <c r="A4211" s="4" t="s">
        <v>8862</v>
      </c>
      <c r="B4211" s="3" t="s">
        <v>4213</v>
      </c>
      <c r="C4211" s="14">
        <v>17520.3</v>
      </c>
      <c r="D4211" s="11" t="s">
        <v>5</v>
      </c>
    </row>
    <row r="4212" spans="1:4" x14ac:dyDescent="0.25">
      <c r="A4212" s="4" t="s">
        <v>8863</v>
      </c>
      <c r="B4212" s="3" t="s">
        <v>4214</v>
      </c>
      <c r="C4212" s="14">
        <v>11933.57</v>
      </c>
      <c r="D4212" s="11" t="s">
        <v>5</v>
      </c>
    </row>
    <row r="4213" spans="1:4" x14ac:dyDescent="0.25">
      <c r="A4213" s="4" t="s">
        <v>8864</v>
      </c>
      <c r="B4213" s="3" t="s">
        <v>4215</v>
      </c>
      <c r="C4213" s="14">
        <v>806.76</v>
      </c>
      <c r="D4213" s="11" t="s">
        <v>5</v>
      </c>
    </row>
    <row r="4214" spans="1:4" x14ac:dyDescent="0.25">
      <c r="A4214" s="4" t="s">
        <v>8865</v>
      </c>
      <c r="B4214" s="3" t="s">
        <v>4216</v>
      </c>
      <c r="C4214" s="14">
        <v>693.36</v>
      </c>
      <c r="D4214" s="11" t="s">
        <v>5</v>
      </c>
    </row>
    <row r="4215" spans="1:4" x14ac:dyDescent="0.25">
      <c r="A4215" s="4" t="s">
        <v>8866</v>
      </c>
      <c r="B4215" s="3" t="s">
        <v>4217</v>
      </c>
      <c r="C4215" s="14">
        <v>559.79999999999995</v>
      </c>
      <c r="D4215" s="11" t="s">
        <v>5</v>
      </c>
    </row>
    <row r="4216" spans="1:4" x14ac:dyDescent="0.25">
      <c r="A4216" s="4" t="s">
        <v>8867</v>
      </c>
      <c r="B4216" s="3" t="s">
        <v>4218</v>
      </c>
      <c r="C4216" s="14">
        <v>584.82000000000005</v>
      </c>
      <c r="D4216" s="11" t="s">
        <v>5</v>
      </c>
    </row>
    <row r="4217" spans="1:4" x14ac:dyDescent="0.25">
      <c r="A4217" s="4" t="s">
        <v>8868</v>
      </c>
      <c r="B4217" s="3" t="s">
        <v>4219</v>
      </c>
      <c r="C4217" s="14">
        <v>505.89</v>
      </c>
      <c r="D4217" s="11" t="s">
        <v>5</v>
      </c>
    </row>
    <row r="4218" spans="1:4" x14ac:dyDescent="0.25">
      <c r="A4218" s="4" t="s">
        <v>8869</v>
      </c>
      <c r="B4218" s="3" t="s">
        <v>4220</v>
      </c>
      <c r="C4218" s="14">
        <v>564.44000000000005</v>
      </c>
      <c r="D4218" s="11" t="s">
        <v>5</v>
      </c>
    </row>
    <row r="4219" spans="1:4" x14ac:dyDescent="0.25">
      <c r="A4219" s="4" t="s">
        <v>8870</v>
      </c>
      <c r="B4219" s="3" t="s">
        <v>4221</v>
      </c>
      <c r="C4219" s="14">
        <v>725.67</v>
      </c>
      <c r="D4219" s="11" t="s">
        <v>5</v>
      </c>
    </row>
    <row r="4220" spans="1:4" x14ac:dyDescent="0.25">
      <c r="A4220" s="4" t="s">
        <v>8871</v>
      </c>
      <c r="B4220" s="3" t="s">
        <v>4222</v>
      </c>
      <c r="C4220" s="14">
        <v>564.44000000000005</v>
      </c>
      <c r="D4220" s="11" t="s">
        <v>5</v>
      </c>
    </row>
    <row r="4221" spans="1:4" x14ac:dyDescent="0.25">
      <c r="A4221" s="4" t="s">
        <v>8872</v>
      </c>
      <c r="B4221" s="3" t="s">
        <v>4223</v>
      </c>
      <c r="C4221" s="14">
        <v>789.14</v>
      </c>
      <c r="D4221" s="11" t="s">
        <v>5</v>
      </c>
    </row>
    <row r="4222" spans="1:4" x14ac:dyDescent="0.25">
      <c r="A4222" s="4" t="s">
        <v>8873</v>
      </c>
      <c r="B4222" s="3" t="s">
        <v>4224</v>
      </c>
      <c r="C4222" s="14">
        <v>32053.65</v>
      </c>
      <c r="D4222" s="11" t="s">
        <v>5</v>
      </c>
    </row>
    <row r="4223" spans="1:4" x14ac:dyDescent="0.25">
      <c r="A4223" s="4" t="s">
        <v>8874</v>
      </c>
      <c r="B4223" s="3" t="s">
        <v>4225</v>
      </c>
      <c r="C4223" s="14">
        <v>32053.65</v>
      </c>
      <c r="D4223" s="11" t="s">
        <v>5</v>
      </c>
    </row>
    <row r="4224" spans="1:4" x14ac:dyDescent="0.25">
      <c r="A4224" s="4" t="s">
        <v>8875</v>
      </c>
      <c r="B4224" s="3" t="s">
        <v>4226</v>
      </c>
      <c r="C4224" s="14">
        <v>348592.76</v>
      </c>
      <c r="D4224" s="11" t="s">
        <v>5</v>
      </c>
    </row>
    <row r="4225" spans="1:4" x14ac:dyDescent="0.25">
      <c r="A4225" s="4" t="s">
        <v>8876</v>
      </c>
      <c r="B4225" s="3" t="s">
        <v>4227</v>
      </c>
      <c r="C4225" s="14">
        <v>248697.60000000001</v>
      </c>
      <c r="D4225" s="11" t="s">
        <v>5</v>
      </c>
    </row>
    <row r="4226" spans="1:4" x14ac:dyDescent="0.25">
      <c r="A4226" s="4" t="s">
        <v>8877</v>
      </c>
      <c r="B4226" s="3" t="s">
        <v>4228</v>
      </c>
      <c r="C4226" s="14">
        <v>101159.3</v>
      </c>
      <c r="D4226" s="11" t="s">
        <v>5</v>
      </c>
    </row>
    <row r="4227" spans="1:4" x14ac:dyDescent="0.25">
      <c r="A4227" s="4" t="s">
        <v>8878</v>
      </c>
      <c r="B4227" s="3" t="s">
        <v>4229</v>
      </c>
      <c r="C4227" s="14">
        <v>76358.960000000006</v>
      </c>
      <c r="D4227" s="11" t="s">
        <v>5</v>
      </c>
    </row>
    <row r="4228" spans="1:4" x14ac:dyDescent="0.25">
      <c r="A4228" s="4" t="s">
        <v>8879</v>
      </c>
      <c r="B4228" s="3" t="s">
        <v>4230</v>
      </c>
      <c r="C4228" s="14">
        <v>88106.49</v>
      </c>
      <c r="D4228" s="11" t="s">
        <v>5</v>
      </c>
    </row>
    <row r="4229" spans="1:4" x14ac:dyDescent="0.25">
      <c r="A4229" s="4" t="s">
        <v>8880</v>
      </c>
      <c r="B4229" s="3" t="s">
        <v>4231</v>
      </c>
      <c r="C4229" s="14">
        <v>303264</v>
      </c>
      <c r="D4229" s="11" t="s">
        <v>5</v>
      </c>
    </row>
    <row r="4230" spans="1:4" x14ac:dyDescent="0.25">
      <c r="A4230" s="4" t="s">
        <v>8881</v>
      </c>
      <c r="B4230" s="3" t="s">
        <v>4232</v>
      </c>
      <c r="C4230" s="14">
        <v>623924.44999999995</v>
      </c>
      <c r="D4230" s="11" t="s">
        <v>5</v>
      </c>
    </row>
    <row r="4231" spans="1:4" x14ac:dyDescent="0.25">
      <c r="A4231" s="4" t="s">
        <v>8882</v>
      </c>
      <c r="B4231" s="3" t="s">
        <v>4233</v>
      </c>
      <c r="C4231" s="14">
        <v>794040.36</v>
      </c>
      <c r="D4231" s="11" t="s">
        <v>5</v>
      </c>
    </row>
    <row r="4232" spans="1:4" x14ac:dyDescent="0.25">
      <c r="A4232" s="4" t="s">
        <v>8883</v>
      </c>
      <c r="B4232" s="3" t="s">
        <v>4234</v>
      </c>
      <c r="C4232" s="14">
        <v>311710.17</v>
      </c>
      <c r="D4232" s="11" t="s">
        <v>5</v>
      </c>
    </row>
    <row r="4233" spans="1:4" x14ac:dyDescent="0.25">
      <c r="A4233" s="4" t="s">
        <v>8884</v>
      </c>
      <c r="B4233" s="3" t="s">
        <v>4235</v>
      </c>
      <c r="C4233" s="14">
        <v>140400</v>
      </c>
      <c r="D4233" s="11" t="s">
        <v>5</v>
      </c>
    </row>
    <row r="4234" spans="1:4" x14ac:dyDescent="0.25">
      <c r="A4234" s="4" t="s">
        <v>8885</v>
      </c>
      <c r="B4234" s="3" t="s">
        <v>4236</v>
      </c>
      <c r="C4234" s="14">
        <v>389989.08</v>
      </c>
      <c r="D4234" s="11" t="s">
        <v>5</v>
      </c>
    </row>
    <row r="4235" spans="1:4" x14ac:dyDescent="0.25">
      <c r="A4235" s="4" t="s">
        <v>8886</v>
      </c>
      <c r="B4235" s="3" t="s">
        <v>4237</v>
      </c>
      <c r="C4235" s="14">
        <v>1308410.55</v>
      </c>
      <c r="D4235" s="11" t="s">
        <v>5</v>
      </c>
    </row>
    <row r="4236" spans="1:4" x14ac:dyDescent="0.25">
      <c r="A4236" s="4" t="s">
        <v>8887</v>
      </c>
      <c r="B4236" s="3" t="s">
        <v>4238</v>
      </c>
      <c r="C4236" s="14">
        <v>477013.62</v>
      </c>
      <c r="D4236" s="11" t="s">
        <v>5</v>
      </c>
    </row>
    <row r="4237" spans="1:4" x14ac:dyDescent="0.25">
      <c r="A4237" s="4" t="s">
        <v>8888</v>
      </c>
      <c r="B4237" s="3" t="s">
        <v>4239</v>
      </c>
      <c r="C4237" s="14">
        <v>246391.35</v>
      </c>
      <c r="D4237" s="11" t="s">
        <v>5</v>
      </c>
    </row>
    <row r="4238" spans="1:4" x14ac:dyDescent="0.25">
      <c r="A4238" s="4" t="s">
        <v>8889</v>
      </c>
      <c r="B4238" s="3" t="s">
        <v>4240</v>
      </c>
      <c r="C4238" s="14">
        <v>605302.25</v>
      </c>
      <c r="D4238" s="11" t="s">
        <v>5</v>
      </c>
    </row>
    <row r="4239" spans="1:4" x14ac:dyDescent="0.25">
      <c r="A4239" s="4" t="s">
        <v>8890</v>
      </c>
      <c r="B4239" s="3" t="s">
        <v>4241</v>
      </c>
      <c r="C4239" s="14">
        <v>152887.20000000001</v>
      </c>
      <c r="D4239" s="11" t="s">
        <v>5</v>
      </c>
    </row>
    <row r="4240" spans="1:4" x14ac:dyDescent="0.25">
      <c r="A4240" s="4" t="s">
        <v>8891</v>
      </c>
      <c r="B4240" s="3" t="s">
        <v>4242</v>
      </c>
      <c r="C4240" s="14">
        <v>157464.01999999999</v>
      </c>
      <c r="D4240" s="11" t="s">
        <v>5</v>
      </c>
    </row>
    <row r="4241" spans="1:4" x14ac:dyDescent="0.25">
      <c r="A4241" s="4" t="s">
        <v>8892</v>
      </c>
      <c r="B4241" s="3" t="s">
        <v>4243</v>
      </c>
      <c r="C4241" s="14">
        <v>228307.1</v>
      </c>
      <c r="D4241" s="11" t="s">
        <v>5</v>
      </c>
    </row>
    <row r="4242" spans="1:4" x14ac:dyDescent="0.25">
      <c r="A4242" s="4" t="s">
        <v>8893</v>
      </c>
      <c r="B4242" s="3" t="s">
        <v>4244</v>
      </c>
      <c r="C4242" s="14">
        <v>235285.43</v>
      </c>
      <c r="D4242" s="11" t="s">
        <v>5</v>
      </c>
    </row>
    <row r="4243" spans="1:4" x14ac:dyDescent="0.25">
      <c r="A4243" s="4" t="s">
        <v>8894</v>
      </c>
      <c r="B4243" s="3" t="s">
        <v>4245</v>
      </c>
      <c r="C4243" s="14">
        <v>300500.84000000003</v>
      </c>
      <c r="D4243" s="11" t="s">
        <v>5</v>
      </c>
    </row>
    <row r="4244" spans="1:4" x14ac:dyDescent="0.25">
      <c r="A4244" s="4" t="s">
        <v>8895</v>
      </c>
      <c r="B4244" s="3" t="s">
        <v>4246</v>
      </c>
      <c r="C4244" s="14">
        <v>201308.22</v>
      </c>
      <c r="D4244" s="11" t="s">
        <v>5</v>
      </c>
    </row>
    <row r="4245" spans="1:4" x14ac:dyDescent="0.25">
      <c r="A4245" s="4" t="s">
        <v>8896</v>
      </c>
      <c r="B4245" s="3" t="s">
        <v>4247</v>
      </c>
      <c r="C4245" s="14">
        <v>4817642.67</v>
      </c>
      <c r="D4245" s="11" t="s">
        <v>5</v>
      </c>
    </row>
    <row r="4246" spans="1:4" x14ac:dyDescent="0.25">
      <c r="A4246" s="4" t="s">
        <v>8897</v>
      </c>
      <c r="B4246" s="3" t="s">
        <v>4248</v>
      </c>
      <c r="C4246" s="14">
        <v>554996.64</v>
      </c>
      <c r="D4246" s="11" t="s">
        <v>5</v>
      </c>
    </row>
    <row r="4247" spans="1:4" x14ac:dyDescent="0.25">
      <c r="A4247" s="4" t="s">
        <v>8898</v>
      </c>
      <c r="B4247" s="3" t="s">
        <v>4249</v>
      </c>
      <c r="C4247" s="14">
        <v>883772.36</v>
      </c>
      <c r="D4247" s="11" t="s">
        <v>5</v>
      </c>
    </row>
    <row r="4248" spans="1:4" x14ac:dyDescent="0.25">
      <c r="A4248" s="4" t="s">
        <v>8899</v>
      </c>
      <c r="B4248" s="3" t="s">
        <v>4250</v>
      </c>
      <c r="C4248" s="14">
        <v>1893213.29</v>
      </c>
      <c r="D4248" s="11" t="s">
        <v>5</v>
      </c>
    </row>
    <row r="4249" spans="1:4" x14ac:dyDescent="0.25">
      <c r="A4249" s="4" t="s">
        <v>8900</v>
      </c>
      <c r="B4249" s="3" t="s">
        <v>4251</v>
      </c>
      <c r="C4249" s="14">
        <v>146718</v>
      </c>
      <c r="D4249" s="11" t="s">
        <v>5</v>
      </c>
    </row>
    <row r="4250" spans="1:4" x14ac:dyDescent="0.25">
      <c r="A4250" s="4" t="s">
        <v>8901</v>
      </c>
      <c r="B4250" s="3" t="s">
        <v>4252</v>
      </c>
      <c r="C4250" s="14">
        <v>91260</v>
      </c>
      <c r="D4250" s="11" t="s">
        <v>5</v>
      </c>
    </row>
    <row r="4251" spans="1:4" x14ac:dyDescent="0.25">
      <c r="A4251" s="4" t="s">
        <v>8902</v>
      </c>
      <c r="B4251" s="3" t="s">
        <v>4253</v>
      </c>
      <c r="C4251" s="14">
        <v>108810</v>
      </c>
      <c r="D4251" s="11" t="s">
        <v>5</v>
      </c>
    </row>
    <row r="4252" spans="1:4" x14ac:dyDescent="0.25">
      <c r="A4252" s="4" t="s">
        <v>8903</v>
      </c>
      <c r="B4252" s="3" t="s">
        <v>4254</v>
      </c>
      <c r="C4252" s="14">
        <v>123552</v>
      </c>
      <c r="D4252" s="11" t="s">
        <v>5</v>
      </c>
    </row>
    <row r="4253" spans="1:4" x14ac:dyDescent="0.25">
      <c r="A4253" s="4" t="s">
        <v>8904</v>
      </c>
      <c r="B4253" s="3" t="s">
        <v>4255</v>
      </c>
      <c r="C4253" s="14">
        <v>178497.21</v>
      </c>
      <c r="D4253" s="11" t="s">
        <v>5</v>
      </c>
    </row>
    <row r="4254" spans="1:4" x14ac:dyDescent="0.25">
      <c r="A4254" s="4" t="s">
        <v>8905</v>
      </c>
      <c r="B4254" s="3" t="s">
        <v>4256</v>
      </c>
      <c r="C4254" s="14">
        <v>120738.51</v>
      </c>
      <c r="D4254" s="11" t="s">
        <v>5</v>
      </c>
    </row>
    <row r="4255" spans="1:4" x14ac:dyDescent="0.25">
      <c r="A4255" s="4" t="s">
        <v>8906</v>
      </c>
      <c r="B4255" s="3" t="s">
        <v>4257</v>
      </c>
      <c r="C4255" s="14">
        <v>127591.23</v>
      </c>
      <c r="D4255" s="11" t="s">
        <v>5</v>
      </c>
    </row>
    <row r="4256" spans="1:4" x14ac:dyDescent="0.25">
      <c r="A4256" s="4" t="s">
        <v>8907</v>
      </c>
      <c r="B4256" s="3" t="s">
        <v>4258</v>
      </c>
      <c r="C4256" s="14">
        <v>147823.1</v>
      </c>
      <c r="D4256" s="11" t="s">
        <v>5</v>
      </c>
    </row>
    <row r="4257" spans="1:4" x14ac:dyDescent="0.25">
      <c r="A4257" s="4" t="s">
        <v>8908</v>
      </c>
      <c r="B4257" s="3" t="s">
        <v>4259</v>
      </c>
      <c r="C4257" s="14">
        <v>169033.92</v>
      </c>
      <c r="D4257" s="11" t="s">
        <v>5</v>
      </c>
    </row>
    <row r="4258" spans="1:4" x14ac:dyDescent="0.25">
      <c r="A4258" s="4" t="s">
        <v>8909</v>
      </c>
      <c r="B4258" s="3" t="s">
        <v>4260</v>
      </c>
      <c r="C4258" s="14">
        <v>132812.35999999999</v>
      </c>
      <c r="D4258" s="11" t="s">
        <v>5</v>
      </c>
    </row>
    <row r="4259" spans="1:4" x14ac:dyDescent="0.25">
      <c r="A4259" s="4" t="s">
        <v>8910</v>
      </c>
      <c r="B4259" s="3" t="s">
        <v>4261</v>
      </c>
      <c r="C4259" s="14">
        <v>186655.22</v>
      </c>
      <c r="D4259" s="11" t="s">
        <v>5</v>
      </c>
    </row>
    <row r="4260" spans="1:4" x14ac:dyDescent="0.25">
      <c r="A4260" s="4" t="s">
        <v>8911</v>
      </c>
      <c r="B4260" s="3" t="s">
        <v>4262</v>
      </c>
      <c r="C4260" s="14">
        <v>88106.49</v>
      </c>
      <c r="D4260" s="11" t="s">
        <v>5</v>
      </c>
    </row>
    <row r="4261" spans="1:4" x14ac:dyDescent="0.25">
      <c r="A4261" s="4" t="s">
        <v>8912</v>
      </c>
      <c r="B4261" s="3" t="s">
        <v>4263</v>
      </c>
      <c r="C4261" s="14">
        <v>91369.7</v>
      </c>
      <c r="D4261" s="11" t="s">
        <v>5</v>
      </c>
    </row>
    <row r="4262" spans="1:4" x14ac:dyDescent="0.25">
      <c r="A4262" s="4" t="s">
        <v>8913</v>
      </c>
      <c r="B4262" s="3" t="s">
        <v>4264</v>
      </c>
      <c r="C4262" s="14">
        <v>137054.54</v>
      </c>
      <c r="D4262" s="11" t="s">
        <v>5</v>
      </c>
    </row>
    <row r="4263" spans="1:4" x14ac:dyDescent="0.25">
      <c r="A4263" s="4" t="s">
        <v>8914</v>
      </c>
      <c r="B4263" s="3" t="s">
        <v>4265</v>
      </c>
      <c r="C4263" s="14">
        <v>156633.75</v>
      </c>
      <c r="D4263" s="11" t="s">
        <v>5</v>
      </c>
    </row>
    <row r="4264" spans="1:4" x14ac:dyDescent="0.25">
      <c r="A4264" s="4" t="s">
        <v>8915</v>
      </c>
      <c r="B4264" s="3" t="s">
        <v>4266</v>
      </c>
      <c r="C4264" s="14">
        <v>219287.25</v>
      </c>
      <c r="D4264" s="11" t="s">
        <v>5</v>
      </c>
    </row>
    <row r="4265" spans="1:4" x14ac:dyDescent="0.25">
      <c r="A4265" s="4" t="s">
        <v>8916</v>
      </c>
      <c r="B4265" s="3" t="s">
        <v>4267</v>
      </c>
      <c r="C4265" s="14">
        <v>65916.710000000006</v>
      </c>
      <c r="D4265" s="11" t="s">
        <v>5</v>
      </c>
    </row>
    <row r="4266" spans="1:4" x14ac:dyDescent="0.25">
      <c r="A4266" s="4" t="s">
        <v>8917</v>
      </c>
      <c r="B4266" s="3" t="s">
        <v>4268</v>
      </c>
      <c r="C4266" s="14">
        <v>78969.509999999995</v>
      </c>
      <c r="D4266" s="11" t="s">
        <v>5</v>
      </c>
    </row>
    <row r="4267" spans="1:4" x14ac:dyDescent="0.25">
      <c r="A4267" s="4" t="s">
        <v>8918</v>
      </c>
      <c r="B4267" s="3" t="s">
        <v>4269</v>
      </c>
      <c r="C4267" s="14">
        <v>94632.89</v>
      </c>
      <c r="D4267" s="11" t="s">
        <v>5</v>
      </c>
    </row>
    <row r="4268" spans="1:4" x14ac:dyDescent="0.25">
      <c r="A4268" s="4" t="s">
        <v>8919</v>
      </c>
      <c r="B4268" s="3" t="s">
        <v>4270</v>
      </c>
      <c r="C4268" s="14">
        <v>107685.71</v>
      </c>
      <c r="D4268" s="11" t="s">
        <v>5</v>
      </c>
    </row>
    <row r="4269" spans="1:4" x14ac:dyDescent="0.25">
      <c r="A4269" s="4" t="s">
        <v>8920</v>
      </c>
      <c r="B4269" s="3" t="s">
        <v>4271</v>
      </c>
      <c r="C4269" s="14">
        <v>112906.83</v>
      </c>
      <c r="D4269" s="11" t="s">
        <v>5</v>
      </c>
    </row>
    <row r="4270" spans="1:4" x14ac:dyDescent="0.25">
      <c r="A4270" s="4" t="s">
        <v>8921</v>
      </c>
      <c r="B4270" s="3" t="s">
        <v>4272</v>
      </c>
      <c r="C4270" s="14">
        <v>220762.04</v>
      </c>
      <c r="D4270" s="11" t="s">
        <v>5</v>
      </c>
    </row>
    <row r="4271" spans="1:4" x14ac:dyDescent="0.25">
      <c r="A4271" s="4" t="s">
        <v>8922</v>
      </c>
      <c r="B4271" s="3" t="s">
        <v>4273</v>
      </c>
      <c r="C4271" s="14">
        <v>2415.84</v>
      </c>
      <c r="D4271" s="11" t="s">
        <v>5</v>
      </c>
    </row>
    <row r="4272" spans="1:4" x14ac:dyDescent="0.25">
      <c r="A4272" s="4" t="s">
        <v>8923</v>
      </c>
      <c r="B4272" s="3" t="s">
        <v>4274</v>
      </c>
      <c r="C4272" s="14">
        <v>4855.1400000000003</v>
      </c>
      <c r="D4272" s="11" t="s">
        <v>5</v>
      </c>
    </row>
    <row r="4273" spans="1:4" x14ac:dyDescent="0.25">
      <c r="A4273" s="4" t="s">
        <v>8924</v>
      </c>
      <c r="B4273" s="3" t="s">
        <v>4275</v>
      </c>
      <c r="C4273" s="14">
        <v>855.36</v>
      </c>
      <c r="D4273" s="11" t="s">
        <v>5</v>
      </c>
    </row>
    <row r="4274" spans="1:4" x14ac:dyDescent="0.25">
      <c r="A4274" s="4" t="s">
        <v>8925</v>
      </c>
      <c r="B4274" s="3" t="s">
        <v>4276</v>
      </c>
      <c r="C4274" s="14">
        <v>1192.2</v>
      </c>
      <c r="D4274" s="11" t="s">
        <v>5</v>
      </c>
    </row>
    <row r="4275" spans="1:4" x14ac:dyDescent="0.25">
      <c r="A4275" s="4" t="s">
        <v>8926</v>
      </c>
      <c r="B4275" s="3" t="s">
        <v>4277</v>
      </c>
      <c r="C4275" s="14">
        <v>1913.7</v>
      </c>
      <c r="D4275" s="11" t="s">
        <v>5</v>
      </c>
    </row>
    <row r="4276" spans="1:4" x14ac:dyDescent="0.25">
      <c r="A4276" s="4" t="s">
        <v>8927</v>
      </c>
      <c r="B4276" s="3" t="s">
        <v>4278</v>
      </c>
      <c r="C4276" s="14">
        <v>3266.19</v>
      </c>
      <c r="D4276" s="11" t="s">
        <v>5</v>
      </c>
    </row>
    <row r="4277" spans="1:4" x14ac:dyDescent="0.25">
      <c r="A4277" s="4" t="s">
        <v>8928</v>
      </c>
      <c r="B4277" s="3" t="s">
        <v>4279</v>
      </c>
      <c r="C4277" s="14">
        <v>29808</v>
      </c>
      <c r="D4277" s="11" t="s">
        <v>5</v>
      </c>
    </row>
    <row r="4278" spans="1:4" x14ac:dyDescent="0.25">
      <c r="A4278" s="4" t="s">
        <v>8929</v>
      </c>
      <c r="B4278" s="3" t="s">
        <v>4280</v>
      </c>
      <c r="C4278" s="14">
        <v>2000.7</v>
      </c>
      <c r="D4278" s="11" t="s">
        <v>5</v>
      </c>
    </row>
    <row r="4279" spans="1:4" x14ac:dyDescent="0.25">
      <c r="A4279" s="4" t="s">
        <v>8930</v>
      </c>
      <c r="B4279" s="3" t="s">
        <v>4281</v>
      </c>
      <c r="C4279" s="14">
        <v>2592</v>
      </c>
      <c r="D4279" s="11" t="s">
        <v>5</v>
      </c>
    </row>
    <row r="4280" spans="1:4" x14ac:dyDescent="0.25">
      <c r="A4280" s="4" t="s">
        <v>8931</v>
      </c>
      <c r="B4280" s="3" t="s">
        <v>4282</v>
      </c>
      <c r="C4280" s="14">
        <v>3369.6</v>
      </c>
      <c r="D4280" s="11" t="s">
        <v>5</v>
      </c>
    </row>
    <row r="4281" spans="1:4" x14ac:dyDescent="0.25">
      <c r="A4281" s="4" t="s">
        <v>8932</v>
      </c>
      <c r="B4281" s="3" t="s">
        <v>4283</v>
      </c>
      <c r="C4281" s="14">
        <v>5634.36</v>
      </c>
      <c r="D4281" s="11" t="s">
        <v>5</v>
      </c>
    </row>
    <row r="4282" spans="1:4" x14ac:dyDescent="0.25">
      <c r="A4282" s="4" t="s">
        <v>8933</v>
      </c>
      <c r="B4282" s="3" t="s">
        <v>4284</v>
      </c>
      <c r="C4282" s="14">
        <v>5180.76</v>
      </c>
      <c r="D4282" s="11" t="s">
        <v>5</v>
      </c>
    </row>
    <row r="4283" spans="1:4" x14ac:dyDescent="0.25">
      <c r="A4283" s="4" t="s">
        <v>8934</v>
      </c>
      <c r="B4283" s="3" t="s">
        <v>4285</v>
      </c>
      <c r="C4283" s="14">
        <v>6954.66</v>
      </c>
      <c r="D4283" s="11" t="s">
        <v>5</v>
      </c>
    </row>
    <row r="4284" spans="1:4" x14ac:dyDescent="0.25">
      <c r="A4284" s="4" t="s">
        <v>8935</v>
      </c>
      <c r="B4284" s="3" t="s">
        <v>4286</v>
      </c>
      <c r="C4284" s="14">
        <v>3199.5</v>
      </c>
      <c r="D4284" s="11" t="s">
        <v>5</v>
      </c>
    </row>
    <row r="4285" spans="1:4" x14ac:dyDescent="0.25">
      <c r="A4285" s="4" t="s">
        <v>8936</v>
      </c>
      <c r="B4285" s="3" t="s">
        <v>4287</v>
      </c>
      <c r="C4285" s="14">
        <v>4629.96</v>
      </c>
      <c r="D4285" s="11" t="s">
        <v>5</v>
      </c>
    </row>
    <row r="4286" spans="1:4" x14ac:dyDescent="0.25">
      <c r="A4286" s="4" t="s">
        <v>8937</v>
      </c>
      <c r="B4286" s="3" t="s">
        <v>4288</v>
      </c>
      <c r="C4286" s="14">
        <v>1758.05</v>
      </c>
      <c r="D4286" s="11" t="s">
        <v>5</v>
      </c>
    </row>
    <row r="4287" spans="1:4" x14ac:dyDescent="0.25">
      <c r="A4287" s="4" t="s">
        <v>8938</v>
      </c>
      <c r="B4287" s="3" t="s">
        <v>4289</v>
      </c>
      <c r="C4287" s="14">
        <v>2012.39</v>
      </c>
      <c r="D4287" s="11" t="s">
        <v>5</v>
      </c>
    </row>
    <row r="4288" spans="1:4" x14ac:dyDescent="0.25">
      <c r="A4288" s="4" t="s">
        <v>8939</v>
      </c>
      <c r="B4288" s="3" t="s">
        <v>4290</v>
      </c>
      <c r="C4288" s="14">
        <v>2741.43</v>
      </c>
      <c r="D4288" s="11" t="s">
        <v>5</v>
      </c>
    </row>
    <row r="4289" spans="1:4" x14ac:dyDescent="0.25">
      <c r="A4289" s="4" t="s">
        <v>8940</v>
      </c>
      <c r="B4289" s="3" t="s">
        <v>4291</v>
      </c>
      <c r="C4289" s="14">
        <v>4217.91</v>
      </c>
      <c r="D4289" s="11" t="s">
        <v>5</v>
      </c>
    </row>
    <row r="4290" spans="1:4" x14ac:dyDescent="0.25">
      <c r="A4290" s="4" t="s">
        <v>8941</v>
      </c>
      <c r="B4290" s="3" t="s">
        <v>4292</v>
      </c>
      <c r="C4290" s="14">
        <v>1418.25</v>
      </c>
      <c r="D4290" s="11" t="s">
        <v>5</v>
      </c>
    </row>
    <row r="4291" spans="1:4" x14ac:dyDescent="0.25">
      <c r="A4291" s="4" t="s">
        <v>8942</v>
      </c>
      <c r="B4291" s="3" t="s">
        <v>4293</v>
      </c>
      <c r="C4291" s="14">
        <v>2175.08</v>
      </c>
      <c r="D4291" s="11" t="s">
        <v>5</v>
      </c>
    </row>
    <row r="4292" spans="1:4" x14ac:dyDescent="0.25">
      <c r="A4292" s="4" t="s">
        <v>8943</v>
      </c>
      <c r="B4292" s="3" t="s">
        <v>4294</v>
      </c>
      <c r="C4292" s="14">
        <v>2505.86</v>
      </c>
      <c r="D4292" s="11" t="s">
        <v>5</v>
      </c>
    </row>
    <row r="4293" spans="1:4" x14ac:dyDescent="0.25">
      <c r="A4293" s="4" t="s">
        <v>8944</v>
      </c>
      <c r="B4293" s="3" t="s">
        <v>4295</v>
      </c>
      <c r="C4293" s="14">
        <v>2759.96</v>
      </c>
      <c r="D4293" s="11" t="s">
        <v>5</v>
      </c>
    </row>
    <row r="4294" spans="1:4" x14ac:dyDescent="0.25">
      <c r="A4294" s="4" t="s">
        <v>8945</v>
      </c>
      <c r="B4294" s="3" t="s">
        <v>4296</v>
      </c>
      <c r="C4294" s="14">
        <v>4813.1000000000004</v>
      </c>
      <c r="D4294" s="11" t="s">
        <v>5</v>
      </c>
    </row>
    <row r="4295" spans="1:4" x14ac:dyDescent="0.25">
      <c r="A4295" s="4" t="s">
        <v>8946</v>
      </c>
      <c r="B4295" s="3" t="s">
        <v>4297</v>
      </c>
      <c r="C4295" s="14">
        <v>2073.12</v>
      </c>
      <c r="D4295" s="11" t="s">
        <v>5</v>
      </c>
    </row>
    <row r="4296" spans="1:4" x14ac:dyDescent="0.25">
      <c r="A4296" s="4" t="s">
        <v>8947</v>
      </c>
      <c r="B4296" s="3" t="s">
        <v>4298</v>
      </c>
      <c r="C4296" s="14">
        <v>9912.24</v>
      </c>
      <c r="D4296" s="11" t="s">
        <v>5</v>
      </c>
    </row>
    <row r="4297" spans="1:4" x14ac:dyDescent="0.25">
      <c r="A4297" s="4" t="s">
        <v>8948</v>
      </c>
      <c r="B4297" s="3" t="s">
        <v>4299</v>
      </c>
      <c r="C4297" s="14">
        <v>14570.03</v>
      </c>
      <c r="D4297" s="11" t="s">
        <v>5</v>
      </c>
    </row>
    <row r="4298" spans="1:4" x14ac:dyDescent="0.25">
      <c r="A4298" s="4" t="s">
        <v>8949</v>
      </c>
      <c r="B4298" s="3" t="s">
        <v>4300</v>
      </c>
      <c r="C4298" s="14">
        <v>1863.39</v>
      </c>
      <c r="D4298" s="11" t="s">
        <v>5</v>
      </c>
    </row>
    <row r="4299" spans="1:4" x14ac:dyDescent="0.25">
      <c r="A4299" s="4" t="s">
        <v>8950</v>
      </c>
      <c r="B4299" s="3" t="s">
        <v>4301</v>
      </c>
      <c r="C4299" s="14">
        <v>39.659999999999997</v>
      </c>
      <c r="D4299" s="11" t="s">
        <v>5</v>
      </c>
    </row>
    <row r="4300" spans="1:4" x14ac:dyDescent="0.25">
      <c r="A4300" s="4" t="s">
        <v>8951</v>
      </c>
      <c r="B4300" s="3" t="s">
        <v>4302</v>
      </c>
      <c r="C4300" s="14">
        <v>50.75</v>
      </c>
      <c r="D4300" s="11" t="s">
        <v>5</v>
      </c>
    </row>
    <row r="4301" spans="1:4" x14ac:dyDescent="0.25">
      <c r="A4301" s="4" t="s">
        <v>8952</v>
      </c>
      <c r="B4301" s="3" t="s">
        <v>4303</v>
      </c>
      <c r="C4301" s="14">
        <v>1729.67</v>
      </c>
      <c r="D4301" s="11" t="s">
        <v>5</v>
      </c>
    </row>
    <row r="4302" spans="1:4" x14ac:dyDescent="0.25">
      <c r="A4302" s="4" t="s">
        <v>8953</v>
      </c>
      <c r="B4302" s="3" t="s">
        <v>4304</v>
      </c>
      <c r="C4302" s="14">
        <v>13787.9</v>
      </c>
      <c r="D4302" s="11" t="s">
        <v>5</v>
      </c>
    </row>
    <row r="4303" spans="1:4" x14ac:dyDescent="0.25">
      <c r="A4303" s="4" t="s">
        <v>8954</v>
      </c>
      <c r="B4303" s="3" t="s">
        <v>4305</v>
      </c>
      <c r="C4303" s="14">
        <v>1825.7</v>
      </c>
      <c r="D4303" s="11" t="s">
        <v>5</v>
      </c>
    </row>
    <row r="4304" spans="1:4" x14ac:dyDescent="0.25">
      <c r="A4304" s="4" t="s">
        <v>8955</v>
      </c>
      <c r="B4304" s="3" t="s">
        <v>4306</v>
      </c>
      <c r="C4304" s="14">
        <v>648.05999999999995</v>
      </c>
      <c r="D4304" s="11" t="s">
        <v>5</v>
      </c>
    </row>
    <row r="4305" spans="1:4" x14ac:dyDescent="0.25">
      <c r="A4305" s="4" t="s">
        <v>8956</v>
      </c>
      <c r="B4305" s="3" t="s">
        <v>4307</v>
      </c>
      <c r="C4305" s="14">
        <v>419.75</v>
      </c>
      <c r="D4305" s="11" t="s">
        <v>5</v>
      </c>
    </row>
    <row r="4306" spans="1:4" x14ac:dyDescent="0.25">
      <c r="A4306" s="4" t="s">
        <v>8957</v>
      </c>
      <c r="B4306" s="3" t="s">
        <v>4308</v>
      </c>
      <c r="C4306" s="14">
        <v>475.92</v>
      </c>
      <c r="D4306" s="11" t="s">
        <v>5</v>
      </c>
    </row>
    <row r="4307" spans="1:4" x14ac:dyDescent="0.25">
      <c r="A4307" s="4" t="s">
        <v>8958</v>
      </c>
      <c r="B4307" s="3" t="s">
        <v>4309</v>
      </c>
      <c r="C4307" s="14">
        <v>12459.42</v>
      </c>
      <c r="D4307" s="11" t="s">
        <v>5</v>
      </c>
    </row>
    <row r="4308" spans="1:4" x14ac:dyDescent="0.25">
      <c r="A4308" s="4" t="s">
        <v>8959</v>
      </c>
      <c r="B4308" s="3" t="s">
        <v>4310</v>
      </c>
      <c r="C4308" s="14">
        <v>41275.949999999997</v>
      </c>
      <c r="D4308" s="11" t="s">
        <v>5</v>
      </c>
    </row>
    <row r="4309" spans="1:4" x14ac:dyDescent="0.25">
      <c r="A4309" s="4" t="s">
        <v>8960</v>
      </c>
      <c r="B4309" s="3" t="s">
        <v>4311</v>
      </c>
      <c r="C4309" s="14">
        <v>92430.5</v>
      </c>
      <c r="D4309" s="11" t="s">
        <v>5</v>
      </c>
    </row>
    <row r="4310" spans="1:4" x14ac:dyDescent="0.25">
      <c r="A4310" s="4" t="s">
        <v>8961</v>
      </c>
      <c r="B4310" s="3" t="s">
        <v>4312</v>
      </c>
      <c r="C4310" s="14">
        <v>15673.25</v>
      </c>
      <c r="D4310" s="11" t="s">
        <v>5</v>
      </c>
    </row>
    <row r="4311" spans="1:4" x14ac:dyDescent="0.25">
      <c r="A4311" s="4" t="s">
        <v>8962</v>
      </c>
      <c r="B4311" s="3" t="s">
        <v>4313</v>
      </c>
      <c r="C4311" s="14">
        <v>26169.200000000001</v>
      </c>
      <c r="D4311" s="11" t="s">
        <v>5</v>
      </c>
    </row>
    <row r="4312" spans="1:4" x14ac:dyDescent="0.25">
      <c r="A4312" s="4" t="s">
        <v>8963</v>
      </c>
      <c r="B4312" s="3" t="s">
        <v>4314</v>
      </c>
      <c r="C4312" s="14">
        <v>0</v>
      </c>
      <c r="D4312" s="11" t="s">
        <v>5</v>
      </c>
    </row>
    <row r="4313" spans="1:4" x14ac:dyDescent="0.25">
      <c r="A4313" s="4" t="s">
        <v>8964</v>
      </c>
      <c r="B4313" s="3" t="s">
        <v>4315</v>
      </c>
      <c r="C4313" s="14">
        <v>2493.7800000000002</v>
      </c>
      <c r="D4313" s="11" t="s">
        <v>5</v>
      </c>
    </row>
    <row r="4314" spans="1:4" x14ac:dyDescent="0.25">
      <c r="A4314" s="4" t="s">
        <v>8965</v>
      </c>
      <c r="B4314" s="3" t="s">
        <v>4316</v>
      </c>
      <c r="C4314" s="14">
        <v>139.97</v>
      </c>
      <c r="D4314" s="11" t="s">
        <v>5</v>
      </c>
    </row>
    <row r="4315" spans="1:4" x14ac:dyDescent="0.25">
      <c r="A4315" s="4" t="s">
        <v>8966</v>
      </c>
      <c r="B4315" s="3" t="s">
        <v>4317</v>
      </c>
      <c r="C4315" s="14">
        <v>20650.8</v>
      </c>
      <c r="D4315" s="11" t="s">
        <v>5</v>
      </c>
    </row>
    <row r="4316" spans="1:4" x14ac:dyDescent="0.25">
      <c r="A4316" s="4" t="s">
        <v>8967</v>
      </c>
      <c r="B4316" s="3" t="s">
        <v>4318</v>
      </c>
      <c r="C4316" s="14">
        <v>22606.89</v>
      </c>
      <c r="D4316" s="11" t="s">
        <v>5</v>
      </c>
    </row>
    <row r="4317" spans="1:4" x14ac:dyDescent="0.25">
      <c r="A4317" s="4" t="s">
        <v>8968</v>
      </c>
      <c r="B4317" s="3" t="s">
        <v>4319</v>
      </c>
      <c r="C4317" s="14">
        <v>2654.7</v>
      </c>
      <c r="D4317" s="11" t="s">
        <v>5</v>
      </c>
    </row>
    <row r="4318" spans="1:4" x14ac:dyDescent="0.25">
      <c r="A4318" s="4" t="s">
        <v>8969</v>
      </c>
      <c r="B4318" s="3" t="s">
        <v>4320</v>
      </c>
      <c r="C4318" s="14">
        <v>2618.4499999999998</v>
      </c>
      <c r="D4318" s="11" t="s">
        <v>5</v>
      </c>
    </row>
    <row r="4319" spans="1:4" x14ac:dyDescent="0.25">
      <c r="A4319" s="4" t="s">
        <v>8970</v>
      </c>
      <c r="B4319" s="3" t="s">
        <v>4321</v>
      </c>
      <c r="C4319" s="14">
        <v>20626.62</v>
      </c>
      <c r="D4319" s="11" t="s">
        <v>5</v>
      </c>
    </row>
    <row r="4320" spans="1:4" x14ac:dyDescent="0.25">
      <c r="A4320" s="4" t="s">
        <v>8971</v>
      </c>
      <c r="B4320" s="3" t="s">
        <v>4322</v>
      </c>
      <c r="C4320" s="14">
        <v>21240.65</v>
      </c>
      <c r="D4320" s="11" t="s">
        <v>5</v>
      </c>
    </row>
    <row r="4321" spans="1:4" x14ac:dyDescent="0.25">
      <c r="A4321" s="4" t="s">
        <v>8972</v>
      </c>
      <c r="B4321" s="3" t="s">
        <v>4323</v>
      </c>
      <c r="C4321" s="14">
        <v>21783.08</v>
      </c>
      <c r="D4321" s="11" t="s">
        <v>5</v>
      </c>
    </row>
    <row r="4322" spans="1:4" x14ac:dyDescent="0.25">
      <c r="A4322" s="4" t="s">
        <v>8973</v>
      </c>
      <c r="B4322" s="3" t="s">
        <v>4324</v>
      </c>
      <c r="C4322" s="14">
        <v>11090.58</v>
      </c>
      <c r="D4322" s="11" t="s">
        <v>5</v>
      </c>
    </row>
    <row r="4323" spans="1:4" x14ac:dyDescent="0.25">
      <c r="A4323" s="4" t="s">
        <v>8974</v>
      </c>
      <c r="B4323" s="3" t="s">
        <v>4325</v>
      </c>
      <c r="C4323" s="14">
        <v>5751.36</v>
      </c>
      <c r="D4323" s="11" t="s">
        <v>5</v>
      </c>
    </row>
    <row r="4324" spans="1:4" x14ac:dyDescent="0.25">
      <c r="A4324" s="4" t="s">
        <v>8975</v>
      </c>
      <c r="B4324" s="3" t="s">
        <v>4326</v>
      </c>
      <c r="C4324" s="14">
        <v>796.89</v>
      </c>
      <c r="D4324" s="11" t="s">
        <v>5</v>
      </c>
    </row>
    <row r="4325" spans="1:4" x14ac:dyDescent="0.25">
      <c r="A4325" s="4" t="s">
        <v>8976</v>
      </c>
      <c r="B4325" s="3" t="s">
        <v>4327</v>
      </c>
      <c r="C4325" s="14">
        <v>18846.18</v>
      </c>
      <c r="D4325" s="11" t="s">
        <v>5</v>
      </c>
    </row>
    <row r="4326" spans="1:4" x14ac:dyDescent="0.25">
      <c r="A4326" s="4" t="s">
        <v>8977</v>
      </c>
      <c r="B4326" s="3" t="s">
        <v>4328</v>
      </c>
      <c r="C4326" s="14">
        <v>39523.760000000002</v>
      </c>
      <c r="D4326" s="11" t="s">
        <v>5</v>
      </c>
    </row>
    <row r="4327" spans="1:4" x14ac:dyDescent="0.25">
      <c r="A4327" s="4" t="s">
        <v>8978</v>
      </c>
      <c r="B4327" s="3" t="s">
        <v>4329</v>
      </c>
      <c r="C4327" s="14">
        <v>3464.78</v>
      </c>
      <c r="D4327" s="11" t="s">
        <v>5</v>
      </c>
    </row>
    <row r="4328" spans="1:4" x14ac:dyDescent="0.25">
      <c r="A4328" s="4" t="s">
        <v>8979</v>
      </c>
      <c r="B4328" s="3" t="s">
        <v>4330</v>
      </c>
      <c r="C4328" s="14">
        <v>558.24</v>
      </c>
      <c r="D4328" s="11" t="s">
        <v>5</v>
      </c>
    </row>
    <row r="4329" spans="1:4" x14ac:dyDescent="0.25">
      <c r="A4329" s="4" t="s">
        <v>8980</v>
      </c>
      <c r="B4329" s="3" t="s">
        <v>4331</v>
      </c>
      <c r="C4329" s="14">
        <v>11.67</v>
      </c>
      <c r="D4329" s="11" t="s">
        <v>107</v>
      </c>
    </row>
    <row r="4330" spans="1:4" x14ac:dyDescent="0.25">
      <c r="A4330" s="4" t="s">
        <v>8981</v>
      </c>
      <c r="B4330" s="3" t="s">
        <v>4332</v>
      </c>
      <c r="C4330" s="14">
        <v>773.93</v>
      </c>
      <c r="D4330" s="11" t="s">
        <v>5</v>
      </c>
    </row>
    <row r="4331" spans="1:4" x14ac:dyDescent="0.25">
      <c r="A4331" s="4" t="s">
        <v>8982</v>
      </c>
      <c r="B4331" s="3" t="s">
        <v>4333</v>
      </c>
      <c r="C4331" s="14">
        <v>989.63</v>
      </c>
      <c r="D4331" s="11" t="s">
        <v>5</v>
      </c>
    </row>
    <row r="4332" spans="1:4" x14ac:dyDescent="0.25">
      <c r="A4332" s="4" t="s">
        <v>8983</v>
      </c>
      <c r="B4332" s="3" t="s">
        <v>4334</v>
      </c>
      <c r="C4332" s="14">
        <v>1281.42</v>
      </c>
      <c r="D4332" s="11" t="s">
        <v>5</v>
      </c>
    </row>
    <row r="4333" spans="1:4" x14ac:dyDescent="0.25">
      <c r="A4333" s="4" t="s">
        <v>8984</v>
      </c>
      <c r="B4333" s="3" t="s">
        <v>4335</v>
      </c>
      <c r="C4333" s="14">
        <v>3468.44</v>
      </c>
      <c r="D4333" s="11" t="s">
        <v>5</v>
      </c>
    </row>
    <row r="4334" spans="1:4" x14ac:dyDescent="0.25">
      <c r="A4334" s="4" t="s">
        <v>8985</v>
      </c>
      <c r="B4334" s="3" t="s">
        <v>4336</v>
      </c>
      <c r="C4334" s="14">
        <v>3768.14</v>
      </c>
      <c r="D4334" s="11" t="s">
        <v>5</v>
      </c>
    </row>
    <row r="4335" spans="1:4" x14ac:dyDescent="0.25">
      <c r="A4335" s="4" t="s">
        <v>8986</v>
      </c>
      <c r="B4335" s="3" t="s">
        <v>4337</v>
      </c>
      <c r="C4335" s="14">
        <v>4846.5600000000004</v>
      </c>
      <c r="D4335" s="11" t="s">
        <v>5</v>
      </c>
    </row>
    <row r="4336" spans="1:4" x14ac:dyDescent="0.25">
      <c r="A4336" s="4" t="s">
        <v>8987</v>
      </c>
      <c r="B4336" s="3" t="s">
        <v>4338</v>
      </c>
      <c r="C4336" s="14">
        <v>266.45</v>
      </c>
      <c r="D4336" s="11" t="s">
        <v>5</v>
      </c>
    </row>
    <row r="4337" spans="1:4" x14ac:dyDescent="0.25">
      <c r="A4337" s="4" t="s">
        <v>8988</v>
      </c>
      <c r="B4337" s="3" t="s">
        <v>4339</v>
      </c>
      <c r="C4337" s="14">
        <v>482.13</v>
      </c>
      <c r="D4337" s="11" t="s">
        <v>5</v>
      </c>
    </row>
    <row r="4338" spans="1:4" x14ac:dyDescent="0.25">
      <c r="A4338" s="4" t="s">
        <v>8989</v>
      </c>
      <c r="B4338" s="3" t="s">
        <v>4340</v>
      </c>
      <c r="C4338" s="14">
        <v>393.32</v>
      </c>
      <c r="D4338" s="11" t="s">
        <v>5</v>
      </c>
    </row>
    <row r="4339" spans="1:4" x14ac:dyDescent="0.25">
      <c r="A4339" s="4" t="s">
        <v>8990</v>
      </c>
      <c r="B4339" s="3" t="s">
        <v>4341</v>
      </c>
      <c r="C4339" s="14">
        <v>723.18</v>
      </c>
      <c r="D4339" s="11" t="s">
        <v>5</v>
      </c>
    </row>
    <row r="4340" spans="1:4" x14ac:dyDescent="0.25">
      <c r="A4340" s="4" t="s">
        <v>8991</v>
      </c>
      <c r="B4340" s="3" t="s">
        <v>4342</v>
      </c>
      <c r="C4340" s="14">
        <v>44101.17</v>
      </c>
      <c r="D4340" s="11" t="s">
        <v>5</v>
      </c>
    </row>
    <row r="4341" spans="1:4" x14ac:dyDescent="0.25">
      <c r="A4341" s="4" t="s">
        <v>8992</v>
      </c>
      <c r="B4341" s="3" t="s">
        <v>4343</v>
      </c>
      <c r="C4341" s="14">
        <v>8125.17</v>
      </c>
      <c r="D4341" s="11" t="s">
        <v>5</v>
      </c>
    </row>
    <row r="4342" spans="1:4" x14ac:dyDescent="0.25">
      <c r="A4342" s="4" t="s">
        <v>8993</v>
      </c>
      <c r="B4342" s="3" t="s">
        <v>4344</v>
      </c>
      <c r="C4342" s="14">
        <v>30513.03</v>
      </c>
      <c r="D4342" s="11" t="s">
        <v>5</v>
      </c>
    </row>
    <row r="4343" spans="1:4" x14ac:dyDescent="0.25">
      <c r="A4343" s="4" t="s">
        <v>8994</v>
      </c>
      <c r="B4343" s="3" t="s">
        <v>4345</v>
      </c>
      <c r="C4343" s="14">
        <v>44101.17</v>
      </c>
      <c r="D4343" s="11" t="s">
        <v>5</v>
      </c>
    </row>
    <row r="4344" spans="1:4" x14ac:dyDescent="0.25">
      <c r="A4344" s="4" t="s">
        <v>8995</v>
      </c>
      <c r="B4344" s="3" t="s">
        <v>4346</v>
      </c>
      <c r="C4344" s="14">
        <v>5.82</v>
      </c>
      <c r="D4344" s="11" t="s">
        <v>107</v>
      </c>
    </row>
    <row r="4345" spans="1:4" x14ac:dyDescent="0.25">
      <c r="A4345" s="4" t="s">
        <v>8996</v>
      </c>
      <c r="B4345" s="3" t="s">
        <v>4347</v>
      </c>
      <c r="C4345" s="14">
        <v>7.37</v>
      </c>
      <c r="D4345" s="11" t="s">
        <v>107</v>
      </c>
    </row>
    <row r="4346" spans="1:4" x14ac:dyDescent="0.25">
      <c r="A4346" s="4" t="s">
        <v>8997</v>
      </c>
      <c r="B4346" s="3" t="s">
        <v>4348</v>
      </c>
      <c r="C4346" s="14">
        <v>5.88</v>
      </c>
      <c r="D4346" s="11" t="s">
        <v>107</v>
      </c>
    </row>
    <row r="4347" spans="1:4" x14ac:dyDescent="0.25">
      <c r="A4347" s="4" t="s">
        <v>8998</v>
      </c>
      <c r="B4347" s="3" t="s">
        <v>4349</v>
      </c>
      <c r="C4347" s="14">
        <v>6.29</v>
      </c>
      <c r="D4347" s="11" t="s">
        <v>107</v>
      </c>
    </row>
    <row r="4348" spans="1:4" x14ac:dyDescent="0.25">
      <c r="A4348" s="4" t="s">
        <v>8999</v>
      </c>
      <c r="B4348" s="3" t="s">
        <v>4350</v>
      </c>
      <c r="C4348" s="14">
        <v>4.8899999999999997</v>
      </c>
      <c r="D4348" s="11" t="s">
        <v>107</v>
      </c>
    </row>
    <row r="4349" spans="1:4" x14ac:dyDescent="0.25">
      <c r="A4349" s="4" t="s">
        <v>9000</v>
      </c>
      <c r="B4349" s="3" t="s">
        <v>4351</v>
      </c>
      <c r="C4349" s="14">
        <v>7.86</v>
      </c>
      <c r="D4349" s="11" t="s">
        <v>107</v>
      </c>
    </row>
    <row r="4350" spans="1:4" x14ac:dyDescent="0.25">
      <c r="A4350" s="4" t="s">
        <v>9001</v>
      </c>
      <c r="B4350" s="3" t="s">
        <v>4352</v>
      </c>
      <c r="C4350" s="14">
        <v>5545.26</v>
      </c>
      <c r="D4350" s="11" t="s">
        <v>5</v>
      </c>
    </row>
    <row r="4351" spans="1:4" x14ac:dyDescent="0.25">
      <c r="A4351" s="4" t="s">
        <v>9002</v>
      </c>
      <c r="B4351" s="3" t="s">
        <v>4353</v>
      </c>
      <c r="C4351" s="14">
        <v>7.97</v>
      </c>
      <c r="D4351" s="11" t="s">
        <v>107</v>
      </c>
    </row>
    <row r="4352" spans="1:4" x14ac:dyDescent="0.25">
      <c r="A4352" s="4" t="s">
        <v>9003</v>
      </c>
      <c r="B4352" s="3" t="s">
        <v>4354</v>
      </c>
      <c r="C4352" s="14">
        <v>6779.7</v>
      </c>
      <c r="D4352" s="11" t="s">
        <v>5</v>
      </c>
    </row>
    <row r="4353" spans="1:4" x14ac:dyDescent="0.25">
      <c r="A4353" s="4" t="s">
        <v>9004</v>
      </c>
      <c r="B4353" s="3" t="s">
        <v>4355</v>
      </c>
      <c r="C4353" s="14">
        <v>3070.34</v>
      </c>
      <c r="D4353" s="11" t="s">
        <v>5</v>
      </c>
    </row>
    <row r="4354" spans="1:4" x14ac:dyDescent="0.25">
      <c r="A4354" s="4" t="s">
        <v>9005</v>
      </c>
      <c r="B4354" s="3" t="s">
        <v>4356</v>
      </c>
      <c r="C4354" s="14">
        <v>3298.71</v>
      </c>
      <c r="D4354" s="11" t="s">
        <v>5</v>
      </c>
    </row>
    <row r="4355" spans="1:4" x14ac:dyDescent="0.25">
      <c r="A4355" s="4" t="s">
        <v>9006</v>
      </c>
      <c r="B4355" s="3" t="s">
        <v>4357</v>
      </c>
      <c r="C4355" s="14">
        <v>3514.4</v>
      </c>
      <c r="D4355" s="11" t="s">
        <v>5</v>
      </c>
    </row>
    <row r="4356" spans="1:4" x14ac:dyDescent="0.25">
      <c r="A4356" s="4" t="s">
        <v>9007</v>
      </c>
      <c r="B4356" s="3" t="s">
        <v>4358</v>
      </c>
      <c r="C4356" s="14">
        <v>3692.03</v>
      </c>
      <c r="D4356" s="11" t="s">
        <v>5</v>
      </c>
    </row>
    <row r="4357" spans="1:4" x14ac:dyDescent="0.25">
      <c r="A4357" s="4" t="s">
        <v>9008</v>
      </c>
      <c r="B4357" s="3" t="s">
        <v>4359</v>
      </c>
      <c r="C4357" s="14">
        <v>3983.82</v>
      </c>
      <c r="D4357" s="11" t="s">
        <v>5</v>
      </c>
    </row>
    <row r="4358" spans="1:4" x14ac:dyDescent="0.25">
      <c r="A4358" s="4" t="s">
        <v>9009</v>
      </c>
      <c r="B4358" s="3" t="s">
        <v>4360</v>
      </c>
      <c r="C4358" s="14">
        <v>4364.45</v>
      </c>
      <c r="D4358" s="11" t="s">
        <v>5</v>
      </c>
    </row>
    <row r="4359" spans="1:4" x14ac:dyDescent="0.25">
      <c r="A4359" s="4" t="s">
        <v>9010</v>
      </c>
      <c r="B4359" s="3" t="s">
        <v>4361</v>
      </c>
      <c r="C4359" s="14">
        <v>4719.68</v>
      </c>
      <c r="D4359" s="11" t="s">
        <v>5</v>
      </c>
    </row>
    <row r="4360" spans="1:4" x14ac:dyDescent="0.25">
      <c r="A4360" s="4" t="s">
        <v>9011</v>
      </c>
      <c r="B4360" s="3" t="s">
        <v>4362</v>
      </c>
      <c r="C4360" s="14">
        <v>5392.11</v>
      </c>
      <c r="D4360" s="11" t="s">
        <v>5</v>
      </c>
    </row>
    <row r="4361" spans="1:4" x14ac:dyDescent="0.25">
      <c r="A4361" s="4" t="s">
        <v>9012</v>
      </c>
      <c r="B4361" s="3" t="s">
        <v>4363</v>
      </c>
      <c r="C4361" s="14">
        <v>6064.56</v>
      </c>
      <c r="D4361" s="11" t="s">
        <v>5</v>
      </c>
    </row>
    <row r="4362" spans="1:4" x14ac:dyDescent="0.25">
      <c r="A4362" s="4" t="s">
        <v>9013</v>
      </c>
      <c r="B4362" s="3" t="s">
        <v>4364</v>
      </c>
      <c r="C4362" s="14">
        <v>7269.84</v>
      </c>
      <c r="D4362" s="11" t="s">
        <v>5</v>
      </c>
    </row>
    <row r="4363" spans="1:4" x14ac:dyDescent="0.25">
      <c r="A4363" s="4" t="s">
        <v>9014</v>
      </c>
      <c r="B4363" s="3" t="s">
        <v>4365</v>
      </c>
      <c r="C4363" s="14">
        <v>4183.79</v>
      </c>
      <c r="D4363" s="11" t="s">
        <v>5</v>
      </c>
    </row>
    <row r="4364" spans="1:4" x14ac:dyDescent="0.25">
      <c r="A4364" s="4" t="s">
        <v>9015</v>
      </c>
      <c r="B4364" s="3" t="s">
        <v>4366</v>
      </c>
      <c r="C4364" s="14">
        <v>3.21</v>
      </c>
      <c r="D4364" s="11" t="s">
        <v>107</v>
      </c>
    </row>
    <row r="4365" spans="1:4" x14ac:dyDescent="0.25">
      <c r="A4365" s="4" t="s">
        <v>9016</v>
      </c>
      <c r="B4365" s="3" t="s">
        <v>4367</v>
      </c>
      <c r="C4365" s="14">
        <v>3.93</v>
      </c>
      <c r="D4365" s="11" t="s">
        <v>107</v>
      </c>
    </row>
    <row r="4366" spans="1:4" x14ac:dyDescent="0.25">
      <c r="A4366" s="4" t="s">
        <v>9017</v>
      </c>
      <c r="B4366" s="3" t="s">
        <v>4368</v>
      </c>
      <c r="C4366" s="14">
        <v>5.27</v>
      </c>
      <c r="D4366" s="11" t="s">
        <v>107</v>
      </c>
    </row>
    <row r="4367" spans="1:4" x14ac:dyDescent="0.25">
      <c r="A4367" s="4" t="s">
        <v>9018</v>
      </c>
      <c r="B4367" s="3" t="s">
        <v>4369</v>
      </c>
      <c r="C4367" s="14">
        <v>3068.28</v>
      </c>
      <c r="D4367" s="11" t="s">
        <v>5</v>
      </c>
    </row>
    <row r="4368" spans="1:4" x14ac:dyDescent="0.25">
      <c r="A4368" s="4" t="s">
        <v>9019</v>
      </c>
      <c r="B4368" s="3" t="s">
        <v>4370</v>
      </c>
      <c r="C4368" s="14">
        <v>3683.88</v>
      </c>
      <c r="D4368" s="11" t="s">
        <v>5</v>
      </c>
    </row>
    <row r="4369" spans="1:4" x14ac:dyDescent="0.25">
      <c r="A4369" s="4" t="s">
        <v>9020</v>
      </c>
      <c r="B4369" s="3" t="s">
        <v>4371</v>
      </c>
      <c r="C4369" s="14">
        <v>4301.1000000000004</v>
      </c>
      <c r="D4369" s="11" t="s">
        <v>5</v>
      </c>
    </row>
    <row r="4370" spans="1:4" x14ac:dyDescent="0.25">
      <c r="A4370" s="4" t="s">
        <v>9021</v>
      </c>
      <c r="B4370" s="3" t="s">
        <v>4372</v>
      </c>
      <c r="C4370" s="14">
        <v>4918.32</v>
      </c>
      <c r="D4370" s="11" t="s">
        <v>5</v>
      </c>
    </row>
    <row r="4371" spans="1:4" x14ac:dyDescent="0.25">
      <c r="A4371" s="4" t="s">
        <v>9022</v>
      </c>
      <c r="B4371" s="3" t="s">
        <v>4373</v>
      </c>
      <c r="C4371" s="14">
        <v>5535.54</v>
      </c>
      <c r="D4371" s="11" t="s">
        <v>5</v>
      </c>
    </row>
    <row r="4372" spans="1:4" x14ac:dyDescent="0.25">
      <c r="A4372" s="4" t="s">
        <v>9023</v>
      </c>
      <c r="B4372" s="3" t="s">
        <v>4374</v>
      </c>
      <c r="C4372" s="14">
        <v>6152.76</v>
      </c>
      <c r="D4372" s="11" t="s">
        <v>5</v>
      </c>
    </row>
    <row r="4373" spans="1:4" x14ac:dyDescent="0.25">
      <c r="A4373" s="4" t="s">
        <v>9024</v>
      </c>
      <c r="B4373" s="3" t="s">
        <v>4375</v>
      </c>
      <c r="C4373" s="14">
        <v>6769.98</v>
      </c>
      <c r="D4373" s="11" t="s">
        <v>5</v>
      </c>
    </row>
    <row r="4374" spans="1:4" x14ac:dyDescent="0.25">
      <c r="A4374" s="4" t="s">
        <v>9025</v>
      </c>
      <c r="B4374" s="3" t="s">
        <v>4376</v>
      </c>
      <c r="C4374" s="14">
        <v>7387.2</v>
      </c>
      <c r="D4374" s="11" t="s">
        <v>5</v>
      </c>
    </row>
    <row r="4375" spans="1:4" x14ac:dyDescent="0.25">
      <c r="A4375" s="4" t="s">
        <v>9026</v>
      </c>
      <c r="B4375" s="3" t="s">
        <v>4377</v>
      </c>
      <c r="C4375" s="14">
        <v>8019</v>
      </c>
      <c r="D4375" s="11" t="s">
        <v>5</v>
      </c>
    </row>
    <row r="4376" spans="1:4" x14ac:dyDescent="0.25">
      <c r="A4376" s="4" t="s">
        <v>9027</v>
      </c>
      <c r="B4376" s="3" t="s">
        <v>4378</v>
      </c>
      <c r="C4376" s="14">
        <v>8647.56</v>
      </c>
      <c r="D4376" s="11" t="s">
        <v>5</v>
      </c>
    </row>
    <row r="4377" spans="1:4" x14ac:dyDescent="0.25">
      <c r="A4377" s="4" t="s">
        <v>9028</v>
      </c>
      <c r="B4377" s="3" t="s">
        <v>4379</v>
      </c>
      <c r="C4377" s="14">
        <v>87439.5</v>
      </c>
      <c r="D4377" s="11" t="s">
        <v>5</v>
      </c>
    </row>
    <row r="4378" spans="1:4" x14ac:dyDescent="0.25">
      <c r="A4378" s="4" t="s">
        <v>9029</v>
      </c>
      <c r="B4378" s="3" t="s">
        <v>4380</v>
      </c>
      <c r="C4378" s="14">
        <v>80238.600000000006</v>
      </c>
      <c r="D4378" s="11" t="s">
        <v>5</v>
      </c>
    </row>
    <row r="4379" spans="1:4" x14ac:dyDescent="0.25">
      <c r="A4379" s="4" t="s">
        <v>9030</v>
      </c>
      <c r="B4379" s="3" t="s">
        <v>4381</v>
      </c>
      <c r="C4379" s="14">
        <v>7074.8</v>
      </c>
      <c r="D4379" s="11" t="s">
        <v>5</v>
      </c>
    </row>
    <row r="4380" spans="1:4" x14ac:dyDescent="0.25">
      <c r="A4380" s="4" t="s">
        <v>9031</v>
      </c>
      <c r="B4380" s="3" t="s">
        <v>4382</v>
      </c>
      <c r="C4380" s="14">
        <v>4856.88</v>
      </c>
      <c r="D4380" s="11" t="s">
        <v>5</v>
      </c>
    </row>
    <row r="4381" spans="1:4" x14ac:dyDescent="0.25">
      <c r="A4381" s="4" t="s">
        <v>9032</v>
      </c>
      <c r="B4381" s="3" t="s">
        <v>4383</v>
      </c>
      <c r="C4381" s="14">
        <v>21649.85</v>
      </c>
      <c r="D4381" s="11" t="s">
        <v>5</v>
      </c>
    </row>
    <row r="4382" spans="1:4" x14ac:dyDescent="0.25">
      <c r="A4382" s="4" t="s">
        <v>9033</v>
      </c>
      <c r="B4382" s="3" t="s">
        <v>4384</v>
      </c>
      <c r="C4382" s="14">
        <v>66890.13</v>
      </c>
      <c r="D4382" s="11" t="s">
        <v>5</v>
      </c>
    </row>
    <row r="4383" spans="1:4" x14ac:dyDescent="0.25">
      <c r="A4383" s="4" t="s">
        <v>9034</v>
      </c>
      <c r="B4383" s="3" t="s">
        <v>4385</v>
      </c>
      <c r="C4383" s="14">
        <v>107419.61</v>
      </c>
      <c r="D4383" s="11" t="s">
        <v>5</v>
      </c>
    </row>
    <row r="4384" spans="1:4" x14ac:dyDescent="0.25">
      <c r="A4384" s="4" t="s">
        <v>9035</v>
      </c>
      <c r="B4384" s="3" t="s">
        <v>4386</v>
      </c>
      <c r="C4384" s="14">
        <v>264067.13</v>
      </c>
      <c r="D4384" s="11" t="s">
        <v>5</v>
      </c>
    </row>
    <row r="4385" spans="1:4" x14ac:dyDescent="0.25">
      <c r="A4385" s="4" t="s">
        <v>9036</v>
      </c>
      <c r="B4385" s="3" t="s">
        <v>4387</v>
      </c>
      <c r="C4385" s="14">
        <v>28702.19</v>
      </c>
      <c r="D4385" s="11" t="s">
        <v>5</v>
      </c>
    </row>
    <row r="4386" spans="1:4" x14ac:dyDescent="0.25">
      <c r="A4386" s="4" t="s">
        <v>9037</v>
      </c>
      <c r="B4386" s="3" t="s">
        <v>4388</v>
      </c>
      <c r="C4386" s="14">
        <v>76983.86</v>
      </c>
      <c r="D4386" s="11" t="s">
        <v>5</v>
      </c>
    </row>
    <row r="4387" spans="1:4" x14ac:dyDescent="0.25">
      <c r="A4387" s="4" t="s">
        <v>9038</v>
      </c>
      <c r="B4387" s="3" t="s">
        <v>4389</v>
      </c>
      <c r="C4387" s="14">
        <v>309865.83</v>
      </c>
      <c r="D4387" s="11" t="s">
        <v>5</v>
      </c>
    </row>
    <row r="4388" spans="1:4" x14ac:dyDescent="0.25">
      <c r="A4388" s="4" t="s">
        <v>9039</v>
      </c>
      <c r="B4388" s="3" t="s">
        <v>4390</v>
      </c>
      <c r="C4388" s="14">
        <v>11604.23</v>
      </c>
      <c r="D4388" s="11" t="s">
        <v>5</v>
      </c>
    </row>
    <row r="4389" spans="1:4" x14ac:dyDescent="0.25">
      <c r="A4389" s="4" t="s">
        <v>9040</v>
      </c>
      <c r="B4389" s="3" t="s">
        <v>4391</v>
      </c>
      <c r="C4389" s="14">
        <v>5734.32</v>
      </c>
      <c r="D4389" s="11" t="s">
        <v>5</v>
      </c>
    </row>
    <row r="4390" spans="1:4" x14ac:dyDescent="0.25">
      <c r="A4390" s="4" t="s">
        <v>9041</v>
      </c>
      <c r="B4390" s="3" t="s">
        <v>4392</v>
      </c>
      <c r="C4390" s="14">
        <v>5734.32</v>
      </c>
      <c r="D4390" s="11" t="s">
        <v>5</v>
      </c>
    </row>
    <row r="4391" spans="1:4" x14ac:dyDescent="0.25">
      <c r="A4391" s="4" t="s">
        <v>9042</v>
      </c>
      <c r="B4391" s="3" t="s">
        <v>4393</v>
      </c>
      <c r="C4391" s="14">
        <v>5734.32</v>
      </c>
      <c r="D4391" s="11" t="s">
        <v>5</v>
      </c>
    </row>
    <row r="4392" spans="1:4" x14ac:dyDescent="0.25">
      <c r="A4392" s="4" t="s">
        <v>9043</v>
      </c>
      <c r="B4392" s="3" t="s">
        <v>4394</v>
      </c>
      <c r="C4392" s="14">
        <v>19.760000000000002</v>
      </c>
      <c r="D4392" s="11" t="s">
        <v>107</v>
      </c>
    </row>
    <row r="4393" spans="1:4" x14ac:dyDescent="0.25">
      <c r="A4393" s="4" t="s">
        <v>9044</v>
      </c>
      <c r="B4393" s="3" t="s">
        <v>4395</v>
      </c>
      <c r="C4393" s="14">
        <v>11662.82</v>
      </c>
      <c r="D4393" s="11" t="s">
        <v>5</v>
      </c>
    </row>
    <row r="4394" spans="1:4" x14ac:dyDescent="0.25">
      <c r="A4394" s="4" t="s">
        <v>9045</v>
      </c>
      <c r="B4394" s="3" t="s">
        <v>4396</v>
      </c>
      <c r="C4394" s="14">
        <v>27.6</v>
      </c>
      <c r="D4394" s="11" t="s">
        <v>5</v>
      </c>
    </row>
    <row r="4395" spans="1:4" x14ac:dyDescent="0.25">
      <c r="A4395" s="4" t="s">
        <v>9046</v>
      </c>
      <c r="B4395" s="3" t="s">
        <v>4397</v>
      </c>
      <c r="C4395" s="14">
        <v>84.42</v>
      </c>
      <c r="D4395" s="11" t="s">
        <v>5</v>
      </c>
    </row>
    <row r="4396" spans="1:4" x14ac:dyDescent="0.25">
      <c r="A4396" s="4" t="s">
        <v>9047</v>
      </c>
      <c r="B4396" s="3" t="s">
        <v>4398</v>
      </c>
      <c r="C4396" s="14">
        <v>316.58999999999997</v>
      </c>
      <c r="D4396" s="11" t="s">
        <v>5</v>
      </c>
    </row>
    <row r="4397" spans="1:4" x14ac:dyDescent="0.25">
      <c r="A4397" s="4" t="s">
        <v>9048</v>
      </c>
      <c r="B4397" s="3" t="s">
        <v>4399</v>
      </c>
      <c r="C4397" s="14">
        <v>21154.67</v>
      </c>
      <c r="D4397" s="11" t="s">
        <v>5</v>
      </c>
    </row>
    <row r="4398" spans="1:4" x14ac:dyDescent="0.25">
      <c r="A4398" s="4" t="s">
        <v>9049</v>
      </c>
      <c r="B4398" s="3" t="s">
        <v>4400</v>
      </c>
      <c r="C4398" s="14">
        <v>13736.78</v>
      </c>
      <c r="D4398" s="11" t="s">
        <v>5</v>
      </c>
    </row>
    <row r="4399" spans="1:4" x14ac:dyDescent="0.25">
      <c r="A4399" s="4" t="s">
        <v>9050</v>
      </c>
      <c r="B4399" s="3" t="s">
        <v>4401</v>
      </c>
      <c r="C4399" s="14">
        <v>1501.14</v>
      </c>
      <c r="D4399" s="11" t="s">
        <v>5</v>
      </c>
    </row>
    <row r="4400" spans="1:4" x14ac:dyDescent="0.25">
      <c r="A4400" s="4" t="s">
        <v>9051</v>
      </c>
      <c r="B4400" s="3" t="s">
        <v>4402</v>
      </c>
      <c r="C4400" s="14">
        <v>2352.0500000000002</v>
      </c>
      <c r="D4400" s="11" t="s">
        <v>5</v>
      </c>
    </row>
    <row r="4401" spans="1:4" x14ac:dyDescent="0.25">
      <c r="A4401" s="4" t="s">
        <v>9052</v>
      </c>
      <c r="B4401" s="3" t="s">
        <v>4403</v>
      </c>
      <c r="C4401" s="14">
        <v>12.42</v>
      </c>
      <c r="D4401" s="11" t="s">
        <v>5</v>
      </c>
    </row>
    <row r="4402" spans="1:4" x14ac:dyDescent="0.25">
      <c r="A4402" s="4" t="s">
        <v>9053</v>
      </c>
      <c r="B4402" s="3" t="s">
        <v>4404</v>
      </c>
      <c r="C4402" s="14">
        <v>90.39</v>
      </c>
      <c r="D4402" s="11" t="s">
        <v>5</v>
      </c>
    </row>
    <row r="4403" spans="1:4" x14ac:dyDescent="0.25">
      <c r="A4403" s="4" t="s">
        <v>9054</v>
      </c>
      <c r="B4403" s="3" t="s">
        <v>4405</v>
      </c>
      <c r="C4403" s="14">
        <v>107.9</v>
      </c>
      <c r="D4403" s="11" t="s">
        <v>5</v>
      </c>
    </row>
    <row r="4404" spans="1:4" x14ac:dyDescent="0.25">
      <c r="A4404" s="4" t="s">
        <v>9055</v>
      </c>
      <c r="B4404" s="3" t="s">
        <v>4406</v>
      </c>
      <c r="C4404" s="14">
        <v>169.13</v>
      </c>
      <c r="D4404" s="11" t="s">
        <v>5</v>
      </c>
    </row>
    <row r="4405" spans="1:4" x14ac:dyDescent="0.25">
      <c r="A4405" s="4" t="s">
        <v>9056</v>
      </c>
      <c r="B4405" s="3" t="s">
        <v>4407</v>
      </c>
      <c r="C4405" s="14">
        <v>236.78</v>
      </c>
      <c r="D4405" s="11" t="s">
        <v>5</v>
      </c>
    </row>
    <row r="4406" spans="1:4" x14ac:dyDescent="0.25">
      <c r="A4406" s="4" t="s">
        <v>9057</v>
      </c>
      <c r="B4406" s="3" t="s">
        <v>4408</v>
      </c>
      <c r="C4406" s="14">
        <v>92.15</v>
      </c>
      <c r="D4406" s="11" t="s">
        <v>5</v>
      </c>
    </row>
    <row r="4407" spans="1:4" x14ac:dyDescent="0.25">
      <c r="A4407" s="4" t="s">
        <v>9058</v>
      </c>
      <c r="B4407" s="3" t="s">
        <v>4409</v>
      </c>
      <c r="C4407" s="14">
        <v>131.81</v>
      </c>
      <c r="D4407" s="11" t="s">
        <v>5</v>
      </c>
    </row>
    <row r="4408" spans="1:4" x14ac:dyDescent="0.25">
      <c r="A4408" s="4" t="s">
        <v>9059</v>
      </c>
      <c r="B4408" s="3" t="s">
        <v>4410</v>
      </c>
      <c r="C4408" s="14">
        <v>163.88</v>
      </c>
      <c r="D4408" s="11" t="s">
        <v>5</v>
      </c>
    </row>
    <row r="4409" spans="1:4" x14ac:dyDescent="0.25">
      <c r="A4409" s="4" t="s">
        <v>9060</v>
      </c>
      <c r="B4409" s="3" t="s">
        <v>4411</v>
      </c>
      <c r="C4409" s="14">
        <v>25.08</v>
      </c>
      <c r="D4409" s="11" t="s">
        <v>5</v>
      </c>
    </row>
    <row r="4410" spans="1:4" x14ac:dyDescent="0.25">
      <c r="A4410" s="4" t="s">
        <v>9061</v>
      </c>
      <c r="B4410" s="3" t="s">
        <v>4412</v>
      </c>
      <c r="C4410" s="14">
        <v>29.75</v>
      </c>
      <c r="D4410" s="11" t="s">
        <v>5</v>
      </c>
    </row>
    <row r="4411" spans="1:4" x14ac:dyDescent="0.25">
      <c r="A4411" s="4" t="s">
        <v>9062</v>
      </c>
      <c r="B4411" s="3" t="s">
        <v>4413</v>
      </c>
      <c r="C4411" s="14">
        <v>32.659999999999997</v>
      </c>
      <c r="D4411" s="11" t="s">
        <v>5</v>
      </c>
    </row>
    <row r="4412" spans="1:4" x14ac:dyDescent="0.25">
      <c r="A4412" s="4" t="s">
        <v>9063</v>
      </c>
      <c r="B4412" s="3" t="s">
        <v>4414</v>
      </c>
      <c r="C4412" s="14">
        <v>23.91</v>
      </c>
      <c r="D4412" s="11" t="s">
        <v>5</v>
      </c>
    </row>
    <row r="4413" spans="1:4" x14ac:dyDescent="0.25">
      <c r="A4413" s="4" t="s">
        <v>9064</v>
      </c>
      <c r="B4413" s="3" t="s">
        <v>4415</v>
      </c>
      <c r="C4413" s="14">
        <v>130.05000000000001</v>
      </c>
      <c r="D4413" s="11" t="s">
        <v>5</v>
      </c>
    </row>
    <row r="4414" spans="1:4" x14ac:dyDescent="0.25">
      <c r="A4414" s="4" t="s">
        <v>9065</v>
      </c>
      <c r="B4414" s="3" t="s">
        <v>4416</v>
      </c>
      <c r="C4414" s="14">
        <v>102.65</v>
      </c>
      <c r="D4414" s="11" t="s">
        <v>5</v>
      </c>
    </row>
    <row r="4415" spans="1:4" x14ac:dyDescent="0.25">
      <c r="A4415" s="4" t="s">
        <v>9066</v>
      </c>
      <c r="B4415" s="3" t="s">
        <v>4417</v>
      </c>
      <c r="C4415" s="14">
        <v>78.739999999999995</v>
      </c>
      <c r="D4415" s="11" t="s">
        <v>5</v>
      </c>
    </row>
    <row r="4416" spans="1:4" x14ac:dyDescent="0.25">
      <c r="A4416" s="4" t="s">
        <v>9067</v>
      </c>
      <c r="B4416" s="3" t="s">
        <v>4418</v>
      </c>
      <c r="C4416" s="14">
        <v>49.58</v>
      </c>
      <c r="D4416" s="11" t="s">
        <v>5</v>
      </c>
    </row>
    <row r="4417" spans="1:4" x14ac:dyDescent="0.25">
      <c r="A4417" s="4" t="s">
        <v>9068</v>
      </c>
      <c r="B4417" s="3" t="s">
        <v>4419</v>
      </c>
      <c r="C4417" s="14">
        <v>198.87</v>
      </c>
      <c r="D4417" s="11" t="s">
        <v>5</v>
      </c>
    </row>
    <row r="4418" spans="1:4" x14ac:dyDescent="0.25">
      <c r="A4418" s="4" t="s">
        <v>9069</v>
      </c>
      <c r="B4418" s="3" t="s">
        <v>4420</v>
      </c>
      <c r="C4418" s="14">
        <v>65.900000000000006</v>
      </c>
      <c r="D4418" s="11" t="s">
        <v>5</v>
      </c>
    </row>
    <row r="4419" spans="1:4" x14ac:dyDescent="0.25">
      <c r="A4419" s="4" t="s">
        <v>9070</v>
      </c>
      <c r="B4419" s="3" t="s">
        <v>4421</v>
      </c>
      <c r="C4419" s="14">
        <v>54.24</v>
      </c>
      <c r="D4419" s="11" t="s">
        <v>5</v>
      </c>
    </row>
    <row r="4420" spans="1:4" x14ac:dyDescent="0.25">
      <c r="A4420" s="4" t="s">
        <v>9071</v>
      </c>
      <c r="B4420" s="3" t="s">
        <v>4422</v>
      </c>
      <c r="C4420" s="14">
        <v>76.98</v>
      </c>
      <c r="D4420" s="11" t="s">
        <v>5</v>
      </c>
    </row>
    <row r="4421" spans="1:4" x14ac:dyDescent="0.25">
      <c r="A4421" s="4" t="s">
        <v>9072</v>
      </c>
      <c r="B4421" s="3" t="s">
        <v>4423</v>
      </c>
      <c r="C4421" s="14">
        <v>76.98</v>
      </c>
      <c r="D4421" s="11" t="s">
        <v>5</v>
      </c>
    </row>
    <row r="4422" spans="1:4" x14ac:dyDescent="0.25">
      <c r="A4422" s="4" t="s">
        <v>9073</v>
      </c>
      <c r="B4422" s="3" t="s">
        <v>4424</v>
      </c>
      <c r="C4422" s="14">
        <v>74.069999999999993</v>
      </c>
      <c r="D4422" s="11" t="s">
        <v>5</v>
      </c>
    </row>
    <row r="4423" spans="1:4" x14ac:dyDescent="0.25">
      <c r="A4423" s="4" t="s">
        <v>9074</v>
      </c>
      <c r="B4423" s="3" t="s">
        <v>4425</v>
      </c>
      <c r="C4423" s="14">
        <v>71.930000000000007</v>
      </c>
      <c r="D4423" s="11" t="s">
        <v>5</v>
      </c>
    </row>
    <row r="4424" spans="1:4" x14ac:dyDescent="0.25">
      <c r="A4424" s="4" t="s">
        <v>9075</v>
      </c>
      <c r="B4424" s="3" t="s">
        <v>4426</v>
      </c>
      <c r="C4424" s="14">
        <v>60.27</v>
      </c>
      <c r="D4424" s="11" t="s">
        <v>5</v>
      </c>
    </row>
    <row r="4425" spans="1:4" x14ac:dyDescent="0.25">
      <c r="A4425" s="4" t="s">
        <v>9076</v>
      </c>
      <c r="B4425" s="3" t="s">
        <v>4427</v>
      </c>
      <c r="C4425" s="14">
        <v>17.97</v>
      </c>
      <c r="D4425" s="11" t="s">
        <v>5</v>
      </c>
    </row>
    <row r="4426" spans="1:4" x14ac:dyDescent="0.25">
      <c r="A4426" s="4" t="s">
        <v>9077</v>
      </c>
      <c r="B4426" s="3" t="s">
        <v>4428</v>
      </c>
      <c r="C4426" s="14">
        <v>20.52</v>
      </c>
      <c r="D4426" s="11" t="s">
        <v>5</v>
      </c>
    </row>
    <row r="4427" spans="1:4" x14ac:dyDescent="0.25">
      <c r="A4427" s="4" t="s">
        <v>9078</v>
      </c>
      <c r="B4427" s="3" t="s">
        <v>4429</v>
      </c>
      <c r="C4427" s="14">
        <v>13.14</v>
      </c>
      <c r="D4427" s="11" t="s">
        <v>5</v>
      </c>
    </row>
    <row r="4428" spans="1:4" x14ac:dyDescent="0.25">
      <c r="A4428" s="4" t="s">
        <v>9079</v>
      </c>
      <c r="B4428" s="3" t="s">
        <v>4430</v>
      </c>
      <c r="C4428" s="14">
        <v>484.61</v>
      </c>
      <c r="D4428" s="11" t="s">
        <v>5</v>
      </c>
    </row>
    <row r="4429" spans="1:4" x14ac:dyDescent="0.25">
      <c r="A4429" s="4" t="s">
        <v>9080</v>
      </c>
      <c r="B4429" s="3" t="s">
        <v>4431</v>
      </c>
      <c r="C4429" s="14">
        <v>562.07000000000005</v>
      </c>
      <c r="D4429" s="11" t="s">
        <v>5</v>
      </c>
    </row>
    <row r="4430" spans="1:4" x14ac:dyDescent="0.25">
      <c r="A4430" s="4" t="s">
        <v>9081</v>
      </c>
      <c r="B4430" s="3" t="s">
        <v>4432</v>
      </c>
      <c r="C4430" s="14">
        <v>538.61</v>
      </c>
      <c r="D4430" s="11" t="s">
        <v>5</v>
      </c>
    </row>
    <row r="4431" spans="1:4" x14ac:dyDescent="0.25">
      <c r="A4431" s="4" t="s">
        <v>9082</v>
      </c>
      <c r="B4431" s="3" t="s">
        <v>4433</v>
      </c>
      <c r="C4431" s="14">
        <v>611.12</v>
      </c>
      <c r="D4431" s="11" t="s">
        <v>5</v>
      </c>
    </row>
    <row r="4432" spans="1:4" x14ac:dyDescent="0.25">
      <c r="A4432" s="4" t="s">
        <v>9083</v>
      </c>
      <c r="B4432" s="3" t="s">
        <v>4434</v>
      </c>
      <c r="C4432" s="14">
        <v>587.49</v>
      </c>
      <c r="D4432" s="11" t="s">
        <v>5</v>
      </c>
    </row>
    <row r="4433" spans="1:4" x14ac:dyDescent="0.25">
      <c r="A4433" s="4" t="s">
        <v>9084</v>
      </c>
      <c r="B4433" s="3" t="s">
        <v>4435</v>
      </c>
      <c r="C4433" s="14">
        <v>654.66</v>
      </c>
      <c r="D4433" s="11" t="s">
        <v>5</v>
      </c>
    </row>
    <row r="4434" spans="1:4" x14ac:dyDescent="0.25">
      <c r="A4434" s="4" t="s">
        <v>9085</v>
      </c>
      <c r="B4434" s="3" t="s">
        <v>4436</v>
      </c>
      <c r="C4434" s="14">
        <v>460.41</v>
      </c>
      <c r="D4434" s="11" t="s">
        <v>5</v>
      </c>
    </row>
    <row r="4435" spans="1:4" x14ac:dyDescent="0.25">
      <c r="A4435" s="4" t="s">
        <v>9086</v>
      </c>
      <c r="B4435" s="3" t="s">
        <v>4437</v>
      </c>
      <c r="C4435" s="14">
        <v>0</v>
      </c>
      <c r="D4435" s="11" t="s">
        <v>5</v>
      </c>
    </row>
    <row r="4436" spans="1:4" x14ac:dyDescent="0.25">
      <c r="A4436" s="4" t="s">
        <v>9087</v>
      </c>
      <c r="B4436" s="3" t="s">
        <v>4438</v>
      </c>
      <c r="C4436" s="14">
        <v>738.41</v>
      </c>
      <c r="D4436" s="11" t="s">
        <v>5</v>
      </c>
    </row>
    <row r="4437" spans="1:4" x14ac:dyDescent="0.25">
      <c r="A4437" s="4" t="s">
        <v>9088</v>
      </c>
      <c r="B4437" s="3" t="s">
        <v>4439</v>
      </c>
      <c r="C4437" s="14">
        <v>1300.71</v>
      </c>
      <c r="D4437" s="11" t="s">
        <v>5</v>
      </c>
    </row>
    <row r="4438" spans="1:4" x14ac:dyDescent="0.25">
      <c r="A4438" s="4" t="s">
        <v>9089</v>
      </c>
      <c r="B4438" s="3" t="s">
        <v>4440</v>
      </c>
      <c r="C4438" s="14">
        <v>1501.14</v>
      </c>
      <c r="D4438" s="11" t="s">
        <v>5</v>
      </c>
    </row>
    <row r="4439" spans="1:4" x14ac:dyDescent="0.25">
      <c r="A4439" s="4" t="s">
        <v>9090</v>
      </c>
      <c r="B4439" s="3" t="s">
        <v>4441</v>
      </c>
      <c r="C4439" s="14">
        <v>539.01</v>
      </c>
      <c r="D4439" s="11" t="s">
        <v>5</v>
      </c>
    </row>
    <row r="4440" spans="1:4" x14ac:dyDescent="0.25">
      <c r="A4440" s="4" t="s">
        <v>9091</v>
      </c>
      <c r="B4440" s="3" t="s">
        <v>4442</v>
      </c>
      <c r="C4440" s="14">
        <v>16876.95</v>
      </c>
      <c r="D4440" s="11" t="s">
        <v>5</v>
      </c>
    </row>
    <row r="4441" spans="1:4" x14ac:dyDescent="0.25">
      <c r="A4441" s="4" t="s">
        <v>9092</v>
      </c>
      <c r="B4441" s="3" t="s">
        <v>4443</v>
      </c>
      <c r="C4441" s="14">
        <v>1349.48</v>
      </c>
      <c r="D4441" s="11" t="s">
        <v>5</v>
      </c>
    </row>
    <row r="4442" spans="1:4" x14ac:dyDescent="0.25">
      <c r="A4442" s="4" t="s">
        <v>9093</v>
      </c>
      <c r="B4442" s="3" t="s">
        <v>4444</v>
      </c>
      <c r="C4442" s="14">
        <v>1633.59</v>
      </c>
      <c r="D4442" s="11" t="s">
        <v>5</v>
      </c>
    </row>
    <row r="4443" spans="1:4" x14ac:dyDescent="0.25">
      <c r="A4443" s="4" t="s">
        <v>9094</v>
      </c>
      <c r="B4443" s="3" t="s">
        <v>4445</v>
      </c>
      <c r="C4443" s="14">
        <v>4136.6000000000004</v>
      </c>
      <c r="D4443" s="11" t="s">
        <v>5</v>
      </c>
    </row>
    <row r="4444" spans="1:4" x14ac:dyDescent="0.25">
      <c r="A4444" s="4" t="s">
        <v>9095</v>
      </c>
      <c r="B4444" s="3" t="s">
        <v>4446</v>
      </c>
      <c r="C4444" s="14">
        <v>2299.58</v>
      </c>
      <c r="D4444" s="11" t="s">
        <v>5</v>
      </c>
    </row>
    <row r="4445" spans="1:4" x14ac:dyDescent="0.25">
      <c r="A4445" s="4" t="s">
        <v>9096</v>
      </c>
      <c r="B4445" s="3" t="s">
        <v>4447</v>
      </c>
      <c r="C4445" s="14">
        <v>4968.09</v>
      </c>
      <c r="D4445" s="11" t="s">
        <v>5</v>
      </c>
    </row>
    <row r="4446" spans="1:4" x14ac:dyDescent="0.25">
      <c r="A4446" s="4" t="s">
        <v>9097</v>
      </c>
      <c r="B4446" s="3" t="s">
        <v>4448</v>
      </c>
      <c r="C4446" s="14">
        <v>3284.28</v>
      </c>
      <c r="D4446" s="11" t="s">
        <v>5</v>
      </c>
    </row>
    <row r="4447" spans="1:4" x14ac:dyDescent="0.25">
      <c r="A4447" s="4" t="s">
        <v>9098</v>
      </c>
      <c r="B4447" s="3" t="s">
        <v>4449</v>
      </c>
      <c r="C4447" s="14">
        <v>672.12</v>
      </c>
      <c r="D4447" s="11" t="s">
        <v>5</v>
      </c>
    </row>
    <row r="4448" spans="1:4" x14ac:dyDescent="0.25">
      <c r="A4448" s="4" t="s">
        <v>9099</v>
      </c>
      <c r="B4448" s="3" t="s">
        <v>4450</v>
      </c>
      <c r="C4448" s="14">
        <v>984.9</v>
      </c>
      <c r="D4448" s="11" t="s">
        <v>5</v>
      </c>
    </row>
    <row r="4449" spans="1:4" x14ac:dyDescent="0.25">
      <c r="A4449" s="4" t="s">
        <v>9100</v>
      </c>
      <c r="B4449" s="3" t="s">
        <v>4451</v>
      </c>
      <c r="C4449" s="14">
        <v>1893.9</v>
      </c>
      <c r="D4449" s="11" t="s">
        <v>5</v>
      </c>
    </row>
    <row r="4450" spans="1:4" x14ac:dyDescent="0.25">
      <c r="A4450" s="4" t="s">
        <v>9101</v>
      </c>
      <c r="B4450" s="3" t="s">
        <v>4452</v>
      </c>
      <c r="C4450" s="14">
        <v>1472</v>
      </c>
      <c r="D4450" s="11" t="s">
        <v>5</v>
      </c>
    </row>
    <row r="4451" spans="1:4" x14ac:dyDescent="0.25">
      <c r="A4451" s="4" t="s">
        <v>9102</v>
      </c>
      <c r="B4451" s="3" t="s">
        <v>4453</v>
      </c>
      <c r="C4451" s="14">
        <v>126</v>
      </c>
      <c r="D4451" s="11" t="s">
        <v>5</v>
      </c>
    </row>
    <row r="4452" spans="1:4" x14ac:dyDescent="0.25">
      <c r="A4452" s="4" t="s">
        <v>9103</v>
      </c>
      <c r="B4452" s="3" t="s">
        <v>4454</v>
      </c>
      <c r="C4452" s="14">
        <v>118.4</v>
      </c>
      <c r="D4452" s="11" t="s">
        <v>5</v>
      </c>
    </row>
    <row r="4453" spans="1:4" x14ac:dyDescent="0.25">
      <c r="A4453" s="4" t="s">
        <v>9104</v>
      </c>
      <c r="B4453" s="3" t="s">
        <v>4455</v>
      </c>
      <c r="C4453" s="14">
        <v>103.44</v>
      </c>
      <c r="D4453" s="11" t="s">
        <v>107</v>
      </c>
    </row>
    <row r="4454" spans="1:4" x14ac:dyDescent="0.25">
      <c r="A4454" s="4" t="s">
        <v>9105</v>
      </c>
      <c r="B4454" s="3" t="s">
        <v>4456</v>
      </c>
      <c r="C4454" s="14">
        <v>158.12</v>
      </c>
      <c r="D4454" s="11" t="s">
        <v>107</v>
      </c>
    </row>
    <row r="4455" spans="1:4" x14ac:dyDescent="0.25">
      <c r="A4455" s="4" t="s">
        <v>9106</v>
      </c>
      <c r="B4455" s="3" t="s">
        <v>4457</v>
      </c>
      <c r="C4455" s="14">
        <v>7934.45</v>
      </c>
      <c r="D4455" s="11" t="s">
        <v>5</v>
      </c>
    </row>
    <row r="4456" spans="1:4" x14ac:dyDescent="0.25">
      <c r="A4456" s="4" t="s">
        <v>9107</v>
      </c>
      <c r="B4456" s="3" t="s">
        <v>4458</v>
      </c>
      <c r="C4456" s="14">
        <v>1848</v>
      </c>
      <c r="D4456" s="11" t="s">
        <v>5</v>
      </c>
    </row>
    <row r="4457" spans="1:4" x14ac:dyDescent="0.25">
      <c r="A4457" s="4" t="s">
        <v>9108</v>
      </c>
      <c r="B4457" s="3" t="s">
        <v>4459</v>
      </c>
      <c r="C4457" s="14">
        <v>550.5</v>
      </c>
      <c r="D4457" s="11" t="s">
        <v>5</v>
      </c>
    </row>
    <row r="4458" spans="1:4" x14ac:dyDescent="0.25">
      <c r="A4458" s="4" t="s">
        <v>9109</v>
      </c>
      <c r="B4458" s="3" t="s">
        <v>4460</v>
      </c>
      <c r="C4458" s="14">
        <v>1844.37</v>
      </c>
      <c r="D4458" s="11" t="s">
        <v>5</v>
      </c>
    </row>
    <row r="4459" spans="1:4" x14ac:dyDescent="0.25">
      <c r="A4459" s="4" t="s">
        <v>9110</v>
      </c>
      <c r="B4459" s="3" t="s">
        <v>4461</v>
      </c>
      <c r="C4459" s="14">
        <v>493.97</v>
      </c>
      <c r="D4459" s="11" t="s">
        <v>5</v>
      </c>
    </row>
    <row r="4460" spans="1:4" x14ac:dyDescent="0.25">
      <c r="A4460" s="4" t="s">
        <v>9111</v>
      </c>
      <c r="B4460" s="3" t="s">
        <v>4462</v>
      </c>
      <c r="C4460" s="14">
        <v>54.6</v>
      </c>
      <c r="D4460" s="11" t="s">
        <v>107</v>
      </c>
    </row>
    <row r="4461" spans="1:4" x14ac:dyDescent="0.25">
      <c r="A4461" s="4" t="s">
        <v>9112</v>
      </c>
      <c r="B4461" s="3" t="s">
        <v>4463</v>
      </c>
      <c r="C4461" s="14">
        <v>1614.32</v>
      </c>
      <c r="D4461" s="11" t="s">
        <v>5</v>
      </c>
    </row>
    <row r="4462" spans="1:4" x14ac:dyDescent="0.25">
      <c r="A4462" s="4" t="s">
        <v>9113</v>
      </c>
      <c r="B4462" s="3" t="s">
        <v>4464</v>
      </c>
      <c r="C4462" s="14">
        <v>81.89</v>
      </c>
      <c r="D4462" s="11" t="s">
        <v>5</v>
      </c>
    </row>
    <row r="4463" spans="1:4" x14ac:dyDescent="0.25">
      <c r="A4463" s="4" t="s">
        <v>9114</v>
      </c>
      <c r="B4463" s="3" t="s">
        <v>4465</v>
      </c>
      <c r="C4463" s="14">
        <v>517.61</v>
      </c>
      <c r="D4463" s="11" t="s">
        <v>5</v>
      </c>
    </row>
    <row r="4464" spans="1:4" x14ac:dyDescent="0.25">
      <c r="A4464" s="4" t="s">
        <v>9115</v>
      </c>
      <c r="B4464" s="3" t="s">
        <v>4466</v>
      </c>
      <c r="C4464" s="14">
        <v>498.59</v>
      </c>
      <c r="D4464" s="11" t="s">
        <v>5</v>
      </c>
    </row>
    <row r="4465" spans="1:4" x14ac:dyDescent="0.25">
      <c r="A4465" s="4" t="s">
        <v>9116</v>
      </c>
      <c r="B4465" s="3" t="s">
        <v>4467</v>
      </c>
      <c r="C4465" s="14">
        <v>206.84</v>
      </c>
      <c r="D4465" s="11" t="s">
        <v>5</v>
      </c>
    </row>
    <row r="4466" spans="1:4" x14ac:dyDescent="0.25">
      <c r="A4466" s="4" t="s">
        <v>9117</v>
      </c>
      <c r="B4466" s="3" t="s">
        <v>4468</v>
      </c>
      <c r="C4466" s="14">
        <v>176.66</v>
      </c>
      <c r="D4466" s="11" t="s">
        <v>5</v>
      </c>
    </row>
    <row r="4467" spans="1:4" x14ac:dyDescent="0.25">
      <c r="A4467" s="4" t="s">
        <v>9118</v>
      </c>
      <c r="B4467" s="3" t="s">
        <v>4469</v>
      </c>
      <c r="C4467" s="14">
        <v>507.29</v>
      </c>
      <c r="D4467" s="11" t="s">
        <v>5</v>
      </c>
    </row>
    <row r="4468" spans="1:4" x14ac:dyDescent="0.25">
      <c r="A4468" s="4" t="s">
        <v>9119</v>
      </c>
      <c r="B4468" s="3" t="s">
        <v>4470</v>
      </c>
      <c r="C4468" s="14">
        <v>284.51</v>
      </c>
      <c r="D4468" s="11" t="s">
        <v>5</v>
      </c>
    </row>
    <row r="4469" spans="1:4" x14ac:dyDescent="0.25">
      <c r="A4469" s="4" t="s">
        <v>9120</v>
      </c>
      <c r="B4469" s="3" t="s">
        <v>4471</v>
      </c>
      <c r="C4469" s="14">
        <v>185.82</v>
      </c>
      <c r="D4469" s="11" t="s">
        <v>5</v>
      </c>
    </row>
    <row r="4470" spans="1:4" x14ac:dyDescent="0.25">
      <c r="A4470" s="4" t="s">
        <v>9121</v>
      </c>
      <c r="B4470" s="3" t="s">
        <v>4472</v>
      </c>
      <c r="C4470" s="14">
        <v>520.79</v>
      </c>
      <c r="D4470" s="11" t="s">
        <v>5</v>
      </c>
    </row>
    <row r="4471" spans="1:4" x14ac:dyDescent="0.25">
      <c r="A4471" s="4" t="s">
        <v>9122</v>
      </c>
      <c r="B4471" s="3" t="s">
        <v>4473</v>
      </c>
      <c r="C4471" s="14">
        <v>172.95</v>
      </c>
      <c r="D4471" s="11" t="s">
        <v>5</v>
      </c>
    </row>
    <row r="4472" spans="1:4" x14ac:dyDescent="0.25">
      <c r="A4472" s="4" t="s">
        <v>9123</v>
      </c>
      <c r="B4472" s="3" t="s">
        <v>4474</v>
      </c>
      <c r="C4472" s="14">
        <v>185.82</v>
      </c>
      <c r="D4472" s="11" t="s">
        <v>5</v>
      </c>
    </row>
    <row r="4473" spans="1:4" x14ac:dyDescent="0.25">
      <c r="A4473" s="4" t="s">
        <v>9124</v>
      </c>
      <c r="B4473" s="3" t="s">
        <v>4475</v>
      </c>
      <c r="C4473" s="14">
        <v>152.96</v>
      </c>
      <c r="D4473" s="11" t="s">
        <v>5</v>
      </c>
    </row>
    <row r="4474" spans="1:4" x14ac:dyDescent="0.25">
      <c r="A4474" s="4" t="s">
        <v>9125</v>
      </c>
      <c r="B4474" s="3" t="s">
        <v>4476</v>
      </c>
      <c r="C4474" s="14">
        <v>152.96</v>
      </c>
      <c r="D4474" s="11" t="s">
        <v>5</v>
      </c>
    </row>
    <row r="4475" spans="1:4" x14ac:dyDescent="0.25">
      <c r="A4475" s="4" t="s">
        <v>9126</v>
      </c>
      <c r="B4475" s="3" t="s">
        <v>4477</v>
      </c>
      <c r="C4475" s="14">
        <v>139.97</v>
      </c>
      <c r="D4475" s="11" t="s">
        <v>5</v>
      </c>
    </row>
    <row r="4476" spans="1:4" x14ac:dyDescent="0.25">
      <c r="A4476" s="4" t="s">
        <v>9127</v>
      </c>
      <c r="B4476" s="3" t="s">
        <v>4478</v>
      </c>
      <c r="C4476" s="14">
        <v>139.97</v>
      </c>
      <c r="D4476" s="11" t="s">
        <v>5</v>
      </c>
    </row>
    <row r="4477" spans="1:4" x14ac:dyDescent="0.25">
      <c r="A4477" s="4" t="s">
        <v>9128</v>
      </c>
      <c r="B4477" s="3" t="s">
        <v>4479</v>
      </c>
      <c r="C4477" s="14">
        <v>92.15</v>
      </c>
    </row>
    <row r="4478" spans="1:4" x14ac:dyDescent="0.25">
      <c r="A4478" s="4" t="s">
        <v>9129</v>
      </c>
      <c r="B4478" s="3" t="s">
        <v>4480</v>
      </c>
      <c r="C4478" s="14">
        <v>101.48</v>
      </c>
    </row>
    <row r="4479" spans="1:4" x14ac:dyDescent="0.25">
      <c r="A4479" s="4" t="s">
        <v>9130</v>
      </c>
      <c r="B4479" s="3" t="s">
        <v>4481</v>
      </c>
      <c r="C4479" s="14">
        <v>92.15</v>
      </c>
      <c r="D4479" s="11" t="s">
        <v>5</v>
      </c>
    </row>
    <row r="4480" spans="1:4" x14ac:dyDescent="0.25">
      <c r="A4480" s="4" t="s">
        <v>9131</v>
      </c>
      <c r="B4480" s="3" t="s">
        <v>4482</v>
      </c>
      <c r="C4480" s="14">
        <v>361.65</v>
      </c>
      <c r="D4480" s="11" t="s">
        <v>5</v>
      </c>
    </row>
    <row r="4481" spans="1:4" x14ac:dyDescent="0.25">
      <c r="A4481" s="4" t="s">
        <v>9132</v>
      </c>
      <c r="B4481" s="3" t="s">
        <v>4483</v>
      </c>
      <c r="C4481" s="14">
        <v>361.65</v>
      </c>
      <c r="D4481" s="11" t="s">
        <v>5</v>
      </c>
    </row>
    <row r="4482" spans="1:4" x14ac:dyDescent="0.25">
      <c r="A4482" s="4" t="s">
        <v>9133</v>
      </c>
      <c r="B4482" s="3" t="s">
        <v>4484</v>
      </c>
      <c r="C4482" s="14">
        <v>552.41999999999996</v>
      </c>
      <c r="D4482" s="11" t="s">
        <v>5</v>
      </c>
    </row>
    <row r="4483" spans="1:4" x14ac:dyDescent="0.25">
      <c r="A4483" s="4" t="s">
        <v>9134</v>
      </c>
      <c r="B4483" s="3" t="s">
        <v>4485</v>
      </c>
      <c r="C4483" s="14">
        <v>331.44</v>
      </c>
      <c r="D4483" s="11" t="s">
        <v>5</v>
      </c>
    </row>
    <row r="4484" spans="1:4" x14ac:dyDescent="0.25">
      <c r="A4484" s="4" t="s">
        <v>9135</v>
      </c>
      <c r="B4484" s="3" t="s">
        <v>4486</v>
      </c>
      <c r="C4484" s="14">
        <v>361.65</v>
      </c>
      <c r="D4484" s="11" t="s">
        <v>5</v>
      </c>
    </row>
    <row r="4485" spans="1:4" x14ac:dyDescent="0.25">
      <c r="A4485" s="4" t="s">
        <v>9136</v>
      </c>
      <c r="B4485" s="3" t="s">
        <v>4487</v>
      </c>
      <c r="C4485" s="14">
        <v>73.86</v>
      </c>
      <c r="D4485" s="11" t="s">
        <v>5</v>
      </c>
    </row>
    <row r="4486" spans="1:4" x14ac:dyDescent="0.25">
      <c r="A4486" s="4" t="s">
        <v>9137</v>
      </c>
      <c r="B4486" s="3" t="s">
        <v>4488</v>
      </c>
      <c r="C4486" s="14">
        <v>126.23</v>
      </c>
      <c r="D4486" s="11" t="s">
        <v>5</v>
      </c>
    </row>
    <row r="4487" spans="1:4" x14ac:dyDescent="0.25">
      <c r="A4487" s="4" t="s">
        <v>9138</v>
      </c>
      <c r="B4487" s="3" t="s">
        <v>4489</v>
      </c>
      <c r="C4487" s="14">
        <v>116.51</v>
      </c>
      <c r="D4487" s="11" t="s">
        <v>5</v>
      </c>
    </row>
    <row r="4488" spans="1:4" x14ac:dyDescent="0.25">
      <c r="A4488" s="4" t="s">
        <v>9139</v>
      </c>
      <c r="B4488" s="3" t="s">
        <v>4490</v>
      </c>
      <c r="C4488" s="14">
        <v>98.87</v>
      </c>
      <c r="D4488" s="11" t="s">
        <v>5</v>
      </c>
    </row>
    <row r="4489" spans="1:4" x14ac:dyDescent="0.25">
      <c r="A4489" s="4" t="s">
        <v>9140</v>
      </c>
      <c r="B4489" s="3" t="s">
        <v>4491</v>
      </c>
      <c r="C4489" s="14">
        <v>935.96</v>
      </c>
      <c r="D4489" s="11" t="s">
        <v>5</v>
      </c>
    </row>
    <row r="4490" spans="1:4" x14ac:dyDescent="0.25">
      <c r="A4490" s="4" t="s">
        <v>9141</v>
      </c>
      <c r="B4490" s="3" t="s">
        <v>4492</v>
      </c>
      <c r="C4490" s="14">
        <v>1564.5</v>
      </c>
      <c r="D4490" s="11" t="s">
        <v>5</v>
      </c>
    </row>
    <row r="4491" spans="1:4" x14ac:dyDescent="0.25">
      <c r="A4491" s="4" t="s">
        <v>9142</v>
      </c>
      <c r="B4491" s="3" t="s">
        <v>4493</v>
      </c>
      <c r="C4491" s="14">
        <v>3.75</v>
      </c>
      <c r="D4491" s="11" t="s">
        <v>107</v>
      </c>
    </row>
    <row r="4492" spans="1:4" x14ac:dyDescent="0.25">
      <c r="A4492" s="4" t="s">
        <v>9143</v>
      </c>
      <c r="B4492" s="3" t="s">
        <v>4494</v>
      </c>
      <c r="C4492" s="14">
        <v>3324.08</v>
      </c>
      <c r="D4492" s="11" t="s">
        <v>5</v>
      </c>
    </row>
    <row r="4493" spans="1:4" x14ac:dyDescent="0.25">
      <c r="A4493" s="4" t="s">
        <v>9144</v>
      </c>
      <c r="B4493" s="3" t="s">
        <v>4495</v>
      </c>
      <c r="C4493" s="14">
        <v>3983.82</v>
      </c>
      <c r="D4493" s="11" t="s">
        <v>5</v>
      </c>
    </row>
    <row r="4494" spans="1:4" x14ac:dyDescent="0.25">
      <c r="A4494" s="4" t="s">
        <v>9145</v>
      </c>
      <c r="B4494" s="3" t="s">
        <v>4496</v>
      </c>
      <c r="C4494" s="14">
        <v>3.48</v>
      </c>
      <c r="D4494" s="11" t="s">
        <v>107</v>
      </c>
    </row>
    <row r="4495" spans="1:4" x14ac:dyDescent="0.25">
      <c r="A4495" s="4" t="s">
        <v>9146</v>
      </c>
      <c r="B4495" s="3" t="s">
        <v>4497</v>
      </c>
      <c r="C4495" s="14">
        <v>3.53</v>
      </c>
      <c r="D4495" s="11" t="s">
        <v>107</v>
      </c>
    </row>
    <row r="4496" spans="1:4" x14ac:dyDescent="0.25">
      <c r="A4496" s="4" t="s">
        <v>9147</v>
      </c>
      <c r="B4496" s="3" t="s">
        <v>4498</v>
      </c>
      <c r="C4496" s="14">
        <v>522.04999999999995</v>
      </c>
      <c r="D4496" s="11" t="s">
        <v>5</v>
      </c>
    </row>
    <row r="4497" spans="1:4" x14ac:dyDescent="0.25">
      <c r="A4497" s="4" t="s">
        <v>9148</v>
      </c>
      <c r="B4497" s="3" t="s">
        <v>4499</v>
      </c>
      <c r="C4497" s="14">
        <v>2072.04</v>
      </c>
      <c r="D4497" s="11" t="s">
        <v>5</v>
      </c>
    </row>
    <row r="4498" spans="1:4" x14ac:dyDescent="0.25">
      <c r="A4498" s="4" t="s">
        <v>9149</v>
      </c>
      <c r="B4498" s="3" t="s">
        <v>4500</v>
      </c>
      <c r="C4498" s="14">
        <v>1912.2</v>
      </c>
      <c r="D4498" s="11" t="s">
        <v>5</v>
      </c>
    </row>
    <row r="4499" spans="1:4" x14ac:dyDescent="0.25">
      <c r="A4499" s="4" t="s">
        <v>9150</v>
      </c>
      <c r="B4499" s="3" t="s">
        <v>4501</v>
      </c>
      <c r="C4499" s="14">
        <v>1714.58</v>
      </c>
      <c r="D4499" s="11" t="s">
        <v>5</v>
      </c>
    </row>
    <row r="4500" spans="1:4" x14ac:dyDescent="0.25">
      <c r="A4500" s="4" t="s">
        <v>9151</v>
      </c>
      <c r="B4500" s="3" t="s">
        <v>4502</v>
      </c>
      <c r="C4500" s="14">
        <v>1852.55</v>
      </c>
      <c r="D4500" s="11" t="s">
        <v>5</v>
      </c>
    </row>
    <row r="4501" spans="1:4" x14ac:dyDescent="0.25">
      <c r="A4501" s="4" t="s">
        <v>9152</v>
      </c>
      <c r="B4501" s="3" t="s">
        <v>4503</v>
      </c>
      <c r="C4501" s="14">
        <v>2951.61</v>
      </c>
      <c r="D4501" s="11" t="s">
        <v>5</v>
      </c>
    </row>
    <row r="4502" spans="1:4" x14ac:dyDescent="0.25">
      <c r="A4502" s="4" t="s">
        <v>9153</v>
      </c>
      <c r="B4502" s="3" t="s">
        <v>4504</v>
      </c>
      <c r="C4502" s="14">
        <v>2402.48</v>
      </c>
      <c r="D4502" s="11" t="s">
        <v>5</v>
      </c>
    </row>
    <row r="4503" spans="1:4" x14ac:dyDescent="0.25">
      <c r="A4503" s="4" t="s">
        <v>9154</v>
      </c>
      <c r="B4503" s="3" t="s">
        <v>4505</v>
      </c>
      <c r="C4503" s="14">
        <v>4256.21</v>
      </c>
      <c r="D4503" s="11" t="s">
        <v>5</v>
      </c>
    </row>
    <row r="4504" spans="1:4" x14ac:dyDescent="0.25">
      <c r="A4504" s="4" t="s">
        <v>9155</v>
      </c>
      <c r="B4504" s="3" t="s">
        <v>4506</v>
      </c>
      <c r="C4504" s="14">
        <v>2552.37</v>
      </c>
      <c r="D4504" s="11" t="s">
        <v>5</v>
      </c>
    </row>
    <row r="4505" spans="1:4" x14ac:dyDescent="0.25">
      <c r="A4505" s="4" t="s">
        <v>9156</v>
      </c>
      <c r="B4505" s="3" t="s">
        <v>4507</v>
      </c>
      <c r="C4505" s="14">
        <v>4138.5200000000004</v>
      </c>
      <c r="D4505" s="11" t="s">
        <v>5</v>
      </c>
    </row>
    <row r="4506" spans="1:4" x14ac:dyDescent="0.25">
      <c r="A4506" s="4" t="s">
        <v>9157</v>
      </c>
      <c r="B4506" s="3" t="s">
        <v>4508</v>
      </c>
      <c r="C4506" s="14">
        <v>6999.17</v>
      </c>
      <c r="D4506" s="11" t="s">
        <v>5</v>
      </c>
    </row>
    <row r="4507" spans="1:4" x14ac:dyDescent="0.25">
      <c r="A4507" s="4" t="s">
        <v>9158</v>
      </c>
      <c r="B4507" s="3" t="s">
        <v>4509</v>
      </c>
      <c r="C4507" s="14">
        <v>1466.64</v>
      </c>
      <c r="D4507" s="11" t="s">
        <v>5</v>
      </c>
    </row>
    <row r="4508" spans="1:4" x14ac:dyDescent="0.25">
      <c r="A4508" s="4" t="s">
        <v>9159</v>
      </c>
      <c r="B4508" s="3" t="s">
        <v>4510</v>
      </c>
      <c r="C4508" s="14">
        <v>39.770000000000003</v>
      </c>
      <c r="D4508" s="11" t="s">
        <v>107</v>
      </c>
    </row>
    <row r="4509" spans="1:4" x14ac:dyDescent="0.25">
      <c r="A4509" s="4" t="s">
        <v>9160</v>
      </c>
      <c r="B4509" s="3" t="s">
        <v>4511</v>
      </c>
      <c r="C4509" s="14">
        <v>25.64</v>
      </c>
      <c r="D4509" s="11" t="s">
        <v>107</v>
      </c>
    </row>
    <row r="4510" spans="1:4" x14ac:dyDescent="0.25">
      <c r="A4510" s="4" t="s">
        <v>9161</v>
      </c>
      <c r="B4510" s="3" t="s">
        <v>4512</v>
      </c>
      <c r="C4510" s="14">
        <v>25.64</v>
      </c>
      <c r="D4510" s="11" t="s">
        <v>107</v>
      </c>
    </row>
    <row r="4511" spans="1:4" x14ac:dyDescent="0.25">
      <c r="A4511" s="4" t="s">
        <v>9162</v>
      </c>
      <c r="B4511" s="3" t="s">
        <v>4513</v>
      </c>
      <c r="C4511" s="14">
        <v>44.19</v>
      </c>
      <c r="D4511" s="11" t="s">
        <v>107</v>
      </c>
    </row>
    <row r="4512" spans="1:4" x14ac:dyDescent="0.25">
      <c r="A4512" s="4" t="s">
        <v>9163</v>
      </c>
      <c r="B4512" s="3" t="s">
        <v>4514</v>
      </c>
      <c r="C4512" s="14">
        <v>35.880000000000003</v>
      </c>
      <c r="D4512" s="11" t="s">
        <v>107</v>
      </c>
    </row>
    <row r="4513" spans="1:4" x14ac:dyDescent="0.25">
      <c r="A4513" s="4" t="s">
        <v>9164</v>
      </c>
      <c r="B4513" s="3" t="s">
        <v>4515</v>
      </c>
      <c r="C4513" s="14">
        <v>25.64</v>
      </c>
      <c r="D4513" s="11" t="s">
        <v>107</v>
      </c>
    </row>
    <row r="4514" spans="1:4" x14ac:dyDescent="0.25">
      <c r="A4514" s="4" t="s">
        <v>9165</v>
      </c>
      <c r="B4514" s="3" t="s">
        <v>4516</v>
      </c>
      <c r="C4514" s="14">
        <v>25.64</v>
      </c>
      <c r="D4514" s="11" t="s">
        <v>107</v>
      </c>
    </row>
    <row r="4515" spans="1:4" x14ac:dyDescent="0.25">
      <c r="A4515" s="4" t="s">
        <v>9166</v>
      </c>
      <c r="B4515" s="3" t="s">
        <v>4517</v>
      </c>
      <c r="C4515" s="14">
        <v>25.64</v>
      </c>
      <c r="D4515" s="11" t="s">
        <v>107</v>
      </c>
    </row>
    <row r="4516" spans="1:4" x14ac:dyDescent="0.25">
      <c r="A4516" s="4" t="s">
        <v>9167</v>
      </c>
      <c r="B4516" s="3" t="s">
        <v>4518</v>
      </c>
      <c r="C4516" s="14">
        <v>41.1</v>
      </c>
      <c r="D4516" s="11" t="s">
        <v>107</v>
      </c>
    </row>
    <row r="4517" spans="1:4" x14ac:dyDescent="0.25">
      <c r="A4517" s="4" t="s">
        <v>9168</v>
      </c>
      <c r="B4517" s="3" t="s">
        <v>4519</v>
      </c>
      <c r="C4517" s="14">
        <v>35.880000000000003</v>
      </c>
      <c r="D4517" s="11" t="s">
        <v>107</v>
      </c>
    </row>
    <row r="4518" spans="1:4" x14ac:dyDescent="0.25">
      <c r="A4518" s="4" t="s">
        <v>9169</v>
      </c>
      <c r="B4518" s="3" t="s">
        <v>4520</v>
      </c>
      <c r="C4518" s="14">
        <v>35.880000000000003</v>
      </c>
      <c r="D4518" s="11" t="s">
        <v>107</v>
      </c>
    </row>
    <row r="4519" spans="1:4" x14ac:dyDescent="0.25">
      <c r="A4519" s="4" t="s">
        <v>9170</v>
      </c>
      <c r="B4519" s="3" t="s">
        <v>4521</v>
      </c>
      <c r="C4519" s="14">
        <v>34875.360000000001</v>
      </c>
      <c r="D4519" s="11" t="s">
        <v>5</v>
      </c>
    </row>
    <row r="4520" spans="1:4" x14ac:dyDescent="0.25">
      <c r="A4520" s="4" t="s">
        <v>9171</v>
      </c>
      <c r="B4520" s="3" t="s">
        <v>4522</v>
      </c>
      <c r="C4520" s="14">
        <v>39407.480000000003</v>
      </c>
      <c r="D4520" s="11" t="s">
        <v>5</v>
      </c>
    </row>
    <row r="4521" spans="1:4" x14ac:dyDescent="0.25">
      <c r="A4521" s="4" t="s">
        <v>9172</v>
      </c>
      <c r="B4521" s="3" t="s">
        <v>4523</v>
      </c>
      <c r="C4521" s="14">
        <v>1623.17</v>
      </c>
      <c r="D4521" s="11" t="s">
        <v>5</v>
      </c>
    </row>
    <row r="4522" spans="1:4" x14ac:dyDescent="0.25">
      <c r="A4522" s="4" t="s">
        <v>9173</v>
      </c>
      <c r="B4522" s="3" t="s">
        <v>4524</v>
      </c>
      <c r="C4522" s="14">
        <v>1478.36</v>
      </c>
      <c r="D4522" s="11" t="s">
        <v>5</v>
      </c>
    </row>
    <row r="4523" spans="1:4" x14ac:dyDescent="0.25">
      <c r="A4523" s="4" t="s">
        <v>9174</v>
      </c>
      <c r="B4523" s="3" t="s">
        <v>4525</v>
      </c>
      <c r="C4523" s="14">
        <v>6521.3</v>
      </c>
      <c r="D4523" s="11" t="s">
        <v>5</v>
      </c>
    </row>
    <row r="4524" spans="1:4" x14ac:dyDescent="0.25">
      <c r="A4524" s="4" t="s">
        <v>9175</v>
      </c>
      <c r="B4524" s="3" t="s">
        <v>4526</v>
      </c>
      <c r="C4524" s="14">
        <v>2137.38</v>
      </c>
      <c r="D4524" s="11" t="s">
        <v>5</v>
      </c>
    </row>
    <row r="4525" spans="1:4" x14ac:dyDescent="0.25">
      <c r="A4525" s="4" t="s">
        <v>9176</v>
      </c>
      <c r="B4525" s="3" t="s">
        <v>4527</v>
      </c>
      <c r="C4525" s="14">
        <v>3130.19</v>
      </c>
      <c r="D4525" s="11" t="s">
        <v>5</v>
      </c>
    </row>
    <row r="4526" spans="1:4" x14ac:dyDescent="0.25">
      <c r="A4526" s="4" t="s">
        <v>9177</v>
      </c>
      <c r="B4526" s="3" t="s">
        <v>4528</v>
      </c>
      <c r="C4526" s="14">
        <v>647.05999999999995</v>
      </c>
      <c r="D4526" s="11" t="s">
        <v>5</v>
      </c>
    </row>
    <row r="4527" spans="1:4" x14ac:dyDescent="0.25">
      <c r="A4527" s="4" t="s">
        <v>9178</v>
      </c>
      <c r="B4527" s="3" t="s">
        <v>4529</v>
      </c>
      <c r="C4527" s="14">
        <v>888.11</v>
      </c>
      <c r="D4527" s="11" t="s">
        <v>5</v>
      </c>
    </row>
    <row r="4528" spans="1:4" x14ac:dyDescent="0.25">
      <c r="A4528" s="4" t="s">
        <v>9179</v>
      </c>
      <c r="B4528" s="3" t="s">
        <v>4530</v>
      </c>
      <c r="C4528" s="14">
        <v>2943.45</v>
      </c>
      <c r="D4528" s="11" t="s">
        <v>5</v>
      </c>
    </row>
    <row r="4529" spans="1:4" x14ac:dyDescent="0.25">
      <c r="A4529" s="4" t="s">
        <v>9180</v>
      </c>
      <c r="B4529" s="3" t="s">
        <v>4531</v>
      </c>
      <c r="C4529" s="14">
        <v>4059.95</v>
      </c>
      <c r="D4529" s="11" t="s">
        <v>5</v>
      </c>
    </row>
    <row r="4530" spans="1:4" x14ac:dyDescent="0.25">
      <c r="A4530" s="4" t="s">
        <v>9181</v>
      </c>
      <c r="B4530" s="3" t="s">
        <v>4532</v>
      </c>
      <c r="C4530" s="14">
        <v>6813.11</v>
      </c>
      <c r="D4530" s="11" t="s">
        <v>5</v>
      </c>
    </row>
    <row r="4531" spans="1:4" x14ac:dyDescent="0.25">
      <c r="A4531" s="4" t="s">
        <v>9182</v>
      </c>
      <c r="B4531" s="3" t="s">
        <v>4533</v>
      </c>
      <c r="C4531" s="14">
        <v>3007.92</v>
      </c>
      <c r="D4531" s="11" t="s">
        <v>5</v>
      </c>
    </row>
    <row r="4532" spans="1:4" x14ac:dyDescent="0.25">
      <c r="A4532" s="4" t="s">
        <v>9183</v>
      </c>
      <c r="B4532" s="3" t="s">
        <v>4534</v>
      </c>
      <c r="C4532" s="14">
        <v>25.79</v>
      </c>
      <c r="D4532" s="11" t="s">
        <v>107</v>
      </c>
    </row>
    <row r="4533" spans="1:4" x14ac:dyDescent="0.25">
      <c r="A4533" s="4" t="s">
        <v>9184</v>
      </c>
      <c r="B4533" s="3" t="s">
        <v>4535</v>
      </c>
      <c r="C4533" s="14">
        <v>29.67</v>
      </c>
      <c r="D4533" s="11" t="s">
        <v>107</v>
      </c>
    </row>
    <row r="4534" spans="1:4" x14ac:dyDescent="0.25">
      <c r="A4534" s="4" t="s">
        <v>9185</v>
      </c>
      <c r="B4534" s="3" t="s">
        <v>4536</v>
      </c>
      <c r="C4534" s="14">
        <v>25.79</v>
      </c>
      <c r="D4534" s="11" t="s">
        <v>107</v>
      </c>
    </row>
    <row r="4535" spans="1:4" x14ac:dyDescent="0.25">
      <c r="A4535" s="4" t="s">
        <v>9186</v>
      </c>
      <c r="B4535" s="3" t="s">
        <v>4537</v>
      </c>
      <c r="C4535" s="14">
        <v>29.67</v>
      </c>
      <c r="D4535" s="11" t="s">
        <v>107</v>
      </c>
    </row>
    <row r="4536" spans="1:4" x14ac:dyDescent="0.25">
      <c r="A4536" s="4" t="s">
        <v>9187</v>
      </c>
      <c r="B4536" s="3" t="s">
        <v>4538</v>
      </c>
      <c r="C4536" s="14">
        <v>23.67</v>
      </c>
      <c r="D4536" s="11" t="s">
        <v>107</v>
      </c>
    </row>
    <row r="4537" spans="1:4" x14ac:dyDescent="0.25">
      <c r="A4537" s="4" t="s">
        <v>9188</v>
      </c>
      <c r="B4537" s="3" t="s">
        <v>4539</v>
      </c>
      <c r="C4537" s="14">
        <v>30.72</v>
      </c>
      <c r="D4537" s="11" t="s">
        <v>107</v>
      </c>
    </row>
    <row r="4538" spans="1:4" x14ac:dyDescent="0.25">
      <c r="A4538" s="4" t="s">
        <v>9189</v>
      </c>
      <c r="B4538" s="3" t="s">
        <v>4540</v>
      </c>
      <c r="C4538" s="14">
        <v>23.67</v>
      </c>
      <c r="D4538" s="11" t="s">
        <v>107</v>
      </c>
    </row>
    <row r="4539" spans="1:4" x14ac:dyDescent="0.25">
      <c r="A4539" s="4" t="s">
        <v>9190</v>
      </c>
      <c r="B4539" s="3" t="s">
        <v>4541</v>
      </c>
      <c r="C4539" s="14">
        <v>32667.119999999999</v>
      </c>
      <c r="D4539" s="11" t="s">
        <v>5</v>
      </c>
    </row>
    <row r="4540" spans="1:4" x14ac:dyDescent="0.25">
      <c r="A4540" s="4" t="s">
        <v>9191</v>
      </c>
      <c r="B4540" s="3" t="s">
        <v>4542</v>
      </c>
      <c r="C4540" s="14">
        <v>20861.07</v>
      </c>
      <c r="D4540" s="11" t="s">
        <v>5</v>
      </c>
    </row>
    <row r="4541" spans="1:4" x14ac:dyDescent="0.25">
      <c r="A4541" s="4" t="s">
        <v>9192</v>
      </c>
      <c r="B4541" s="3" t="s">
        <v>4543</v>
      </c>
      <c r="C4541" s="14">
        <v>14097.44</v>
      </c>
      <c r="D4541" s="11" t="s">
        <v>5</v>
      </c>
    </row>
    <row r="4542" spans="1:4" x14ac:dyDescent="0.25">
      <c r="A4542" s="4" t="s">
        <v>9193</v>
      </c>
      <c r="B4542" s="3" t="s">
        <v>4544</v>
      </c>
      <c r="C4542" s="14">
        <v>6086.24</v>
      </c>
      <c r="D4542" s="11" t="s">
        <v>5</v>
      </c>
    </row>
    <row r="4543" spans="1:4" x14ac:dyDescent="0.25">
      <c r="A4543" s="4" t="s">
        <v>9194</v>
      </c>
      <c r="B4543" s="3" t="s">
        <v>4545</v>
      </c>
      <c r="C4543" s="14">
        <v>49454.720000000001</v>
      </c>
      <c r="D4543" s="11" t="s">
        <v>5</v>
      </c>
    </row>
    <row r="4544" spans="1:4" x14ac:dyDescent="0.25">
      <c r="A4544" s="4" t="s">
        <v>9195</v>
      </c>
      <c r="B4544" s="3" t="s">
        <v>4546</v>
      </c>
      <c r="C4544" s="14">
        <v>8530.3799999999992</v>
      </c>
      <c r="D4544" s="11" t="s">
        <v>5</v>
      </c>
    </row>
    <row r="4545" spans="1:4" x14ac:dyDescent="0.25">
      <c r="A4545" s="4" t="s">
        <v>9196</v>
      </c>
      <c r="B4545" s="3" t="s">
        <v>4547</v>
      </c>
      <c r="C4545" s="14">
        <v>4871.93</v>
      </c>
      <c r="D4545" s="11" t="s">
        <v>5</v>
      </c>
    </row>
    <row r="4546" spans="1:4" x14ac:dyDescent="0.25">
      <c r="A4546" s="4" t="s">
        <v>9197</v>
      </c>
      <c r="B4546" s="3" t="s">
        <v>4548</v>
      </c>
      <c r="C4546" s="14">
        <v>7079.54</v>
      </c>
      <c r="D4546" s="11" t="s">
        <v>5</v>
      </c>
    </row>
    <row r="4547" spans="1:4" x14ac:dyDescent="0.25">
      <c r="A4547" s="4" t="s">
        <v>9198</v>
      </c>
      <c r="B4547" s="3" t="s">
        <v>4549</v>
      </c>
      <c r="C4547" s="14">
        <v>11545.47</v>
      </c>
      <c r="D4547" s="11" t="s">
        <v>5</v>
      </c>
    </row>
    <row r="4548" spans="1:4" x14ac:dyDescent="0.25">
      <c r="A4548" s="4" t="s">
        <v>9199</v>
      </c>
      <c r="B4548" s="3" t="s">
        <v>4550</v>
      </c>
      <c r="C4548" s="14">
        <v>16353.96</v>
      </c>
      <c r="D4548" s="11" t="s">
        <v>5</v>
      </c>
    </row>
    <row r="4549" spans="1:4" x14ac:dyDescent="0.25">
      <c r="A4549" s="4" t="s">
        <v>9200</v>
      </c>
      <c r="B4549" s="3" t="s">
        <v>4551</v>
      </c>
      <c r="C4549" s="14">
        <v>25235.1</v>
      </c>
      <c r="D4549" s="11" t="s">
        <v>5</v>
      </c>
    </row>
    <row r="4550" spans="1:4" x14ac:dyDescent="0.25">
      <c r="A4550" s="4" t="s">
        <v>9201</v>
      </c>
      <c r="B4550" s="3" t="s">
        <v>4552</v>
      </c>
      <c r="C4550" s="14">
        <v>38670.99</v>
      </c>
      <c r="D4550" s="11" t="s">
        <v>5</v>
      </c>
    </row>
    <row r="4551" spans="1:4" x14ac:dyDescent="0.25">
      <c r="A4551" s="4" t="s">
        <v>9202</v>
      </c>
      <c r="B4551" s="3" t="s">
        <v>4553</v>
      </c>
      <c r="C4551" s="14">
        <v>95142.32</v>
      </c>
      <c r="D4551" s="11" t="s">
        <v>5</v>
      </c>
    </row>
    <row r="4552" spans="1:4" x14ac:dyDescent="0.25">
      <c r="A4552" s="4" t="s">
        <v>9203</v>
      </c>
      <c r="B4552" s="3" t="s">
        <v>4554</v>
      </c>
      <c r="C4552" s="14">
        <v>144635.60999999999</v>
      </c>
      <c r="D4552" s="11" t="s">
        <v>5</v>
      </c>
    </row>
    <row r="4553" spans="1:4" x14ac:dyDescent="0.25">
      <c r="A4553" s="4" t="s">
        <v>9204</v>
      </c>
      <c r="B4553" s="3" t="s">
        <v>4555</v>
      </c>
      <c r="C4553" s="14">
        <v>37199.64</v>
      </c>
      <c r="D4553" s="11" t="s">
        <v>5</v>
      </c>
    </row>
    <row r="4554" spans="1:4" x14ac:dyDescent="0.25">
      <c r="A4554" s="4" t="s">
        <v>9205</v>
      </c>
      <c r="B4554" s="3" t="s">
        <v>4556</v>
      </c>
      <c r="C4554" s="14">
        <v>23081.58</v>
      </c>
      <c r="D4554" s="11" t="s">
        <v>5</v>
      </c>
    </row>
    <row r="4555" spans="1:4" x14ac:dyDescent="0.25">
      <c r="A4555" s="4" t="s">
        <v>9206</v>
      </c>
      <c r="B4555" s="3" t="s">
        <v>4557</v>
      </c>
      <c r="C4555" s="14">
        <v>17095.43</v>
      </c>
      <c r="D4555" s="11" t="s">
        <v>5</v>
      </c>
    </row>
    <row r="4556" spans="1:4" x14ac:dyDescent="0.25">
      <c r="A4556" s="4" t="s">
        <v>9207</v>
      </c>
      <c r="B4556" s="3" t="s">
        <v>4558</v>
      </c>
      <c r="C4556" s="14">
        <v>7209</v>
      </c>
      <c r="D4556" s="11" t="s">
        <v>5</v>
      </c>
    </row>
    <row r="4557" spans="1:4" x14ac:dyDescent="0.25">
      <c r="A4557" s="4" t="s">
        <v>9208</v>
      </c>
      <c r="B4557" s="3" t="s">
        <v>4559</v>
      </c>
      <c r="C4557" s="14">
        <v>136761.62</v>
      </c>
      <c r="D4557" s="11" t="s">
        <v>5</v>
      </c>
    </row>
    <row r="4558" spans="1:4" x14ac:dyDescent="0.25">
      <c r="A4558" s="4" t="s">
        <v>9209</v>
      </c>
      <c r="B4558" s="3" t="s">
        <v>4560</v>
      </c>
      <c r="C4558" s="14">
        <v>55570.67</v>
      </c>
      <c r="D4558" s="11" t="s">
        <v>5</v>
      </c>
    </row>
    <row r="4559" spans="1:4" x14ac:dyDescent="0.25">
      <c r="A4559" s="4" t="s">
        <v>9210</v>
      </c>
      <c r="B4559" s="3" t="s">
        <v>4561</v>
      </c>
      <c r="C4559" s="14">
        <v>206247.77</v>
      </c>
      <c r="D4559" s="11" t="s">
        <v>5</v>
      </c>
    </row>
    <row r="4560" spans="1:4" x14ac:dyDescent="0.25">
      <c r="A4560" s="4" t="s">
        <v>9211</v>
      </c>
      <c r="B4560" s="3" t="s">
        <v>4562</v>
      </c>
      <c r="C4560" s="14">
        <v>10557.35</v>
      </c>
      <c r="D4560" s="11" t="s">
        <v>5</v>
      </c>
    </row>
    <row r="4561" spans="1:4" x14ac:dyDescent="0.25">
      <c r="A4561" s="4" t="s">
        <v>9212</v>
      </c>
      <c r="B4561" s="3" t="s">
        <v>4563</v>
      </c>
      <c r="C4561" s="14">
        <v>360815.03</v>
      </c>
      <c r="D4561" s="11" t="s">
        <v>5</v>
      </c>
    </row>
    <row r="4562" spans="1:4" x14ac:dyDescent="0.25">
      <c r="A4562" s="4" t="s">
        <v>9213</v>
      </c>
      <c r="B4562" s="3" t="s">
        <v>4564</v>
      </c>
      <c r="C4562" s="14">
        <v>888.11</v>
      </c>
      <c r="D4562" s="11" t="s">
        <v>5</v>
      </c>
    </row>
    <row r="4563" spans="1:4" x14ac:dyDescent="0.25">
      <c r="A4563" s="4" t="s">
        <v>9214</v>
      </c>
      <c r="B4563" s="3" t="s">
        <v>4565</v>
      </c>
      <c r="C4563" s="14">
        <v>1243.3699999999999</v>
      </c>
      <c r="D4563" s="11" t="s">
        <v>5</v>
      </c>
    </row>
    <row r="4564" spans="1:4" x14ac:dyDescent="0.25">
      <c r="A4564" s="4" t="s">
        <v>9215</v>
      </c>
      <c r="B4564" s="3" t="s">
        <v>4566</v>
      </c>
      <c r="C4564" s="14">
        <v>2144.16</v>
      </c>
      <c r="D4564" s="11" t="s">
        <v>5</v>
      </c>
    </row>
    <row r="4565" spans="1:4" x14ac:dyDescent="0.25">
      <c r="A4565" s="4" t="s">
        <v>9216</v>
      </c>
      <c r="B4565" s="3" t="s">
        <v>4567</v>
      </c>
      <c r="C4565" s="14">
        <v>4199.5200000000004</v>
      </c>
      <c r="D4565" s="11" t="s">
        <v>5</v>
      </c>
    </row>
    <row r="4566" spans="1:4" x14ac:dyDescent="0.25">
      <c r="A4566" s="4" t="s">
        <v>9217</v>
      </c>
      <c r="B4566" s="3" t="s">
        <v>4568</v>
      </c>
      <c r="C4566" s="14">
        <v>5493.62</v>
      </c>
      <c r="D4566" s="11" t="s">
        <v>5</v>
      </c>
    </row>
    <row r="4567" spans="1:4" x14ac:dyDescent="0.25">
      <c r="A4567" s="4" t="s">
        <v>9218</v>
      </c>
      <c r="B4567" s="3" t="s">
        <v>4569</v>
      </c>
      <c r="C4567" s="14">
        <v>8360.9599999999991</v>
      </c>
      <c r="D4567" s="11" t="s">
        <v>5</v>
      </c>
    </row>
    <row r="4568" spans="1:4" x14ac:dyDescent="0.25">
      <c r="A4568" s="4" t="s">
        <v>9219</v>
      </c>
      <c r="B4568" s="3" t="s">
        <v>4570</v>
      </c>
      <c r="C4568" s="14">
        <v>23979.06</v>
      </c>
      <c r="D4568" s="11" t="s">
        <v>5</v>
      </c>
    </row>
    <row r="4569" spans="1:4" x14ac:dyDescent="0.25">
      <c r="A4569" s="4" t="s">
        <v>9220</v>
      </c>
      <c r="B4569" s="3" t="s">
        <v>4571</v>
      </c>
      <c r="C4569" s="14">
        <v>33837.120000000003</v>
      </c>
      <c r="D4569" s="11" t="s">
        <v>5</v>
      </c>
    </row>
    <row r="4570" spans="1:4" x14ac:dyDescent="0.25">
      <c r="A4570" s="4" t="s">
        <v>9221</v>
      </c>
      <c r="B4570" s="3" t="s">
        <v>4572</v>
      </c>
      <c r="C4570" s="14">
        <v>80539.199999999997</v>
      </c>
      <c r="D4570" s="11" t="s">
        <v>5</v>
      </c>
    </row>
    <row r="4571" spans="1:4" x14ac:dyDescent="0.25">
      <c r="A4571" s="4" t="s">
        <v>9222</v>
      </c>
      <c r="B4571" s="3" t="s">
        <v>4573</v>
      </c>
      <c r="C4571" s="14">
        <v>186427.34</v>
      </c>
      <c r="D4571" s="11" t="s">
        <v>5</v>
      </c>
    </row>
    <row r="4572" spans="1:4" x14ac:dyDescent="0.25">
      <c r="A4572" s="4" t="s">
        <v>9223</v>
      </c>
      <c r="B4572" s="3" t="s">
        <v>4574</v>
      </c>
      <c r="C4572" s="14">
        <v>263769.14</v>
      </c>
      <c r="D4572" s="11" t="s">
        <v>5</v>
      </c>
    </row>
    <row r="4573" spans="1:4" x14ac:dyDescent="0.25">
      <c r="A4573" s="4" t="s">
        <v>9224</v>
      </c>
      <c r="B4573" s="3" t="s">
        <v>4575</v>
      </c>
      <c r="C4573" s="14">
        <v>4453.26</v>
      </c>
      <c r="D4573" s="11" t="s">
        <v>5</v>
      </c>
    </row>
    <row r="4574" spans="1:4" x14ac:dyDescent="0.25">
      <c r="A4574" s="4" t="s">
        <v>9225</v>
      </c>
      <c r="B4574" s="3" t="s">
        <v>4576</v>
      </c>
      <c r="C4574" s="14">
        <v>7257.15</v>
      </c>
      <c r="D4574" s="11" t="s">
        <v>5</v>
      </c>
    </row>
    <row r="4575" spans="1:4" x14ac:dyDescent="0.25">
      <c r="A4575" s="4" t="s">
        <v>9226</v>
      </c>
      <c r="B4575" s="3" t="s">
        <v>4577</v>
      </c>
      <c r="C4575" s="14">
        <v>8931.89</v>
      </c>
      <c r="D4575" s="11" t="s">
        <v>5</v>
      </c>
    </row>
    <row r="4576" spans="1:4" x14ac:dyDescent="0.25">
      <c r="A4576" s="4" t="s">
        <v>9227</v>
      </c>
      <c r="B4576" s="3" t="s">
        <v>4578</v>
      </c>
      <c r="C4576" s="14">
        <v>15123.29</v>
      </c>
      <c r="D4576" s="11" t="s">
        <v>5</v>
      </c>
    </row>
    <row r="4577" spans="1:4" x14ac:dyDescent="0.25">
      <c r="A4577" s="4" t="s">
        <v>9228</v>
      </c>
      <c r="B4577" s="3" t="s">
        <v>4579</v>
      </c>
      <c r="C4577" s="14">
        <v>21466.97</v>
      </c>
      <c r="D4577" s="11" t="s">
        <v>5</v>
      </c>
    </row>
    <row r="4578" spans="1:4" x14ac:dyDescent="0.25">
      <c r="A4578" s="4" t="s">
        <v>9229</v>
      </c>
      <c r="B4578" s="3" t="s">
        <v>4580</v>
      </c>
      <c r="C4578" s="14">
        <v>32568.39</v>
      </c>
      <c r="D4578" s="11" t="s">
        <v>5</v>
      </c>
    </row>
    <row r="4579" spans="1:4" x14ac:dyDescent="0.25">
      <c r="A4579" s="4" t="s">
        <v>9230</v>
      </c>
      <c r="B4579" s="3" t="s">
        <v>4581</v>
      </c>
      <c r="C4579" s="14">
        <v>152856.99</v>
      </c>
      <c r="D4579" s="11" t="s">
        <v>5</v>
      </c>
    </row>
    <row r="4580" spans="1:4" x14ac:dyDescent="0.25">
      <c r="A4580" s="4" t="s">
        <v>9231</v>
      </c>
      <c r="B4580" s="3" t="s">
        <v>4582</v>
      </c>
      <c r="C4580" s="14">
        <v>77.819999999999993</v>
      </c>
      <c r="D4580" s="11" t="s">
        <v>107</v>
      </c>
    </row>
    <row r="4581" spans="1:4" x14ac:dyDescent="0.25">
      <c r="A4581" s="4" t="s">
        <v>9232</v>
      </c>
      <c r="B4581" s="3" t="s">
        <v>4583</v>
      </c>
      <c r="C4581" s="14">
        <v>116.67</v>
      </c>
      <c r="D4581" s="11" t="s">
        <v>107</v>
      </c>
    </row>
    <row r="4582" spans="1:4" x14ac:dyDescent="0.25">
      <c r="A4582" s="4" t="s">
        <v>9233</v>
      </c>
      <c r="B4582" s="3" t="s">
        <v>4584</v>
      </c>
      <c r="C4582" s="14">
        <v>16396.669999999998</v>
      </c>
      <c r="D4582" s="11" t="s">
        <v>5</v>
      </c>
    </row>
    <row r="4583" spans="1:4" x14ac:dyDescent="0.25">
      <c r="A4583" s="4" t="s">
        <v>9234</v>
      </c>
      <c r="B4583" s="3" t="s">
        <v>4585</v>
      </c>
      <c r="C4583" s="14">
        <v>20300.72</v>
      </c>
      <c r="D4583" s="11" t="s">
        <v>5</v>
      </c>
    </row>
    <row r="4584" spans="1:4" x14ac:dyDescent="0.25">
      <c r="A4584" s="4" t="s">
        <v>9235</v>
      </c>
      <c r="B4584" s="3" t="s">
        <v>4586</v>
      </c>
      <c r="C4584" s="14">
        <v>165.8</v>
      </c>
      <c r="D4584" s="11" t="s">
        <v>5</v>
      </c>
    </row>
    <row r="4585" spans="1:4" x14ac:dyDescent="0.25">
      <c r="A4585" s="4" t="s">
        <v>9236</v>
      </c>
      <c r="B4585" s="3" t="s">
        <v>4587</v>
      </c>
      <c r="C4585" s="14">
        <v>283.22000000000003</v>
      </c>
      <c r="D4585" s="11" t="s">
        <v>5</v>
      </c>
    </row>
    <row r="4586" spans="1:4" x14ac:dyDescent="0.25">
      <c r="A4586" s="4" t="s">
        <v>9237</v>
      </c>
      <c r="B4586" s="3" t="s">
        <v>4588</v>
      </c>
      <c r="C4586" s="14">
        <v>495.63</v>
      </c>
      <c r="D4586" s="11" t="s">
        <v>5</v>
      </c>
    </row>
    <row r="4587" spans="1:4" x14ac:dyDescent="0.25">
      <c r="A4587" s="4" t="s">
        <v>9238</v>
      </c>
      <c r="B4587" s="3" t="s">
        <v>4589</v>
      </c>
      <c r="C4587" s="14">
        <v>289.89</v>
      </c>
      <c r="D4587" s="11" t="s">
        <v>5</v>
      </c>
    </row>
    <row r="4588" spans="1:4" x14ac:dyDescent="0.25">
      <c r="A4588" s="4" t="s">
        <v>9239</v>
      </c>
      <c r="B4588" s="3" t="s">
        <v>4590</v>
      </c>
      <c r="C4588" s="14">
        <v>302.10000000000002</v>
      </c>
      <c r="D4588" s="11" t="s">
        <v>5</v>
      </c>
    </row>
    <row r="4589" spans="1:4" x14ac:dyDescent="0.25">
      <c r="A4589" s="4" t="s">
        <v>9240</v>
      </c>
      <c r="B4589" s="3" t="s">
        <v>4591</v>
      </c>
      <c r="C4589" s="14">
        <v>601.04</v>
      </c>
      <c r="D4589" s="11" t="s">
        <v>5</v>
      </c>
    </row>
    <row r="4590" spans="1:4" x14ac:dyDescent="0.25">
      <c r="A4590" s="4" t="s">
        <v>9241</v>
      </c>
      <c r="B4590" s="3" t="s">
        <v>4592</v>
      </c>
      <c r="C4590" s="14">
        <v>275.27</v>
      </c>
      <c r="D4590" s="11" t="s">
        <v>5</v>
      </c>
    </row>
    <row r="4591" spans="1:4" x14ac:dyDescent="0.25">
      <c r="A4591" s="4" t="s">
        <v>9242</v>
      </c>
      <c r="B4591" s="3" t="s">
        <v>4593</v>
      </c>
      <c r="C4591" s="14">
        <v>274.68</v>
      </c>
      <c r="D4591" s="11" t="s">
        <v>5</v>
      </c>
    </row>
    <row r="4592" spans="1:4" x14ac:dyDescent="0.25">
      <c r="A4592" s="4" t="s">
        <v>9243</v>
      </c>
      <c r="B4592" s="3" t="s">
        <v>4594</v>
      </c>
      <c r="C4592" s="14">
        <v>322.04000000000002</v>
      </c>
      <c r="D4592" s="11" t="s">
        <v>5</v>
      </c>
    </row>
    <row r="4593" spans="1:4" x14ac:dyDescent="0.25">
      <c r="A4593" s="4" t="s">
        <v>9244</v>
      </c>
      <c r="B4593" s="3" t="s">
        <v>4595</v>
      </c>
      <c r="C4593" s="14">
        <v>314.33999999999997</v>
      </c>
      <c r="D4593" s="11" t="s">
        <v>5</v>
      </c>
    </row>
    <row r="4594" spans="1:4" x14ac:dyDescent="0.25">
      <c r="A4594" s="4" t="s">
        <v>9245</v>
      </c>
      <c r="B4594" s="3" t="s">
        <v>4596</v>
      </c>
      <c r="C4594" s="14">
        <v>350.87</v>
      </c>
      <c r="D4594" s="11" t="s">
        <v>5</v>
      </c>
    </row>
    <row r="4595" spans="1:4" x14ac:dyDescent="0.25">
      <c r="A4595" s="4" t="s">
        <v>9246</v>
      </c>
      <c r="B4595" s="3" t="s">
        <v>4597</v>
      </c>
      <c r="C4595" s="14">
        <v>126.68</v>
      </c>
      <c r="D4595" s="11" t="s">
        <v>5</v>
      </c>
    </row>
    <row r="4596" spans="1:4" x14ac:dyDescent="0.25">
      <c r="A4596" s="4" t="s">
        <v>9247</v>
      </c>
      <c r="B4596" s="3" t="s">
        <v>4598</v>
      </c>
      <c r="C4596" s="14">
        <v>132.47999999999999</v>
      </c>
      <c r="D4596" s="11" t="s">
        <v>5</v>
      </c>
    </row>
    <row r="4597" spans="1:4" x14ac:dyDescent="0.25">
      <c r="A4597" s="4" t="s">
        <v>9248</v>
      </c>
      <c r="B4597" s="3" t="s">
        <v>4599</v>
      </c>
      <c r="C4597" s="14">
        <v>116.6</v>
      </c>
      <c r="D4597" s="11" t="s">
        <v>5</v>
      </c>
    </row>
    <row r="4598" spans="1:4" x14ac:dyDescent="0.25">
      <c r="A4598" s="4" t="s">
        <v>9249</v>
      </c>
      <c r="B4598" s="3" t="s">
        <v>4600</v>
      </c>
      <c r="C4598" s="14">
        <v>259.13</v>
      </c>
      <c r="D4598" s="11" t="s">
        <v>5</v>
      </c>
    </row>
    <row r="4599" spans="1:4" x14ac:dyDescent="0.25">
      <c r="A4599" s="4" t="s">
        <v>9250</v>
      </c>
      <c r="B4599" s="3" t="s">
        <v>4601</v>
      </c>
      <c r="C4599" s="14">
        <v>556.20000000000005</v>
      </c>
      <c r="D4599" s="11" t="s">
        <v>5</v>
      </c>
    </row>
    <row r="4600" spans="1:4" x14ac:dyDescent="0.25">
      <c r="A4600" s="4" t="s">
        <v>9251</v>
      </c>
      <c r="B4600" s="3" t="s">
        <v>4602</v>
      </c>
      <c r="C4600" s="14">
        <v>1938.56</v>
      </c>
      <c r="D4600" s="11" t="s">
        <v>5</v>
      </c>
    </row>
    <row r="4601" spans="1:4" x14ac:dyDescent="0.25">
      <c r="A4601" s="4" t="s">
        <v>9252</v>
      </c>
      <c r="B4601" s="3" t="s">
        <v>4603</v>
      </c>
      <c r="C4601" s="14">
        <v>1543.73</v>
      </c>
      <c r="D4601" s="11" t="s">
        <v>5</v>
      </c>
    </row>
    <row r="4602" spans="1:4" x14ac:dyDescent="0.25">
      <c r="A4602" s="4" t="s">
        <v>9253</v>
      </c>
      <c r="B4602" s="3" t="s">
        <v>4604</v>
      </c>
      <c r="C4602" s="14">
        <v>266.52</v>
      </c>
      <c r="D4602" s="11" t="s">
        <v>5</v>
      </c>
    </row>
    <row r="4603" spans="1:4" x14ac:dyDescent="0.25">
      <c r="A4603" s="4" t="s">
        <v>9254</v>
      </c>
      <c r="B4603" s="3" t="s">
        <v>4605</v>
      </c>
      <c r="C4603" s="14">
        <v>294.62</v>
      </c>
      <c r="D4603" s="11" t="s">
        <v>5</v>
      </c>
    </row>
    <row r="4604" spans="1:4" x14ac:dyDescent="0.25">
      <c r="A4604" s="4" t="s">
        <v>9255</v>
      </c>
      <c r="B4604" s="3" t="s">
        <v>4606</v>
      </c>
      <c r="C4604" s="14">
        <v>341.76</v>
      </c>
      <c r="D4604" s="11" t="s">
        <v>5</v>
      </c>
    </row>
    <row r="4605" spans="1:4" x14ac:dyDescent="0.25">
      <c r="A4605" s="4" t="s">
        <v>9256</v>
      </c>
      <c r="B4605" s="3" t="s">
        <v>4607</v>
      </c>
      <c r="C4605" s="14">
        <v>389.42</v>
      </c>
      <c r="D4605" s="11" t="s">
        <v>5</v>
      </c>
    </row>
    <row r="4606" spans="1:4" x14ac:dyDescent="0.25">
      <c r="A4606" s="4" t="s">
        <v>9257</v>
      </c>
      <c r="B4606" s="3" t="s">
        <v>4608</v>
      </c>
      <c r="C4606" s="14">
        <v>286.74</v>
      </c>
      <c r="D4606" s="11" t="s">
        <v>5</v>
      </c>
    </row>
    <row r="4607" spans="1:4" x14ac:dyDescent="0.25">
      <c r="A4607" s="4" t="s">
        <v>9258</v>
      </c>
      <c r="B4607" s="3" t="s">
        <v>4609</v>
      </c>
      <c r="C4607" s="14">
        <v>389.81</v>
      </c>
      <c r="D4607" s="11" t="s">
        <v>5</v>
      </c>
    </row>
    <row r="4608" spans="1:4" x14ac:dyDescent="0.25">
      <c r="A4608" s="4" t="s">
        <v>9259</v>
      </c>
      <c r="B4608" s="3" t="s">
        <v>4610</v>
      </c>
      <c r="C4608" s="14">
        <v>192.18</v>
      </c>
      <c r="D4608" s="11" t="s">
        <v>5</v>
      </c>
    </row>
    <row r="4609" spans="1:4" x14ac:dyDescent="0.25">
      <c r="A4609" s="4" t="s">
        <v>9260</v>
      </c>
      <c r="B4609" s="3" t="s">
        <v>4611</v>
      </c>
      <c r="C4609" s="14">
        <v>319.01</v>
      </c>
      <c r="D4609" s="11" t="s">
        <v>5</v>
      </c>
    </row>
    <row r="4610" spans="1:4" x14ac:dyDescent="0.25">
      <c r="A4610" s="4" t="s">
        <v>9261</v>
      </c>
      <c r="B4610" s="3" t="s">
        <v>4612</v>
      </c>
      <c r="C4610" s="14">
        <v>551.13</v>
      </c>
      <c r="D4610" s="11" t="s">
        <v>5</v>
      </c>
    </row>
    <row r="4611" spans="1:4" x14ac:dyDescent="0.25">
      <c r="A4611" s="4" t="s">
        <v>9262</v>
      </c>
      <c r="B4611" s="3" t="s">
        <v>4613</v>
      </c>
      <c r="C4611" s="14">
        <v>268.86</v>
      </c>
      <c r="D4611" s="11" t="s">
        <v>5</v>
      </c>
    </row>
    <row r="4612" spans="1:4" x14ac:dyDescent="0.25">
      <c r="A4612" s="4" t="s">
        <v>9263</v>
      </c>
      <c r="B4612" s="3" t="s">
        <v>4614</v>
      </c>
      <c r="C4612" s="14">
        <v>354.59</v>
      </c>
      <c r="D4612" s="11" t="s">
        <v>5</v>
      </c>
    </row>
    <row r="4613" spans="1:4" x14ac:dyDescent="0.25">
      <c r="A4613" s="4" t="s">
        <v>9264</v>
      </c>
      <c r="B4613" s="3" t="s">
        <v>4615</v>
      </c>
      <c r="C4613" s="14">
        <v>108.71</v>
      </c>
      <c r="D4613" s="11" t="s">
        <v>5</v>
      </c>
    </row>
    <row r="4614" spans="1:4" x14ac:dyDescent="0.25">
      <c r="A4614" s="4" t="s">
        <v>9265</v>
      </c>
      <c r="B4614" s="3" t="s">
        <v>4616</v>
      </c>
      <c r="C4614" s="14">
        <v>364.07</v>
      </c>
      <c r="D4614" s="11" t="s">
        <v>5</v>
      </c>
    </row>
    <row r="4615" spans="1:4" x14ac:dyDescent="0.25">
      <c r="A4615" s="4" t="s">
        <v>9266</v>
      </c>
      <c r="B4615" s="3" t="s">
        <v>4617</v>
      </c>
      <c r="C4615" s="14">
        <v>271.77</v>
      </c>
      <c r="D4615" s="11" t="s">
        <v>5</v>
      </c>
    </row>
    <row r="4616" spans="1:4" x14ac:dyDescent="0.25">
      <c r="A4616" s="4" t="s">
        <v>9267</v>
      </c>
      <c r="B4616" s="3" t="s">
        <v>4618</v>
      </c>
      <c r="C4616" s="14">
        <v>311.37</v>
      </c>
      <c r="D4616" s="11" t="s">
        <v>5</v>
      </c>
    </row>
    <row r="4617" spans="1:4" x14ac:dyDescent="0.25">
      <c r="A4617" s="4" t="s">
        <v>9268</v>
      </c>
      <c r="B4617" s="3" t="s">
        <v>4619</v>
      </c>
      <c r="C4617" s="14">
        <v>163.46</v>
      </c>
      <c r="D4617" s="11" t="s">
        <v>5</v>
      </c>
    </row>
    <row r="4618" spans="1:4" x14ac:dyDescent="0.25">
      <c r="A4618" s="4" t="s">
        <v>9269</v>
      </c>
      <c r="B4618" s="3" t="s">
        <v>4620</v>
      </c>
      <c r="C4618" s="14">
        <v>150.88999999999999</v>
      </c>
      <c r="D4618" s="11" t="s">
        <v>5</v>
      </c>
    </row>
    <row r="4619" spans="1:4" x14ac:dyDescent="0.25">
      <c r="A4619" s="4" t="s">
        <v>9270</v>
      </c>
      <c r="B4619" s="3" t="s">
        <v>4621</v>
      </c>
      <c r="C4619" s="14">
        <v>160.97</v>
      </c>
      <c r="D4619" s="11" t="s">
        <v>5</v>
      </c>
    </row>
    <row r="4620" spans="1:4" x14ac:dyDescent="0.25">
      <c r="A4620" s="4" t="s">
        <v>9271</v>
      </c>
      <c r="B4620" s="3" t="s">
        <v>4622</v>
      </c>
      <c r="C4620" s="14">
        <v>65.33</v>
      </c>
      <c r="D4620" s="11" t="s">
        <v>5</v>
      </c>
    </row>
    <row r="4621" spans="1:4" x14ac:dyDescent="0.25">
      <c r="A4621" s="4" t="s">
        <v>9272</v>
      </c>
      <c r="B4621" s="3" t="s">
        <v>4623</v>
      </c>
      <c r="C4621" s="14">
        <v>31.4</v>
      </c>
      <c r="D4621" s="11" t="s">
        <v>5</v>
      </c>
    </row>
    <row r="4622" spans="1:4" x14ac:dyDescent="0.25">
      <c r="A4622" s="4" t="s">
        <v>9273</v>
      </c>
      <c r="B4622" s="3" t="s">
        <v>4624</v>
      </c>
      <c r="C4622" s="14">
        <v>33</v>
      </c>
      <c r="D4622" s="11" t="s">
        <v>5</v>
      </c>
    </row>
    <row r="4623" spans="1:4" x14ac:dyDescent="0.25">
      <c r="A4623" s="4" t="s">
        <v>9274</v>
      </c>
      <c r="B4623" s="3" t="s">
        <v>4625</v>
      </c>
      <c r="C4623" s="14">
        <v>31.92</v>
      </c>
      <c r="D4623" s="11" t="s">
        <v>5</v>
      </c>
    </row>
    <row r="4624" spans="1:4" x14ac:dyDescent="0.25">
      <c r="A4624" s="4" t="s">
        <v>9275</v>
      </c>
      <c r="B4624" s="3" t="s">
        <v>4626</v>
      </c>
      <c r="C4624" s="14">
        <v>5145.33</v>
      </c>
      <c r="D4624" s="11" t="s">
        <v>5</v>
      </c>
    </row>
    <row r="4625" spans="1:4" x14ac:dyDescent="0.25">
      <c r="A4625" s="4" t="s">
        <v>9276</v>
      </c>
      <c r="B4625" s="3" t="s">
        <v>4627</v>
      </c>
      <c r="C4625" s="14">
        <v>4401</v>
      </c>
      <c r="D4625" s="11" t="s">
        <v>5</v>
      </c>
    </row>
    <row r="4626" spans="1:4" x14ac:dyDescent="0.25">
      <c r="A4626" s="4" t="s">
        <v>9277</v>
      </c>
      <c r="B4626" s="3" t="s">
        <v>4628</v>
      </c>
      <c r="C4626" s="14">
        <v>5145.33</v>
      </c>
      <c r="D4626" s="11" t="s">
        <v>5</v>
      </c>
    </row>
    <row r="4627" spans="1:4" x14ac:dyDescent="0.25">
      <c r="A4627" s="4" t="s">
        <v>9278</v>
      </c>
      <c r="B4627" s="3" t="s">
        <v>4629</v>
      </c>
      <c r="C4627" s="14">
        <v>41.73</v>
      </c>
      <c r="D4627" s="11" t="s">
        <v>5</v>
      </c>
    </row>
    <row r="4628" spans="1:4" x14ac:dyDescent="0.25">
      <c r="A4628" s="4" t="s">
        <v>9279</v>
      </c>
      <c r="B4628" s="3" t="s">
        <v>4630</v>
      </c>
      <c r="C4628" s="14">
        <v>3.59</v>
      </c>
      <c r="D4628" s="11" t="s">
        <v>107</v>
      </c>
    </row>
    <row r="4629" spans="1:4" x14ac:dyDescent="0.25">
      <c r="A4629" s="4" t="s">
        <v>9280</v>
      </c>
      <c r="B4629" s="3" t="s">
        <v>4631</v>
      </c>
      <c r="C4629" s="14">
        <v>474.93</v>
      </c>
      <c r="D4629" s="11" t="s">
        <v>5</v>
      </c>
    </row>
    <row r="4630" spans="1:4" x14ac:dyDescent="0.25">
      <c r="A4630" s="4" t="s">
        <v>9281</v>
      </c>
      <c r="B4630" s="3" t="s">
        <v>4632</v>
      </c>
      <c r="C4630" s="14">
        <v>834.98</v>
      </c>
      <c r="D4630" s="11" t="s">
        <v>5</v>
      </c>
    </row>
    <row r="4631" spans="1:4" x14ac:dyDescent="0.25">
      <c r="A4631" s="4" t="s">
        <v>9282</v>
      </c>
      <c r="B4631" s="3" t="s">
        <v>4633</v>
      </c>
      <c r="C4631" s="14">
        <v>648.65</v>
      </c>
      <c r="D4631" s="11" t="s">
        <v>5</v>
      </c>
    </row>
    <row r="4632" spans="1:4" x14ac:dyDescent="0.25">
      <c r="A4632" s="4" t="s">
        <v>9283</v>
      </c>
      <c r="B4632" s="3" t="s">
        <v>4634</v>
      </c>
      <c r="C4632" s="14">
        <v>972.98</v>
      </c>
      <c r="D4632" s="11" t="s">
        <v>5</v>
      </c>
    </row>
    <row r="4633" spans="1:4" x14ac:dyDescent="0.25">
      <c r="A4633" s="4" t="s">
        <v>9284</v>
      </c>
      <c r="B4633" s="3" t="s">
        <v>4635</v>
      </c>
      <c r="C4633" s="14">
        <v>1978.71</v>
      </c>
      <c r="D4633" s="11" t="s">
        <v>5</v>
      </c>
    </row>
    <row r="4634" spans="1:4" x14ac:dyDescent="0.25">
      <c r="A4634" s="4" t="s">
        <v>9285</v>
      </c>
      <c r="B4634" s="3" t="s">
        <v>4636</v>
      </c>
      <c r="C4634" s="14">
        <v>1978.71</v>
      </c>
      <c r="D4634" s="11" t="s">
        <v>5</v>
      </c>
    </row>
    <row r="4635" spans="1:4" x14ac:dyDescent="0.25">
      <c r="A4635" s="4" t="s">
        <v>9286</v>
      </c>
      <c r="B4635" s="3" t="s">
        <v>4637</v>
      </c>
      <c r="C4635" s="14">
        <v>1978.71</v>
      </c>
      <c r="D4635" s="11" t="s">
        <v>5</v>
      </c>
    </row>
    <row r="4636" spans="1:4" x14ac:dyDescent="0.25">
      <c r="A4636" s="4" t="s">
        <v>9287</v>
      </c>
      <c r="B4636" s="3" t="s">
        <v>4638</v>
      </c>
      <c r="C4636" s="14">
        <v>3142.74</v>
      </c>
      <c r="D4636" s="11" t="s">
        <v>5</v>
      </c>
    </row>
    <row r="4637" spans="1:4" x14ac:dyDescent="0.25">
      <c r="A4637" s="4" t="s">
        <v>9288</v>
      </c>
      <c r="B4637" s="3" t="s">
        <v>4639</v>
      </c>
      <c r="C4637" s="14">
        <v>4934.79</v>
      </c>
      <c r="D4637" s="11" t="s">
        <v>5</v>
      </c>
    </row>
    <row r="4638" spans="1:4" x14ac:dyDescent="0.25">
      <c r="A4638" s="4" t="s">
        <v>9289</v>
      </c>
      <c r="B4638" s="3" t="s">
        <v>4640</v>
      </c>
      <c r="C4638" s="14">
        <v>4745.07</v>
      </c>
      <c r="D4638" s="11" t="s">
        <v>5</v>
      </c>
    </row>
    <row r="4639" spans="1:4" x14ac:dyDescent="0.25">
      <c r="A4639" s="4" t="s">
        <v>9290</v>
      </c>
      <c r="B4639" s="3" t="s">
        <v>4641</v>
      </c>
      <c r="C4639" s="14">
        <v>1148.6099999999999</v>
      </c>
      <c r="D4639" s="11" t="s">
        <v>5</v>
      </c>
    </row>
    <row r="4640" spans="1:4" x14ac:dyDescent="0.25">
      <c r="A4640" s="4" t="s">
        <v>9291</v>
      </c>
      <c r="B4640" s="3" t="s">
        <v>4642</v>
      </c>
      <c r="C4640" s="14">
        <v>643.5</v>
      </c>
      <c r="D4640" s="11" t="s">
        <v>5</v>
      </c>
    </row>
    <row r="4641" spans="1:4" x14ac:dyDescent="0.25">
      <c r="A4641" s="4" t="s">
        <v>9292</v>
      </c>
      <c r="B4641" s="3" t="s">
        <v>4643</v>
      </c>
      <c r="C4641" s="14">
        <v>1954.49</v>
      </c>
      <c r="D4641" s="11" t="s">
        <v>5</v>
      </c>
    </row>
    <row r="4642" spans="1:4" x14ac:dyDescent="0.25">
      <c r="A4642" s="4" t="s">
        <v>9293</v>
      </c>
      <c r="B4642" s="3" t="s">
        <v>4644</v>
      </c>
      <c r="C4642" s="14">
        <v>1688.28</v>
      </c>
      <c r="D4642" s="11" t="s">
        <v>5</v>
      </c>
    </row>
    <row r="4643" spans="1:4" x14ac:dyDescent="0.25">
      <c r="A4643" s="4" t="s">
        <v>9294</v>
      </c>
      <c r="B4643" s="3" t="s">
        <v>4645</v>
      </c>
      <c r="C4643" s="14">
        <v>1019.21</v>
      </c>
      <c r="D4643" s="11" t="s">
        <v>5</v>
      </c>
    </row>
    <row r="4644" spans="1:4" x14ac:dyDescent="0.25">
      <c r="A4644" s="4" t="s">
        <v>9295</v>
      </c>
      <c r="B4644" s="3" t="s">
        <v>4646</v>
      </c>
      <c r="C4644" s="14">
        <v>532.32000000000005</v>
      </c>
      <c r="D4644" s="11" t="s">
        <v>5</v>
      </c>
    </row>
    <row r="4645" spans="1:4" x14ac:dyDescent="0.25">
      <c r="A4645" s="4" t="s">
        <v>9296</v>
      </c>
      <c r="B4645" s="3" t="s">
        <v>4647</v>
      </c>
      <c r="C4645" s="14">
        <v>403.98</v>
      </c>
      <c r="D4645" s="11" t="s">
        <v>5</v>
      </c>
    </row>
    <row r="4646" spans="1:4" x14ac:dyDescent="0.25">
      <c r="A4646" s="4" t="s">
        <v>9297</v>
      </c>
      <c r="B4646" s="3" t="s">
        <v>4648</v>
      </c>
      <c r="C4646" s="14">
        <v>551.49</v>
      </c>
      <c r="D4646" s="11" t="s">
        <v>5</v>
      </c>
    </row>
    <row r="4647" spans="1:4" x14ac:dyDescent="0.25">
      <c r="A4647" s="4" t="s">
        <v>9298</v>
      </c>
      <c r="B4647" s="3" t="s">
        <v>4649</v>
      </c>
      <c r="C4647" s="14">
        <v>1170.6500000000001</v>
      </c>
      <c r="D4647" s="11" t="s">
        <v>5</v>
      </c>
    </row>
    <row r="4648" spans="1:4" x14ac:dyDescent="0.25">
      <c r="A4648" s="4" t="s">
        <v>9299</v>
      </c>
      <c r="B4648" s="3" t="s">
        <v>4650</v>
      </c>
      <c r="C4648" s="14">
        <v>1368.32</v>
      </c>
      <c r="D4648" s="11" t="s">
        <v>5</v>
      </c>
    </row>
    <row r="4649" spans="1:4" x14ac:dyDescent="0.25">
      <c r="A4649" s="4" t="s">
        <v>9300</v>
      </c>
      <c r="B4649" s="3" t="s">
        <v>4651</v>
      </c>
      <c r="C4649" s="14">
        <v>996.66</v>
      </c>
      <c r="D4649" s="11" t="s">
        <v>5</v>
      </c>
    </row>
    <row r="4650" spans="1:4" x14ac:dyDescent="0.25">
      <c r="A4650" s="4" t="s">
        <v>9301</v>
      </c>
      <c r="B4650" s="3" t="s">
        <v>4652</v>
      </c>
      <c r="C4650" s="14">
        <v>2068.6999999999998</v>
      </c>
      <c r="D4650" s="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WGTP104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2024-04-24T12:37:23Z</dcterms:created>
  <dcterms:modified xsi:type="dcterms:W3CDTF">2024-04-24T13:13:16Z</dcterms:modified>
</cp:coreProperties>
</file>