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 firstSheet="1" activeTab="5"/>
  </bookViews>
  <sheets>
    <sheet name="FERRUM" sheetId="8" r:id="rId1"/>
    <sheet name="TUBOFUSION" sheetId="2" r:id="rId2"/>
    <sheet name="AWADUCT TUBOS" sheetId="3" r:id="rId3"/>
    <sheet name="AWADUCT ACC" sheetId="4" r:id="rId4"/>
    <sheet name="FUSIOGAS" sheetId="5" r:id="rId5"/>
    <sheet name="CANALETAS" sheetId="6" r:id="rId6"/>
    <sheet name="VARI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2" i="5" l="1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7" i="5"/>
  <c r="D6" i="5"/>
  <c r="D5" i="5"/>
  <c r="D4" i="5"/>
  <c r="D3" i="5"/>
  <c r="D2" i="5"/>
  <c r="D20" i="7"/>
  <c r="D19" i="7"/>
  <c r="D18" i="7"/>
  <c r="D17" i="7"/>
  <c r="D16" i="7"/>
  <c r="D13" i="7"/>
  <c r="D12" i="7"/>
  <c r="D11" i="7"/>
  <c r="D10" i="7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8" i="7" l="1"/>
</calcChain>
</file>

<file path=xl/sharedStrings.xml><?xml version="1.0" encoding="utf-8"?>
<sst xmlns="http://schemas.openxmlformats.org/spreadsheetml/2006/main" count="1215" uniqueCount="687">
  <si>
    <t>CÓDIGO</t>
  </si>
  <si>
    <t>DENOMINACION</t>
  </si>
  <si>
    <t>MARCA</t>
  </si>
  <si>
    <t xml:space="preserve">P.LISTA </t>
  </si>
  <si>
    <t xml:space="preserve">LISTA </t>
  </si>
  <si>
    <t>TUBO PN 12 Ø 110 X 4 MTS</t>
  </si>
  <si>
    <t>TUBOFUSION</t>
  </si>
  <si>
    <t>TUBO PN 12 Ø 20 X 4 MTS</t>
  </si>
  <si>
    <t>TUBO PN 12 Ø 25 X 4 MTS</t>
  </si>
  <si>
    <t>TUBO PN 12 Ø 32 X 4 MTS</t>
  </si>
  <si>
    <t>TUBO PN 12 Ø 40 X 4 MTS</t>
  </si>
  <si>
    <t>TUBO PN 12 Ø 50 X 4 MTS</t>
  </si>
  <si>
    <t>TUBO PN 12 Ø 63 X 4 MTS</t>
  </si>
  <si>
    <t>TUBO PN 12 Ø 75 X 4 MTS</t>
  </si>
  <si>
    <t>TUBO PN 12 Ø 90 X 4 MTS</t>
  </si>
  <si>
    <t>TUBO PN 20 Ø 20 X 4 MTS</t>
  </si>
  <si>
    <t>TUBO PN 20 Ø 25 X 4 MTS</t>
  </si>
  <si>
    <t>TUBO PN 20 Ø 32 X 4 MTS</t>
  </si>
  <si>
    <t>TUBO PN 20 Ø 40 X 4 MTS</t>
  </si>
  <si>
    <t>TUBO PN 20 Ø 50 X 4 MTS</t>
  </si>
  <si>
    <t>TUBO PN 20 Ø 63 X 4 MTS</t>
  </si>
  <si>
    <t>TUBO PN 20 Ø 75 X 4 MTS</t>
  </si>
  <si>
    <t>TUBO PN 20 Ø 90 X 4 MTS</t>
  </si>
  <si>
    <t>TUBO PN 20 Ø 110 X 4 MTS</t>
  </si>
  <si>
    <t>CURVA A 90º Ø 20</t>
  </si>
  <si>
    <t>CURVA A 90º Ø 25</t>
  </si>
  <si>
    <t>CURVA A 90º Ø 32</t>
  </si>
  <si>
    <t>CURVA A 90º Ø 40</t>
  </si>
  <si>
    <t>CURVA A 90º Ø 50</t>
  </si>
  <si>
    <t>CURVA A 90º Ø 63</t>
  </si>
  <si>
    <t>CODO A 45 Ø 20</t>
  </si>
  <si>
    <t>CODO A 45 Ø 25</t>
  </si>
  <si>
    <t>CODO A 45 Ø 32</t>
  </si>
  <si>
    <t>CODO A 45 Ø 40</t>
  </si>
  <si>
    <t>CODO A 45 Ø 50</t>
  </si>
  <si>
    <t>CODO A 45 Ø 63</t>
  </si>
  <si>
    <t>CODO A 45º Ø 75</t>
  </si>
  <si>
    <t>CODO A 45º Ø 90</t>
  </si>
  <si>
    <t>CODO A 90 Ø 20</t>
  </si>
  <si>
    <t>CODO A 90 Ø 25</t>
  </si>
  <si>
    <t>CODO A 90 Ø 32</t>
  </si>
  <si>
    <t>CODO A 90 Ø 40</t>
  </si>
  <si>
    <t>CODO A 90 Ø 50</t>
  </si>
  <si>
    <t>CODO A 90 Ø 63</t>
  </si>
  <si>
    <t>CODO A 90 Ø 75</t>
  </si>
  <si>
    <t>CODO A 90 Ø 90</t>
  </si>
  <si>
    <t>CODO A 90º ROSCA M Ø 20 X ½</t>
  </si>
  <si>
    <t>CODO A 90º ROSCA M Ø 20 X ½" SEAL-RAP</t>
  </si>
  <si>
    <t>CODO A 90º ROSCA M Ø 25 X ½"</t>
  </si>
  <si>
    <t>CODO A 90º ROSCA M Ø 25 X ¾"</t>
  </si>
  <si>
    <t>CODO A 90º ROSCA M Ø 32 X 1"</t>
  </si>
  <si>
    <t>CODO A 90º ROSCA M Ø 32 X ¾"</t>
  </si>
  <si>
    <t>CODO A 90º ROSCA H Ø 20 X ½"</t>
  </si>
  <si>
    <t>CODO R/SINTETICA H 20X1/2</t>
  </si>
  <si>
    <t>CODO A 90º ROSCA H Ø 25 X ½"</t>
  </si>
  <si>
    <t>CODO A 90º ROSCA H Ø 25 X ¾"</t>
  </si>
  <si>
    <t>CODO A 90º ROSCA H Ø 32 X 1"</t>
  </si>
  <si>
    <t>CODO A 90º ROSCA H Ø 32 X ¾"</t>
  </si>
  <si>
    <t>CUPLA UNION Ø 20</t>
  </si>
  <si>
    <t>CUPLA UNION Ø 25</t>
  </si>
  <si>
    <t>CUPLA UNION Ø 32</t>
  </si>
  <si>
    <t>CUPLA UNION Ø 40</t>
  </si>
  <si>
    <t>CUPLA UNION Ø 50</t>
  </si>
  <si>
    <t>CUPLA UNION Ø 63</t>
  </si>
  <si>
    <t>CUPLA UNION Ø 75</t>
  </si>
  <si>
    <t>CUPLA UNION Ø 90</t>
  </si>
  <si>
    <t>BUJE DE REDUCCION Ø 25X20</t>
  </si>
  <si>
    <t>BUJE DE REDUCCION Ø 32X20</t>
  </si>
  <si>
    <t>BUJE DE REDUCCION Ø 32X25</t>
  </si>
  <si>
    <t>BUJE DE REDUCCION Ø 40X25</t>
  </si>
  <si>
    <t>BUJE DE REDUCCION Ø 40X32</t>
  </si>
  <si>
    <t>BUJE DE REDUCCION Ø 50X25</t>
  </si>
  <si>
    <t>BUJE DE REDUCCION Ø 50X32</t>
  </si>
  <si>
    <t>BUJE DE REDUCCION Ø 50X40</t>
  </si>
  <si>
    <t>BUJE DE REDUCCION Ø 63X32</t>
  </si>
  <si>
    <t>BUJE DE REDUCCION Ø 63X40</t>
  </si>
  <si>
    <t>BUJE DE REDUCCION Ø 63X50</t>
  </si>
  <si>
    <t>CUPLA ROSCA M Ø 20 X ½"</t>
  </si>
  <si>
    <t>CUPLA ROSCA M Ø 25 X ½"</t>
  </si>
  <si>
    <t>CUPLA ROSCA M Ø 25 X ¾"</t>
  </si>
  <si>
    <t>CUPLA ROSCA M Ø 32 X 1"</t>
  </si>
  <si>
    <t>CUPLA ROSCA M Ø 32 X ¾"</t>
  </si>
  <si>
    <t>CUPLA ROSCA M Ø 40 X 1¼"</t>
  </si>
  <si>
    <t>CUPLA ROSCA M Ø 50 X 1½"</t>
  </si>
  <si>
    <t>CUPLA ROSCA M Ø 63 X 2"</t>
  </si>
  <si>
    <t>CUPLA ROSCA M Ø 75 X 2½"</t>
  </si>
  <si>
    <t>CUPLA ROSCA H Ø 20 X ½"</t>
  </si>
  <si>
    <t>CUPLA ROSCA H Ø 20 X 3/8</t>
  </si>
  <si>
    <t>CUPLA ROSCA H Ø 25 X ½"</t>
  </si>
  <si>
    <t>CUPLA ROSCA H Ø 25 X ¾"</t>
  </si>
  <si>
    <t>CUPLA ROSCA H Ø 32 X 1"</t>
  </si>
  <si>
    <t>CUPLA ROSCA H Ø 32 X ¾"</t>
  </si>
  <si>
    <t>CUPLA ROSCA H Ø 40 X 1¼"</t>
  </si>
  <si>
    <t>CUPLA ROSCA H Ø 50 X 1½"</t>
  </si>
  <si>
    <t>CUPLA ROSCA H Ø 63 X 2"</t>
  </si>
  <si>
    <t>CUPLA ROSCA H Ø 75 X 2½"</t>
  </si>
  <si>
    <t>TAPA Ø 20</t>
  </si>
  <si>
    <t>TAPA Ø 25</t>
  </si>
  <si>
    <t>TAPA Ø 32</t>
  </si>
  <si>
    <t>TAPA Ø 40</t>
  </si>
  <si>
    <t>TAPA Ø 50</t>
  </si>
  <si>
    <t>TAPA Ø 63</t>
  </si>
  <si>
    <t>TAPA Ø 75</t>
  </si>
  <si>
    <t>TAPA Ø 90</t>
  </si>
  <si>
    <t>TEE Ø 20</t>
  </si>
  <si>
    <t>TEE Ø 25</t>
  </si>
  <si>
    <t>TEE RED. CENTRAL Ø 25 X 20 X 25</t>
  </si>
  <si>
    <t>TEE Ø 32</t>
  </si>
  <si>
    <t>TEE RED. CENTRAL Ø 32 X 20 X 32</t>
  </si>
  <si>
    <t>TEE RED. CENTRAL Ø 32 X 25 X 32</t>
  </si>
  <si>
    <t>TEE Ø 40</t>
  </si>
  <si>
    <t>TEE RED. CENTRAL Ø 40 X 20 X 40</t>
  </si>
  <si>
    <t>TEE RED. CENTRAL Ø 40 X 25 X 40</t>
  </si>
  <si>
    <t>TEE RED. CENTRAL Ø 40 X 32 X 40</t>
  </si>
  <si>
    <t>TEE Ø 50</t>
  </si>
  <si>
    <t>TEE RED. CENTRAL Ø 50 X 25X 50</t>
  </si>
  <si>
    <t>TEE RED. CENTRAL Ø 50 X 32 X 50</t>
  </si>
  <si>
    <t>TEE RED. CENTRAL Ø 50 X 40 X 50</t>
  </si>
  <si>
    <t>TEE Ø 63</t>
  </si>
  <si>
    <t>TEE RED. CENTRAL Ø 63 X 40 X 63</t>
  </si>
  <si>
    <t>TEE RED. CENTRAL Ø 63 X 50 X 63</t>
  </si>
  <si>
    <t>TEE Ø 75</t>
  </si>
  <si>
    <t>TEE RED. CENTRAL Ø 75 X 40 X 75</t>
  </si>
  <si>
    <t>TEE RED. CENTRAL Ø 75 X 50 X 75</t>
  </si>
  <si>
    <t>TEE RED. CENTRAL Ø 75 X 63 X 75</t>
  </si>
  <si>
    <t>TEE Ø 90</t>
  </si>
  <si>
    <t>TEE ROSCA M Ø 20 X ½"</t>
  </si>
  <si>
    <t>TEE ROSCA M Ø 25 X ½"</t>
  </si>
  <si>
    <t>TEE ROSCA M Ø 25 X ¾"</t>
  </si>
  <si>
    <t>TEE ROSCA M Ø 32 X 1"</t>
  </si>
  <si>
    <t>TEE ROSCA M Ø 32 X ¾"</t>
  </si>
  <si>
    <t>TEE ROSCA H Ø 20 X ½"</t>
  </si>
  <si>
    <t>TEE ROSCA H Ø 25 X ½"</t>
  </si>
  <si>
    <t>TEE ROSCA H Ø 25 X ¾"</t>
  </si>
  <si>
    <t>TEE ROSCA H Ø 32 X 1"</t>
  </si>
  <si>
    <t>TEE ROSCA H Ø 32 X ¾"</t>
  </si>
  <si>
    <t>UNION DOBLE Ø 20 HH</t>
  </si>
  <si>
    <t>UNION DOBLE Ø 25 HH</t>
  </si>
  <si>
    <t>UNION DOBLE Ø 32 HH</t>
  </si>
  <si>
    <t>UNION DOBLE Ø 40 HH</t>
  </si>
  <si>
    <t>UNION DOBLE C/BRIDA HH Ø 40</t>
  </si>
  <si>
    <t>UNION DOBLE Ø 50 HH</t>
  </si>
  <si>
    <t>UNION DOBLE C/BRIDA HH Ø 50</t>
  </si>
  <si>
    <t>UNION DOBLE C/BRIDA HH Ø 63</t>
  </si>
  <si>
    <t>UNION DOBLE C/BRIDA HH Ø 75</t>
  </si>
  <si>
    <t>UNION DOBLE C/BRIDA HH Ø 90</t>
  </si>
  <si>
    <t>LLAVE DE PASO C/BRONCE Ø 20</t>
  </si>
  <si>
    <t>LLAVE DE PASO C/BRONCE Ø 25</t>
  </si>
  <si>
    <t>LLAVE DE PASO C/BRONCE Ø 32</t>
  </si>
  <si>
    <t>LLAVE DE PASO C/BRONCE Y POLIAMIDA Ø 20</t>
  </si>
  <si>
    <t>LLAVE DE PASO C/BRONCE Y POLIAMIDA Ø 25</t>
  </si>
  <si>
    <t>LLAVE DE PASO C/BRONCE Y POLIAMIDA Ø 32</t>
  </si>
  <si>
    <t>CABEZAL DE BRONCE Ø 20/25</t>
  </si>
  <si>
    <t>CABEZAL DE BRONCE Y POLIAMIDA Ø 20/25</t>
  </si>
  <si>
    <t>CAPUCHON C/CAMPANA (CROMADO)</t>
  </si>
  <si>
    <t>SOBREPASO Ø 20</t>
  </si>
  <si>
    <t>SOBREPASO HH Ø 20</t>
  </si>
  <si>
    <t>SOBREPASO Ø 25</t>
  </si>
  <si>
    <t>SOBREPASO HH Ø 25</t>
  </si>
  <si>
    <t>SOBREPASO Ø 32</t>
  </si>
  <si>
    <t>SOBREPASO HH Ø 32</t>
  </si>
  <si>
    <t>VALVULA ESFERICA Ø 20</t>
  </si>
  <si>
    <t>VALVULA ESFERICA Ø 25</t>
  </si>
  <si>
    <t>VALVULA ESFERICA Ø 32</t>
  </si>
  <si>
    <t>CAÑO AWADUCT 40 X 0.25 MTS</t>
  </si>
  <si>
    <t>CAÑO AWADUCT 40 X 0.50 MTS</t>
  </si>
  <si>
    <t>CAÑO AWADUCT 40 X 0.75 MTS</t>
  </si>
  <si>
    <t>CAÑO AWADUCT 40 X 1 MTS</t>
  </si>
  <si>
    <t>CAÑO AWADUCT 40 X 1.50 MTS</t>
  </si>
  <si>
    <t>CAÑO AWADUCT 40 X 2 MTS</t>
  </si>
  <si>
    <t>CAÑO AWADUCT 40 X 3 MTS</t>
  </si>
  <si>
    <t>CAÑO AWADUCT 40 X 4 MTS</t>
  </si>
  <si>
    <t>CAÑO AWADUCT 50 X 0.25 MTS</t>
  </si>
  <si>
    <t>CAÑO AWADUCT 50 X 0.50 MTS</t>
  </si>
  <si>
    <t>CAÑO AWADUCT 50 X 0.75 MTS</t>
  </si>
  <si>
    <t>CAÑO AWADUCT 50 X 1 MTS</t>
  </si>
  <si>
    <t>CAÑO AWADUCT 50 X 1.50 MTS</t>
  </si>
  <si>
    <t>CAÑO AWADUCT 50 X 2 MTS</t>
  </si>
  <si>
    <t>CAÑO AWADUCT 50 X 3 MTS</t>
  </si>
  <si>
    <t>CAÑO AWADUCT 50 X 4 MTS</t>
  </si>
  <si>
    <t>CAÑO AWADUCT 63 X 0.25 MTS</t>
  </si>
  <si>
    <t>CAÑO AWADUCT 63 X 0.50 MTS</t>
  </si>
  <si>
    <t>CAÑO AWADUCT 63 X 0.75 MTS</t>
  </si>
  <si>
    <t>CAÑO AWADUCT 63 X 1 MTS</t>
  </si>
  <si>
    <t>CAÑO AWADUCT 63 X 1.50 MTS</t>
  </si>
  <si>
    <t>CAÑO AWADUCT 63 X 2 MTS</t>
  </si>
  <si>
    <t>CAÑO AWADUCT 63 X 3 MTS</t>
  </si>
  <si>
    <t>CAÑO AWADUCT 63 X 4 MTS</t>
  </si>
  <si>
    <t>CAÑO AWADUCT 110 X 0.25 MTS</t>
  </si>
  <si>
    <t>CAÑO AWADUCT 110 X 0.50 MTS</t>
  </si>
  <si>
    <t>CAÑO AWADUCT 110 X 0.75 MTS</t>
  </si>
  <si>
    <t>CAÑO AWADUCT 110 X 1 MTS</t>
  </si>
  <si>
    <t>CAÑO AWADUCT 110 X 1.50 MTS</t>
  </si>
  <si>
    <t>CAÑO AWADUCT 110 X 2 MTS</t>
  </si>
  <si>
    <t>CAÑO AWADUCT 110 X 3 MTS</t>
  </si>
  <si>
    <t>CAÑO AWADUCT 110 X 4 MTS</t>
  </si>
  <si>
    <t>CAÑO AWADUCT 110 X 6 MTS</t>
  </si>
  <si>
    <t>CAÑO RIGID AWADUCT 110 X 4 MTS</t>
  </si>
  <si>
    <t>CAÑO AWADUCT 110 X 4MTS PLUVIAL</t>
  </si>
  <si>
    <t>TUBO 32 X 3.00 MM  [1060]</t>
  </si>
  <si>
    <t>RIGID AWADUCT 110 X 4 MTS</t>
  </si>
  <si>
    <t>CAÑO AWADUCT 160 X 3 MTS</t>
  </si>
  <si>
    <t>CAÑO AWADUCT 160 X 4 MTS</t>
  </si>
  <si>
    <t>TERRA C/CAMP CLAK 110X4MTS</t>
  </si>
  <si>
    <t>TUBO TERRA CON CAMPANA SISTEMA CLAK 160MM</t>
  </si>
  <si>
    <t>TUBO DRENA 110MM X 4MTS 4 RANURAS</t>
  </si>
  <si>
    <t>CODO 45 MH 40</t>
  </si>
  <si>
    <t>AWADUCT</t>
  </si>
  <si>
    <t>CODO 45 MH 50</t>
  </si>
  <si>
    <t>CODO 45 MH 63</t>
  </si>
  <si>
    <t>CODO 45 MH 110</t>
  </si>
  <si>
    <t>CODO 8730 MH 40</t>
  </si>
  <si>
    <t>CODO 8730 MH 50</t>
  </si>
  <si>
    <t>CODO 8730 MH 63</t>
  </si>
  <si>
    <t>CODO 8730 MH 110</t>
  </si>
  <si>
    <t>PILETA BALCON 50 M (SIN ORING)</t>
  </si>
  <si>
    <t>SIFON PILETA LOSA</t>
  </si>
  <si>
    <t>MANG.REPARACION DE 40</t>
  </si>
  <si>
    <t>MANG.REPARACION DE 50</t>
  </si>
  <si>
    <t>MANG.REPARACION DE 63</t>
  </si>
  <si>
    <t>MANGUITO REP AWADUCT 110</t>
  </si>
  <si>
    <t>MANG.REPARACION DE 110</t>
  </si>
  <si>
    <t>CODO 8730 MH 110 C-BASE</t>
  </si>
  <si>
    <t>RAMAL 8730 MH 110X63</t>
  </si>
  <si>
    <t>RAMAL 8730 MH 63X63</t>
  </si>
  <si>
    <t>RAMAL 8730 HH 40X40</t>
  </si>
  <si>
    <t>RAMAL 8730 HH 50X50</t>
  </si>
  <si>
    <t>RAMAL 8730 MH 110X110</t>
  </si>
  <si>
    <t>RAMAL 45 MH 110X110</t>
  </si>
  <si>
    <t>RAMAL 45 MH 110X63</t>
  </si>
  <si>
    <t>RAMAL INVERTIDO M-H 50 X 50 A 45°</t>
  </si>
  <si>
    <t>RAMAL 45 MH 63X63 AWADUCT</t>
  </si>
  <si>
    <t>RAMAL 45 MH 63X63</t>
  </si>
  <si>
    <t>PIL.LOSA 5 ENT.C-SIF.DES.50X110-63  [2027]</t>
  </si>
  <si>
    <t>CUPLA REDUCCION DE 50X40  [2028]</t>
  </si>
  <si>
    <t>CUPLA REDUCCION DE 63X50  [2029]</t>
  </si>
  <si>
    <t>PIL.PATIO POLIANG.CON O`RING  [2031]</t>
  </si>
  <si>
    <t>CUPLA REDUCCION DE 110X63  [2032]</t>
  </si>
  <si>
    <t>TAPA HEMBRA DE 40  [2034]</t>
  </si>
  <si>
    <t>TAPA HEMBRA DE 63  [2035]</t>
  </si>
  <si>
    <t>TAPA HEMBRA DE 110  [2036]</t>
  </si>
  <si>
    <t>TAPA HEMBRA DE 50  [2037]</t>
  </si>
  <si>
    <t>TAPA MACHO DE 110  [2038]</t>
  </si>
  <si>
    <t>CODO 45 HH 40  [2040]</t>
  </si>
  <si>
    <t>CODO 45 HH 50  [2041]</t>
  </si>
  <si>
    <t>CODO 45 HH 63  [2042]</t>
  </si>
  <si>
    <t>PIL.PATIO 4 ENT.C-SIF.DES.40X63  [2044]</t>
  </si>
  <si>
    <t>CODO 8730 HH 40  [2045]</t>
  </si>
  <si>
    <t>CODO 8730 HH 50  [2046]</t>
  </si>
  <si>
    <t>CODO 8730 HH 63  [2047]</t>
  </si>
  <si>
    <t>RAMAL SIMPLE A 87°30’ M-H C/VENT.</t>
  </si>
  <si>
    <t>BOCA ACC.COCINA 63X50  [2052]</t>
  </si>
  <si>
    <t>BOCA ACC COCINA  63X50  AWADUCT</t>
  </si>
  <si>
    <t>PILETA PATIO 3 ENTR.40 C-SIFON  [2053]</t>
  </si>
  <si>
    <t>PIL.PATIO 4 ENT.C-SIF.DES.50X63  [2054]</t>
  </si>
  <si>
    <t>RAMAL 45 HH 40  [2057]</t>
  </si>
  <si>
    <t>RAMAL 45 HH 50  [2058]</t>
  </si>
  <si>
    <t>BOCA ACCESO HORIZ.110X63 (CODO 2 ACOMET)  [2060]</t>
  </si>
  <si>
    <t>PILETA DUCHA  40 M  [2061]</t>
  </si>
  <si>
    <t>PILETA BALCON 63 M  [2062]</t>
  </si>
  <si>
    <t>TAPA INSPECCION 110  [2064]</t>
  </si>
  <si>
    <t>CAÑO CAMARA 110 ROSC.  [2065]</t>
  </si>
  <si>
    <t>TAPA MACHO DE 40  [2066]</t>
  </si>
  <si>
    <t>TAPA MACHO DE 50  [2067]</t>
  </si>
  <si>
    <t>TAPA MACHO DE 63  [2068]</t>
  </si>
  <si>
    <t>PIL.LOSA 5 ENT.C-SIF.DES.40X110-63  [2069]</t>
  </si>
  <si>
    <t>ADAPT EXCÉN P/ INODORO (12MM)</t>
  </si>
  <si>
    <t>ADAP EXCÉN INOD ACAN (12MM)</t>
  </si>
  <si>
    <t>CODO 8730 40 HH CORTA  [2074]</t>
  </si>
  <si>
    <t>RECEPTACULO BALCON 63 H  [2076]</t>
  </si>
  <si>
    <t>DISCO ANTIFILTRACIONES PARA REJILLAS</t>
  </si>
  <si>
    <t>BUJE REDUC. 63X40 MH  [2080]</t>
  </si>
  <si>
    <t>BUJE REDUC. 63X50 MH  [2081]</t>
  </si>
  <si>
    <t>BUJE REDUC.110X40 MH  [2082]</t>
  </si>
  <si>
    <t>BUJE REDUC.110X50 MH  [2083]</t>
  </si>
  <si>
    <t>BUJE REDUC.110X63 MH  [2084]</t>
  </si>
  <si>
    <t>CURVA 8730 MH 110  [2090]</t>
  </si>
  <si>
    <t>CODO 15 MH 110  [2093]</t>
  </si>
  <si>
    <t>CODO 30 MH 110  [2094]</t>
  </si>
  <si>
    <t>TAPÓN HERMÉTICO PORTARREJILLAS 110MM</t>
  </si>
  <si>
    <t>CODO POLIANGULAR 40  HH [2100]</t>
  </si>
  <si>
    <t>BUJE RED.50X40 MH  [2101]</t>
  </si>
  <si>
    <t>CODO POLIANGULAR HH 50  [2105]</t>
  </si>
  <si>
    <t>CODO POLIANGULAR HH 63  [2112]</t>
  </si>
  <si>
    <t>RAMAL 40 A 45º MH [2117]</t>
  </si>
  <si>
    <t>RAMAL 50 A 45º MH [2119]</t>
  </si>
  <si>
    <t>CURVA 8730 MH 40  [2187]</t>
  </si>
  <si>
    <t>CURVA 8730 MH 50  [2188]</t>
  </si>
  <si>
    <t>CURVA 8730 MH 63  [2189]</t>
  </si>
  <si>
    <t>CONJ. COJINETE Ø200 C/PROL.Y TAPA</t>
  </si>
  <si>
    <t>RECEPTACULO BALCON 40  [2211]</t>
  </si>
  <si>
    <t>RAMAL 45 HHC 110X110  [2223]</t>
  </si>
  <si>
    <t>CODO A 45° H-HC CON SUJECIÓN 40MM</t>
  </si>
  <si>
    <t>CODO A 45° H-HC CON SUJECIÓN 50MM</t>
  </si>
  <si>
    <t>CODO A 45° H-HC CON SUJECIÓN 63MM</t>
  </si>
  <si>
    <t>CODO 45 HHC 110  [2243]</t>
  </si>
  <si>
    <t>CODO A 87° 30’ H-HC CON SUJECIÓN 40MM</t>
  </si>
  <si>
    <t>CODO A 87° 30’ H-HC CON SUJECIÓN 50MM</t>
  </si>
  <si>
    <t>CODO 8730 HHC 110</t>
  </si>
  <si>
    <t>CODO A 45° H-H 32MM</t>
  </si>
  <si>
    <t>BUJE REDUCCIÓN M-H 40X32</t>
  </si>
  <si>
    <t>CODO A 87° 30’ H-H 32MM</t>
  </si>
  <si>
    <t>RAMAL SIMPLE A 87° 30’ H-H 32MM</t>
  </si>
  <si>
    <t>MANGUITO REPARACIÓN H-H 32MM</t>
  </si>
  <si>
    <t>AD.PIL.DESC.AA 32HX3-4 ROSCA  [2268]</t>
  </si>
  <si>
    <t>ADAPT EXCÉN INODORO (55MM)</t>
  </si>
  <si>
    <t>ADAPT EXCÉN INODORO ACAN (55MM)</t>
  </si>
  <si>
    <t>RAMAL SIMPLE A 45°H-H 32MM</t>
  </si>
  <si>
    <t>VALVULA ANTI-PLAGA 110  [2275]</t>
  </si>
  <si>
    <t>VALVULA ANTIRRETORNO 110  [2277]</t>
  </si>
  <si>
    <t>ADAPT 32M X 1/2"-3/4</t>
  </si>
  <si>
    <t>TRANSICION 40 X 3-4 ROSCA  [2285]</t>
  </si>
  <si>
    <t>BOCA ACCESO HORIZ (3 ACOM)  [2460]</t>
  </si>
  <si>
    <t>RAMAL SIMPLE A 45° M-H 110X50</t>
  </si>
  <si>
    <t>RIGID CODO 45° MH 110</t>
  </si>
  <si>
    <t>RIGID CODO 8730 MH 110</t>
  </si>
  <si>
    <t>RIGID MANG.REPARACION DE 110</t>
  </si>
  <si>
    <t>RIGID RAMAL 8730 MH 110X110</t>
  </si>
  <si>
    <t>RIGID RAMAL 45° MH 110X110</t>
  </si>
  <si>
    <t>RAMAL INVERTIDO M-H 110 X 50 PARA</t>
  </si>
  <si>
    <t>RAMAL DOBLE A 87° 30’ M-H</t>
  </si>
  <si>
    <t>SIFÓN LARGO DESENGRASADORA</t>
  </si>
  <si>
    <t>PORTAREJ.12X12 C-REJ.METALICA</t>
  </si>
  <si>
    <t>PORTAREJ.15X15 C-REJ.METALICA  [4003]</t>
  </si>
  <si>
    <t>PORTAREJ.12X12 CIEGA METALICA  [4004]</t>
  </si>
  <si>
    <t>PORTAREJ.8X8 C-REJ.INOX.SAL.63  [4006]</t>
  </si>
  <si>
    <t>PORTAREJ.8X8 CIEGA INOX.SAL.63  [4007]</t>
  </si>
  <si>
    <t>PORTAREJ.8X8 C-REJ.INOX.SAL.40  [4008]</t>
  </si>
  <si>
    <t>PORTAREJ.8X8 CIEGA INOX.SAL.40  [4009]</t>
  </si>
  <si>
    <t>SOLUCION DESLIZANTE DE 400 CC  [4022]</t>
  </si>
  <si>
    <t>SOLUCIÓN DESLIZANTE EN AEROSOL 125CM3</t>
  </si>
  <si>
    <t>PORTAREJILLA PLAST REJ 12X12</t>
  </si>
  <si>
    <t>PORTAREJILLA CIEGA PLAST 12X12</t>
  </si>
  <si>
    <t>TAPON NEUMATICO 110 CORTO  [4048]</t>
  </si>
  <si>
    <t>TAPON NEUMATICO 40-63 CORTO  [4049]</t>
  </si>
  <si>
    <t>REF.CHANFLE DE 40 A 160  [4050]</t>
  </si>
  <si>
    <t>CODO SOPAPA BAÑERA 40 CROMADA  [4098]</t>
  </si>
  <si>
    <t>PORT.12X12 ACR.INOX.ACANAL.  [4102]</t>
  </si>
  <si>
    <t>PORT.12X12 ACR.INOX.CIEGA ACAN  [4104]</t>
  </si>
  <si>
    <t>PORT.8X8 ACR.INOX.ACANAL. 63  [4106]</t>
  </si>
  <si>
    <t>SOPAPA VERTICAL 40 CROMADA  [4128]</t>
  </si>
  <si>
    <t>CODO SOPAPA 40 R.LARGA CROMADA  [4130]</t>
  </si>
  <si>
    <t>SOP.VERT.40 REJ.LARGA BCE.CR.  [4132]</t>
  </si>
  <si>
    <t>EMBUDO CODO 110 C-REJ.PP.20X20  [4139]</t>
  </si>
  <si>
    <t>EMBUDO C/REJ 20X20</t>
  </si>
  <si>
    <t>EMBUDO HORIZ. S.110  [4143]</t>
  </si>
  <si>
    <t>SOMBRERETE 63 MM  [4150]</t>
  </si>
  <si>
    <t>SOMBRERETE 110 MM  [4151]</t>
  </si>
  <si>
    <t>DISCO CON MEMBRANA Ø 63</t>
  </si>
  <si>
    <t>DISCO CON MEMBRANA 63MM</t>
  </si>
  <si>
    <t>DISCO CON MEMBRANA 110MM</t>
  </si>
  <si>
    <t>DISCO CON MEMBRANA Ø110</t>
  </si>
  <si>
    <t>PORTAREJILLA 20X20 SALIDA Ø160 (CIEGA)</t>
  </si>
  <si>
    <t>RAPICLAK - GRAPA FIJA Y DESLIZANTE 110MM</t>
  </si>
  <si>
    <t>CINTA GRAMPAFLEX PERF. 14MM X100MTS [4180]</t>
  </si>
  <si>
    <t>CINTA GRAMPAFLEX PERF.14 MM X100MTS 32-110  [4180]</t>
  </si>
  <si>
    <t>CINTA GRAMPAFLEX PERF.14MMX25 MTS 32-110  [4183]</t>
  </si>
  <si>
    <t>DESCARGA INODORO BLANCO</t>
  </si>
  <si>
    <t>PORTARR.8X8 REJ.A.I. ACAN.40  [4220]</t>
  </si>
  <si>
    <t>TRANSICIÓN GOLLETE Ø (40) 35-40</t>
  </si>
  <si>
    <t>TRANSICIÓN GOLLETE Ø (50) 45-50</t>
  </si>
  <si>
    <t>TRANSICIÓN GOLLETE Ø (63) 59-80</t>
  </si>
  <si>
    <t>TRANSICIÓN GOLLETE Ø (110) 97-120</t>
  </si>
  <si>
    <t>COLECTOR DESAGUE LINEAL 650 + PROT. OBRA</t>
  </si>
  <si>
    <t>MARCO INOX. C/PROL + REJ INOX LISA</t>
  </si>
  <si>
    <t>MARCO INOX. C/PROL + REJILLA INOX. BASTONES</t>
  </si>
  <si>
    <t>MARCO INOX. C/PROL + REJILLA INOX CUADRADOS</t>
  </si>
  <si>
    <t>MARCO PP C/PROL + REJILLA PP BLANCA LISA</t>
  </si>
  <si>
    <t>MARCO PP C/PROL + REJILLA PP BLANCA BASTONES</t>
  </si>
  <si>
    <t>MARCO PP C/PROL + REJILLA PP GRIS LISA</t>
  </si>
  <si>
    <t>MARCO PP C/PROL + REJILLA PP GRIS BASTONES</t>
  </si>
  <si>
    <t>CODO 8730 MH 160</t>
  </si>
  <si>
    <t>CODO 45 MH 160</t>
  </si>
  <si>
    <t>RAMAL 160X160 A 87º 30  [6003]</t>
  </si>
  <si>
    <t>RAMAL 160X110 A 87º 30  [6005]</t>
  </si>
  <si>
    <t>RAMAL ACOPLE A 45° 160 X 110 C/ABRAZADERAS</t>
  </si>
  <si>
    <t>MANG.REPARACION DE 160</t>
  </si>
  <si>
    <t>TAPA HEMBRA DE 160  [6010]</t>
  </si>
  <si>
    <t>CUPLA RED MH 160 110</t>
  </si>
  <si>
    <t>TAPA MACHO DE 160  [6017]</t>
  </si>
  <si>
    <t>BOCA DE ACCESO Y PILETA DE PATIO Ø160 C/SIFÓN DESMONTABLE</t>
  </si>
  <si>
    <t>DESENGR.110X63 C-SIF.Y F.DIF.  [6070]</t>
  </si>
  <si>
    <t>PILETA DE PATIO Ø160 C/SIFÓN DESMONTABLE</t>
  </si>
  <si>
    <t>SIFON EMBUT.LAVARROPAS  [7120]</t>
  </si>
  <si>
    <t>SIFON EMBUT.LAVA BLANCO  [7123]</t>
  </si>
  <si>
    <t>SIFÓN DE EMBUTIR COCINA TAPA INOX</t>
  </si>
  <si>
    <t>TUBO TERRA 110MM</t>
  </si>
  <si>
    <t>TUBO TERRA PLUVIAL VEREDA 110</t>
  </si>
  <si>
    <t>PROLONGACIÓN 200X1 METRO  [7727]</t>
  </si>
  <si>
    <t>CAJONES AUTOESTIBABLES GRANDE [7999]</t>
  </si>
  <si>
    <t>CUPLA TERRA (H-HC) 110MM</t>
  </si>
  <si>
    <t>ACOPLE TERRA HEMBRA (HC)</t>
  </si>
  <si>
    <t>RAMAL TERRA-AWADUCT A 45º  110 (118 X AW110)</t>
  </si>
  <si>
    <t>RAMAL TERRA-AWADUCT A 45º 110 (118 X AW63)</t>
  </si>
  <si>
    <t>CODO TERRA A 45° H-HC 110MM</t>
  </si>
  <si>
    <t>TUBO FUSIOGAS 20 MM X 4 METROS</t>
  </si>
  <si>
    <t>FUSIOGAS</t>
  </si>
  <si>
    <t>TUBO FUSIOGAS 25 MM X 4 METROS</t>
  </si>
  <si>
    <t>TUBO FUSIOGAS 32 MM X 4 METROS</t>
  </si>
  <si>
    <t>TUBO FUSIOGAS 40 MM X 4 METROS</t>
  </si>
  <si>
    <t>TUBO FUSIOGAS 50 MM X 4 METROS</t>
  </si>
  <si>
    <t>TUBO FUSIOGAS 63 MM X 4 METROS</t>
  </si>
  <si>
    <t>BOQUILLA FUSIOGAS 20 MM</t>
  </si>
  <si>
    <t>BOQUILLA FUSIOGAS 25 MM</t>
  </si>
  <si>
    <t>BOQUILLA FUSIOGAS 32 MM</t>
  </si>
  <si>
    <t>BOQUILLA FUSIOGAS 40 MM</t>
  </si>
  <si>
    <t>BOQUILLA FUSIOGAS 50 MM</t>
  </si>
  <si>
    <t>BOQUILLA FUSIOGAS 63 MM</t>
  </si>
  <si>
    <t>BOQUILLA FUSIOGAS P/MONTURA DE REPARACION 20 MM</t>
  </si>
  <si>
    <t>BOQUILLA FUSIOGAS P/MONTURA DE REPARACION 25 MM</t>
  </si>
  <si>
    <t>BOQUILLA FUSIOGAS P/MONTURA DE REPARACION 32 MM</t>
  </si>
  <si>
    <t>BOQUILLA FUSIOGAS P/MONTURA DE REPARACION 40 MM</t>
  </si>
  <si>
    <t>BOQUILLA FUSIOGAS P/MONTURA DE REPARACION 50 MM</t>
  </si>
  <si>
    <t>BOQUILLA FUSIOGAS P/MONTURA DE REPARACION 63 MM</t>
  </si>
  <si>
    <t>BUJE RED FUSIOGAS C/ARO TOPE REMOVIBLE 25 X 20 MM</t>
  </si>
  <si>
    <t>BUJE RED FUSIOGAS C/ARO TOPE REMOVIBLE 32 X 20 MM</t>
  </si>
  <si>
    <t>BUJE RED FUSIOGAS C/ARO TOPE REMOVIBLE 32 X 25 MM</t>
  </si>
  <si>
    <t>BUJE RED FUSIOGAS C/ARO TOPE REMOVIBLE 40 X 25 MM</t>
  </si>
  <si>
    <t>BUJE RED FUSIOGAS C/ARO TOPE REMOVIBLE 40 X 32 MM</t>
  </si>
  <si>
    <t>BUJE RED FUSIOGAS C/ARO TOPE REMOVIBLE 50 X 32 MM</t>
  </si>
  <si>
    <t>BUJE RED FUSIOGAS C/ARO TOPE REMOVIBLE 50 X 40 MM</t>
  </si>
  <si>
    <t>BUJE RED FUSIOGAS C/ARO TOPE REMOVIBLE 63 X 40 MM</t>
  </si>
  <si>
    <t>BUJE RED FUSIOGAS C/ARO TOPE REMOVIBLE 63 X 50 MM</t>
  </si>
  <si>
    <t>CODO 45º FUSIOGAS FUSION 20 MM</t>
  </si>
  <si>
    <t>CODO 45º FUSIOGAS FUSION 25 MM</t>
  </si>
  <si>
    <t>CODO 45º FUSIOGAS FUSION 32 MM</t>
  </si>
  <si>
    <t>CODO 45º FUSIOGAS FUSION 40 MM</t>
  </si>
  <si>
    <t>CODO 45º FUSIOGAS FUSION 50 MM</t>
  </si>
  <si>
    <t>CODO 45º FUSIOGAS FUSION 63 MM</t>
  </si>
  <si>
    <t>CODO 90º FUSIOGAS FUSION 20 MM</t>
  </si>
  <si>
    <t>CODO 90º FUSIOGAS FUSION 25 MM</t>
  </si>
  <si>
    <t>CODO 90º FUSIOGAS FUSION 32 MM</t>
  </si>
  <si>
    <t>CODO 90º FUSIOGAS FUSION 40 MM</t>
  </si>
  <si>
    <t>CODO 90º FUSIOGAS FUSION 50 MM</t>
  </si>
  <si>
    <t>CODO 90º FUSIOGAS FUSION 63 MM</t>
  </si>
  <si>
    <t>CODO 90º FUSIOGAS ROSCA HEMBRA 20 X 1/2"</t>
  </si>
  <si>
    <t>CODO 90º FUSIOGAS ROSCA HEMBRA 25 X 1/2"</t>
  </si>
  <si>
    <t>CODO 90º FUSIOGAS ROSCA HEMBRA 25 X 3/4"</t>
  </si>
  <si>
    <t>CODO 90º FUSIOGAS ROSCA HEMBRA 32 X 1"</t>
  </si>
  <si>
    <t>CODO 90º FUSIOGAS ROSCA HEMBRA 32 X 3/4"</t>
  </si>
  <si>
    <t>CODO 90º FUSIOGAS ROSCA HEMBRA 40 X 1 1/4"</t>
  </si>
  <si>
    <t>CODO 90º FUSIOGAS ROSCA HEMBRA 40 X 1"</t>
  </si>
  <si>
    <t>CODO 90º FUSIOGAS ROSCA HEMBRA 50 X 1 1/2"</t>
  </si>
  <si>
    <t>CODO 90º FUSIOGAS ROSCA HEMBRA 50 X 1 1/4"  [201351]</t>
  </si>
  <si>
    <t>CODO 90º FUSIOGAS ROSCA HEMBRA 63 X 1 1/2"</t>
  </si>
  <si>
    <t>CODO 90º FUSIOGAS ROSCA HEMBRA 63 X 2"</t>
  </si>
  <si>
    <t>CORTA TUBO RADIAL FUSIOGAS 20-40MM - UC-6-50</t>
  </si>
  <si>
    <t>CORTA TUBO RADIAL FUSIOGAS 50-63MM - UC-84</t>
  </si>
  <si>
    <t>CUPLA FUSIOGAS FUSION 20 MM</t>
  </si>
  <si>
    <t>CUPLA FUSIOGAS FUSION 25 MM</t>
  </si>
  <si>
    <t>CUPLA FUSIOGAS FUSION 32 MM</t>
  </si>
  <si>
    <t>CUPLA FUSIOGAS FUSION 40 MM</t>
  </si>
  <si>
    <t>CUPLA FUSIOGAS FUSION 50 MM</t>
  </si>
  <si>
    <t>CUPLA FUSIOGAS FUSION 63 MM</t>
  </si>
  <si>
    <t>CUPLA REDUCCION FUSIOGAS FUSION 25 X 20 MM</t>
  </si>
  <si>
    <t>CUPLA REDUCCION FUSIOGAS FUSION 32 X 20 MM</t>
  </si>
  <si>
    <t>CUPLA REDUCCION FUSIOGAS FUSION 32 X 25 MM</t>
  </si>
  <si>
    <t>CUPLA REDUCCION FUSIOGAS FUSION 40 X 25 MM</t>
  </si>
  <si>
    <t>CUPLA REDUCCION FUSIOGAS FUSION 40 X 32 MM</t>
  </si>
  <si>
    <t>CUPLA REDUCCION FUSIOGAS FUSION 50 X 32 MM</t>
  </si>
  <si>
    <t>CUPLA REDUCCION FUSIOGAS FUSION 50 X 40 MM</t>
  </si>
  <si>
    <t>CUPLA REDUCCION FUSIOGAS FUSION 63 X 40 MM</t>
  </si>
  <si>
    <t>CUPLA REDUCCION FUSIOGAS FUSION 63 X 50 MM</t>
  </si>
  <si>
    <t>LLAVE DE PASO FUSIOGAS C/MANIVELA Y ROSETA 20 MM</t>
  </si>
  <si>
    <t>LLAVE DE PASO FUSIOGAS C/MANIVELA Y ROSETA 25 MM</t>
  </si>
  <si>
    <t>LLAVE DE PASO FUSIOGAS C/MANIVELA Y ROSETA 32 MM</t>
  </si>
  <si>
    <t>LLAVE DE PASO FUSIOGAS CON MANIJA 40 MM</t>
  </si>
  <si>
    <t>LLAVE DE PASO FUSIOGAS CON MANIJA 50 MM</t>
  </si>
  <si>
    <t>LLAVE DE PASO FUSIOGAS CON MANIJA 63 MM</t>
  </si>
  <si>
    <t>MONTURA DE REPARACION FUSIOGAS 20 MM</t>
  </si>
  <si>
    <t>MONTURA DE REPARACION FUSIOGAS 25 MM</t>
  </si>
  <si>
    <t>MONTURA DE REPARACION FUSIOGAS 32 MM</t>
  </si>
  <si>
    <t>MONTURA DE REPARACION FUSIOGAS 40 MM</t>
  </si>
  <si>
    <t>MONTURA DE REPARACION FUSIOGAS 50 MM</t>
  </si>
  <si>
    <t>MONTURA DE REPARACION FUSIOGAS 63 MM</t>
  </si>
  <si>
    <t>NIPLE ENTREFUSION FUSIOGAS C/ARO TOPE REMOV. 20 MM</t>
  </si>
  <si>
    <t>NIPLE ENTREFUSION FUSIOGAS C/ARO TOPE REMOV. 25 MM</t>
  </si>
  <si>
    <t>NIPLE ENTREFUSION FUSIOGAS C/ARO TOPE REMOV. 32 MM</t>
  </si>
  <si>
    <t>NIPLE ENTREFUSION FUSIOGAS C/ARO TOPE REMOV. 40 MM</t>
  </si>
  <si>
    <t>NIPLE ENTREFUSION FUSIOGAS C/ARO TOPE REMOV. 50 MM</t>
  </si>
  <si>
    <t>NIPLE ENTREFUSION FUSIOGAS C/ARO TOPE REMOV. 63 MM</t>
  </si>
  <si>
    <t>PROTECCION SOLAR AUTOADHESIVA ALSOL 40 M X 4 CM</t>
  </si>
  <si>
    <t>REP CUCHILLA CORTA TUBO RADIAL FUSIOGAS 20 - 40 MM</t>
  </si>
  <si>
    <t>REP CUCHILLA CORTA TUBO RADIAL FUSIOGAS 50 - 63 MM</t>
  </si>
  <si>
    <t>REP ROSETA Y MANIVELA CROMADA GAS 20 - 32 MM</t>
  </si>
  <si>
    <t>REPUESTO KIT MANIJA FUSIOGAS 40 - 50 MM</t>
  </si>
  <si>
    <t>REPUESTO KIT MANIJA FUSIOGAS 63 MM</t>
  </si>
  <si>
    <t>SOBREPASO FUSIOGAS 20 MM</t>
  </si>
  <si>
    <t>SOBREPASO FUSIOGAS 25 MM</t>
  </si>
  <si>
    <t>SOBREPASO FUSIOGAS 32 MM</t>
  </si>
  <si>
    <t>TAPA FUSIOGAS 20 MM</t>
  </si>
  <si>
    <t>TAPA FUSIOGAS 25 MM</t>
  </si>
  <si>
    <t>TAPA FUSIOGAS 32 MM</t>
  </si>
  <si>
    <t>TAPA FUSIOGAS 40 MM</t>
  </si>
  <si>
    <t>TAPA FUSIOGAS 50 MM</t>
  </si>
  <si>
    <t>TAPA FUSIOGAS 63 MM</t>
  </si>
  <si>
    <t>TE FUSIOGAS FUSION 20 MM</t>
  </si>
  <si>
    <t>TE FUSIOGAS FUSION 25 MM</t>
  </si>
  <si>
    <t>TE FUSIOGAS FUSION 32 MM</t>
  </si>
  <si>
    <t>TE FUSIOGAS FUSION 40 MM</t>
  </si>
  <si>
    <t>TE FUSIOGAS FUSION 50 MM</t>
  </si>
  <si>
    <t>TE FUSIOGAS FUSION 63 MM</t>
  </si>
  <si>
    <t>TE REDUCCION FUSIOGAS FUSION 25 X 20 MM</t>
  </si>
  <si>
    <t>TE REDUCCION FUSIOGAS FUSION 32 X 20 MM</t>
  </si>
  <si>
    <t>TE REDUCCION FUSIOGAS FUSION 32 X 25 MM</t>
  </si>
  <si>
    <t>TE REDUCCION FUSIOGAS FUSION 40 X 25 MM</t>
  </si>
  <si>
    <t>TE REDUCCION FUSIOGAS FUSION 40 X 32 MM</t>
  </si>
  <si>
    <t>TE REDUCCION FUSIOGAS FUSION 50 X 32 MM</t>
  </si>
  <si>
    <t>TE REDUCCION FUSIOGAS FUSION 50 X 40 MM</t>
  </si>
  <si>
    <t>TE REDUCCION FUSIOGAS FUSION 63 X 40 MM</t>
  </si>
  <si>
    <t>TE REDUCCION FUSIOGAS FUSION 63 X 50 MM</t>
  </si>
  <si>
    <t>TRANSICION HEMBRA FUSIOGAS 20 X 1/2"</t>
  </si>
  <si>
    <t>TRANSICION HEMBRA FUSIOGAS 25 X 1/2"</t>
  </si>
  <si>
    <t>TRANSICION HEMBRA FUSIOGAS 25 X 3/4"</t>
  </si>
  <si>
    <t>TRANSICION HEMBRA FUSIOGAS 32 X 1"</t>
  </si>
  <si>
    <t>TRANSICION HEMBRA FUSIOGAS 40 X 1 1/4"</t>
  </si>
  <si>
    <t>TRANSICION HEMBRA FUSIOGAS 50 X 1 1/2"</t>
  </si>
  <si>
    <t>TRANSICION HEMBRA FUSIOGAS 63 X 2"</t>
  </si>
  <si>
    <t>TRANSICION MACHO FUSIOGAS 20 X 1/2"</t>
  </si>
  <si>
    <t>TRANSICION MACHO FUSIOGAS 25 X 1/2"</t>
  </si>
  <si>
    <t>TRANSICION MACHO FUSIOGAS 25 X 3/4"</t>
  </si>
  <si>
    <t>TRANSICION MACHO FUSIOGAS 32 X 1"</t>
  </si>
  <si>
    <t>TRANSICION MACHO FUSIOGAS 40 X 1 1/4"</t>
  </si>
  <si>
    <t>TRANSICION MACHO FUSIOGAS 50 X 1 1/2"</t>
  </si>
  <si>
    <t>TRANSICION MACHO FUSIOGAS 63 X 2"</t>
  </si>
  <si>
    <t>CANALETA X 3MTS</t>
  </si>
  <si>
    <t>PLUVITUBO</t>
  </si>
  <si>
    <t>CODO Ø115 A 67°</t>
  </si>
  <si>
    <t>CODO Ø115 A 87°</t>
  </si>
  <si>
    <t>EMBUDO DE DESCARGA</t>
  </si>
  <si>
    <t>ESQUINERO CANALETA INTERIOR/EXTERIOR</t>
  </si>
  <si>
    <t>GRAMPA P/TUBO DE DESCARGA</t>
  </si>
  <si>
    <t>SOPORTE CANALETA</t>
  </si>
  <si>
    <t>SOPORTE METÁLICO P/CABIO</t>
  </si>
  <si>
    <t>SOPORTE METÁLICO P/CHAPA</t>
  </si>
  <si>
    <t>SOPORTE METÁLICO P/TEJA</t>
  </si>
  <si>
    <t>TAPA CANALETA DERECHA</t>
  </si>
  <si>
    <t>TAPA CANALETA ZQUIERDA</t>
  </si>
  <si>
    <t>TAPA EMBUDO DERECHA</t>
  </si>
  <si>
    <t>TAPA EMBUDO IZQUIERDA</t>
  </si>
  <si>
    <t>TUBO DE DESCARGA Ø115 3MTS</t>
  </si>
  <si>
    <t>TUBO DE DESCARGA Ø115 X 1MT</t>
  </si>
  <si>
    <t>UNION DE CANALETA</t>
  </si>
  <si>
    <t xml:space="preserve">MERCADO SANITARIO MDQ </t>
  </si>
  <si>
    <t>TUBILENO</t>
  </si>
  <si>
    <t>TUBO TUBILENO 1/2" PP UNION ROSCADA X 6 METROS  [44]</t>
  </si>
  <si>
    <t>TUBO TUBILENO 3/4" PP UNION ROSCADA X 6 METROS  [45]</t>
  </si>
  <si>
    <t>TUBO TUBILENO 1" PP UNION ROSCADA X 6 METROS  [46]</t>
  </si>
  <si>
    <t>TUBO TUBILENO 1 1/4" PP UNION ROSCADA X 6 METROS  [47]</t>
  </si>
  <si>
    <t>TUBO TUBILENO 1 1/2" PP UNION ROSCADA X 6 METROS  [48]</t>
  </si>
  <si>
    <t>TUBO TUBILENO 2" PP UNION ROSCADA X 6 METROS  [49]</t>
  </si>
  <si>
    <t>Artículo</t>
  </si>
  <si>
    <t>Nombre Artículo [Código]</t>
  </si>
  <si>
    <t>U. por Envase</t>
  </si>
  <si>
    <t>Precio Unitario</t>
  </si>
  <si>
    <t>SELLADOR H3 125 CC  [74]</t>
  </si>
  <si>
    <t>SELLADOR H3 25 CC  [82]</t>
  </si>
  <si>
    <t>SELLADOR H3 50 CC  [85]</t>
  </si>
  <si>
    <t>SELLADOR GAS H3 125 CC  [86]</t>
  </si>
  <si>
    <t>COVERTHOR BLANCO 1/2" 5MM X 2 METROS  [3201]</t>
  </si>
  <si>
    <t>COVERTHOR BLANCO 3/4" 5MM X 2 METROS  [3202]</t>
  </si>
  <si>
    <t>COVERTHOR BLANCO 1" 5MM X 2 METROS  [3203]</t>
  </si>
  <si>
    <t>COVERTHOR GRIS 13 X 33 10MM X 2 METROS  [3401]</t>
  </si>
  <si>
    <t>COVERTHOR GRIS 17 X 37 10MM X 2 METROS  [3402]</t>
  </si>
  <si>
    <t>Codigo</t>
  </si>
  <si>
    <t>Descripcion</t>
  </si>
  <si>
    <t>cant x bulto</t>
  </si>
  <si>
    <t>Precio unit</t>
  </si>
  <si>
    <r>
      <t xml:space="preserve">Tubo Compacto PVC J/P </t>
    </r>
    <r>
      <rPr>
        <sz val="11"/>
        <color indexed="8"/>
        <rFont val="Calibri"/>
        <family val="2"/>
      </rPr>
      <t>Ø40 x 4mts</t>
    </r>
  </si>
  <si>
    <r>
      <t xml:space="preserve">Tubo Compacto PVC J/P </t>
    </r>
    <r>
      <rPr>
        <sz val="11"/>
        <color indexed="8"/>
        <rFont val="Calibri"/>
        <family val="2"/>
      </rPr>
      <t>Ø50 x 4mts</t>
    </r>
  </si>
  <si>
    <r>
      <t xml:space="preserve">Tubo Compacto PVC J/P </t>
    </r>
    <r>
      <rPr>
        <sz val="11"/>
        <color indexed="8"/>
        <rFont val="Calibri"/>
        <family val="2"/>
      </rPr>
      <t>Ø63 x 4mts</t>
    </r>
  </si>
  <si>
    <r>
      <t xml:space="preserve">Tubo Compacto PVC J/P </t>
    </r>
    <r>
      <rPr>
        <sz val="11"/>
        <color indexed="8"/>
        <rFont val="Calibri"/>
        <family val="2"/>
      </rPr>
      <t>Ø100 x 4mts</t>
    </r>
  </si>
  <si>
    <r>
      <t xml:space="preserve">Tubo Compacto PVC J/P </t>
    </r>
    <r>
      <rPr>
        <sz val="11"/>
        <color indexed="8"/>
        <rFont val="Calibri"/>
        <family val="2"/>
      </rPr>
      <t>Ø110x 4mts</t>
    </r>
  </si>
  <si>
    <t>TUBO PVC 114 X 6MTS 3MM LINEA POCERO</t>
  </si>
  <si>
    <t>Un. X Paquete en mts</t>
  </si>
  <si>
    <t>POLIETILENO 1/2" X  4KG.</t>
  </si>
  <si>
    <t>POLIETILENO 3/4" X  4KG.</t>
  </si>
  <si>
    <t>POLIETILENO     1"X 4KG.</t>
  </si>
  <si>
    <t>POLIETILENO 1 1/4"X 2,5KG. (Consultar stock)</t>
  </si>
  <si>
    <t>-</t>
  </si>
  <si>
    <t>POLIETILENO 1 1/4"X 4KG.</t>
  </si>
  <si>
    <t>POLIETILENO 1 1/2"X 2,5KG. (Consultar stock)</t>
  </si>
  <si>
    <t>POLIETILENO 1 1/2"X 4KG.</t>
  </si>
  <si>
    <t>POLIETILENO     2"X 2,5KG.</t>
  </si>
  <si>
    <t>POLIETILENO     2"X 4KG.</t>
  </si>
  <si>
    <t xml:space="preserve"> </t>
  </si>
  <si>
    <t>CODIGO</t>
  </si>
  <si>
    <t>BEA1-B</t>
  </si>
  <si>
    <t>BIDET 1 AGUJERO ANDINA</t>
  </si>
  <si>
    <t>BEA3-B</t>
  </si>
  <si>
    <t>BIDET 3 AGUJEROS ANDINA</t>
  </si>
  <si>
    <t>BF140-B</t>
  </si>
  <si>
    <t>BAÑERA ACRILICA 140X71X38,5 - SERENA</t>
  </si>
  <si>
    <t>BF150-B</t>
  </si>
  <si>
    <t>BAÑERA ACRILICA 150X71X38,5 - SERENA</t>
  </si>
  <si>
    <t>BF160-B</t>
  </si>
  <si>
    <t>BAÑERA ACRILICA 160X71X38,5 - SERENA</t>
  </si>
  <si>
    <t>BKM1-B</t>
  </si>
  <si>
    <t>BIDET BARI 1AG</t>
  </si>
  <si>
    <t>BKM3-B</t>
  </si>
  <si>
    <t>BIDET 3 AGUJEROS-BARI</t>
  </si>
  <si>
    <t>CKC-B</t>
  </si>
  <si>
    <t>COLUMNA LAVATORIO BARI</t>
  </si>
  <si>
    <t>CTF-B</t>
  </si>
  <si>
    <t>COLUMNA LAVATORIO-ANDINA</t>
  </si>
  <si>
    <t>DAS4A-B</t>
  </si>
  <si>
    <t>DEP DE APOYAR DESC SIMP 4.5 L - ANDINA</t>
  </si>
  <si>
    <t>DAS6C-B</t>
  </si>
  <si>
    <t>DEPO COLGAR 6L ANDINA</t>
  </si>
  <si>
    <t>DAW4A-B</t>
  </si>
  <si>
    <t>DEP APOYO DESC DUAL 4.5L - ANDINA</t>
  </si>
  <si>
    <t>DFLXF-B</t>
  </si>
  <si>
    <t>DEPOSITO APOYAR D/SIMPLE 9L-MAYO</t>
  </si>
  <si>
    <t>DKW6F-B</t>
  </si>
  <si>
    <t>DEPOSITO DE APOYAR DUAL 6L-BARI</t>
  </si>
  <si>
    <t>DPCXF-B</t>
  </si>
  <si>
    <t>DEP DE COLGAR DESC/S 9 LTS ANDINA</t>
  </si>
  <si>
    <t>IALQ-B</t>
  </si>
  <si>
    <t>INODORO LARGO 4,5 LITROS-ANDINA</t>
  </si>
  <si>
    <t>IFAM-B</t>
  </si>
  <si>
    <t>INODORO CORTO 6L ANDINA</t>
  </si>
  <si>
    <t>IKCM</t>
  </si>
  <si>
    <t>INODORO BARI CORTO 6LTS</t>
  </si>
  <si>
    <t>IKLM-B</t>
  </si>
  <si>
    <t>INODORO LARGO 6L-BARI</t>
  </si>
  <si>
    <t>IML-B</t>
  </si>
  <si>
    <t>INODORO LARGO 9L-MAYO</t>
  </si>
  <si>
    <t>LEA1-B</t>
  </si>
  <si>
    <t>LAVATORIO 1 AGUJEROS-ANDINA</t>
  </si>
  <si>
    <t>LEA3-B</t>
  </si>
  <si>
    <t>LAVATORIO 3 AGUJEROS-ANDINA</t>
  </si>
  <si>
    <t>LKM3-B</t>
  </si>
  <si>
    <t>LAVATORIO 3 AGUJEROS BARI</t>
  </si>
  <si>
    <t>PFC-B</t>
  </si>
  <si>
    <t>PIL.P-LAVAD. C-FREGAD-SANITARIOS VARIOS</t>
  </si>
  <si>
    <t>PLH-B</t>
  </si>
  <si>
    <t>PIL.P-LAVAD. S-FREGAD-SANITARIOS VARIOS</t>
  </si>
  <si>
    <t>PLK-B</t>
  </si>
  <si>
    <t>TFW-B</t>
  </si>
  <si>
    <t>TAPA INOD UNIV - PP PLUS H-PP - TRAFUL</t>
  </si>
  <si>
    <t>TKX-B</t>
  </si>
  <si>
    <t>TAPA INOD BARI HDF H-PP - TRAFUL</t>
  </si>
  <si>
    <t>TPX</t>
  </si>
  <si>
    <t>TAPA INOD PILAR HDF H-PP - TRAFUL</t>
  </si>
  <si>
    <t>TPXT-B</t>
  </si>
  <si>
    <t>TSW1-B</t>
  </si>
  <si>
    <t>TAPA INOD UNIV-POLIP BASE H-PP-TRAFUL</t>
  </si>
  <si>
    <t>TSX-B</t>
  </si>
  <si>
    <t>TAPA INOD UNIV EST HDF H-PP -TRAFUL</t>
  </si>
  <si>
    <t>VF051</t>
  </si>
  <si>
    <t>VAL.DESC.FLAP. C-V - REPUESTOS</t>
  </si>
  <si>
    <t>VF051-R2</t>
  </si>
  <si>
    <t>OBT.FLAPPER C-VASO - REPUESTOS</t>
  </si>
  <si>
    <t>VF059</t>
  </si>
  <si>
    <t>VAL.DESC.DU.ACC.38 - REPUESTOS</t>
  </si>
  <si>
    <t>VFI16-04</t>
  </si>
  <si>
    <t>BOYA P-VALVULA - REPUESTOS</t>
  </si>
  <si>
    <t>VFI18</t>
  </si>
  <si>
    <t>VAL.ENT.DUAL TELESC - REPUESTOS</t>
  </si>
  <si>
    <t>VFI21</t>
  </si>
  <si>
    <t>VAL.ENT.12"CAB BL - REPUESTOS</t>
  </si>
  <si>
    <t>VIP19</t>
  </si>
  <si>
    <t>PALANCA ACC. DEP DACX (X10) - REPUESTOS</t>
  </si>
  <si>
    <t>VP191</t>
  </si>
  <si>
    <t>CONJ.TOR.PLAST. 8CM (X20) - REPUESTOS</t>
  </si>
  <si>
    <t>VP230</t>
  </si>
  <si>
    <t>ARO CONEXION INOD-DEP (X10) - REPUESTOS</t>
  </si>
  <si>
    <t>VP802</t>
  </si>
  <si>
    <t>OBT.P-SIST.FLAP C-V (X30) - REPUESTOS</t>
  </si>
  <si>
    <t>VS908</t>
  </si>
  <si>
    <t>ARO CONEXION INOD PISO - REP SANITARIOS</t>
  </si>
  <si>
    <t>VTA40-B</t>
  </si>
  <si>
    <t>BOT.LIV.P-DEP RECT - REPUESTOS</t>
  </si>
  <si>
    <t>VTA47-01</t>
  </si>
  <si>
    <t>BOTÓN DUAL 38MM CABLE - REPUESTOS</t>
  </si>
  <si>
    <t>VTC09</t>
  </si>
  <si>
    <t>CON.FUELL.P-DEP COL - REPUESTOS</t>
  </si>
  <si>
    <t>ZTDAC-B</t>
  </si>
  <si>
    <t>TAPA DEP ANDINA - REPUESTOS</t>
  </si>
  <si>
    <t>ZTDAP-B</t>
  </si>
  <si>
    <t>TAPA DEP DPC/DPL/DAR/DAP  X  UNIDAD</t>
  </si>
  <si>
    <t>ZTDKA-B</t>
  </si>
  <si>
    <t>TAPA DEPO BARI ACC.SUP - REPUESTOS</t>
  </si>
  <si>
    <t>ZTDMA-D</t>
  </si>
  <si>
    <t>TAPA DEP FLOR C-TIR - REPUESTOS</t>
  </si>
  <si>
    <t>ZTDML-B</t>
  </si>
  <si>
    <t>TAPA DEP FLORENC ACC.LAT -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</si>
</sst>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&quot;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name val="Tahoma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21"/>
      </bottom>
      <diagonal/>
    </border>
    <border>
      <left style="double">
        <color theme="8" tint="-0.499984740745262"/>
      </left>
      <right style="double">
        <color theme="8" tint="-0.499984740745262"/>
      </right>
      <top style="double">
        <color indexed="21"/>
      </top>
      <bottom style="double">
        <color theme="8" tint="-0.499984740745262"/>
      </bottom>
      <diagonal/>
    </border>
    <border>
      <left/>
      <right style="double">
        <color theme="8" tint="-0.499984740745262"/>
      </right>
      <top style="thin">
        <color indexed="64"/>
      </top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4" fontId="1" fillId="2" borderId="1" xfId="0" applyNumberFormat="1" applyFont="1" applyFill="1" applyBorder="1"/>
    <xf numFmtId="164" fontId="1" fillId="2" borderId="1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3" fontId="3" fillId="0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4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5" borderId="7" xfId="0" applyNumberFormat="1" applyFont="1" applyFill="1" applyBorder="1" applyAlignment="1" applyProtection="1">
      <alignment horizontal="center" vertical="center"/>
      <protection locked="0"/>
    </xf>
    <xf numFmtId="0" fontId="5" fillId="0" borderId="8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9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2" borderId="11" xfId="0" applyNumberFormat="1" applyFont="1" applyFill="1" applyBorder="1" applyAlignment="1" applyProtection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 applyBorder="1"/>
    <xf numFmtId="4" fontId="0" fillId="0" borderId="0" xfId="0" applyNumberFormat="1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10" sqref="F10"/>
    </sheetView>
  </sheetViews>
  <sheetFormatPr baseColWidth="10" defaultRowHeight="15" x14ac:dyDescent="0.25"/>
  <cols>
    <col min="2" max="2" width="41.42578125" bestFit="1" customWidth="1"/>
    <col min="3" max="3" width="11.42578125" style="49"/>
  </cols>
  <sheetData>
    <row r="1" spans="1:3" x14ac:dyDescent="0.25">
      <c r="A1" s="50" t="s">
        <v>586</v>
      </c>
      <c r="B1" s="50" t="s">
        <v>1</v>
      </c>
      <c r="C1" s="51" t="s">
        <v>4</v>
      </c>
    </row>
    <row r="2" spans="1:3" x14ac:dyDescent="0.25">
      <c r="A2" s="1" t="s">
        <v>587</v>
      </c>
      <c r="B2" s="1" t="s">
        <v>588</v>
      </c>
      <c r="C2" s="2">
        <v>17805.53</v>
      </c>
    </row>
    <row r="3" spans="1:3" x14ac:dyDescent="0.25">
      <c r="A3" s="1" t="s">
        <v>589</v>
      </c>
      <c r="B3" s="1" t="s">
        <v>590</v>
      </c>
      <c r="C3" s="2">
        <v>17805.53</v>
      </c>
    </row>
    <row r="4" spans="1:3" x14ac:dyDescent="0.25">
      <c r="A4" s="1" t="s">
        <v>591</v>
      </c>
      <c r="B4" s="1" t="s">
        <v>592</v>
      </c>
      <c r="C4" s="2">
        <v>54805.2</v>
      </c>
    </row>
    <row r="5" spans="1:3" x14ac:dyDescent="0.25">
      <c r="A5" s="1" t="s">
        <v>593</v>
      </c>
      <c r="B5" s="1" t="s">
        <v>594</v>
      </c>
      <c r="C5" s="2">
        <v>57689.69</v>
      </c>
    </row>
    <row r="6" spans="1:3" x14ac:dyDescent="0.25">
      <c r="A6" s="1" t="s">
        <v>595</v>
      </c>
      <c r="B6" s="1" t="s">
        <v>596</v>
      </c>
      <c r="C6" s="2">
        <v>63459.81</v>
      </c>
    </row>
    <row r="7" spans="1:3" x14ac:dyDescent="0.25">
      <c r="A7" s="1" t="s">
        <v>597</v>
      </c>
      <c r="B7" s="1" t="s">
        <v>598</v>
      </c>
      <c r="C7" s="2">
        <v>23863.26</v>
      </c>
    </row>
    <row r="8" spans="1:3" x14ac:dyDescent="0.25">
      <c r="A8" s="1" t="s">
        <v>599</v>
      </c>
      <c r="B8" s="1" t="s">
        <v>600</v>
      </c>
      <c r="C8" s="2">
        <v>23863.26</v>
      </c>
    </row>
    <row r="9" spans="1:3" x14ac:dyDescent="0.25">
      <c r="A9" s="1" t="s">
        <v>601</v>
      </c>
      <c r="B9" s="1" t="s">
        <v>602</v>
      </c>
      <c r="C9" s="2">
        <v>10462.84</v>
      </c>
    </row>
    <row r="10" spans="1:3" x14ac:dyDescent="0.25">
      <c r="A10" s="1" t="s">
        <v>603</v>
      </c>
      <c r="B10" s="1" t="s">
        <v>604</v>
      </c>
      <c r="C10" s="2">
        <v>6681.52</v>
      </c>
    </row>
    <row r="11" spans="1:3" x14ac:dyDescent="0.25">
      <c r="A11" s="1" t="s">
        <v>605</v>
      </c>
      <c r="B11" s="1" t="s">
        <v>606</v>
      </c>
      <c r="C11" s="2">
        <v>21757.06</v>
      </c>
    </row>
    <row r="12" spans="1:3" x14ac:dyDescent="0.25">
      <c r="A12" s="1" t="s">
        <v>607</v>
      </c>
      <c r="B12" s="1" t="s">
        <v>608</v>
      </c>
      <c r="C12" s="2">
        <v>12403.5</v>
      </c>
    </row>
    <row r="13" spans="1:3" x14ac:dyDescent="0.25">
      <c r="A13" s="1" t="s">
        <v>609</v>
      </c>
      <c r="B13" s="1" t="s">
        <v>610</v>
      </c>
      <c r="C13" s="2">
        <v>12976.81</v>
      </c>
    </row>
    <row r="14" spans="1:3" x14ac:dyDescent="0.25">
      <c r="A14" s="1" t="s">
        <v>611</v>
      </c>
      <c r="B14" s="1" t="s">
        <v>612</v>
      </c>
      <c r="C14" s="2">
        <v>15750.23</v>
      </c>
    </row>
    <row r="15" spans="1:3" x14ac:dyDescent="0.25">
      <c r="A15" s="1" t="s">
        <v>613</v>
      </c>
      <c r="B15" s="1" t="s">
        <v>614</v>
      </c>
      <c r="C15" s="2">
        <v>31226.22</v>
      </c>
    </row>
    <row r="16" spans="1:3" x14ac:dyDescent="0.25">
      <c r="A16" s="1" t="s">
        <v>615</v>
      </c>
      <c r="B16" s="1" t="s">
        <v>616</v>
      </c>
      <c r="C16" s="2">
        <v>15876</v>
      </c>
    </row>
    <row r="17" spans="1:3" x14ac:dyDescent="0.25">
      <c r="A17" s="1" t="s">
        <v>617</v>
      </c>
      <c r="B17" s="1" t="s">
        <v>618</v>
      </c>
      <c r="C17" s="2">
        <v>21614.47</v>
      </c>
    </row>
    <row r="18" spans="1:3" x14ac:dyDescent="0.25">
      <c r="A18" s="1" t="s">
        <v>619</v>
      </c>
      <c r="B18" s="1" t="s">
        <v>620</v>
      </c>
      <c r="C18" s="2">
        <v>17824.330000000002</v>
      </c>
    </row>
    <row r="19" spans="1:3" x14ac:dyDescent="0.25">
      <c r="A19" s="1" t="s">
        <v>621</v>
      </c>
      <c r="B19" s="1" t="s">
        <v>622</v>
      </c>
      <c r="C19" s="2">
        <v>28777.68</v>
      </c>
    </row>
    <row r="20" spans="1:3" x14ac:dyDescent="0.25">
      <c r="A20" s="1" t="s">
        <v>623</v>
      </c>
      <c r="B20" s="1" t="s">
        <v>624</v>
      </c>
      <c r="C20" s="2">
        <v>32434.27</v>
      </c>
    </row>
    <row r="21" spans="1:3" x14ac:dyDescent="0.25">
      <c r="A21" s="1" t="s">
        <v>625</v>
      </c>
      <c r="B21" s="1" t="s">
        <v>626</v>
      </c>
      <c r="C21" s="2">
        <v>23700.83</v>
      </c>
    </row>
    <row r="22" spans="1:3" x14ac:dyDescent="0.25">
      <c r="A22" s="1" t="s">
        <v>625</v>
      </c>
      <c r="B22" s="1" t="s">
        <v>626</v>
      </c>
      <c r="C22" s="2">
        <v>24889.51</v>
      </c>
    </row>
    <row r="23" spans="1:3" x14ac:dyDescent="0.25">
      <c r="A23" s="1" t="s">
        <v>627</v>
      </c>
      <c r="B23" s="1" t="s">
        <v>628</v>
      </c>
      <c r="C23" s="2">
        <v>8888.16</v>
      </c>
    </row>
    <row r="24" spans="1:3" x14ac:dyDescent="0.25">
      <c r="A24" s="1" t="s">
        <v>629</v>
      </c>
      <c r="B24" s="1" t="s">
        <v>630</v>
      </c>
      <c r="C24" s="2">
        <v>8888.16</v>
      </c>
    </row>
    <row r="25" spans="1:3" x14ac:dyDescent="0.25">
      <c r="A25" s="1" t="s">
        <v>631</v>
      </c>
      <c r="B25" s="1" t="s">
        <v>632</v>
      </c>
      <c r="C25" s="2">
        <v>15461.2</v>
      </c>
    </row>
    <row r="26" spans="1:3" x14ac:dyDescent="0.25">
      <c r="A26" s="1" t="s">
        <v>633</v>
      </c>
      <c r="B26" s="1" t="s">
        <v>634</v>
      </c>
      <c r="C26" s="2">
        <v>21448.86</v>
      </c>
    </row>
    <row r="27" spans="1:3" x14ac:dyDescent="0.25">
      <c r="A27" s="1" t="s">
        <v>635</v>
      </c>
      <c r="B27" s="1" t="s">
        <v>636</v>
      </c>
      <c r="C27" s="2">
        <v>29776.9</v>
      </c>
    </row>
    <row r="28" spans="1:3" x14ac:dyDescent="0.25">
      <c r="A28" s="1" t="s">
        <v>637</v>
      </c>
      <c r="B28" s="1" t="s">
        <v>634</v>
      </c>
      <c r="C28" s="2">
        <v>17986.509999999998</v>
      </c>
    </row>
    <row r="29" spans="1:3" x14ac:dyDescent="0.25">
      <c r="A29" s="1" t="s">
        <v>638</v>
      </c>
      <c r="B29" s="1" t="s">
        <v>639</v>
      </c>
      <c r="C29" s="2">
        <v>2126.67</v>
      </c>
    </row>
    <row r="30" spans="1:3" x14ac:dyDescent="0.25">
      <c r="A30" s="1" t="s">
        <v>640</v>
      </c>
      <c r="B30" s="1" t="s">
        <v>641</v>
      </c>
      <c r="C30" s="2">
        <v>9138.2199999999993</v>
      </c>
    </row>
    <row r="31" spans="1:3" x14ac:dyDescent="0.25">
      <c r="A31" s="1" t="s">
        <v>642</v>
      </c>
      <c r="B31" s="1" t="s">
        <v>643</v>
      </c>
      <c r="C31" s="2">
        <v>5579.15</v>
      </c>
    </row>
    <row r="32" spans="1:3" x14ac:dyDescent="0.25">
      <c r="A32" s="1" t="s">
        <v>644</v>
      </c>
      <c r="B32" s="1" t="s">
        <v>643</v>
      </c>
      <c r="C32" s="2">
        <v>7423.41</v>
      </c>
    </row>
    <row r="33" spans="1:3" x14ac:dyDescent="0.25">
      <c r="A33" s="1" t="s">
        <v>645</v>
      </c>
      <c r="B33" s="1" t="s">
        <v>646</v>
      </c>
      <c r="C33" s="2">
        <v>2358.52</v>
      </c>
    </row>
    <row r="34" spans="1:3" x14ac:dyDescent="0.25">
      <c r="A34" s="1" t="s">
        <v>647</v>
      </c>
      <c r="B34" s="1" t="s">
        <v>648</v>
      </c>
      <c r="C34" s="2">
        <v>7482.82</v>
      </c>
    </row>
    <row r="35" spans="1:3" x14ac:dyDescent="0.25">
      <c r="A35" s="1" t="s">
        <v>649</v>
      </c>
      <c r="B35" s="1" t="s">
        <v>650</v>
      </c>
      <c r="C35" s="2">
        <v>2643.22</v>
      </c>
    </row>
    <row r="36" spans="1:3" x14ac:dyDescent="0.25">
      <c r="A36" s="1" t="s">
        <v>651</v>
      </c>
      <c r="B36" s="1" t="s">
        <v>652</v>
      </c>
      <c r="C36" s="2">
        <v>1337.57</v>
      </c>
    </row>
    <row r="37" spans="1:3" x14ac:dyDescent="0.25">
      <c r="A37" s="1" t="s">
        <v>653</v>
      </c>
      <c r="B37" s="1" t="s">
        <v>654</v>
      </c>
      <c r="C37" s="2">
        <v>6218</v>
      </c>
    </row>
    <row r="38" spans="1:3" x14ac:dyDescent="0.25">
      <c r="A38" s="1" t="s">
        <v>655</v>
      </c>
      <c r="B38" s="1" t="s">
        <v>656</v>
      </c>
      <c r="C38" s="2">
        <v>503.47</v>
      </c>
    </row>
    <row r="39" spans="1:3" x14ac:dyDescent="0.25">
      <c r="A39" s="1" t="s">
        <v>657</v>
      </c>
      <c r="B39" s="1" t="s">
        <v>658</v>
      </c>
      <c r="C39" s="2">
        <v>4066.74</v>
      </c>
    </row>
    <row r="40" spans="1:3" x14ac:dyDescent="0.25">
      <c r="A40" s="1" t="s">
        <v>659</v>
      </c>
      <c r="B40" s="1" t="s">
        <v>660</v>
      </c>
      <c r="C40" s="2">
        <v>3073.99</v>
      </c>
    </row>
    <row r="41" spans="1:3" x14ac:dyDescent="0.25">
      <c r="A41" s="1" t="s">
        <v>661</v>
      </c>
      <c r="B41" s="1" t="s">
        <v>662</v>
      </c>
      <c r="C41" s="2">
        <v>361.41</v>
      </c>
    </row>
    <row r="42" spans="1:3" x14ac:dyDescent="0.25">
      <c r="A42" s="1" t="s">
        <v>663</v>
      </c>
      <c r="B42" s="1" t="s">
        <v>664</v>
      </c>
      <c r="C42" s="2">
        <v>252.97</v>
      </c>
    </row>
    <row r="43" spans="1:3" x14ac:dyDescent="0.25">
      <c r="A43" s="1" t="s">
        <v>665</v>
      </c>
      <c r="B43" s="1" t="s">
        <v>666</v>
      </c>
      <c r="C43" s="2">
        <v>344.23</v>
      </c>
    </row>
    <row r="44" spans="1:3" x14ac:dyDescent="0.25">
      <c r="A44" s="1" t="s">
        <v>667</v>
      </c>
      <c r="B44" s="1" t="s">
        <v>668</v>
      </c>
      <c r="C44" s="2">
        <v>529.16999999999996</v>
      </c>
    </row>
    <row r="45" spans="1:3" x14ac:dyDescent="0.25">
      <c r="A45" s="1" t="s">
        <v>669</v>
      </c>
      <c r="B45" s="1" t="s">
        <v>670</v>
      </c>
      <c r="C45" s="2">
        <v>1707.17</v>
      </c>
    </row>
    <row r="46" spans="1:3" x14ac:dyDescent="0.25">
      <c r="A46" s="1" t="s">
        <v>671</v>
      </c>
      <c r="B46" s="1" t="s">
        <v>672</v>
      </c>
      <c r="C46" s="2">
        <v>2280.67</v>
      </c>
    </row>
    <row r="47" spans="1:3" x14ac:dyDescent="0.25">
      <c r="A47" s="1" t="s">
        <v>673</v>
      </c>
      <c r="B47" s="1" t="s">
        <v>674</v>
      </c>
      <c r="C47" s="2">
        <v>2993.32</v>
      </c>
    </row>
    <row r="48" spans="1:3" x14ac:dyDescent="0.25">
      <c r="A48" s="1" t="s">
        <v>675</v>
      </c>
      <c r="B48" s="1" t="s">
        <v>676</v>
      </c>
      <c r="C48" s="2">
        <v>1497.1</v>
      </c>
    </row>
    <row r="49" spans="1:3" x14ac:dyDescent="0.25">
      <c r="A49" s="1" t="s">
        <v>677</v>
      </c>
      <c r="B49" s="1" t="s">
        <v>678</v>
      </c>
      <c r="C49" s="2">
        <v>4890.21</v>
      </c>
    </row>
    <row r="50" spans="1:3" x14ac:dyDescent="0.25">
      <c r="A50" s="1" t="s">
        <v>679</v>
      </c>
      <c r="B50" s="1" t="s">
        <v>680</v>
      </c>
      <c r="C50" s="2">
        <v>8009.39</v>
      </c>
    </row>
    <row r="51" spans="1:3" x14ac:dyDescent="0.25">
      <c r="A51" s="1" t="s">
        <v>681</v>
      </c>
      <c r="B51" s="1" t="s">
        <v>682</v>
      </c>
      <c r="C51" s="2">
        <v>6350.09</v>
      </c>
    </row>
    <row r="52" spans="1:3" x14ac:dyDescent="0.25">
      <c r="A52" s="1" t="s">
        <v>683</v>
      </c>
      <c r="B52" s="1" t="s">
        <v>684</v>
      </c>
      <c r="C52" s="2">
        <v>3996.72</v>
      </c>
    </row>
    <row r="53" spans="1:3" x14ac:dyDescent="0.25">
      <c r="A53" s="1" t="s">
        <v>685</v>
      </c>
      <c r="B53" s="1" t="s">
        <v>686</v>
      </c>
      <c r="C53" s="2">
        <v>3996.72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D12" sqref="D12"/>
    </sheetView>
  </sheetViews>
  <sheetFormatPr baseColWidth="10" defaultRowHeight="15" x14ac:dyDescent="0.25"/>
  <cols>
    <col min="1" max="1" width="16.140625" bestFit="1" customWidth="1"/>
    <col min="2" max="2" width="29.42578125" customWidth="1"/>
    <col min="3" max="3" width="12.5703125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4</v>
      </c>
    </row>
    <row r="2" spans="1:6" x14ac:dyDescent="0.25">
      <c r="A2" s="5">
        <v>101130212511004</v>
      </c>
      <c r="B2" s="1" t="s">
        <v>5</v>
      </c>
      <c r="C2" s="1" t="s">
        <v>6</v>
      </c>
      <c r="D2" s="2">
        <f>(15216.71*(1+1.06%))*(1+8%)</f>
        <v>16608.247696080001</v>
      </c>
    </row>
    <row r="3" spans="1:6" x14ac:dyDescent="0.25">
      <c r="A3" s="5">
        <v>101130212520004</v>
      </c>
      <c r="B3" s="1" t="s">
        <v>7</v>
      </c>
      <c r="C3" s="1" t="s">
        <v>6</v>
      </c>
      <c r="D3" s="2">
        <f>(6.15*(1+1.06%))*(1+8%)</f>
        <v>6.7124052000000001</v>
      </c>
      <c r="F3" s="49"/>
    </row>
    <row r="4" spans="1:6" x14ac:dyDescent="0.25">
      <c r="A4" s="5">
        <v>101130212525004</v>
      </c>
      <c r="B4" s="1" t="s">
        <v>8</v>
      </c>
      <c r="C4" s="1" t="s">
        <v>6</v>
      </c>
      <c r="D4" s="2">
        <f>(212.81*(1+1.06%))*(1+8%)</f>
        <v>232.27104888000002</v>
      </c>
    </row>
    <row r="5" spans="1:6" x14ac:dyDescent="0.25">
      <c r="A5" s="5">
        <v>101130212532004</v>
      </c>
      <c r="B5" s="1" t="s">
        <v>9</v>
      </c>
      <c r="C5" s="1" t="s">
        <v>6</v>
      </c>
      <c r="D5" s="2">
        <f>(1383.69*(1+1.06%))*(1+8%)</f>
        <v>1510.22568312</v>
      </c>
    </row>
    <row r="6" spans="1:6" x14ac:dyDescent="0.25">
      <c r="A6" s="5">
        <v>101130212540004</v>
      </c>
      <c r="B6" s="1" t="s">
        <v>10</v>
      </c>
      <c r="C6" s="1" t="s">
        <v>6</v>
      </c>
      <c r="D6" s="2">
        <f>(2337.22*(1+1.06%))*(1+8%)</f>
        <v>2550.9540945599997</v>
      </c>
    </row>
    <row r="7" spans="1:6" x14ac:dyDescent="0.25">
      <c r="A7" s="5">
        <v>101130212540004</v>
      </c>
      <c r="B7" s="1" t="s">
        <v>10</v>
      </c>
      <c r="C7" s="1" t="s">
        <v>6</v>
      </c>
      <c r="D7" s="2">
        <f>(2337.22*(1+1.06%))*(1+8%)</f>
        <v>2550.9540945599997</v>
      </c>
    </row>
    <row r="8" spans="1:6" x14ac:dyDescent="0.25">
      <c r="A8" s="5">
        <v>101130212550004</v>
      </c>
      <c r="B8" s="1" t="s">
        <v>11</v>
      </c>
      <c r="C8" s="1" t="s">
        <v>6</v>
      </c>
      <c r="D8" s="2">
        <f>(3075.73*(1+1.06%))*(1+8%)</f>
        <v>3356.9993570400002</v>
      </c>
      <c r="F8" s="47"/>
    </row>
    <row r="9" spans="1:6" x14ac:dyDescent="0.25">
      <c r="A9" s="5">
        <v>101130212563004</v>
      </c>
      <c r="B9" s="1" t="s">
        <v>12</v>
      </c>
      <c r="C9" s="1" t="s">
        <v>6</v>
      </c>
      <c r="D9" s="2">
        <f>(4882.29*(1+1.06%))*(1+8%)</f>
        <v>5328.7656559199995</v>
      </c>
    </row>
    <row r="10" spans="1:6" x14ac:dyDescent="0.25">
      <c r="A10" s="5">
        <v>101130212575004</v>
      </c>
      <c r="B10" s="1" t="s">
        <v>13</v>
      </c>
      <c r="C10" s="1" t="s">
        <v>6</v>
      </c>
      <c r="D10" s="2">
        <f>(6939.77*(1+1.06%))*(1+8%)</f>
        <v>7574.3980869600009</v>
      </c>
    </row>
    <row r="11" spans="1:6" x14ac:dyDescent="0.25">
      <c r="A11" s="5">
        <v>101130212590004</v>
      </c>
      <c r="B11" s="1" t="s">
        <v>14</v>
      </c>
      <c r="C11" s="1" t="s">
        <v>6</v>
      </c>
      <c r="D11" s="2">
        <f>(10205.5*(1+1.06%))*(1+8%)</f>
        <v>11138.772564000001</v>
      </c>
    </row>
    <row r="12" spans="1:6" x14ac:dyDescent="0.25">
      <c r="A12" s="5">
        <v>101130220020004</v>
      </c>
      <c r="B12" s="1" t="s">
        <v>15</v>
      </c>
      <c r="C12" s="1" t="s">
        <v>6</v>
      </c>
      <c r="D12" s="2">
        <f>(677.53*(1+1.06%))*(1+8%)</f>
        <v>739.48876343999996</v>
      </c>
    </row>
    <row r="13" spans="1:6" x14ac:dyDescent="0.25">
      <c r="A13" s="5">
        <v>101130220025004</v>
      </c>
      <c r="B13" s="1" t="s">
        <v>16</v>
      </c>
      <c r="C13" s="1" t="s">
        <v>6</v>
      </c>
      <c r="D13" s="2">
        <f>(1020.15*(1+1.06%))*(1+8%)</f>
        <v>1113.4406772</v>
      </c>
    </row>
    <row r="14" spans="1:6" x14ac:dyDescent="0.25">
      <c r="A14" s="5">
        <v>101130220032004</v>
      </c>
      <c r="B14" s="1" t="s">
        <v>17</v>
      </c>
      <c r="C14" s="1" t="s">
        <v>6</v>
      </c>
      <c r="D14" s="2">
        <f>(1656.52*(1+1.06%))*(1+8%)</f>
        <v>1808.00544096</v>
      </c>
    </row>
    <row r="15" spans="1:6" x14ac:dyDescent="0.25">
      <c r="A15" s="5">
        <v>101130220040004</v>
      </c>
      <c r="B15" s="1" t="s">
        <v>18</v>
      </c>
      <c r="C15" s="1" t="s">
        <v>6</v>
      </c>
      <c r="D15" s="2">
        <f>(2682.72*(1+1.06%))*(1+8%)</f>
        <v>2928.0493785599997</v>
      </c>
    </row>
    <row r="16" spans="1:6" x14ac:dyDescent="0.25">
      <c r="A16" s="5">
        <v>101130220050004</v>
      </c>
      <c r="B16" s="1" t="s">
        <v>19</v>
      </c>
      <c r="C16" s="1" t="s">
        <v>6</v>
      </c>
      <c r="D16" s="2">
        <f>(3903.45*(1+1.06%))*(1+8%)</f>
        <v>4260.4126956</v>
      </c>
    </row>
    <row r="17" spans="1:4" x14ac:dyDescent="0.25">
      <c r="A17" s="5">
        <v>101130220063004</v>
      </c>
      <c r="B17" s="1" t="s">
        <v>20</v>
      </c>
      <c r="C17" s="1" t="s">
        <v>6</v>
      </c>
      <c r="D17" s="2">
        <f>(7092.9*(1+1.06%))*(1+8%)</f>
        <v>7741.5315191999998</v>
      </c>
    </row>
    <row r="18" spans="1:4" x14ac:dyDescent="0.25">
      <c r="A18" s="5">
        <v>101130220075004</v>
      </c>
      <c r="B18" s="1" t="s">
        <v>21</v>
      </c>
      <c r="C18" s="1" t="s">
        <v>6</v>
      </c>
      <c r="D18" s="2">
        <f>(10083.02*(1+1.06%))*(1+8%)</f>
        <v>11005.09201296</v>
      </c>
    </row>
    <row r="19" spans="1:4" x14ac:dyDescent="0.25">
      <c r="A19" s="5">
        <v>101130220090004</v>
      </c>
      <c r="B19" s="1" t="s">
        <v>22</v>
      </c>
      <c r="C19" s="1" t="s">
        <v>6</v>
      </c>
      <c r="D19" s="2">
        <f>(15031.6*(1+1.06%))*(1+8%)</f>
        <v>16406.209756799999</v>
      </c>
    </row>
    <row r="20" spans="1:4" x14ac:dyDescent="0.25">
      <c r="A20" s="5">
        <v>10113022011004</v>
      </c>
      <c r="B20" s="1" t="s">
        <v>23</v>
      </c>
      <c r="C20" s="1" t="s">
        <v>6</v>
      </c>
      <c r="D20" s="2">
        <f>(22136.17*(1+1.06%))*(1+8%)</f>
        <v>24160.478474159998</v>
      </c>
    </row>
    <row r="21" spans="1:4" x14ac:dyDescent="0.25">
      <c r="A21" s="5">
        <v>101203102200000</v>
      </c>
      <c r="B21" s="1" t="s">
        <v>24</v>
      </c>
      <c r="C21" s="1" t="s">
        <v>6</v>
      </c>
      <c r="D21" s="2">
        <f>(137.8*(1+1.06%))*(1+8%)</f>
        <v>150.40153440000003</v>
      </c>
    </row>
    <row r="22" spans="1:4" x14ac:dyDescent="0.25">
      <c r="A22" s="5">
        <v>101203102250000</v>
      </c>
      <c r="B22" s="1" t="s">
        <v>25</v>
      </c>
      <c r="C22" s="1" t="s">
        <v>6</v>
      </c>
      <c r="D22" s="2">
        <f>(191.73*(1+1.06%))*(1+8%)</f>
        <v>209.26332503999998</v>
      </c>
    </row>
    <row r="23" spans="1:4" x14ac:dyDescent="0.25">
      <c r="A23" s="5">
        <v>101203102320000</v>
      </c>
      <c r="B23" s="1" t="s">
        <v>26</v>
      </c>
      <c r="C23" s="1" t="s">
        <v>6</v>
      </c>
      <c r="D23" s="2">
        <f>(270.79*(1+1.06%))*(1+8%)</f>
        <v>295.55320391999999</v>
      </c>
    </row>
    <row r="24" spans="1:4" x14ac:dyDescent="0.25">
      <c r="A24" s="5">
        <v>101203102400000</v>
      </c>
      <c r="B24" s="1" t="s">
        <v>27</v>
      </c>
      <c r="C24" s="1" t="s">
        <v>6</v>
      </c>
      <c r="D24" s="2">
        <f>(0*(1+1.06%))*(1+8%)</f>
        <v>0</v>
      </c>
    </row>
    <row r="25" spans="1:4" x14ac:dyDescent="0.25">
      <c r="A25" s="5">
        <v>101203102500000</v>
      </c>
      <c r="B25" s="1" t="s">
        <v>28</v>
      </c>
      <c r="C25" s="1" t="s">
        <v>6</v>
      </c>
      <c r="D25" s="2">
        <f>(0*(1+1.06%))*(1+8%)</f>
        <v>0</v>
      </c>
    </row>
    <row r="26" spans="1:4" x14ac:dyDescent="0.25">
      <c r="A26" s="5">
        <v>101203102630000</v>
      </c>
      <c r="B26" s="1" t="s">
        <v>29</v>
      </c>
      <c r="C26" s="1" t="s">
        <v>6</v>
      </c>
      <c r="D26" s="2">
        <f>(0*(1+1.06%))*(1+8%)</f>
        <v>0</v>
      </c>
    </row>
    <row r="27" spans="1:4" x14ac:dyDescent="0.25">
      <c r="A27" s="5">
        <v>101203104200000</v>
      </c>
      <c r="B27" s="1" t="s">
        <v>30</v>
      </c>
      <c r="C27" s="1" t="s">
        <v>6</v>
      </c>
      <c r="D27" s="2">
        <f>(75.75*(1+1.06%))*(1+8%)</f>
        <v>82.677186000000006</v>
      </c>
    </row>
    <row r="28" spans="1:4" x14ac:dyDescent="0.25">
      <c r="A28" s="5">
        <v>101203104250000</v>
      </c>
      <c r="B28" s="1" t="s">
        <v>31</v>
      </c>
      <c r="C28" s="1" t="s">
        <v>6</v>
      </c>
      <c r="D28" s="2">
        <f>(95.63*(1+1.06%))*(1+8%)</f>
        <v>104.37517224</v>
      </c>
    </row>
    <row r="29" spans="1:4" x14ac:dyDescent="0.25">
      <c r="A29" s="5">
        <v>101203104320000</v>
      </c>
      <c r="B29" s="1" t="s">
        <v>32</v>
      </c>
      <c r="C29" s="1" t="s">
        <v>6</v>
      </c>
      <c r="D29" s="2">
        <f>(140.66*(1+1.06%))*(1+8%)</f>
        <v>153.52307568000001</v>
      </c>
    </row>
    <row r="30" spans="1:4" x14ac:dyDescent="0.25">
      <c r="A30" s="5">
        <v>101203104400000</v>
      </c>
      <c r="B30" s="1" t="s">
        <v>33</v>
      </c>
      <c r="C30" s="1" t="s">
        <v>6</v>
      </c>
      <c r="D30" s="2">
        <f>(220.89*(1+1.06%))*(1+8%)</f>
        <v>241.08994872</v>
      </c>
    </row>
    <row r="31" spans="1:4" x14ac:dyDescent="0.25">
      <c r="A31" s="5">
        <v>101203104500000</v>
      </c>
      <c r="B31" s="1" t="s">
        <v>34</v>
      </c>
      <c r="C31" s="1" t="s">
        <v>6</v>
      </c>
      <c r="D31" s="2">
        <f>(425.63*(1+1.06%))*(1+8%)</f>
        <v>464.55301223999999</v>
      </c>
    </row>
    <row r="32" spans="1:4" x14ac:dyDescent="0.25">
      <c r="A32" s="5">
        <v>101203104630000</v>
      </c>
      <c r="B32" s="1" t="s">
        <v>35</v>
      </c>
      <c r="C32" s="1" t="s">
        <v>6</v>
      </c>
      <c r="D32" s="2">
        <f>(5.52*(1+1.06%))*(1+8%)</f>
        <v>6.0247929599999992</v>
      </c>
    </row>
    <row r="33" spans="1:4" x14ac:dyDescent="0.25">
      <c r="A33" s="5">
        <v>101203104750000</v>
      </c>
      <c r="B33" s="1" t="s">
        <v>36</v>
      </c>
      <c r="C33" s="1" t="s">
        <v>6</v>
      </c>
      <c r="D33" s="2">
        <f>(5.52*(1+1.06%))*(1+8%)</f>
        <v>6.0247929599999992</v>
      </c>
    </row>
    <row r="34" spans="1:4" x14ac:dyDescent="0.25">
      <c r="A34" s="5">
        <v>101203104900000</v>
      </c>
      <c r="B34" s="1" t="s">
        <v>37</v>
      </c>
      <c r="C34" s="1" t="s">
        <v>6</v>
      </c>
      <c r="D34" s="2">
        <f>(5.52*(1+1.06%))*(1+8%)</f>
        <v>6.0247929599999992</v>
      </c>
    </row>
    <row r="35" spans="1:4" x14ac:dyDescent="0.25">
      <c r="A35" s="5">
        <v>101203105200000</v>
      </c>
      <c r="B35" s="1" t="s">
        <v>38</v>
      </c>
      <c r="C35" s="1" t="s">
        <v>6</v>
      </c>
      <c r="D35" s="2">
        <f>(37.95*(1+1.06%))*(1+8%)</f>
        <v>41.4204516</v>
      </c>
    </row>
    <row r="36" spans="1:4" x14ac:dyDescent="0.25">
      <c r="A36" s="5">
        <v>101203105250000</v>
      </c>
      <c r="B36" s="1" t="s">
        <v>39</v>
      </c>
      <c r="C36" s="1" t="s">
        <v>6</v>
      </c>
      <c r="D36" s="2">
        <f>(60.38*(1+1.06%))*(1+8%)</f>
        <v>65.901630240000003</v>
      </c>
    </row>
    <row r="37" spans="1:4" x14ac:dyDescent="0.25">
      <c r="A37" s="5">
        <v>101203105320000</v>
      </c>
      <c r="B37" s="1" t="s">
        <v>40</v>
      </c>
      <c r="C37" s="1" t="s">
        <v>6</v>
      </c>
      <c r="D37" s="2">
        <f>(87.54*(1+1.06%))*(1+8%)</f>
        <v>95.545357920000001</v>
      </c>
    </row>
    <row r="38" spans="1:4" x14ac:dyDescent="0.25">
      <c r="A38" s="5">
        <v>101203105400000</v>
      </c>
      <c r="B38" s="1" t="s">
        <v>41</v>
      </c>
      <c r="C38" s="1" t="s">
        <v>6</v>
      </c>
      <c r="D38" s="2">
        <f>(221.94*(1+1.06%))*(1+8%)</f>
        <v>242.23596912000002</v>
      </c>
    </row>
    <row r="39" spans="1:4" x14ac:dyDescent="0.25">
      <c r="A39" s="5">
        <v>101203105500000</v>
      </c>
      <c r="B39" s="1" t="s">
        <v>42</v>
      </c>
      <c r="C39" s="1" t="s">
        <v>6</v>
      </c>
      <c r="D39" s="2">
        <f>(410.19*(1+1.06%))*(1+8%)</f>
        <v>447.70105511999998</v>
      </c>
    </row>
    <row r="40" spans="1:4" x14ac:dyDescent="0.25">
      <c r="A40" s="5">
        <v>101203105630000</v>
      </c>
      <c r="B40" s="1" t="s">
        <v>43</v>
      </c>
      <c r="C40" s="1" t="s">
        <v>6</v>
      </c>
      <c r="D40" s="2">
        <f>(556.35*(1+1.06%))*(1+8%)</f>
        <v>607.22709480000003</v>
      </c>
    </row>
    <row r="41" spans="1:4" x14ac:dyDescent="0.25">
      <c r="A41" s="5">
        <v>101203105750000</v>
      </c>
      <c r="B41" s="1" t="s">
        <v>44</v>
      </c>
      <c r="C41" s="1" t="s">
        <v>6</v>
      </c>
      <c r="D41" s="2">
        <f>(0.34*(1+1.06%))*(1+8%)</f>
        <v>0.37109232000000003</v>
      </c>
    </row>
    <row r="42" spans="1:4" x14ac:dyDescent="0.25">
      <c r="A42" s="5">
        <v>101203105900000</v>
      </c>
      <c r="B42" s="1" t="s">
        <v>45</v>
      </c>
      <c r="C42" s="1" t="s">
        <v>6</v>
      </c>
      <c r="D42" s="2">
        <f>(0.56*(1+1.06%))*(1+8%)</f>
        <v>0.61121088000000001</v>
      </c>
    </row>
    <row r="43" spans="1:4" x14ac:dyDescent="0.25">
      <c r="A43" s="5">
        <v>101203106201200</v>
      </c>
      <c r="B43" s="1" t="s">
        <v>46</v>
      </c>
      <c r="C43" s="1" t="s">
        <v>6</v>
      </c>
      <c r="D43" s="2">
        <f>(314.61*(1+1.06%))*(1+8%)</f>
        <v>343.38045528000004</v>
      </c>
    </row>
    <row r="44" spans="1:4" x14ac:dyDescent="0.25">
      <c r="A44" s="5">
        <v>101203106201201</v>
      </c>
      <c r="B44" s="1" t="s">
        <v>47</v>
      </c>
      <c r="C44" s="1" t="s">
        <v>6</v>
      </c>
      <c r="D44" s="2">
        <f>(349.71*(1+1.06%))*(1+8%)</f>
        <v>381.69028007999998</v>
      </c>
    </row>
    <row r="45" spans="1:4" x14ac:dyDescent="0.25">
      <c r="A45" s="5">
        <v>101203106251200</v>
      </c>
      <c r="B45" s="1" t="s">
        <v>48</v>
      </c>
      <c r="C45" s="1" t="s">
        <v>6</v>
      </c>
      <c r="D45" s="2">
        <f>(412.19*(1+1.06%))*(1+8%)</f>
        <v>449.88395112000001</v>
      </c>
    </row>
    <row r="46" spans="1:4" x14ac:dyDescent="0.25">
      <c r="A46" s="5">
        <v>101203106253400</v>
      </c>
      <c r="B46" s="1" t="s">
        <v>49</v>
      </c>
      <c r="C46" s="1" t="s">
        <v>6</v>
      </c>
      <c r="D46" s="2">
        <f>(442.51*(1+1.06%))*(1+8%)</f>
        <v>482.97665448000004</v>
      </c>
    </row>
    <row r="47" spans="1:4" x14ac:dyDescent="0.25">
      <c r="A47" s="5">
        <v>101203106321000</v>
      </c>
      <c r="B47" s="1" t="s">
        <v>50</v>
      </c>
      <c r="C47" s="1" t="s">
        <v>6</v>
      </c>
      <c r="D47" s="2">
        <f>(812.24*(1+1.06%))*(1+8%)</f>
        <v>886.51772352</v>
      </c>
    </row>
    <row r="48" spans="1:4" x14ac:dyDescent="0.25">
      <c r="A48" s="5">
        <v>101203106323400</v>
      </c>
      <c r="B48" s="1" t="s">
        <v>51</v>
      </c>
      <c r="C48" s="1" t="s">
        <v>6</v>
      </c>
      <c r="D48" s="2">
        <f>(768.64*(1+1.06%))*(1+8%)</f>
        <v>838.93059071999994</v>
      </c>
    </row>
    <row r="49" spans="1:4" x14ac:dyDescent="0.25">
      <c r="A49" s="5">
        <v>101203107201200</v>
      </c>
      <c r="B49" s="1" t="s">
        <v>52</v>
      </c>
      <c r="C49" s="1" t="s">
        <v>6</v>
      </c>
      <c r="D49" s="2">
        <f>(241.57*(1+1.06%))*(1+8%)</f>
        <v>263.66109336</v>
      </c>
    </row>
    <row r="50" spans="1:4" x14ac:dyDescent="0.25">
      <c r="A50" s="5">
        <v>101203107201202</v>
      </c>
      <c r="B50" s="1" t="s">
        <v>53</v>
      </c>
      <c r="C50" s="1" t="s">
        <v>6</v>
      </c>
      <c r="D50" s="2">
        <f>(160.45*(1+1.06%))*(1+8%)</f>
        <v>175.12283159999998</v>
      </c>
    </row>
    <row r="51" spans="1:4" x14ac:dyDescent="0.25">
      <c r="A51" s="5">
        <v>101203107251200</v>
      </c>
      <c r="B51" s="1" t="s">
        <v>54</v>
      </c>
      <c r="C51" s="1" t="s">
        <v>6</v>
      </c>
      <c r="D51" s="2">
        <f>(335.55*(1+1.06%))*(1+8%)</f>
        <v>366.23537640000001</v>
      </c>
    </row>
    <row r="52" spans="1:4" x14ac:dyDescent="0.25">
      <c r="A52" s="5">
        <v>101203107253400</v>
      </c>
      <c r="B52" s="1" t="s">
        <v>55</v>
      </c>
      <c r="C52" s="1" t="s">
        <v>6</v>
      </c>
      <c r="D52" s="2">
        <f>(376.38*(1+1.06%))*(1+8%)</f>
        <v>410.79919824000001</v>
      </c>
    </row>
    <row r="53" spans="1:4" x14ac:dyDescent="0.25">
      <c r="A53" s="5">
        <v>101203107321000</v>
      </c>
      <c r="B53" s="1" t="s">
        <v>56</v>
      </c>
      <c r="C53" s="1" t="s">
        <v>6</v>
      </c>
      <c r="D53" s="2">
        <f>(682.79*(1+1.06%))*(1+8%)</f>
        <v>745.22977992000006</v>
      </c>
    </row>
    <row r="54" spans="1:4" x14ac:dyDescent="0.25">
      <c r="A54" s="5">
        <v>101203107323400</v>
      </c>
      <c r="B54" s="1" t="s">
        <v>57</v>
      </c>
      <c r="C54" s="1" t="s">
        <v>6</v>
      </c>
      <c r="D54" s="2">
        <f>(622.4*(1+1.06%))*(1+8%)</f>
        <v>679.31723520000003</v>
      </c>
    </row>
    <row r="55" spans="1:4" x14ac:dyDescent="0.25">
      <c r="A55" s="5">
        <v>101203108200000</v>
      </c>
      <c r="B55" s="1" t="s">
        <v>58</v>
      </c>
      <c r="C55" s="1" t="s">
        <v>6</v>
      </c>
      <c r="D55" s="2">
        <f>(28.49*(1+1.06%))*(1+8%)</f>
        <v>31.095353519999996</v>
      </c>
    </row>
    <row r="56" spans="1:4" x14ac:dyDescent="0.25">
      <c r="A56" s="5">
        <v>101203108250000</v>
      </c>
      <c r="B56" s="1" t="s">
        <v>59</v>
      </c>
      <c r="C56" s="1" t="s">
        <v>6</v>
      </c>
      <c r="D56" s="2">
        <f>(46.37*(1+1.06%))*(1+8%)</f>
        <v>50.610443759999995</v>
      </c>
    </row>
    <row r="57" spans="1:4" x14ac:dyDescent="0.25">
      <c r="A57" s="5">
        <v>101203108320000</v>
      </c>
      <c r="B57" s="1" t="s">
        <v>60</v>
      </c>
      <c r="C57" s="1" t="s">
        <v>6</v>
      </c>
      <c r="D57" s="2">
        <f>(68.91*(1+1.06%))*(1+8%)</f>
        <v>75.211681679999998</v>
      </c>
    </row>
    <row r="58" spans="1:4" x14ac:dyDescent="0.25">
      <c r="A58" s="5">
        <v>101203108400000</v>
      </c>
      <c r="B58" s="1" t="s">
        <v>61</v>
      </c>
      <c r="C58" s="1" t="s">
        <v>6</v>
      </c>
      <c r="D58" s="2">
        <f>(183.69*(1+1.06%))*(1+8%)</f>
        <v>200.48808312</v>
      </c>
    </row>
    <row r="59" spans="1:4" x14ac:dyDescent="0.25">
      <c r="A59" s="5">
        <v>101203108500000</v>
      </c>
      <c r="B59" s="1" t="s">
        <v>62</v>
      </c>
      <c r="C59" s="1" t="s">
        <v>6</v>
      </c>
      <c r="D59" s="2">
        <f>(279.2*(1+1.06%))*(1+8%)</f>
        <v>304.73228160000002</v>
      </c>
    </row>
    <row r="60" spans="1:4" x14ac:dyDescent="0.25">
      <c r="A60" s="5">
        <v>101203108630000</v>
      </c>
      <c r="B60" s="1" t="s">
        <v>63</v>
      </c>
      <c r="C60" s="1" t="s">
        <v>6</v>
      </c>
      <c r="D60" s="2">
        <f>(516.5*(1+1.06%))*(1+8%)</f>
        <v>563.73289199999999</v>
      </c>
    </row>
    <row r="61" spans="1:4" x14ac:dyDescent="0.25">
      <c r="A61" s="5">
        <v>101203108750000</v>
      </c>
      <c r="B61" s="1" t="s">
        <v>64</v>
      </c>
      <c r="C61" s="1" t="s">
        <v>6</v>
      </c>
      <c r="D61" s="2">
        <f>(5.52*(1+1.06%))*(1+8%)</f>
        <v>6.0247929599999992</v>
      </c>
    </row>
    <row r="62" spans="1:4" x14ac:dyDescent="0.25">
      <c r="A62" s="5">
        <v>101203108900000</v>
      </c>
      <c r="B62" s="1" t="s">
        <v>65</v>
      </c>
      <c r="C62" s="1" t="s">
        <v>6</v>
      </c>
      <c r="D62" s="2">
        <f>(5.52*(1+1.06%))*(1+8%)</f>
        <v>6.0247929599999992</v>
      </c>
    </row>
    <row r="63" spans="1:4" x14ac:dyDescent="0.25">
      <c r="A63" s="5">
        <v>101203109202000</v>
      </c>
      <c r="B63" s="1" t="s">
        <v>66</v>
      </c>
      <c r="C63" s="1" t="s">
        <v>6</v>
      </c>
      <c r="D63" s="2">
        <f>(60.28*(1+1.06%))*(1+8%)</f>
        <v>65.792485440000007</v>
      </c>
    </row>
    <row r="64" spans="1:4" x14ac:dyDescent="0.25">
      <c r="A64" s="5">
        <v>101203109322000</v>
      </c>
      <c r="B64" s="1" t="s">
        <v>67</v>
      </c>
      <c r="C64" s="1" t="s">
        <v>6</v>
      </c>
      <c r="D64" s="2">
        <f>(73.23*(1+1.06%))*(1+8%)</f>
        <v>79.926737040000006</v>
      </c>
    </row>
    <row r="65" spans="1:4" x14ac:dyDescent="0.25">
      <c r="A65" s="5">
        <v>101203109322500</v>
      </c>
      <c r="B65" s="1" t="s">
        <v>68</v>
      </c>
      <c r="C65" s="1" t="s">
        <v>6</v>
      </c>
      <c r="D65" s="2">
        <f>(90.34*(1+1.06%))*(1+8%)</f>
        <v>98.601412319999994</v>
      </c>
    </row>
    <row r="66" spans="1:4" x14ac:dyDescent="0.25">
      <c r="A66" s="5">
        <v>101203109402500</v>
      </c>
      <c r="B66" s="1" t="s">
        <v>69</v>
      </c>
      <c r="C66" s="1" t="s">
        <v>6</v>
      </c>
      <c r="D66" s="2">
        <f>(191.55*(1+1.06%))*(1+8%)</f>
        <v>209.06686440000001</v>
      </c>
    </row>
    <row r="67" spans="1:4" x14ac:dyDescent="0.25">
      <c r="A67" s="5">
        <v>101203109403200</v>
      </c>
      <c r="B67" s="1" t="s">
        <v>70</v>
      </c>
      <c r="C67" s="1" t="s">
        <v>6</v>
      </c>
      <c r="D67" s="2">
        <f>(180.67*(1+1.06%))*(1+8%)</f>
        <v>197.19191015999999</v>
      </c>
    </row>
    <row r="68" spans="1:4" x14ac:dyDescent="0.25">
      <c r="A68" s="5">
        <v>101203109502500</v>
      </c>
      <c r="B68" s="1" t="s">
        <v>71</v>
      </c>
      <c r="C68" s="1" t="s">
        <v>6</v>
      </c>
      <c r="D68" s="2">
        <f>(0.56*(1+1.06%))*(1+8%)</f>
        <v>0.61121088000000001</v>
      </c>
    </row>
    <row r="69" spans="1:4" x14ac:dyDescent="0.25">
      <c r="A69" s="5">
        <v>101203109503200</v>
      </c>
      <c r="B69" s="1" t="s">
        <v>72</v>
      </c>
      <c r="C69" s="1" t="s">
        <v>6</v>
      </c>
      <c r="D69" s="2">
        <f>(322.71*(1+1.06%))*(1+8%)</f>
        <v>352.22118408</v>
      </c>
    </row>
    <row r="70" spans="1:4" x14ac:dyDescent="0.25">
      <c r="A70" s="5">
        <v>101203109504000</v>
      </c>
      <c r="B70" s="1" t="s">
        <v>73</v>
      </c>
      <c r="C70" s="1" t="s">
        <v>6</v>
      </c>
      <c r="D70" s="2">
        <f>(277.75*(1+1.06%))*(1+8%)</f>
        <v>303.14968199999998</v>
      </c>
    </row>
    <row r="71" spans="1:4" x14ac:dyDescent="0.25">
      <c r="A71" s="5">
        <v>101203109633200</v>
      </c>
      <c r="B71" s="1" t="s">
        <v>74</v>
      </c>
      <c r="C71" s="1" t="s">
        <v>6</v>
      </c>
      <c r="D71" s="2">
        <f>(655.9*(1+1.06%))*(1+8%)</f>
        <v>715.88074319999998</v>
      </c>
    </row>
    <row r="72" spans="1:4" x14ac:dyDescent="0.25">
      <c r="A72" s="5">
        <v>101203109634000</v>
      </c>
      <c r="B72" s="1" t="s">
        <v>75</v>
      </c>
      <c r="C72" s="1" t="s">
        <v>6</v>
      </c>
      <c r="D72" s="2">
        <f>(630.06*(1+1.06%))*(1+8%)</f>
        <v>687.67772688000002</v>
      </c>
    </row>
    <row r="73" spans="1:4" x14ac:dyDescent="0.25">
      <c r="A73" s="5">
        <v>101203109635000</v>
      </c>
      <c r="B73" s="1" t="s">
        <v>76</v>
      </c>
      <c r="C73" s="1" t="s">
        <v>6</v>
      </c>
      <c r="D73" s="2">
        <f>(632.8*(1+1.06%))*(1+8%)</f>
        <v>690.66829439999992</v>
      </c>
    </row>
    <row r="74" spans="1:4" x14ac:dyDescent="0.25">
      <c r="A74" s="5">
        <v>101203110201200</v>
      </c>
      <c r="B74" s="1" t="s">
        <v>77</v>
      </c>
      <c r="C74" s="1" t="s">
        <v>6</v>
      </c>
      <c r="D74" s="2">
        <f>(301.38*(1+1.06%))*(1+8%)</f>
        <v>328.94059823999999</v>
      </c>
    </row>
    <row r="75" spans="1:4" x14ac:dyDescent="0.25">
      <c r="A75" s="5">
        <v>101203110251200</v>
      </c>
      <c r="B75" s="1" t="s">
        <v>78</v>
      </c>
      <c r="C75" s="1" t="s">
        <v>6</v>
      </c>
      <c r="D75" s="2">
        <f>(333.26*(1+1.06%))*(1+8%)</f>
        <v>363.73596048000002</v>
      </c>
    </row>
    <row r="76" spans="1:4" x14ac:dyDescent="0.25">
      <c r="A76" s="5">
        <v>101203110253400</v>
      </c>
      <c r="B76" s="1" t="s">
        <v>79</v>
      </c>
      <c r="C76" s="1" t="s">
        <v>6</v>
      </c>
      <c r="D76" s="2">
        <f>(396.62*(1+1.06%))*(1+8%)</f>
        <v>432.89010575999998</v>
      </c>
    </row>
    <row r="77" spans="1:4" x14ac:dyDescent="0.25">
      <c r="A77" s="5">
        <v>101203110321000</v>
      </c>
      <c r="B77" s="1" t="s">
        <v>80</v>
      </c>
      <c r="C77" s="1" t="s">
        <v>6</v>
      </c>
      <c r="D77" s="2">
        <f>(863.8*(1+1.06%))*(1+8%)</f>
        <v>942.79278239999996</v>
      </c>
    </row>
    <row r="78" spans="1:4" x14ac:dyDescent="0.25">
      <c r="A78" s="5">
        <v>101203110323400</v>
      </c>
      <c r="B78" s="1" t="s">
        <v>81</v>
      </c>
      <c r="C78" s="1" t="s">
        <v>6</v>
      </c>
      <c r="D78" s="2">
        <f>(716.83*(1+1.06%))*(1+8%)</f>
        <v>782.38266984000006</v>
      </c>
    </row>
    <row r="79" spans="1:4" x14ac:dyDescent="0.25">
      <c r="A79" s="5">
        <v>101203110401140</v>
      </c>
      <c r="B79" s="1" t="s">
        <v>82</v>
      </c>
      <c r="C79" s="1" t="s">
        <v>6</v>
      </c>
      <c r="D79" s="2">
        <f>(2189.94*(1+1.06%))*(1+8%)</f>
        <v>2390.2056331200001</v>
      </c>
    </row>
    <row r="80" spans="1:4" x14ac:dyDescent="0.25">
      <c r="A80" s="5">
        <v>101203110501120</v>
      </c>
      <c r="B80" s="1" t="s">
        <v>83</v>
      </c>
      <c r="C80" s="1" t="s">
        <v>6</v>
      </c>
      <c r="D80" s="2">
        <f>(3189.52*(1+1.06%))*(1+8%)</f>
        <v>3481.1952249600004</v>
      </c>
    </row>
    <row r="81" spans="1:4" x14ac:dyDescent="0.25">
      <c r="A81" s="5">
        <v>101203110632000</v>
      </c>
      <c r="B81" s="1" t="s">
        <v>84</v>
      </c>
      <c r="C81" s="1" t="s">
        <v>6</v>
      </c>
      <c r="D81" s="2">
        <f>(4598.79*(1+1.06%))*(1+8%)</f>
        <v>5019.3401479200002</v>
      </c>
    </row>
    <row r="82" spans="1:4" x14ac:dyDescent="0.25">
      <c r="A82" s="5">
        <v>101203110752120</v>
      </c>
      <c r="B82" s="1" t="s">
        <v>85</v>
      </c>
      <c r="C82" s="1" t="s">
        <v>6</v>
      </c>
      <c r="D82" s="2">
        <f>(0*(1+1.06%))*(1+8%)</f>
        <v>0</v>
      </c>
    </row>
    <row r="83" spans="1:4" x14ac:dyDescent="0.25">
      <c r="A83" s="5">
        <v>101203111201200</v>
      </c>
      <c r="B83" s="1" t="s">
        <v>86</v>
      </c>
      <c r="C83" s="1" t="s">
        <v>6</v>
      </c>
      <c r="D83" s="2">
        <f>(222.21*(1+1.06%))*(1+8%)</f>
        <v>242.53066008000002</v>
      </c>
    </row>
    <row r="84" spans="1:4" x14ac:dyDescent="0.25">
      <c r="A84" s="5">
        <v>101203111203800</v>
      </c>
      <c r="B84" s="1" t="s">
        <v>87</v>
      </c>
      <c r="C84" s="1" t="s">
        <v>6</v>
      </c>
      <c r="D84" s="2">
        <f>(226.98*(1+1.06%))*(1+8%)</f>
        <v>247.73686703999999</v>
      </c>
    </row>
    <row r="85" spans="1:4" x14ac:dyDescent="0.25">
      <c r="A85" s="5">
        <v>101203111251200</v>
      </c>
      <c r="B85" s="1" t="s">
        <v>88</v>
      </c>
      <c r="C85" s="1" t="s">
        <v>6</v>
      </c>
      <c r="D85" s="2">
        <f>(296.74*(1+1.06%))*(1+8%)</f>
        <v>323.87627952000003</v>
      </c>
    </row>
    <row r="86" spans="1:4" x14ac:dyDescent="0.25">
      <c r="A86" s="5">
        <v>101203111253400</v>
      </c>
      <c r="B86" s="1" t="s">
        <v>89</v>
      </c>
      <c r="C86" s="1" t="s">
        <v>6</v>
      </c>
      <c r="D86" s="2">
        <f>(333.13*(1+1.06%))*(1+8%)</f>
        <v>363.59407223999995</v>
      </c>
    </row>
    <row r="87" spans="1:4" x14ac:dyDescent="0.25">
      <c r="A87" s="5">
        <v>101203111321000</v>
      </c>
      <c r="B87" s="1" t="s">
        <v>90</v>
      </c>
      <c r="C87" s="1" t="s">
        <v>6</v>
      </c>
      <c r="D87" s="2">
        <f>(720.23*(1+1.06%))*(1+8%)</f>
        <v>786.09359303999997</v>
      </c>
    </row>
    <row r="88" spans="1:4" x14ac:dyDescent="0.25">
      <c r="A88" s="5">
        <v>101203111323400</v>
      </c>
      <c r="B88" s="1" t="s">
        <v>91</v>
      </c>
      <c r="C88" s="1" t="s">
        <v>6</v>
      </c>
      <c r="D88" s="2">
        <f>(587.22*(1+1.06%))*(1+8%)</f>
        <v>640.92009456000005</v>
      </c>
    </row>
    <row r="89" spans="1:4" x14ac:dyDescent="0.25">
      <c r="A89" s="5">
        <v>101203111401140</v>
      </c>
      <c r="B89" s="1" t="s">
        <v>92</v>
      </c>
      <c r="C89" s="1" t="s">
        <v>6</v>
      </c>
      <c r="D89" s="2">
        <f>(2025.02*(1+1.06%))*(1+8%)</f>
        <v>2210.20402896</v>
      </c>
    </row>
    <row r="90" spans="1:4" x14ac:dyDescent="0.25">
      <c r="A90" s="5">
        <v>101203111501120</v>
      </c>
      <c r="B90" s="1" t="s">
        <v>93</v>
      </c>
      <c r="C90" s="1" t="s">
        <v>6</v>
      </c>
      <c r="D90" s="2">
        <f>(2876.03*(1+1.06%))*(1+8%)</f>
        <v>3139.0371914400002</v>
      </c>
    </row>
    <row r="91" spans="1:4" x14ac:dyDescent="0.25">
      <c r="A91" s="5">
        <v>101203111632000</v>
      </c>
      <c r="B91" s="1" t="s">
        <v>94</v>
      </c>
      <c r="C91" s="1" t="s">
        <v>6</v>
      </c>
      <c r="D91" s="2">
        <f>(3737.89*(1+1.06%))*(1+8%)</f>
        <v>4079.7125647199996</v>
      </c>
    </row>
    <row r="92" spans="1:4" x14ac:dyDescent="0.25">
      <c r="A92" s="5">
        <v>101203111752120</v>
      </c>
      <c r="B92" s="1" t="s">
        <v>95</v>
      </c>
      <c r="C92" s="1" t="s">
        <v>6</v>
      </c>
      <c r="D92" s="2">
        <f>(0*(1+1.06%))*(1+8%)</f>
        <v>0</v>
      </c>
    </row>
    <row r="93" spans="1:4" x14ac:dyDescent="0.25">
      <c r="A93" s="5">
        <v>101203112200000</v>
      </c>
      <c r="B93" s="1" t="s">
        <v>96</v>
      </c>
      <c r="C93" s="1" t="s">
        <v>6</v>
      </c>
      <c r="D93" s="2">
        <f>(31.77*(1+1.06%))*(1+8%)</f>
        <v>34.675302959999996</v>
      </c>
    </row>
    <row r="94" spans="1:4" x14ac:dyDescent="0.25">
      <c r="A94" s="5">
        <v>101203112250000</v>
      </c>
      <c r="B94" s="1" t="s">
        <v>97</v>
      </c>
      <c r="C94" s="1" t="s">
        <v>6</v>
      </c>
      <c r="D94" s="2">
        <f>(49.32*(1+1.06%))*(1+8%)</f>
        <v>53.830215359999997</v>
      </c>
    </row>
    <row r="95" spans="1:4" x14ac:dyDescent="0.25">
      <c r="A95" s="5">
        <v>101203112320000</v>
      </c>
      <c r="B95" s="1" t="s">
        <v>98</v>
      </c>
      <c r="C95" s="1" t="s">
        <v>6</v>
      </c>
      <c r="D95" s="2">
        <f>(80.46*(1+1.06%))*(1+8%)</f>
        <v>87.81790608</v>
      </c>
    </row>
    <row r="96" spans="1:4" x14ac:dyDescent="0.25">
      <c r="A96" s="5">
        <v>101203112400000</v>
      </c>
      <c r="B96" s="1" t="s">
        <v>99</v>
      </c>
      <c r="C96" s="1" t="s">
        <v>6</v>
      </c>
      <c r="D96" s="2">
        <f>(178.51*(1+1.06%))*(1+8%)</f>
        <v>194.83438247999999</v>
      </c>
    </row>
    <row r="97" spans="1:4" x14ac:dyDescent="0.25">
      <c r="A97" s="5">
        <v>101203112500000</v>
      </c>
      <c r="B97" s="1" t="s">
        <v>100</v>
      </c>
      <c r="C97" s="1" t="s">
        <v>6</v>
      </c>
      <c r="D97" s="2">
        <f>(325.04*(1+1.06%))*(1+8%)</f>
        <v>354.76425792000003</v>
      </c>
    </row>
    <row r="98" spans="1:4" x14ac:dyDescent="0.25">
      <c r="A98" s="5">
        <v>101203112600000</v>
      </c>
      <c r="B98" s="1" t="s">
        <v>101</v>
      </c>
      <c r="C98" s="1" t="s">
        <v>6</v>
      </c>
      <c r="D98" s="2">
        <f>(0.56*(1+1.06%))*(1+8%)</f>
        <v>0.61121088000000001</v>
      </c>
    </row>
    <row r="99" spans="1:4" x14ac:dyDescent="0.25">
      <c r="A99" s="5">
        <v>101203112750000</v>
      </c>
      <c r="B99" s="1" t="s">
        <v>102</v>
      </c>
      <c r="C99" s="1" t="s">
        <v>6</v>
      </c>
      <c r="D99" s="2">
        <f>(0.56*(1+1.06%))*(1+8%)</f>
        <v>0.61121088000000001</v>
      </c>
    </row>
    <row r="100" spans="1:4" x14ac:dyDescent="0.25">
      <c r="A100" s="5">
        <v>101203112900000</v>
      </c>
      <c r="B100" s="1" t="s">
        <v>103</v>
      </c>
      <c r="C100" s="1" t="s">
        <v>6</v>
      </c>
      <c r="D100" s="2">
        <f>(0.56*(1+1.06%))*(1+8%)</f>
        <v>0.61121088000000001</v>
      </c>
    </row>
    <row r="101" spans="1:4" x14ac:dyDescent="0.25">
      <c r="A101" s="5">
        <v>101203116200000</v>
      </c>
      <c r="B101" s="1" t="s">
        <v>104</v>
      </c>
      <c r="C101" s="1" t="s">
        <v>6</v>
      </c>
      <c r="D101" s="2">
        <f>(54.92*(1+1.06%))*(1+8%)</f>
        <v>59.942324159999998</v>
      </c>
    </row>
    <row r="102" spans="1:4" x14ac:dyDescent="0.25">
      <c r="A102" s="5">
        <v>101203116250000</v>
      </c>
      <c r="B102" s="1" t="s">
        <v>105</v>
      </c>
      <c r="C102" s="1" t="s">
        <v>6</v>
      </c>
      <c r="D102" s="2">
        <f>(86.7*(1+1.06%))*(1+8%)</f>
        <v>94.628541599999991</v>
      </c>
    </row>
    <row r="103" spans="1:4" x14ac:dyDescent="0.25">
      <c r="A103" s="5">
        <v>101203116252025</v>
      </c>
      <c r="B103" s="1" t="s">
        <v>106</v>
      </c>
      <c r="C103" s="1" t="s">
        <v>6</v>
      </c>
      <c r="D103" s="2">
        <f>(102*(1+1.06%))*(1+8%)</f>
        <v>111.327696</v>
      </c>
    </row>
    <row r="104" spans="1:4" x14ac:dyDescent="0.25">
      <c r="A104" s="5">
        <v>101203116320000</v>
      </c>
      <c r="B104" s="1" t="s">
        <v>107</v>
      </c>
      <c r="C104" s="1" t="s">
        <v>6</v>
      </c>
      <c r="D104" s="2">
        <f>(130.34*(1+1.06%))*(1+8%)</f>
        <v>142.25933232</v>
      </c>
    </row>
    <row r="105" spans="1:4" x14ac:dyDescent="0.25">
      <c r="A105" s="5">
        <v>101203116322032</v>
      </c>
      <c r="B105" s="1" t="s">
        <v>108</v>
      </c>
      <c r="C105" s="1" t="s">
        <v>6</v>
      </c>
      <c r="D105" s="2">
        <f>(170.13*(1+1.06%))*(1+8%)</f>
        <v>185.68804824</v>
      </c>
    </row>
    <row r="106" spans="1:4" x14ac:dyDescent="0.25">
      <c r="A106" s="5">
        <v>101203116322532</v>
      </c>
      <c r="B106" s="1" t="s">
        <v>109</v>
      </c>
      <c r="C106" s="1" t="s">
        <v>6</v>
      </c>
      <c r="D106" s="2">
        <f>(159.77*(1+1.06%))*(1+8%)</f>
        <v>174.38064696000001</v>
      </c>
    </row>
    <row r="107" spans="1:4" x14ac:dyDescent="0.25">
      <c r="A107" s="5">
        <v>101203116400000</v>
      </c>
      <c r="B107" s="1" t="s">
        <v>110</v>
      </c>
      <c r="C107" s="1" t="s">
        <v>6</v>
      </c>
      <c r="D107" s="2">
        <f>(306.53*(1+1.06%))*(1+8%)</f>
        <v>334.56155543999995</v>
      </c>
    </row>
    <row r="108" spans="1:4" x14ac:dyDescent="0.25">
      <c r="A108" s="5">
        <v>101203116402040</v>
      </c>
      <c r="B108" s="1" t="s">
        <v>111</v>
      </c>
      <c r="C108" s="1" t="s">
        <v>6</v>
      </c>
      <c r="D108" s="2">
        <f>(0*(1+1.06%))*(1+8%)</f>
        <v>0</v>
      </c>
    </row>
    <row r="109" spans="1:4" x14ac:dyDescent="0.25">
      <c r="A109" s="5">
        <v>101203116402540</v>
      </c>
      <c r="B109" s="1" t="s">
        <v>112</v>
      </c>
      <c r="C109" s="1" t="s">
        <v>6</v>
      </c>
      <c r="D109" s="2">
        <f>(0*(1+1.06%))*(1+8%)</f>
        <v>0</v>
      </c>
    </row>
    <row r="110" spans="1:4" x14ac:dyDescent="0.25">
      <c r="A110" s="5">
        <v>101203116403240</v>
      </c>
      <c r="B110" s="1" t="s">
        <v>113</v>
      </c>
      <c r="C110" s="1" t="s">
        <v>6</v>
      </c>
      <c r="D110" s="2">
        <f>(297.19*(1+1.06%))*(1+8%)</f>
        <v>324.36743112000005</v>
      </c>
    </row>
    <row r="111" spans="1:4" x14ac:dyDescent="0.25">
      <c r="A111" s="5">
        <v>101203116500000</v>
      </c>
      <c r="B111" s="1" t="s">
        <v>114</v>
      </c>
      <c r="C111" s="1" t="s">
        <v>6</v>
      </c>
      <c r="D111" s="2">
        <f>(540.3*(1+1.06%))*(1+8%)</f>
        <v>589.70935439999994</v>
      </c>
    </row>
    <row r="112" spans="1:4" x14ac:dyDescent="0.25">
      <c r="A112" s="5">
        <v>101203116502550</v>
      </c>
      <c r="B112" s="1" t="s">
        <v>115</v>
      </c>
      <c r="C112" s="1" t="s">
        <v>6</v>
      </c>
      <c r="D112" s="2">
        <f>(688.11*(1+1.06%))*(1+8%)</f>
        <v>751.03628328000002</v>
      </c>
    </row>
    <row r="113" spans="1:4" x14ac:dyDescent="0.25">
      <c r="A113" s="5">
        <v>101203116503250</v>
      </c>
      <c r="B113" s="1" t="s">
        <v>116</v>
      </c>
      <c r="C113" s="1" t="s">
        <v>6</v>
      </c>
      <c r="D113" s="2">
        <f>(622.87*(1+1.06%))*(1+8%)</f>
        <v>679.83021575999999</v>
      </c>
    </row>
    <row r="114" spans="1:4" x14ac:dyDescent="0.25">
      <c r="A114" s="5">
        <v>101203116504050</v>
      </c>
      <c r="B114" s="1" t="s">
        <v>117</v>
      </c>
      <c r="C114" s="1" t="s">
        <v>6</v>
      </c>
      <c r="D114" s="2">
        <f>(572.56*(1+1.06%))*(1+8%)</f>
        <v>624.91946687999996</v>
      </c>
    </row>
    <row r="115" spans="1:4" x14ac:dyDescent="0.25">
      <c r="A115" s="5">
        <v>101203116630000</v>
      </c>
      <c r="B115" s="1" t="s">
        <v>118</v>
      </c>
      <c r="C115" s="1" t="s">
        <v>6</v>
      </c>
      <c r="D115" s="2">
        <f>(471.1*(1+1.06%))*(1+8%)</f>
        <v>514.18115280000006</v>
      </c>
    </row>
    <row r="116" spans="1:4" x14ac:dyDescent="0.25">
      <c r="A116" s="5">
        <v>101203116634063</v>
      </c>
      <c r="B116" s="1" t="s">
        <v>119</v>
      </c>
      <c r="C116" s="1" t="s">
        <v>6</v>
      </c>
      <c r="D116" s="2">
        <f>(0*(1+1.06%))*(1+8%)</f>
        <v>0</v>
      </c>
    </row>
    <row r="117" spans="1:4" x14ac:dyDescent="0.25">
      <c r="A117" s="5">
        <v>101203116635063</v>
      </c>
      <c r="B117" s="1" t="s">
        <v>120</v>
      </c>
      <c r="C117" s="1" t="s">
        <v>6</v>
      </c>
      <c r="D117" s="2">
        <f>(873.32*(1+1.06%))*(1+8%)</f>
        <v>953.18336736000003</v>
      </c>
    </row>
    <row r="118" spans="1:4" x14ac:dyDescent="0.25">
      <c r="A118" s="5">
        <v>101203116750000</v>
      </c>
      <c r="B118" s="1" t="s">
        <v>121</v>
      </c>
      <c r="C118" s="1" t="s">
        <v>6</v>
      </c>
      <c r="D118" s="2">
        <f>(0*(1+1.06%))*(1+8%)</f>
        <v>0</v>
      </c>
    </row>
    <row r="119" spans="1:4" x14ac:dyDescent="0.25">
      <c r="A119" s="5">
        <v>101203116754075</v>
      </c>
      <c r="B119" s="1" t="s">
        <v>122</v>
      </c>
      <c r="C119" s="1" t="s">
        <v>6</v>
      </c>
      <c r="D119" s="2">
        <f>(0*(1+1.06%))*(1+8%)</f>
        <v>0</v>
      </c>
    </row>
    <row r="120" spans="1:4" x14ac:dyDescent="0.25">
      <c r="A120" s="5">
        <v>101203116755075</v>
      </c>
      <c r="B120" s="1" t="s">
        <v>123</v>
      </c>
      <c r="C120" s="1" t="s">
        <v>6</v>
      </c>
      <c r="D120" s="2">
        <f>(0*(1+1.06%))*(1+8%)</f>
        <v>0</v>
      </c>
    </row>
    <row r="121" spans="1:4" x14ac:dyDescent="0.25">
      <c r="A121" s="5">
        <v>101203116756375</v>
      </c>
      <c r="B121" s="1" t="s">
        <v>124</v>
      </c>
      <c r="C121" s="1" t="s">
        <v>6</v>
      </c>
      <c r="D121" s="2">
        <f>(0*(1+1.06%))*(1+8%)</f>
        <v>0</v>
      </c>
    </row>
    <row r="122" spans="1:4" x14ac:dyDescent="0.25">
      <c r="A122" s="5">
        <v>101203116900000</v>
      </c>
      <c r="B122" s="1" t="s">
        <v>125</v>
      </c>
      <c r="C122" s="1" t="s">
        <v>6</v>
      </c>
      <c r="D122" s="2">
        <f>(0*(1+1.06%))*(1+8%)</f>
        <v>0</v>
      </c>
    </row>
    <row r="123" spans="1:4" x14ac:dyDescent="0.25">
      <c r="A123" s="5">
        <v>101203117201200</v>
      </c>
      <c r="B123" s="1" t="s">
        <v>126</v>
      </c>
      <c r="C123" s="1" t="s">
        <v>6</v>
      </c>
      <c r="D123" s="2">
        <f>(378.1*(1+1.06%))*(1+8%)</f>
        <v>412.67648880000007</v>
      </c>
    </row>
    <row r="124" spans="1:4" x14ac:dyDescent="0.25">
      <c r="A124" s="5">
        <v>101203117251200</v>
      </c>
      <c r="B124" s="1" t="s">
        <v>127</v>
      </c>
      <c r="C124" s="1" t="s">
        <v>6</v>
      </c>
      <c r="D124" s="2">
        <f>(556.42*(1+1.06%))*(1+8%)</f>
        <v>607.30349616000001</v>
      </c>
    </row>
    <row r="125" spans="1:4" x14ac:dyDescent="0.25">
      <c r="A125" s="5">
        <v>101203117253400</v>
      </c>
      <c r="B125" s="1" t="s">
        <v>128</v>
      </c>
      <c r="C125" s="1" t="s">
        <v>6</v>
      </c>
      <c r="D125" s="2">
        <f>(519.89*(1+1.06%))*(1+8%)</f>
        <v>567.43290071999991</v>
      </c>
    </row>
    <row r="126" spans="1:4" x14ac:dyDescent="0.25">
      <c r="A126" s="5">
        <v>101203117321000</v>
      </c>
      <c r="B126" s="1" t="s">
        <v>129</v>
      </c>
      <c r="C126" s="1" t="s">
        <v>6</v>
      </c>
      <c r="D126" s="2">
        <f>(939.32*(1+1.06%))*(1+8%)</f>
        <v>1025.2189353600002</v>
      </c>
    </row>
    <row r="127" spans="1:4" x14ac:dyDescent="0.25">
      <c r="A127" s="5">
        <v>101203117323400</v>
      </c>
      <c r="B127" s="1" t="s">
        <v>130</v>
      </c>
      <c r="C127" s="1" t="s">
        <v>6</v>
      </c>
      <c r="D127" s="2">
        <f>(935.2*(1+1.06%))*(1+8%)</f>
        <v>1020.7221696</v>
      </c>
    </row>
    <row r="128" spans="1:4" x14ac:dyDescent="0.25">
      <c r="A128" s="5">
        <v>101203118201200</v>
      </c>
      <c r="B128" s="1" t="s">
        <v>131</v>
      </c>
      <c r="C128" s="1" t="s">
        <v>6</v>
      </c>
      <c r="D128" s="2">
        <f>(305.72*(1+1.06%))*(1+8%)</f>
        <v>333.67748256000004</v>
      </c>
    </row>
    <row r="129" spans="1:4" x14ac:dyDescent="0.25">
      <c r="A129" s="5">
        <v>101203118251200</v>
      </c>
      <c r="B129" s="1" t="s">
        <v>132</v>
      </c>
      <c r="C129" s="1" t="s">
        <v>6</v>
      </c>
      <c r="D129" s="2">
        <f>(368.37*(1+1.06%))*(1+8%)</f>
        <v>402.05669976000001</v>
      </c>
    </row>
    <row r="130" spans="1:4" x14ac:dyDescent="0.25">
      <c r="A130" s="5">
        <v>101203118253400</v>
      </c>
      <c r="B130" s="1" t="s">
        <v>133</v>
      </c>
      <c r="C130" s="1" t="s">
        <v>6</v>
      </c>
      <c r="D130" s="2">
        <f>(577.7*(1+1.06%))*(1+8%)</f>
        <v>630.5295096000001</v>
      </c>
    </row>
    <row r="131" spans="1:4" x14ac:dyDescent="0.25">
      <c r="A131" s="5">
        <v>101203118321000</v>
      </c>
      <c r="B131" s="1" t="s">
        <v>134</v>
      </c>
      <c r="C131" s="1" t="s">
        <v>6</v>
      </c>
      <c r="D131" s="2">
        <f>(712.4*(1+1.06%))*(1+8%)</f>
        <v>777.54755520000003</v>
      </c>
    </row>
    <row r="132" spans="1:4" x14ac:dyDescent="0.25">
      <c r="A132" s="5">
        <v>101203118323400</v>
      </c>
      <c r="B132" s="1" t="s">
        <v>135</v>
      </c>
      <c r="C132" s="1" t="s">
        <v>6</v>
      </c>
      <c r="D132" s="2">
        <f>(622.85*(1+1.06%))*(1+8%)</f>
        <v>679.80838680000011</v>
      </c>
    </row>
    <row r="133" spans="1:4" x14ac:dyDescent="0.25">
      <c r="A133" s="5">
        <v>101203121200000</v>
      </c>
      <c r="B133" s="1" t="s">
        <v>136</v>
      </c>
      <c r="C133" s="1" t="s">
        <v>6</v>
      </c>
      <c r="D133" s="2">
        <f>(173.56*(1+1.06%))*(1+8%)</f>
        <v>189.43171488000002</v>
      </c>
    </row>
    <row r="134" spans="1:4" x14ac:dyDescent="0.25">
      <c r="A134" s="5">
        <v>101203121250000</v>
      </c>
      <c r="B134" s="1" t="s">
        <v>137</v>
      </c>
      <c r="C134" s="1" t="s">
        <v>6</v>
      </c>
      <c r="D134" s="2">
        <f>(226.83*(1+1.06%))*(1+8%)</f>
        <v>247.57314984000001</v>
      </c>
    </row>
    <row r="135" spans="1:4" x14ac:dyDescent="0.25">
      <c r="A135" s="5">
        <v>101203121320000</v>
      </c>
      <c r="B135" s="1" t="s">
        <v>138</v>
      </c>
      <c r="C135" s="1" t="s">
        <v>6</v>
      </c>
      <c r="D135" s="2">
        <f>(348.47*(1+1.06%))*(1+8%)</f>
        <v>380.33688456000004</v>
      </c>
    </row>
    <row r="136" spans="1:4" x14ac:dyDescent="0.25">
      <c r="A136" s="5">
        <v>101203121400000</v>
      </c>
      <c r="B136" s="1" t="s">
        <v>139</v>
      </c>
      <c r="C136" s="1" t="s">
        <v>6</v>
      </c>
      <c r="D136" s="2">
        <f>(0*(1+1.06%))*(1+8%)</f>
        <v>0</v>
      </c>
    </row>
    <row r="137" spans="1:4" x14ac:dyDescent="0.25">
      <c r="A137" s="5">
        <v>101203121400001</v>
      </c>
      <c r="B137" s="1" t="s">
        <v>140</v>
      </c>
      <c r="C137" s="1" t="s">
        <v>6</v>
      </c>
      <c r="D137" s="2">
        <f>(1674.32*(1+1.06%))*(1+8%)</f>
        <v>1827.4332153599998</v>
      </c>
    </row>
    <row r="138" spans="1:4" x14ac:dyDescent="0.25">
      <c r="A138" s="5">
        <v>101203121500000</v>
      </c>
      <c r="B138" s="1" t="s">
        <v>141</v>
      </c>
      <c r="C138" s="1" t="s">
        <v>6</v>
      </c>
      <c r="D138" s="2">
        <f>(0*(1+1.06%))*(1+8%)</f>
        <v>0</v>
      </c>
    </row>
    <row r="139" spans="1:4" x14ac:dyDescent="0.25">
      <c r="A139" s="5">
        <v>101203121500001</v>
      </c>
      <c r="B139" s="1" t="s">
        <v>142</v>
      </c>
      <c r="C139" s="1" t="s">
        <v>6</v>
      </c>
      <c r="D139" s="2">
        <f>(1827.91*(1+1.06%))*(1+8%)</f>
        <v>1995.0687136800002</v>
      </c>
    </row>
    <row r="140" spans="1:4" x14ac:dyDescent="0.25">
      <c r="A140" s="5">
        <v>101203121630001</v>
      </c>
      <c r="B140" s="1" t="s">
        <v>143</v>
      </c>
      <c r="C140" s="1" t="s">
        <v>6</v>
      </c>
      <c r="D140" s="2">
        <f>(2177.53*(1+1.06%))*(1+8%)</f>
        <v>2376.6607634400002</v>
      </c>
    </row>
    <row r="141" spans="1:4" x14ac:dyDescent="0.25">
      <c r="A141" s="5">
        <v>101203121750001</v>
      </c>
      <c r="B141" s="1" t="s">
        <v>144</v>
      </c>
      <c r="C141" s="1" t="s">
        <v>6</v>
      </c>
      <c r="D141" s="2">
        <f>(0*(1+1.06%))*(1+8%)</f>
        <v>0</v>
      </c>
    </row>
    <row r="142" spans="1:4" x14ac:dyDescent="0.25">
      <c r="A142" s="5">
        <v>101203121900001</v>
      </c>
      <c r="B142" s="1" t="s">
        <v>145</v>
      </c>
      <c r="C142" s="1" t="s">
        <v>6</v>
      </c>
      <c r="D142" s="2">
        <f>(0*(1+1.06%))*(1+8%)</f>
        <v>0</v>
      </c>
    </row>
    <row r="143" spans="1:4" x14ac:dyDescent="0.25">
      <c r="A143" s="5">
        <v>101203130200001</v>
      </c>
      <c r="B143" s="1" t="s">
        <v>146</v>
      </c>
      <c r="C143" s="1" t="s">
        <v>6</v>
      </c>
      <c r="D143" s="2">
        <f>(1837.88*(1+1.06%))*(1+8%)</f>
        <v>2005.95045024</v>
      </c>
    </row>
    <row r="144" spans="1:4" x14ac:dyDescent="0.25">
      <c r="A144" s="5">
        <v>101203130250001</v>
      </c>
      <c r="B144" s="1" t="s">
        <v>147</v>
      </c>
      <c r="C144" s="1" t="s">
        <v>6</v>
      </c>
      <c r="D144" s="2">
        <f>(2151.91*(1+1.06%))*(1+8%)</f>
        <v>2348.6978656800002</v>
      </c>
    </row>
    <row r="145" spans="1:4" x14ac:dyDescent="0.25">
      <c r="A145" s="5">
        <v>101203130320001</v>
      </c>
      <c r="B145" s="1" t="s">
        <v>148</v>
      </c>
      <c r="C145" s="1" t="s">
        <v>6</v>
      </c>
      <c r="D145" s="2">
        <f>(0*(1+1.06%))*(1+8%)</f>
        <v>0</v>
      </c>
    </row>
    <row r="146" spans="1:4" x14ac:dyDescent="0.25">
      <c r="A146" s="5">
        <v>101203131200001</v>
      </c>
      <c r="B146" s="1" t="s">
        <v>149</v>
      </c>
      <c r="C146" s="1" t="s">
        <v>6</v>
      </c>
      <c r="D146" s="2">
        <f>(1291.25*(1+1.06%))*(1+8%)</f>
        <v>1409.33223</v>
      </c>
    </row>
    <row r="147" spans="1:4" x14ac:dyDescent="0.25">
      <c r="A147" s="5">
        <v>101203131250001</v>
      </c>
      <c r="B147" s="1" t="s">
        <v>150</v>
      </c>
      <c r="C147" s="1" t="s">
        <v>6</v>
      </c>
      <c r="D147" s="2">
        <f>(1482.64*(1+1.06%))*(1+8%)</f>
        <v>1618.2244627200002</v>
      </c>
    </row>
    <row r="148" spans="1:4" x14ac:dyDescent="0.25">
      <c r="A148" s="5">
        <v>101203131320001</v>
      </c>
      <c r="B148" s="1" t="s">
        <v>151</v>
      </c>
      <c r="C148" s="1" t="s">
        <v>6</v>
      </c>
      <c r="D148" s="2">
        <f>(0*(1+1.06%))*(1+8%)</f>
        <v>0</v>
      </c>
    </row>
    <row r="149" spans="1:4" x14ac:dyDescent="0.25">
      <c r="A149" s="5">
        <v>101203132200000</v>
      </c>
      <c r="B149" s="1" t="s">
        <v>152</v>
      </c>
      <c r="C149" s="1" t="s">
        <v>6</v>
      </c>
      <c r="D149" s="2">
        <f>(1036*(1+1.06%))*(1+8%)</f>
        <v>1130.7401279999999</v>
      </c>
    </row>
    <row r="150" spans="1:4" x14ac:dyDescent="0.25">
      <c r="A150" s="5">
        <v>101203133200000</v>
      </c>
      <c r="B150" s="1" t="s">
        <v>153</v>
      </c>
      <c r="C150" s="1" t="s">
        <v>6</v>
      </c>
      <c r="D150" s="2">
        <f>(627.16*(1+1.06%))*(1+8%)</f>
        <v>684.51252767999995</v>
      </c>
    </row>
    <row r="151" spans="1:4" x14ac:dyDescent="0.25">
      <c r="A151" s="5">
        <v>101203134100000</v>
      </c>
      <c r="B151" s="1" t="s">
        <v>154</v>
      </c>
      <c r="C151" s="1" t="s">
        <v>6</v>
      </c>
      <c r="D151" s="2">
        <f>(202.51*(1+1.06%))*(1+8%)</f>
        <v>221.02913447999998</v>
      </c>
    </row>
    <row r="152" spans="1:4" x14ac:dyDescent="0.25">
      <c r="A152" s="5">
        <v>101203140200000</v>
      </c>
      <c r="B152" s="1" t="s">
        <v>155</v>
      </c>
      <c r="C152" s="1" t="s">
        <v>6</v>
      </c>
      <c r="D152" s="2">
        <f>(166.29*(1+1.06%))*(1+8%)</f>
        <v>181.49688792000001</v>
      </c>
    </row>
    <row r="153" spans="1:4" x14ac:dyDescent="0.25">
      <c r="A153" s="5">
        <v>101203140200001</v>
      </c>
      <c r="B153" s="1" t="s">
        <v>156</v>
      </c>
      <c r="C153" s="1" t="s">
        <v>6</v>
      </c>
      <c r="D153" s="2">
        <f>(171.56*(1+1.06%))*(1+8%)</f>
        <v>187.24881888000002</v>
      </c>
    </row>
    <row r="154" spans="1:4" x14ac:dyDescent="0.25">
      <c r="A154" s="5">
        <v>101203140250000</v>
      </c>
      <c r="B154" s="1" t="s">
        <v>157</v>
      </c>
      <c r="C154" s="1" t="s">
        <v>6</v>
      </c>
      <c r="D154" s="2">
        <f>(239.36*(1+1.06%))*(1+8%)</f>
        <v>261.24899327999998</v>
      </c>
    </row>
    <row r="155" spans="1:4" x14ac:dyDescent="0.25">
      <c r="A155" s="5">
        <v>101203140250001</v>
      </c>
      <c r="B155" s="1" t="s">
        <v>158</v>
      </c>
      <c r="C155" s="1" t="s">
        <v>6</v>
      </c>
      <c r="D155" s="2">
        <f>(224.64*(1+1.06%))*(1+8%)</f>
        <v>245.18287871999999</v>
      </c>
    </row>
    <row r="156" spans="1:4" x14ac:dyDescent="0.25">
      <c r="A156" s="5">
        <v>101203140320000</v>
      </c>
      <c r="B156" s="1" t="s">
        <v>159</v>
      </c>
      <c r="C156" s="1" t="s">
        <v>6</v>
      </c>
      <c r="D156" s="2">
        <f>(329.49*(1+1.06%))*(1+8%)</f>
        <v>359.62120152000006</v>
      </c>
    </row>
    <row r="157" spans="1:4" x14ac:dyDescent="0.25">
      <c r="A157" s="5">
        <v>101203140320001</v>
      </c>
      <c r="B157" s="1" t="s">
        <v>160</v>
      </c>
      <c r="C157" s="1" t="s">
        <v>6</v>
      </c>
      <c r="D157" s="2">
        <f>(271.8*(1+1.06%))*(1+8%)</f>
        <v>296.65556640000005</v>
      </c>
    </row>
    <row r="158" spans="1:4" x14ac:dyDescent="0.25">
      <c r="A158" s="5">
        <v>101203150200001</v>
      </c>
      <c r="B158" s="1" t="s">
        <v>161</v>
      </c>
      <c r="C158" s="1" t="s">
        <v>6</v>
      </c>
      <c r="D158" s="2">
        <f>(2125.51*(1+1.06%))*(1+8%)</f>
        <v>2319.8836384800002</v>
      </c>
    </row>
    <row r="159" spans="1:4" x14ac:dyDescent="0.25">
      <c r="A159" s="5">
        <v>101203150250001</v>
      </c>
      <c r="B159" s="1" t="s">
        <v>162</v>
      </c>
      <c r="C159" s="1" t="s">
        <v>6</v>
      </c>
      <c r="D159" s="2">
        <f>(2340.72*(1+1.06%))*(1+8%)</f>
        <v>2554.7741625599997</v>
      </c>
    </row>
    <row r="160" spans="1:4" x14ac:dyDescent="0.25">
      <c r="A160" s="5">
        <v>101203150320001</v>
      </c>
      <c r="B160" s="1" t="s">
        <v>163</v>
      </c>
      <c r="C160" s="1" t="s">
        <v>6</v>
      </c>
      <c r="D160" s="2">
        <f>(0*(1+1.06%))*(1+8%)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I11" sqref="I11"/>
    </sheetView>
  </sheetViews>
  <sheetFormatPr baseColWidth="10" defaultRowHeight="15" x14ac:dyDescent="0.25"/>
  <cols>
    <col min="1" max="1" width="8.28515625" bestFit="1" customWidth="1"/>
    <col min="2" max="2" width="46.5703125" bestFit="1" customWidth="1"/>
  </cols>
  <sheetData>
    <row r="1" spans="1:5" x14ac:dyDescent="0.25">
      <c r="A1" s="6" t="s">
        <v>0</v>
      </c>
      <c r="B1" s="6" t="s">
        <v>1</v>
      </c>
      <c r="C1" s="7" t="s">
        <v>4</v>
      </c>
    </row>
    <row r="2" spans="1:5" x14ac:dyDescent="0.25">
      <c r="A2" s="1">
        <v>1001</v>
      </c>
      <c r="B2" s="1" t="s">
        <v>164</v>
      </c>
      <c r="C2" s="2">
        <f>(((237.11*(1+7.46%))*(1+4.16%))*(1+5.33%))*(1+7.6%)</f>
        <v>300.78905793362401</v>
      </c>
    </row>
    <row r="3" spans="1:5" x14ac:dyDescent="0.25">
      <c r="A3" s="1">
        <v>1002</v>
      </c>
      <c r="B3" s="1" t="s">
        <v>165</v>
      </c>
      <c r="C3" s="2">
        <f>(((291.9*(1+7.46%))*(1+4.16%))*(1+5.33%))*(1+7.6%)</f>
        <v>370.29364434576701</v>
      </c>
      <c r="E3" s="47"/>
    </row>
    <row r="4" spans="1:5" x14ac:dyDescent="0.25">
      <c r="A4" s="1">
        <v>1003</v>
      </c>
      <c r="B4" s="1" t="s">
        <v>166</v>
      </c>
      <c r="C4" s="2">
        <f>(((352.35*(1+7.46%))*(1+4.16%))*(1+5.33%))*(1+7.6%)</f>
        <v>446.97829936701277</v>
      </c>
    </row>
    <row r="5" spans="1:5" x14ac:dyDescent="0.25">
      <c r="A5" s="1">
        <v>1004</v>
      </c>
      <c r="B5" s="1" t="s">
        <v>167</v>
      </c>
      <c r="C5" s="2">
        <f>(((414.85*(1+7.46%))*(1+4.16%))*(1+5.33%))*(1+7.6%)</f>
        <v>526.26350927318072</v>
      </c>
    </row>
    <row r="6" spans="1:5" x14ac:dyDescent="0.25">
      <c r="A6" s="1">
        <v>1005</v>
      </c>
      <c r="B6" s="1" t="s">
        <v>168</v>
      </c>
      <c r="C6" s="2">
        <f>(((528.41*(1+7.46%))*(1+4.16%))*(1+5.33%))*(1+7.6%)</f>
        <v>670.32156426429174</v>
      </c>
    </row>
    <row r="7" spans="1:5" x14ac:dyDescent="0.25">
      <c r="A7" s="1">
        <v>1006</v>
      </c>
      <c r="B7" s="1" t="s">
        <v>169</v>
      </c>
      <c r="C7" s="2">
        <f>(((652.8*(1+7.46%))*(1+4.16%))*(1+5.33%))*(1+7.6%)</f>
        <v>828.11816042794351</v>
      </c>
    </row>
    <row r="8" spans="1:5" x14ac:dyDescent="0.25">
      <c r="A8" s="1">
        <v>1007</v>
      </c>
      <c r="B8" s="1" t="s">
        <v>170</v>
      </c>
      <c r="C8" s="2">
        <f>(((888.11*(1+7.46%))*(1+4.16%))*(1+5.33%))*(1+7.6%)</f>
        <v>1126.62380431627</v>
      </c>
    </row>
    <row r="9" spans="1:5" x14ac:dyDescent="0.25">
      <c r="A9" s="1">
        <v>1008</v>
      </c>
      <c r="B9" s="1" t="s">
        <v>171</v>
      </c>
      <c r="C9" s="2">
        <f>(((1179.91*(1+7.46%))*(1+4.16%))*(1+5.33%))*(1+7.6%)</f>
        <v>1496.7905923261872</v>
      </c>
    </row>
    <row r="10" spans="1:5" x14ac:dyDescent="0.25">
      <c r="A10" s="1">
        <v>1010</v>
      </c>
      <c r="B10" s="1" t="s">
        <v>172</v>
      </c>
      <c r="C10" s="2">
        <f>(((304.98*(1+7.46%))*(1+4.16%))*(1+5.33%))*(1+7.6%)</f>
        <v>386.88645307492993</v>
      </c>
    </row>
    <row r="11" spans="1:5" x14ac:dyDescent="0.25">
      <c r="A11" s="1">
        <v>1011</v>
      </c>
      <c r="B11" s="1" t="s">
        <v>173</v>
      </c>
      <c r="C11" s="2">
        <f>(((380.03*(1+7.46%))*(1+4.16%))*(1+5.33%))*(1+7.6%)</f>
        <v>482.0921331302564</v>
      </c>
    </row>
    <row r="12" spans="1:5" x14ac:dyDescent="0.25">
      <c r="A12" s="1">
        <v>1012</v>
      </c>
      <c r="B12" s="1" t="s">
        <v>174</v>
      </c>
      <c r="C12" s="2">
        <f>(((458.22*(1+7.46%))*(1+4.16%))*(1+5.33%))*(1+7.6%)</f>
        <v>581.28110213126888</v>
      </c>
    </row>
    <row r="13" spans="1:5" x14ac:dyDescent="0.25">
      <c r="A13" s="1">
        <v>1013</v>
      </c>
      <c r="B13" s="1" t="s">
        <v>175</v>
      </c>
      <c r="C13" s="2">
        <f>(((532.27*(1+7.46%))*(1+4.16%))*(1+5.33%))*(1+7.6%)</f>
        <v>675.21821882809661</v>
      </c>
    </row>
    <row r="14" spans="1:5" x14ac:dyDescent="0.25">
      <c r="A14" s="1">
        <v>1014</v>
      </c>
      <c r="B14" s="1" t="s">
        <v>176</v>
      </c>
      <c r="C14" s="2">
        <f>(((642.25*(1+7.46%))*(1+4.16%))*(1+5.33%))*(1+7.6%)</f>
        <v>814.73481699578235</v>
      </c>
    </row>
    <row r="15" spans="1:5" x14ac:dyDescent="0.25">
      <c r="A15" s="1">
        <v>1015</v>
      </c>
      <c r="B15" s="1" t="s">
        <v>177</v>
      </c>
      <c r="C15" s="2">
        <f>(((821.38*(1+7.46%))*(1+4.16%))*(1+5.33%))*(1+7.6%)</f>
        <v>1041.9725714036524</v>
      </c>
    </row>
    <row r="16" spans="1:5" x14ac:dyDescent="0.25">
      <c r="A16" s="1">
        <v>1016</v>
      </c>
      <c r="B16" s="1" t="s">
        <v>178</v>
      </c>
      <c r="C16" s="2">
        <f>(((1102.62*(1+7.46%))*(1+4.16%))*(1+5.33%))*(1+7.6%)</f>
        <v>1398.7433303478235</v>
      </c>
    </row>
    <row r="17" spans="1:3" x14ac:dyDescent="0.25">
      <c r="A17" s="1">
        <v>1017</v>
      </c>
      <c r="B17" s="1" t="s">
        <v>179</v>
      </c>
      <c r="C17" s="2">
        <f>(((1496.22*(1+7.46%))*(1+4.16%))*(1+5.33%))*(1+7.6%)</f>
        <v>1898.0498682529067</v>
      </c>
    </row>
    <row r="18" spans="1:3" x14ac:dyDescent="0.25">
      <c r="A18" s="1">
        <v>1019</v>
      </c>
      <c r="B18" s="1" t="s">
        <v>180</v>
      </c>
      <c r="C18" s="2">
        <f>(((405.79*(1+7.46%))*(1+4.16%))*(1+5.33%))*(1+7.6%)</f>
        <v>514.77032524518256</v>
      </c>
    </row>
    <row r="19" spans="1:3" x14ac:dyDescent="0.25">
      <c r="A19" s="1">
        <v>1020</v>
      </c>
      <c r="B19" s="1" t="s">
        <v>181</v>
      </c>
      <c r="C19" s="2">
        <f>(((507.9*(1+7.46%))*(1+4.16%))*(1+5.33%))*(1+7.6%)</f>
        <v>644.30332978148363</v>
      </c>
    </row>
    <row r="20" spans="1:3" x14ac:dyDescent="0.25">
      <c r="A20" s="1">
        <v>1021</v>
      </c>
      <c r="B20" s="1" t="s">
        <v>182</v>
      </c>
      <c r="C20" s="2">
        <f>(((596.61*(1+7.46%))*(1+4.16%))*(1+5.33%))*(1+7.6%)</f>
        <v>756.83758531390231</v>
      </c>
    </row>
    <row r="21" spans="1:3" x14ac:dyDescent="0.25">
      <c r="A21" s="1">
        <v>1022</v>
      </c>
      <c r="B21" s="1" t="s">
        <v>183</v>
      </c>
      <c r="C21" s="2">
        <f>(((685.6*(1+7.46%))*(1+4.16%))*(1+5.33%))*(1+7.6%)</f>
        <v>869.72703858670059</v>
      </c>
    </row>
    <row r="22" spans="1:3" x14ac:dyDescent="0.25">
      <c r="A22" s="1">
        <v>1023</v>
      </c>
      <c r="B22" s="1" t="s">
        <v>184</v>
      </c>
      <c r="C22" s="2">
        <f>(((862.29*(1+7.46%))*(1+4.16%))*(1+5.33%))*(1+7.6%)</f>
        <v>1093.8694983998337</v>
      </c>
    </row>
    <row r="23" spans="1:3" x14ac:dyDescent="0.25">
      <c r="A23" s="1">
        <v>1024</v>
      </c>
      <c r="B23" s="1" t="s">
        <v>185</v>
      </c>
      <c r="C23" s="2">
        <f>(((1040.73*(1+7.46%))*(1+4.16%))*(1+5.33%))*(1+7.6%)</f>
        <v>1320.2319440903395</v>
      </c>
    </row>
    <row r="24" spans="1:3" x14ac:dyDescent="0.25">
      <c r="A24" s="1">
        <v>1025</v>
      </c>
      <c r="B24" s="1" t="s">
        <v>186</v>
      </c>
      <c r="C24" s="2">
        <f>(((1369.89*(1+7.46%))*(1+4.16%))*(1+5.33%))*(1+7.6%)</f>
        <v>1737.7922591737677</v>
      </c>
    </row>
    <row r="25" spans="1:3" x14ac:dyDescent="0.25">
      <c r="A25" s="1">
        <v>1026</v>
      </c>
      <c r="B25" s="1" t="s">
        <v>187</v>
      </c>
      <c r="C25" s="2">
        <f>(((1852.29*(1+7.46%))*(1+4.16%))*(1+5.33%))*(1+7.6%)</f>
        <v>2349.7472233135354</v>
      </c>
    </row>
    <row r="26" spans="1:3" x14ac:dyDescent="0.25">
      <c r="A26" s="1">
        <v>1028</v>
      </c>
      <c r="B26" s="1" t="s">
        <v>188</v>
      </c>
      <c r="C26" s="2">
        <f>(((685.6*(1+7.46%))*(1+4.16%))*(1+5.33%))*(1+7.6%)</f>
        <v>869.72703858670059</v>
      </c>
    </row>
    <row r="27" spans="1:3" x14ac:dyDescent="0.25">
      <c r="A27" s="1">
        <v>1029</v>
      </c>
      <c r="B27" s="1" t="s">
        <v>189</v>
      </c>
      <c r="C27" s="2">
        <f>(((862.29*(1+7.46%))*(1+4.16%))*(1+5.33%))*(1+7.6%)</f>
        <v>1093.8694983998337</v>
      </c>
    </row>
    <row r="28" spans="1:3" x14ac:dyDescent="0.25">
      <c r="A28" s="1">
        <v>1030</v>
      </c>
      <c r="B28" s="1" t="s">
        <v>190</v>
      </c>
      <c r="C28" s="2">
        <f>(((1040.47*(1+7.46%))*(1+4.16%))*(1+5.33%))*(1+7.6%)</f>
        <v>1319.90211761713</v>
      </c>
    </row>
    <row r="29" spans="1:3" x14ac:dyDescent="0.25">
      <c r="A29" s="1">
        <v>1031</v>
      </c>
      <c r="B29" s="1" t="s">
        <v>191</v>
      </c>
      <c r="C29" s="2">
        <f>(((1268.37*(1+7.46%))*(1+4.16%))*(1+5.33%))*(1+7.6%)</f>
        <v>1609.0077070189809</v>
      </c>
    </row>
    <row r="30" spans="1:3" x14ac:dyDescent="0.25">
      <c r="A30" s="1">
        <v>1032</v>
      </c>
      <c r="B30" s="1" t="s">
        <v>192</v>
      </c>
      <c r="C30" s="2">
        <f>(((1573.57*(1+7.46%))*(1+4.16%))*(1+5.33%))*(1+7.6%)</f>
        <v>1996.1732440327805</v>
      </c>
    </row>
    <row r="31" spans="1:3" x14ac:dyDescent="0.25">
      <c r="A31" s="1">
        <v>1033</v>
      </c>
      <c r="B31" s="1" t="s">
        <v>193</v>
      </c>
      <c r="C31" s="2">
        <f>(((1927.21*(1+7.46%))*(1+4.16%))*(1+5.33%))*(1+7.6%)</f>
        <v>2444.7879901322567</v>
      </c>
    </row>
    <row r="32" spans="1:3" x14ac:dyDescent="0.25">
      <c r="A32" s="1">
        <v>1034</v>
      </c>
      <c r="B32" s="1" t="s">
        <v>194</v>
      </c>
      <c r="C32" s="2">
        <f>(((2612.3*(1+7.46%))*(1+4.16%))*(1+5.33%))*(1+7.6%)</f>
        <v>3313.8680614061227</v>
      </c>
    </row>
    <row r="33" spans="1:3" x14ac:dyDescent="0.25">
      <c r="A33" s="1">
        <v>1035</v>
      </c>
      <c r="B33" s="1" t="s">
        <v>195</v>
      </c>
      <c r="C33" s="2">
        <f>(((3425.85*(1+7.46%))*(1+4.16%))*(1+5.33%))*(1+7.6%)</f>
        <v>4345.90778171273</v>
      </c>
    </row>
    <row r="34" spans="1:3" x14ac:dyDescent="0.25">
      <c r="A34" s="1">
        <v>1036</v>
      </c>
      <c r="B34" s="1" t="s">
        <v>196</v>
      </c>
      <c r="C34" s="2">
        <f>(((4694.59*(1+7.46%))*(1+4.16%))*(1+5.33%))*(1+7.6%)</f>
        <v>5955.3848571743565</v>
      </c>
    </row>
    <row r="35" spans="1:3" x14ac:dyDescent="0.25">
      <c r="A35" s="1">
        <v>1040</v>
      </c>
      <c r="B35" s="1" t="s">
        <v>197</v>
      </c>
      <c r="C35" s="2">
        <f>(((3665.64*(1+7.46%))*(1+4.16%))*(1+5.33%))*(1+7.6%)</f>
        <v>4650.096589447131</v>
      </c>
    </row>
    <row r="36" spans="1:3" x14ac:dyDescent="0.25">
      <c r="A36" s="1">
        <v>1051</v>
      </c>
      <c r="B36" s="1" t="s">
        <v>198</v>
      </c>
      <c r="C36" s="2">
        <f>(((2219.99*(1+7.46%))*(1+4.16%))*(1+5.33%))*(1+7.6%)</f>
        <v>2816.1979702335025</v>
      </c>
    </row>
    <row r="37" spans="1:3" x14ac:dyDescent="0.25">
      <c r="A37" s="1">
        <v>1060</v>
      </c>
      <c r="B37" s="1" t="s">
        <v>199</v>
      </c>
      <c r="C37" s="2">
        <f>(((722.76*(1+7.46%))*(1+4.16%))*(1+5.33%))*(1+7.6%)</f>
        <v>916.86685298851182</v>
      </c>
    </row>
    <row r="38" spans="1:3" x14ac:dyDescent="0.25">
      <c r="A38" s="1">
        <v>1535</v>
      </c>
      <c r="B38" s="1" t="s">
        <v>200</v>
      </c>
      <c r="C38" s="2">
        <f>(((3939.74*(1+7.46%))*(1+4.16%))*(1+5.33%))*(1+7.6%)</f>
        <v>4997.8098060116217</v>
      </c>
    </row>
    <row r="39" spans="1:3" x14ac:dyDescent="0.25">
      <c r="A39" s="1">
        <v>5001</v>
      </c>
      <c r="B39" s="1" t="s">
        <v>201</v>
      </c>
      <c r="C39" s="2">
        <f>(((5614.14*(1+7.46%))*(1+4.16%))*(1+5.33%))*(1+7.6%)</f>
        <v>7121.8922934818247</v>
      </c>
    </row>
    <row r="40" spans="1:3" x14ac:dyDescent="0.25">
      <c r="A40" s="1">
        <v>5002</v>
      </c>
      <c r="B40" s="1" t="s">
        <v>202</v>
      </c>
      <c r="C40" s="2">
        <f>(((7313.13*(1+7.46%))*(1+4.16%))*(1+5.33%))*(1+7.6%)</f>
        <v>9277.1687539375107</v>
      </c>
    </row>
    <row r="41" spans="1:3" x14ac:dyDescent="0.25">
      <c r="A41" s="1">
        <v>7706</v>
      </c>
      <c r="B41" s="1" t="s">
        <v>203</v>
      </c>
      <c r="C41" s="2">
        <f>(((2889.82*(1+7.46%))*(1+4.16%))*(1+5.33%))*(1+7.6%)</f>
        <v>3665.9197646566786</v>
      </c>
    </row>
    <row r="42" spans="1:3" x14ac:dyDescent="0.25">
      <c r="A42" s="1">
        <v>7707</v>
      </c>
      <c r="B42" s="1" t="s">
        <v>204</v>
      </c>
      <c r="C42" s="2">
        <f>(((5578.32*(1+7.46%))*(1+4.16%))*(1+5.33%))*(1+7.6%)</f>
        <v>7076.4523539804004</v>
      </c>
    </row>
    <row r="43" spans="1:3" x14ac:dyDescent="0.25">
      <c r="A43" s="1">
        <v>7851</v>
      </c>
      <c r="B43" s="1" t="s">
        <v>205</v>
      </c>
      <c r="C43" s="2">
        <f>(((3944.71*(1+7.46%))*(1+4.16%))*(1+5.33%))*(1+7.6%)</f>
        <v>5004.1145659033591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>
      <selection activeCell="F19" sqref="F19"/>
    </sheetView>
  </sheetViews>
  <sheetFormatPr baseColWidth="10" defaultRowHeight="15" x14ac:dyDescent="0.25"/>
  <cols>
    <col min="1" max="1" width="8.28515625" bestFit="1" customWidth="1"/>
    <col min="2" max="2" width="46.8554687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7" t="s">
        <v>4</v>
      </c>
    </row>
    <row r="2" spans="1:6" x14ac:dyDescent="0.25">
      <c r="A2" s="1">
        <v>2001</v>
      </c>
      <c r="B2" s="1" t="s">
        <v>206</v>
      </c>
      <c r="C2" s="1" t="s">
        <v>207</v>
      </c>
      <c r="D2" s="2">
        <f>(((88.98*(1+7.46%))*(1+4.16%))*(1+5.33%))*(1+7.6%)</f>
        <v>112.87676763921327</v>
      </c>
    </row>
    <row r="3" spans="1:6" x14ac:dyDescent="0.25">
      <c r="A3" s="1">
        <v>2002</v>
      </c>
      <c r="B3" s="1" t="s">
        <v>208</v>
      </c>
      <c r="C3" s="1" t="s">
        <v>207</v>
      </c>
      <c r="D3" s="2">
        <f>(((127.38*(1+7.46%))*(1+4.16%))*(1+5.33%))*(1+7.6%)</f>
        <v>161.58960060556288</v>
      </c>
      <c r="F3" s="47"/>
    </row>
    <row r="4" spans="1:6" x14ac:dyDescent="0.25">
      <c r="A4" s="1">
        <v>2003</v>
      </c>
      <c r="B4" s="1" t="s">
        <v>209</v>
      </c>
      <c r="C4" s="1" t="s">
        <v>207</v>
      </c>
      <c r="D4" s="2">
        <f>(((213.97*(1+7.46%))*(1+4.16%))*(1+5.33%))*(1+7.6%)</f>
        <v>271.4345018179643</v>
      </c>
    </row>
    <row r="5" spans="1:6" x14ac:dyDescent="0.25">
      <c r="A5" s="1">
        <v>2004</v>
      </c>
      <c r="B5" s="1" t="s">
        <v>210</v>
      </c>
      <c r="C5" s="1" t="s">
        <v>207</v>
      </c>
      <c r="D5" s="2">
        <f>(((460.44*(1+7.46%))*(1+4.16%))*(1+5.33%))*(1+7.6%)</f>
        <v>584.09731278713582</v>
      </c>
    </row>
    <row r="6" spans="1:6" x14ac:dyDescent="0.25">
      <c r="A6" s="1">
        <v>2005</v>
      </c>
      <c r="B6" s="1" t="s">
        <v>211</v>
      </c>
      <c r="C6" s="1" t="s">
        <v>207</v>
      </c>
      <c r="D6" s="2">
        <f>(((96.29*(1+7.46%))*(1+4.16%))*(1+5.33%))*(1+7.6%)</f>
        <v>122.14996578983869</v>
      </c>
    </row>
    <row r="7" spans="1:6" x14ac:dyDescent="0.25">
      <c r="A7" s="1">
        <v>2006</v>
      </c>
      <c r="B7" s="1" t="s">
        <v>212</v>
      </c>
      <c r="C7" s="1" t="s">
        <v>207</v>
      </c>
      <c r="D7" s="2">
        <f>(((127.38*(1+7.46%))*(1+4.16%))*(1+5.33%))*(1+7.6%)</f>
        <v>161.58960060556288</v>
      </c>
    </row>
    <row r="8" spans="1:6" x14ac:dyDescent="0.25">
      <c r="A8" s="1">
        <v>2007</v>
      </c>
      <c r="B8" s="1" t="s">
        <v>213</v>
      </c>
      <c r="C8" s="1" t="s">
        <v>207</v>
      </c>
      <c r="D8" s="2">
        <f>(((225.98*(1+7.46%))*(1+4.16%))*(1+5.33%))*(1+7.6%)</f>
        <v>286.66994775353351</v>
      </c>
    </row>
    <row r="9" spans="1:6" x14ac:dyDescent="0.25">
      <c r="A9" s="1">
        <v>2008</v>
      </c>
      <c r="B9" s="1" t="s">
        <v>214</v>
      </c>
      <c r="C9" s="1" t="s">
        <v>207</v>
      </c>
      <c r="D9" s="2">
        <f>(((500.2*(1+7.46%))*(1+4.16%))*(1+5.33%))*(1+7.6%)</f>
        <v>634.53539192104381</v>
      </c>
    </row>
    <row r="10" spans="1:6" x14ac:dyDescent="0.25">
      <c r="A10" s="1">
        <v>2011</v>
      </c>
      <c r="B10" s="1" t="s">
        <v>215</v>
      </c>
      <c r="C10" s="1" t="s">
        <v>207</v>
      </c>
      <c r="D10" s="2">
        <f>(((540.56*(1+7.46%))*(1+4.16%))*(1+5.33%))*(1+7.6%)</f>
        <v>685.73460907005074</v>
      </c>
    </row>
    <row r="11" spans="1:6" x14ac:dyDescent="0.25">
      <c r="A11" s="1">
        <v>2012</v>
      </c>
      <c r="B11" s="1" t="s">
        <v>216</v>
      </c>
      <c r="C11" s="1" t="s">
        <v>207</v>
      </c>
      <c r="D11" s="2">
        <f>(((200.16*(1+7.46%))*(1+4.16%))*(1+5.33%))*(1+7.6%)</f>
        <v>253.91564183709741</v>
      </c>
    </row>
    <row r="12" spans="1:6" x14ac:dyDescent="0.25">
      <c r="A12" s="1">
        <v>2013</v>
      </c>
      <c r="B12" s="1" t="s">
        <v>217</v>
      </c>
      <c r="C12" s="1" t="s">
        <v>207</v>
      </c>
      <c r="D12" s="2">
        <f>(((146.76*(1+7.46%))*(1+4.16%))*(1+5.33%))*(1+7.6%)</f>
        <v>186.17435849326745</v>
      </c>
    </row>
    <row r="13" spans="1:6" x14ac:dyDescent="0.25">
      <c r="A13" s="1">
        <v>2014</v>
      </c>
      <c r="B13" s="1" t="s">
        <v>218</v>
      </c>
      <c r="C13" s="1" t="s">
        <v>207</v>
      </c>
      <c r="D13" s="2">
        <f>(((161.12*(1+7.46%))*(1+4.16%))*(1+5.33%))*(1+7.6%)</f>
        <v>204.39092832130862</v>
      </c>
    </row>
    <row r="14" spans="1:6" x14ac:dyDescent="0.25">
      <c r="A14" s="1">
        <v>2015</v>
      </c>
      <c r="B14" s="1" t="s">
        <v>219</v>
      </c>
      <c r="C14" s="1" t="s">
        <v>207</v>
      </c>
      <c r="D14" s="2">
        <f>(((213.97*(1+7.46%))*(1+4.16%))*(1+5.33%))*(1+7.6%)</f>
        <v>271.4345018179643</v>
      </c>
    </row>
    <row r="15" spans="1:6" x14ac:dyDescent="0.25">
      <c r="A15" s="1">
        <v>2016</v>
      </c>
      <c r="B15" s="1" t="s">
        <v>220</v>
      </c>
      <c r="C15" s="1" t="s">
        <v>207</v>
      </c>
      <c r="D15" s="2">
        <f>(((476.14*(1+7.46%))*(1+4.16%))*(1+5.33%))*(1+7.6%)</f>
        <v>604.01375751556532</v>
      </c>
    </row>
    <row r="16" spans="1:6" x14ac:dyDescent="0.25">
      <c r="A16" s="1">
        <v>2016</v>
      </c>
      <c r="B16" s="1" t="s">
        <v>221</v>
      </c>
      <c r="C16" s="1" t="s">
        <v>207</v>
      </c>
      <c r="D16" s="2">
        <f>(((476.14*(1+7.46%))*(1+4.16%))*(1+5.33%))*(1+7.6%)</f>
        <v>604.01375751556532</v>
      </c>
    </row>
    <row r="17" spans="1:4" x14ac:dyDescent="0.25">
      <c r="A17" s="1">
        <v>2017</v>
      </c>
      <c r="B17" s="1" t="s">
        <v>222</v>
      </c>
      <c r="C17" s="1" t="s">
        <v>207</v>
      </c>
      <c r="D17" s="2">
        <f>(((664.95*(1+7.46%))*(1+4.16%))*(1+5.33%))*(1+7.6%)</f>
        <v>843.53120523370262</v>
      </c>
    </row>
    <row r="18" spans="1:4" x14ac:dyDescent="0.25">
      <c r="A18" s="1">
        <v>2018</v>
      </c>
      <c r="B18" s="1" t="s">
        <v>223</v>
      </c>
      <c r="C18" s="1" t="s">
        <v>207</v>
      </c>
      <c r="D18" s="2">
        <f>(((664.95*(1+7.46%))*(1+4.16%))*(1+5.33%))*(1+7.6%)</f>
        <v>843.53120523370262</v>
      </c>
    </row>
    <row r="19" spans="1:4" x14ac:dyDescent="0.25">
      <c r="A19" s="1">
        <v>2019</v>
      </c>
      <c r="B19" s="1" t="s">
        <v>224</v>
      </c>
      <c r="C19" s="1" t="s">
        <v>207</v>
      </c>
      <c r="D19" s="2">
        <f>(((474.87*(1+7.46%))*(1+4.16%))*(1+5.33%))*(1+7.6%)</f>
        <v>602.40268205027201</v>
      </c>
    </row>
    <row r="20" spans="1:4" x14ac:dyDescent="0.25">
      <c r="A20" s="1">
        <v>2020</v>
      </c>
      <c r="B20" s="1" t="s">
        <v>225</v>
      </c>
      <c r="C20" s="1" t="s">
        <v>207</v>
      </c>
      <c r="D20" s="2">
        <f>(((189.49*(1+7.46%))*(1+4.16%))*(1+5.33%))*(1+7.6%)</f>
        <v>240.38007080191642</v>
      </c>
    </row>
    <row r="21" spans="1:4" x14ac:dyDescent="0.25">
      <c r="A21" s="1">
        <v>2021</v>
      </c>
      <c r="B21" s="1" t="s">
        <v>226</v>
      </c>
      <c r="C21" s="1" t="s">
        <v>207</v>
      </c>
      <c r="D21" s="2">
        <f>(((231.54*(1+7.46%))*(1+4.16%))*(1+5.33%))*(1+7.6%)</f>
        <v>293.72316002678622</v>
      </c>
    </row>
    <row r="22" spans="1:4" x14ac:dyDescent="0.25">
      <c r="A22" s="1">
        <v>2022</v>
      </c>
      <c r="B22" s="1" t="s">
        <v>227</v>
      </c>
      <c r="C22" s="1" t="s">
        <v>207</v>
      </c>
      <c r="D22" s="2">
        <f>(((841.82*(1+7.46%))*(1+4.16%))*(1+5.33%))*(1+7.6%)</f>
        <v>1067.9020064513657</v>
      </c>
    </row>
    <row r="23" spans="1:4" x14ac:dyDescent="0.25">
      <c r="A23" s="1">
        <v>2023</v>
      </c>
      <c r="B23" s="1" t="s">
        <v>228</v>
      </c>
      <c r="C23" s="1" t="s">
        <v>207</v>
      </c>
      <c r="D23" s="2">
        <f>(((1054.45*(1+7.46%))*(1+4.16%))*(1+5.33%))*(1+7.6%)</f>
        <v>1337.6366333689418</v>
      </c>
    </row>
    <row r="24" spans="1:4" x14ac:dyDescent="0.25">
      <c r="A24" s="1">
        <v>2024</v>
      </c>
      <c r="B24" s="1" t="s">
        <v>229</v>
      </c>
      <c r="C24" s="1" t="s">
        <v>207</v>
      </c>
      <c r="D24" s="2">
        <f>(((749.04*(1+7.46%))*(1+4.16%))*(1+5.33%))*(1+7.6%)</f>
        <v>950.20469804985714</v>
      </c>
    </row>
    <row r="25" spans="1:4" x14ac:dyDescent="0.25">
      <c r="A25" s="1">
        <v>2025</v>
      </c>
      <c r="B25" s="1" t="s">
        <v>230</v>
      </c>
      <c r="C25" s="1" t="s">
        <v>207</v>
      </c>
      <c r="D25" s="2">
        <f>(((1060.82*(1+7.46%))*(1+4.16%))*(1+5.33%))*(1+7.6%)</f>
        <v>1345.7173819625782</v>
      </c>
    </row>
    <row r="26" spans="1:4" x14ac:dyDescent="0.25">
      <c r="A26" s="1">
        <v>2026</v>
      </c>
      <c r="B26" s="1" t="s">
        <v>231</v>
      </c>
      <c r="C26" s="1" t="s">
        <v>207</v>
      </c>
      <c r="D26" s="2">
        <f>(((499.63*(1+7.46%))*(1+4.16%))*(1+5.33%))*(1+7.6%)</f>
        <v>633.81231080669943</v>
      </c>
    </row>
    <row r="27" spans="1:4" x14ac:dyDescent="0.25">
      <c r="A27" s="1">
        <v>2026</v>
      </c>
      <c r="B27" s="1" t="s">
        <v>232</v>
      </c>
      <c r="C27" s="1" t="s">
        <v>207</v>
      </c>
      <c r="D27" s="2">
        <f>(((499.12*(1+7.46%))*(1+4.16%))*(1+5.33%))*(1+7.6%)</f>
        <v>633.16534349386507</v>
      </c>
    </row>
    <row r="28" spans="1:4" x14ac:dyDescent="0.25">
      <c r="A28" s="1">
        <v>2027</v>
      </c>
      <c r="B28" s="1" t="s">
        <v>233</v>
      </c>
      <c r="C28" s="1" t="s">
        <v>207</v>
      </c>
      <c r="D28" s="2">
        <f>(((1627.13*(1+7.46%))*(1+4.16%))*(1+5.33%))*(1+7.6%)</f>
        <v>2064.1174975139706</v>
      </c>
    </row>
    <row r="29" spans="1:4" x14ac:dyDescent="0.25">
      <c r="A29" s="1">
        <v>2028</v>
      </c>
      <c r="B29" s="1" t="s">
        <v>234</v>
      </c>
      <c r="C29" s="1" t="s">
        <v>207</v>
      </c>
      <c r="D29" s="2">
        <f>(((138.37*(1+7.46%))*(1+4.16%))*(1+5.33%))*(1+7.6%)</f>
        <v>175.53111191546347</v>
      </c>
    </row>
    <row r="30" spans="1:4" x14ac:dyDescent="0.25">
      <c r="A30" s="1">
        <v>2029</v>
      </c>
      <c r="B30" s="1" t="s">
        <v>235</v>
      </c>
      <c r="C30" s="1" t="s">
        <v>207</v>
      </c>
      <c r="D30" s="2">
        <f>(((158.7*(1+7.46%))*(1+4.16%))*(1+5.33%))*(1+7.6%)</f>
        <v>201.32100499374178</v>
      </c>
    </row>
    <row r="31" spans="1:4" x14ac:dyDescent="0.25">
      <c r="A31" s="1">
        <v>2031</v>
      </c>
      <c r="B31" s="1" t="s">
        <v>236</v>
      </c>
      <c r="C31" s="1" t="s">
        <v>207</v>
      </c>
      <c r="D31" s="2">
        <f>(((1429.75*(1+7.46%))*(1+4.16%))*(1+5.33%))*(1+7.6%)</f>
        <v>1813.7284618134991</v>
      </c>
    </row>
    <row r="32" spans="1:4" x14ac:dyDescent="0.25">
      <c r="A32" s="1">
        <v>2032</v>
      </c>
      <c r="B32" s="1" t="s">
        <v>237</v>
      </c>
      <c r="C32" s="1" t="s">
        <v>207</v>
      </c>
      <c r="D32" s="2">
        <f>(((390.77*(1+7.46%))*(1+4.16%))*(1+5.33%))*(1+7.6%)</f>
        <v>495.71650360053229</v>
      </c>
    </row>
    <row r="33" spans="1:4" x14ac:dyDescent="0.25">
      <c r="A33" s="1">
        <v>2034</v>
      </c>
      <c r="B33" s="1" t="s">
        <v>238</v>
      </c>
      <c r="C33" s="1" t="s">
        <v>207</v>
      </c>
      <c r="D33" s="2">
        <f>(((80.61*(1+7.46%))*(1+4.16%))*(1+5.33%))*(1+7.6%)</f>
        <v>102.25889232857925</v>
      </c>
    </row>
    <row r="34" spans="1:4" x14ac:dyDescent="0.25">
      <c r="A34" s="1">
        <v>2035</v>
      </c>
      <c r="B34" s="1" t="s">
        <v>239</v>
      </c>
      <c r="C34" s="1" t="s">
        <v>207</v>
      </c>
      <c r="D34" s="2">
        <f>(((211.38*(1+7.46%))*(1+4.16%))*(1+5.33%))*(1+7.6%)</f>
        <v>268.14892271945268</v>
      </c>
    </row>
    <row r="35" spans="1:4" x14ac:dyDescent="0.25">
      <c r="A35" s="1">
        <v>2036</v>
      </c>
      <c r="B35" s="1" t="s">
        <v>240</v>
      </c>
      <c r="C35" s="1" t="s">
        <v>207</v>
      </c>
      <c r="D35" s="2">
        <f>(((357.13*(1+7.46%))*(1+4.16%))*(1+5.33%))*(1+7.6%)</f>
        <v>453.04203222063654</v>
      </c>
    </row>
    <row r="36" spans="1:4" x14ac:dyDescent="0.25">
      <c r="A36" s="1">
        <v>2037</v>
      </c>
      <c r="B36" s="1" t="s">
        <v>241</v>
      </c>
      <c r="C36" s="1" t="s">
        <v>207</v>
      </c>
      <c r="D36" s="2">
        <f>(((130.65*(1+7.46%))*(1+4.16%))*(1+5.33%))*(1+7.6%)</f>
        <v>165.73780278785358</v>
      </c>
    </row>
    <row r="37" spans="1:4" x14ac:dyDescent="0.25">
      <c r="A37" s="1">
        <v>2038</v>
      </c>
      <c r="B37" s="1" t="s">
        <v>242</v>
      </c>
      <c r="C37" s="1" t="s">
        <v>207</v>
      </c>
      <c r="D37" s="2">
        <f>(((222.44*(1+7.46%))*(1+4.16%))*(1+5.33%))*(1+7.6%)</f>
        <v>282.17923346444815</v>
      </c>
    </row>
    <row r="38" spans="1:4" x14ac:dyDescent="0.25">
      <c r="A38" s="1">
        <v>2040</v>
      </c>
      <c r="B38" s="1" t="s">
        <v>243</v>
      </c>
      <c r="C38" s="1" t="s">
        <v>207</v>
      </c>
      <c r="D38" s="2">
        <f>(((113.07*(1+7.46%))*(1+4.16%))*(1+5.33%))*(1+7.6%)</f>
        <v>143.43645894544665</v>
      </c>
    </row>
    <row r="39" spans="1:4" x14ac:dyDescent="0.25">
      <c r="A39" s="1">
        <v>2041</v>
      </c>
      <c r="B39" s="1" t="s">
        <v>244</v>
      </c>
      <c r="C39" s="1" t="s">
        <v>207</v>
      </c>
      <c r="D39" s="2">
        <f>(((157.58*(1+7.46%))*(1+4.16%))*(1+5.33%))*(1+7.6%)</f>
        <v>199.90021403222326</v>
      </c>
    </row>
    <row r="40" spans="1:4" x14ac:dyDescent="0.25">
      <c r="A40" s="1">
        <v>2042</v>
      </c>
      <c r="B40" s="1" t="s">
        <v>245</v>
      </c>
      <c r="C40" s="1" t="s">
        <v>207</v>
      </c>
      <c r="D40" s="2">
        <f>(((252.45*(1+7.46%))*(1+4.16%))*(1+5.33%))*(1+7.6%)</f>
        <v>320.24881985299373</v>
      </c>
    </row>
    <row r="41" spans="1:4" x14ac:dyDescent="0.25">
      <c r="A41" s="1">
        <v>2044</v>
      </c>
      <c r="B41" s="1" t="s">
        <v>246</v>
      </c>
      <c r="C41" s="1" t="s">
        <v>207</v>
      </c>
      <c r="D41" s="2">
        <f>(((1273.58*(1+7.46%))*(1+4.16%))*(1+5.33%))*(1+7.6%)</f>
        <v>1615.616922116759</v>
      </c>
    </row>
    <row r="42" spans="1:4" x14ac:dyDescent="0.25">
      <c r="A42" s="1">
        <v>2045</v>
      </c>
      <c r="B42" s="1" t="s">
        <v>247</v>
      </c>
      <c r="C42" s="1" t="s">
        <v>207</v>
      </c>
      <c r="D42" s="2">
        <f>(((119.16*(1+7.46%))*(1+4.16%))*(1+5.33%))*(1+7.6%)</f>
        <v>151.16200979870365</v>
      </c>
    </row>
    <row r="43" spans="1:4" x14ac:dyDescent="0.25">
      <c r="A43" s="1">
        <v>2046</v>
      </c>
      <c r="B43" s="1" t="s">
        <v>248</v>
      </c>
      <c r="C43" s="1" t="s">
        <v>207</v>
      </c>
      <c r="D43" s="2">
        <f>(((157.58*(1+7.46%))*(1+4.16%))*(1+5.33%))*(1+7.6%)</f>
        <v>199.90021403222326</v>
      </c>
    </row>
    <row r="44" spans="1:4" x14ac:dyDescent="0.25">
      <c r="A44" s="1">
        <v>2047</v>
      </c>
      <c r="B44" s="1" t="s">
        <v>249</v>
      </c>
      <c r="C44" s="1" t="s">
        <v>207</v>
      </c>
      <c r="D44" s="2">
        <f>(((264.46*(1+7.46%))*(1+4.16%))*(1+5.33%))*(1+7.6%)</f>
        <v>335.48426578856305</v>
      </c>
    </row>
    <row r="45" spans="1:4" x14ac:dyDescent="0.25">
      <c r="A45" s="1">
        <v>2050</v>
      </c>
      <c r="B45" s="1" t="s">
        <v>250</v>
      </c>
      <c r="C45" s="1" t="s">
        <v>207</v>
      </c>
      <c r="D45" s="2">
        <f>(((1346.77*(1+7.46%))*(1+4.16%))*(1+5.33%))*(1+7.6%)</f>
        <v>1708.4630743252781</v>
      </c>
    </row>
    <row r="46" spans="1:4" x14ac:dyDescent="0.25">
      <c r="A46" s="1">
        <v>2052</v>
      </c>
      <c r="B46" s="1" t="s">
        <v>251</v>
      </c>
      <c r="C46" s="1" t="s">
        <v>207</v>
      </c>
      <c r="D46" s="2">
        <f>(((966.9*(1+7.46%))*(1+4.16%))*(1+5.33%))*(1+7.6%)</f>
        <v>1226.5739113323816</v>
      </c>
    </row>
    <row r="47" spans="1:4" x14ac:dyDescent="0.25">
      <c r="A47" s="1">
        <v>205222</v>
      </c>
      <c r="B47" s="1" t="s">
        <v>252</v>
      </c>
      <c r="C47" s="1" t="s">
        <v>207</v>
      </c>
      <c r="D47" s="2">
        <f>(((671.46*(1+7.46%))*(1+4.16%))*(1+5.33%))*(1+7.6%)</f>
        <v>851.78955269752919</v>
      </c>
    </row>
    <row r="48" spans="1:4" x14ac:dyDescent="0.25">
      <c r="A48" s="1">
        <v>2053</v>
      </c>
      <c r="B48" s="1" t="s">
        <v>253</v>
      </c>
      <c r="C48" s="1" t="s">
        <v>207</v>
      </c>
      <c r="D48" s="2">
        <f>(((1106.32*(1+7.46%))*(1+4.16%))*(1+5.33%))*(1+7.6%)</f>
        <v>1403.4370147742684</v>
      </c>
    </row>
    <row r="49" spans="1:4" x14ac:dyDescent="0.25">
      <c r="A49" s="1">
        <v>2054</v>
      </c>
      <c r="B49" s="1" t="s">
        <v>254</v>
      </c>
      <c r="C49" s="1" t="s">
        <v>207</v>
      </c>
      <c r="D49" s="2">
        <f>(((1412.02*(1+7.46%))*(1+4.16%))*(1+5.33%))*(1+7.6%)</f>
        <v>1791.2368334673174</v>
      </c>
    </row>
    <row r="50" spans="1:4" x14ac:dyDescent="0.25">
      <c r="A50" s="1">
        <v>2057</v>
      </c>
      <c r="B50" s="1" t="s">
        <v>255</v>
      </c>
      <c r="C50" s="1" t="s">
        <v>207</v>
      </c>
      <c r="D50" s="2">
        <f>(((273.72*(1+7.46%))*(1+4.16%))*(1+5.33%))*(1+7.6%)</f>
        <v>347.23116248826091</v>
      </c>
    </row>
    <row r="51" spans="1:4" x14ac:dyDescent="0.25">
      <c r="A51" s="1">
        <v>2058</v>
      </c>
      <c r="B51" s="1" t="s">
        <v>256</v>
      </c>
      <c r="C51" s="1" t="s">
        <v>207</v>
      </c>
      <c r="D51" s="2">
        <f>(((366.71*(1+7.46%))*(1+4.16%))*(1+5.33%))*(1+7.6%)</f>
        <v>465.19486919505385</v>
      </c>
    </row>
    <row r="52" spans="1:4" x14ac:dyDescent="0.25">
      <c r="A52" s="1">
        <v>2060</v>
      </c>
      <c r="B52" s="1" t="s">
        <v>257</v>
      </c>
      <c r="C52" s="1" t="s">
        <v>207</v>
      </c>
      <c r="D52" s="2">
        <f>(((915.21*(1+7.46%))*(1+4.16%))*(1+5.33%))*(1+7.6%)</f>
        <v>1161.0018713315844</v>
      </c>
    </row>
    <row r="53" spans="1:4" x14ac:dyDescent="0.25">
      <c r="A53" s="1">
        <v>2061</v>
      </c>
      <c r="B53" s="1" t="s">
        <v>258</v>
      </c>
      <c r="C53" s="1" t="s">
        <v>207</v>
      </c>
      <c r="D53" s="2">
        <f>(((768.05*(1+7.46%))*(1+4.16%))*(1+5.33%))*(1+7.6%)</f>
        <v>974.32008749491729</v>
      </c>
    </row>
    <row r="54" spans="1:4" x14ac:dyDescent="0.25">
      <c r="A54" s="1">
        <v>2062</v>
      </c>
      <c r="B54" s="1" t="s">
        <v>259</v>
      </c>
      <c r="C54" s="1" t="s">
        <v>207</v>
      </c>
      <c r="D54" s="2">
        <f>(((768.05*(1+7.46%))*(1+4.16%))*(1+5.33%))*(1+7.6%)</f>
        <v>974.32008749491729</v>
      </c>
    </row>
    <row r="55" spans="1:4" x14ac:dyDescent="0.25">
      <c r="A55" s="1">
        <v>2064</v>
      </c>
      <c r="B55" s="1" t="s">
        <v>260</v>
      </c>
      <c r="C55" s="1" t="s">
        <v>207</v>
      </c>
      <c r="D55" s="2">
        <f>(((838.99*(1+7.46%))*(1+4.16%))*(1+5.33%))*(1+7.6%)</f>
        <v>1064.3119721468142</v>
      </c>
    </row>
    <row r="56" spans="1:4" x14ac:dyDescent="0.25">
      <c r="A56" s="1">
        <v>2065</v>
      </c>
      <c r="B56" s="1" t="s">
        <v>261</v>
      </c>
      <c r="C56" s="1" t="s">
        <v>207</v>
      </c>
      <c r="D56" s="2">
        <f>(((1096.76*(1+7.46%))*(1+4.16%))*(1+5.33%))*(1+7.6%)</f>
        <v>1391.309549067021</v>
      </c>
    </row>
    <row r="57" spans="1:4" x14ac:dyDescent="0.25">
      <c r="A57" s="1">
        <v>2066</v>
      </c>
      <c r="B57" s="1" t="s">
        <v>262</v>
      </c>
      <c r="C57" s="1" t="s">
        <v>207</v>
      </c>
      <c r="D57" s="2">
        <f>(((56.48*(1+7.46%))*(1+4.16%))*(1+5.33%))*(1+7.6%)</f>
        <v>71.6484584880059</v>
      </c>
    </row>
    <row r="58" spans="1:4" x14ac:dyDescent="0.25">
      <c r="A58" s="1">
        <v>2067</v>
      </c>
      <c r="B58" s="1" t="s">
        <v>263</v>
      </c>
      <c r="C58" s="1" t="s">
        <v>207</v>
      </c>
      <c r="D58" s="2">
        <f>(((70.93*(1+7.46%))*(1+4.16%))*(1+5.33%))*(1+7.6%)</f>
        <v>89.979199018311945</v>
      </c>
    </row>
    <row r="59" spans="1:4" x14ac:dyDescent="0.25">
      <c r="A59" s="1">
        <v>2068</v>
      </c>
      <c r="B59" s="1" t="s">
        <v>264</v>
      </c>
      <c r="C59" s="1" t="s">
        <v>207</v>
      </c>
      <c r="D59" s="2">
        <f>(((114.22*(1+7.46%))*(1+4.16%))*(1+5.33%))*(1+7.6%)</f>
        <v>144.89530680772015</v>
      </c>
    </row>
    <row r="60" spans="1:4" x14ac:dyDescent="0.25">
      <c r="A60" s="1">
        <v>2069</v>
      </c>
      <c r="B60" s="1" t="s">
        <v>265</v>
      </c>
      <c r="C60" s="1" t="s">
        <v>207</v>
      </c>
      <c r="D60" s="2">
        <f>(((1491.94*(1+7.46%))*(1+4.16%))*(1+5.33%))*(1+7.6%)</f>
        <v>1892.6204170785327</v>
      </c>
    </row>
    <row r="61" spans="1:4" x14ac:dyDescent="0.25">
      <c r="A61" s="1">
        <v>2070</v>
      </c>
      <c r="B61" s="1" t="s">
        <v>266</v>
      </c>
      <c r="C61" s="1" t="s">
        <v>207</v>
      </c>
      <c r="D61" s="2">
        <f>(((918.3*(1+7.46%))*(1+4.16%))*(1+5.33%))*(1+7.6%)</f>
        <v>1164.9217321093452</v>
      </c>
    </row>
    <row r="62" spans="1:4" x14ac:dyDescent="0.25">
      <c r="A62" s="1">
        <v>2071</v>
      </c>
      <c r="B62" s="1" t="s">
        <v>267</v>
      </c>
      <c r="C62" s="1" t="s">
        <v>207</v>
      </c>
      <c r="D62" s="2">
        <f>(((956.3*(1+7.46%))*(1+4.16%))*(1+5.33%))*(1+7.6%)</f>
        <v>1213.1271397322955</v>
      </c>
    </row>
    <row r="63" spans="1:4" x14ac:dyDescent="0.25">
      <c r="A63" s="1">
        <v>2074</v>
      </c>
      <c r="B63" s="1" t="s">
        <v>268</v>
      </c>
      <c r="C63" s="1" t="s">
        <v>207</v>
      </c>
      <c r="D63" s="2">
        <f>(((146.33*(1+7.46%))*(1+4.16%))*(1+5.33%))*(1+7.6%)</f>
        <v>185.62887624911306</v>
      </c>
    </row>
    <row r="64" spans="1:4" x14ac:dyDescent="0.25">
      <c r="A64" s="1">
        <v>2076</v>
      </c>
      <c r="B64" s="1" t="s">
        <v>269</v>
      </c>
      <c r="C64" s="1" t="s">
        <v>207</v>
      </c>
      <c r="D64" s="2">
        <f>(((353.59*(1+7.46%))*(1+4.16%))*(1+5.33%))*(1+7.6%)</f>
        <v>448.55131793155113</v>
      </c>
    </row>
    <row r="65" spans="1:4" x14ac:dyDescent="0.25">
      <c r="A65" s="1">
        <v>2077</v>
      </c>
      <c r="B65" s="1" t="s">
        <v>270</v>
      </c>
      <c r="C65" s="1" t="s">
        <v>207</v>
      </c>
      <c r="D65" s="2">
        <f>(((1103.86*(1+7.46%))*(1+4.16%))*(1+5.33%))*(1+7.6%)</f>
        <v>1400.3163489123617</v>
      </c>
    </row>
    <row r="66" spans="1:4" x14ac:dyDescent="0.25">
      <c r="A66" s="1">
        <v>2080</v>
      </c>
      <c r="B66" s="1" t="s">
        <v>271</v>
      </c>
      <c r="C66" s="1" t="s">
        <v>207</v>
      </c>
      <c r="D66" s="2">
        <f>(((143.16*(1+7.46%))*(1+4.16%))*(1+5.33%))*(1+7.6%)</f>
        <v>181.60753040267215</v>
      </c>
    </row>
    <row r="67" spans="1:4" x14ac:dyDescent="0.25">
      <c r="A67" s="1">
        <v>2081</v>
      </c>
      <c r="B67" s="1" t="s">
        <v>272</v>
      </c>
      <c r="C67" s="1" t="s">
        <v>207</v>
      </c>
      <c r="D67" s="2">
        <f>(((145.6*(1+7.46%))*(1+4.16%))*(1+5.33%))*(1+7.6%)</f>
        <v>184.70282499740898</v>
      </c>
    </row>
    <row r="68" spans="1:4" x14ac:dyDescent="0.25">
      <c r="A68" s="1">
        <v>2082</v>
      </c>
      <c r="B68" s="1" t="s">
        <v>273</v>
      </c>
      <c r="C68" s="1" t="s">
        <v>207</v>
      </c>
      <c r="D68" s="2">
        <f>(((325.84*(1+7.46%))*(1+4.16%))*(1+5.33%))*(1+7.6%)</f>
        <v>413.34868473321245</v>
      </c>
    </row>
    <row r="69" spans="1:4" x14ac:dyDescent="0.25">
      <c r="A69" s="1">
        <v>2083</v>
      </c>
      <c r="B69" s="1" t="s">
        <v>274</v>
      </c>
      <c r="C69" s="1" t="s">
        <v>207</v>
      </c>
      <c r="D69" s="2">
        <f>(((340.32*(1+7.46%))*(1+4.16%))*(1+5.33%))*(1+7.6%)</f>
        <v>431.71748216427358</v>
      </c>
    </row>
    <row r="70" spans="1:4" x14ac:dyDescent="0.25">
      <c r="A70" s="1">
        <v>2084</v>
      </c>
      <c r="B70" s="1" t="s">
        <v>275</v>
      </c>
      <c r="C70" s="1" t="s">
        <v>207</v>
      </c>
      <c r="D70" s="2">
        <f>(((362.09*(1+7.46%))*(1+4.16%))*(1+5.33%))*(1+7.6%)</f>
        <v>459.33410647878992</v>
      </c>
    </row>
    <row r="71" spans="1:4" x14ac:dyDescent="0.25">
      <c r="A71" s="1">
        <v>2090</v>
      </c>
      <c r="B71" s="1" t="s">
        <v>276</v>
      </c>
      <c r="C71" s="1" t="s">
        <v>207</v>
      </c>
      <c r="D71" s="2">
        <f>(((750.15*(1+7.46%))*(1+4.16%))*(1+5.33%))*(1+7.6%)</f>
        <v>951.6128033777909</v>
      </c>
    </row>
    <row r="72" spans="1:4" x14ac:dyDescent="0.25">
      <c r="A72" s="1">
        <v>2093</v>
      </c>
      <c r="B72" s="1" t="s">
        <v>277</v>
      </c>
      <c r="C72" s="1" t="s">
        <v>207</v>
      </c>
      <c r="D72" s="2">
        <f>(((843.88*(1+7.46%))*(1+4.16%))*(1+5.33%))*(1+7.6%)</f>
        <v>1070.515246969873</v>
      </c>
    </row>
    <row r="73" spans="1:4" x14ac:dyDescent="0.25">
      <c r="A73" s="1">
        <v>2094</v>
      </c>
      <c r="B73" s="1" t="s">
        <v>278</v>
      </c>
      <c r="C73" s="1" t="s">
        <v>207</v>
      </c>
      <c r="D73" s="2">
        <f>(((843.88*(1+7.46%))*(1+4.16%))*(1+5.33%))*(1+7.6%)</f>
        <v>1070.515246969873</v>
      </c>
    </row>
    <row r="74" spans="1:4" x14ac:dyDescent="0.25">
      <c r="A74" s="1">
        <v>2098</v>
      </c>
      <c r="B74" s="1" t="s">
        <v>279</v>
      </c>
      <c r="C74" s="1" t="s">
        <v>207</v>
      </c>
      <c r="D74" s="2">
        <f>(((240.13*(1+7.46%))*(1+4.16%))*(1+5.33%))*(1+7.6%)</f>
        <v>304.62011927628993</v>
      </c>
    </row>
    <row r="75" spans="1:4" x14ac:dyDescent="0.25">
      <c r="A75" s="1">
        <v>2100</v>
      </c>
      <c r="B75" s="1" t="s">
        <v>280</v>
      </c>
      <c r="C75" s="1" t="s">
        <v>207</v>
      </c>
      <c r="D75" s="2">
        <f>(((232*(1+7.46%))*(1+4.16%))*(1+5.33%))*(1+7.6%)</f>
        <v>294.30669917169564</v>
      </c>
    </row>
    <row r="76" spans="1:4" x14ac:dyDescent="0.25">
      <c r="A76" s="1">
        <v>2101</v>
      </c>
      <c r="B76" s="1" t="s">
        <v>281</v>
      </c>
      <c r="C76" s="1" t="s">
        <v>207</v>
      </c>
      <c r="D76" s="2">
        <f>(((131.41*(1+7.46%))*(1+4.16%))*(1+5.33%))*(1+7.6%)</f>
        <v>166.70191094031262</v>
      </c>
    </row>
    <row r="77" spans="1:4" x14ac:dyDescent="0.25">
      <c r="A77" s="1">
        <v>2105</v>
      </c>
      <c r="B77" s="1" t="s">
        <v>282</v>
      </c>
      <c r="C77" s="1" t="s">
        <v>207</v>
      </c>
      <c r="D77" s="2">
        <f>(((250.63*(1+7.46%))*(1+4.16%))*(1+5.33%))*(1+7.6%)</f>
        <v>317.9400345405262</v>
      </c>
    </row>
    <row r="78" spans="1:4" x14ac:dyDescent="0.25">
      <c r="A78" s="1">
        <v>2112</v>
      </c>
      <c r="B78" s="1" t="s">
        <v>283</v>
      </c>
      <c r="C78" s="1" t="s">
        <v>207</v>
      </c>
      <c r="D78" s="2">
        <f>(((424.56*(1+7.46%))*(1+4.16%))*(1+5.33%))*(1+7.6%)</f>
        <v>538.58125948420297</v>
      </c>
    </row>
    <row r="79" spans="1:4" x14ac:dyDescent="0.25">
      <c r="A79" s="1">
        <v>2117</v>
      </c>
      <c r="B79" s="1" t="s">
        <v>284</v>
      </c>
      <c r="C79" s="1" t="s">
        <v>207</v>
      </c>
      <c r="D79" s="2">
        <f>(((183.96*(1+7.46%))*(1+4.16%))*(1+5.33%))*(1+7.6%)</f>
        <v>233.36491542941869</v>
      </c>
    </row>
    <row r="80" spans="1:4" x14ac:dyDescent="0.25">
      <c r="A80" s="1">
        <v>2119</v>
      </c>
      <c r="B80" s="1" t="s">
        <v>285</v>
      </c>
      <c r="C80" s="1" t="s">
        <v>207</v>
      </c>
      <c r="D80" s="2">
        <f>(((248.88*(1+7.46%))*(1+4.16%))*(1+5.33%))*(1+7.6%)</f>
        <v>315.72004866315342</v>
      </c>
    </row>
    <row r="81" spans="1:4" x14ac:dyDescent="0.25">
      <c r="A81" s="1">
        <v>2187</v>
      </c>
      <c r="B81" s="1" t="s">
        <v>286</v>
      </c>
      <c r="C81" s="1" t="s">
        <v>207</v>
      </c>
      <c r="D81" s="2">
        <f>(((143.25*(1+7.46%))*(1+4.16%))*(1+5.33%))*(1+7.6%)</f>
        <v>181.72170110493707</v>
      </c>
    </row>
    <row r="82" spans="1:4" x14ac:dyDescent="0.25">
      <c r="A82" s="1">
        <v>2188</v>
      </c>
      <c r="B82" s="1" t="s">
        <v>287</v>
      </c>
      <c r="C82" s="1" t="s">
        <v>207</v>
      </c>
      <c r="D82" s="2">
        <f>(((189.94*(1+7.46%))*(1+4.16%))*(1+5.33%))*(1+7.6%)</f>
        <v>240.95092431324082</v>
      </c>
    </row>
    <row r="83" spans="1:4" x14ac:dyDescent="0.25">
      <c r="A83" s="1">
        <v>2189</v>
      </c>
      <c r="B83" s="1" t="s">
        <v>288</v>
      </c>
      <c r="C83" s="1" t="s">
        <v>207</v>
      </c>
      <c r="D83" s="2">
        <f>(((336.77*(1+7.46%))*(1+4.16%))*(1+5.33%))*(1+7.6%)</f>
        <v>427.21408224160308</v>
      </c>
    </row>
    <row r="84" spans="1:4" x14ac:dyDescent="0.25">
      <c r="A84" s="1">
        <v>2199</v>
      </c>
      <c r="B84" s="1" t="s">
        <v>289</v>
      </c>
      <c r="C84" s="1" t="s">
        <v>207</v>
      </c>
      <c r="D84" s="2">
        <f>(((7618.16*(1+7.46%))*(1+4.16%))*(1+5.33%))*(1+7.6%)</f>
        <v>9664.1186351803663</v>
      </c>
    </row>
    <row r="85" spans="1:4" x14ac:dyDescent="0.25">
      <c r="A85" s="1">
        <v>2211</v>
      </c>
      <c r="B85" s="1" t="s">
        <v>290</v>
      </c>
      <c r="C85" s="1" t="s">
        <v>207</v>
      </c>
      <c r="D85" s="2">
        <f>(((308.15*(1+7.46%))*(1+4.16%))*(1+5.33%))*(1+7.6%)</f>
        <v>390.90779892137073</v>
      </c>
    </row>
    <row r="86" spans="1:4" x14ac:dyDescent="0.25">
      <c r="A86" s="1">
        <v>2223</v>
      </c>
      <c r="B86" s="1" t="s">
        <v>291</v>
      </c>
      <c r="C86" s="1" t="s">
        <v>207</v>
      </c>
      <c r="D86" s="2">
        <f>(((1198.12*(1+7.46%))*(1+4.16%))*(1+5.33%))*(1+7.6%)</f>
        <v>1519.891131084448</v>
      </c>
    </row>
    <row r="87" spans="1:4" x14ac:dyDescent="0.25">
      <c r="A87" s="1">
        <v>2240</v>
      </c>
      <c r="B87" s="1" t="s">
        <v>292</v>
      </c>
      <c r="C87" s="1" t="s">
        <v>207</v>
      </c>
      <c r="D87" s="2">
        <f>(((288.75*(1+7.46%))*(1+4.16%))*(1+5.33%))*(1+7.6%)</f>
        <v>366.2976697664962</v>
      </c>
    </row>
    <row r="88" spans="1:4" x14ac:dyDescent="0.25">
      <c r="A88" s="1">
        <v>2241</v>
      </c>
      <c r="B88" s="1" t="s">
        <v>293</v>
      </c>
      <c r="C88" s="1" t="s">
        <v>207</v>
      </c>
      <c r="D88" s="2">
        <f>(((402.38*(1+7.46%))*(1+4.16%))*(1+5.33%))*(1+7.6%)</f>
        <v>510.44452419270209</v>
      </c>
    </row>
    <row r="89" spans="1:4" x14ac:dyDescent="0.25">
      <c r="A89" s="1">
        <v>2242</v>
      </c>
      <c r="B89" s="1" t="s">
        <v>294</v>
      </c>
      <c r="C89" s="1" t="s">
        <v>207</v>
      </c>
      <c r="D89" s="2">
        <f>(((644.79*(1+7.46%))*(1+4.16%))*(1+5.33%))*(1+7.6%)</f>
        <v>817.95696792636886</v>
      </c>
    </row>
    <row r="90" spans="1:4" x14ac:dyDescent="0.25">
      <c r="A90" s="1">
        <v>2243</v>
      </c>
      <c r="B90" s="1" t="s">
        <v>295</v>
      </c>
      <c r="C90" s="1" t="s">
        <v>207</v>
      </c>
      <c r="D90" s="2">
        <f>(((551.88*(1+7.46%))*(1+4.16%))*(1+5.33%))*(1+7.6%)</f>
        <v>700.09474628825603</v>
      </c>
    </row>
    <row r="91" spans="1:4" x14ac:dyDescent="0.25">
      <c r="A91" s="1">
        <v>2245</v>
      </c>
      <c r="B91" s="1" t="s">
        <v>296</v>
      </c>
      <c r="C91" s="1" t="s">
        <v>207</v>
      </c>
      <c r="D91" s="2">
        <f>(((304.33*(1+7.46%))*(1+4.16%))*(1+5.33%))*(1+7.6%)</f>
        <v>386.06188689190571</v>
      </c>
    </row>
    <row r="92" spans="1:4" x14ac:dyDescent="0.25">
      <c r="A92" s="1">
        <v>2246</v>
      </c>
      <c r="B92" s="1" t="s">
        <v>297</v>
      </c>
      <c r="C92" s="1" t="s">
        <v>207</v>
      </c>
      <c r="D92" s="2">
        <f>(((402.38*(1+7.46%))*(1+4.16%))*(1+5.33%))*(1+7.6%)</f>
        <v>510.44452419270209</v>
      </c>
    </row>
    <row r="93" spans="1:4" x14ac:dyDescent="0.25">
      <c r="A93" s="1">
        <v>2248</v>
      </c>
      <c r="B93" s="1" t="s">
        <v>298</v>
      </c>
      <c r="C93" s="1" t="s">
        <v>207</v>
      </c>
      <c r="D93" s="2">
        <f>(((598.51*(1+7.46%))*(1+4.16%))*(1+5.33%))*(1+7.6%)</f>
        <v>759.24785569504991</v>
      </c>
    </row>
    <row r="94" spans="1:4" x14ac:dyDescent="0.25">
      <c r="A94" s="1">
        <v>2252</v>
      </c>
      <c r="B94" s="1" t="s">
        <v>299</v>
      </c>
      <c r="C94" s="1" t="s">
        <v>207</v>
      </c>
      <c r="D94" s="2">
        <f>(((95.4*(1+7.46%))*(1+4.16%))*(1+5.33%))*(1+7.6%)</f>
        <v>121.02094440077484</v>
      </c>
    </row>
    <row r="95" spans="1:4" x14ac:dyDescent="0.25">
      <c r="A95" s="1">
        <v>2256</v>
      </c>
      <c r="B95" s="1" t="s">
        <v>300</v>
      </c>
      <c r="C95" s="1" t="s">
        <v>207</v>
      </c>
      <c r="D95" s="2">
        <f>(((250.04*(1+7.46%))*(1+4.16%))*(1+5.33%))*(1+7.6%)</f>
        <v>317.19158215901194</v>
      </c>
    </row>
    <row r="96" spans="1:4" x14ac:dyDescent="0.25">
      <c r="A96" s="1">
        <v>2265</v>
      </c>
      <c r="B96" s="1" t="s">
        <v>301</v>
      </c>
      <c r="C96" s="1" t="s">
        <v>207</v>
      </c>
      <c r="D96" s="2">
        <f>(((95.57*(1+7.46%))*(1+4.16%))*(1+5.33%))*(1+7.6%)</f>
        <v>121.2366001717196</v>
      </c>
    </row>
    <row r="97" spans="1:4" x14ac:dyDescent="0.25">
      <c r="A97" s="1">
        <v>2266</v>
      </c>
      <c r="B97" s="1" t="s">
        <v>302</v>
      </c>
      <c r="C97" s="1" t="s">
        <v>207</v>
      </c>
      <c r="D97" s="2">
        <f>(((159.38*(1+7.46%))*(1+4.16%))*(1+5.33%))*(1+7.6%)</f>
        <v>202.18362807752089</v>
      </c>
    </row>
    <row r="98" spans="1:4" x14ac:dyDescent="0.25">
      <c r="A98" s="1">
        <v>2267</v>
      </c>
      <c r="B98" s="1" t="s">
        <v>303</v>
      </c>
      <c r="C98" s="1" t="s">
        <v>207</v>
      </c>
      <c r="D98" s="2">
        <f>(((135.69*(1+7.46%))*(1+4.16%))*(1+5.33%))*(1+7.6%)</f>
        <v>172.13136211468699</v>
      </c>
    </row>
    <row r="99" spans="1:4" x14ac:dyDescent="0.25">
      <c r="A99" s="1">
        <v>2268</v>
      </c>
      <c r="B99" s="1" t="s">
        <v>304</v>
      </c>
      <c r="C99" s="1" t="s">
        <v>207</v>
      </c>
      <c r="D99" s="2">
        <f>(((75.28*(1+7.46%))*(1+4.16%))*(1+5.33%))*(1+7.6%)</f>
        <v>95.497449627781236</v>
      </c>
    </row>
    <row r="100" spans="1:4" x14ac:dyDescent="0.25">
      <c r="A100" s="1">
        <v>2270</v>
      </c>
      <c r="B100" s="1" t="s">
        <v>305</v>
      </c>
      <c r="C100" s="1" t="s">
        <v>207</v>
      </c>
      <c r="D100" s="2">
        <f>(((918.3*(1+7.46%))*(1+4.16%))*(1+5.33%))*(1+7.6%)</f>
        <v>1164.9217321093452</v>
      </c>
    </row>
    <row r="101" spans="1:4" x14ac:dyDescent="0.25">
      <c r="A101" s="1">
        <v>2271</v>
      </c>
      <c r="B101" s="1" t="s">
        <v>306</v>
      </c>
      <c r="C101" s="1" t="s">
        <v>207</v>
      </c>
      <c r="D101" s="2">
        <f>(((951.02*(1+7.46%))*(1+4.16%))*(1+5.33%))*(1+7.6%)</f>
        <v>1206.4291251994225</v>
      </c>
    </row>
    <row r="102" spans="1:4" x14ac:dyDescent="0.25">
      <c r="A102" s="1">
        <v>2272</v>
      </c>
      <c r="B102" s="1" t="s">
        <v>307</v>
      </c>
      <c r="C102" s="1" t="s">
        <v>207</v>
      </c>
      <c r="D102" s="2">
        <f>(((188.22*(1+7.46%))*(1+4.16%))*(1+5.33%))*(1+7.6%)</f>
        <v>238.76899533662308</v>
      </c>
    </row>
    <row r="103" spans="1:4" x14ac:dyDescent="0.25">
      <c r="A103" s="1">
        <v>2275</v>
      </c>
      <c r="B103" s="1" t="s">
        <v>308</v>
      </c>
      <c r="C103" s="1" t="s">
        <v>207</v>
      </c>
      <c r="D103" s="2">
        <f>(((2687.13*(1+7.46%))*(1+4.16%))*(1+5.33%))*(1+7.6%)</f>
        <v>3408.7946575225801</v>
      </c>
    </row>
    <row r="104" spans="1:4" x14ac:dyDescent="0.25">
      <c r="A104" s="1">
        <v>2277</v>
      </c>
      <c r="B104" s="1" t="s">
        <v>309</v>
      </c>
      <c r="C104" s="1" t="s">
        <v>207</v>
      </c>
      <c r="D104" s="2">
        <f>(((10472.77*(1+7.46%))*(1+4.16%))*(1+5.33%))*(1+7.6%)</f>
        <v>13285.372283984309</v>
      </c>
    </row>
    <row r="105" spans="1:4" x14ac:dyDescent="0.25">
      <c r="A105" s="1">
        <v>2283</v>
      </c>
      <c r="B105" s="1" t="s">
        <v>310</v>
      </c>
      <c r="C105" s="1" t="s">
        <v>207</v>
      </c>
      <c r="D105" s="2">
        <f>(((71.31*(1+7.46%))*(1+4.16%))*(1+5.33%))*(1+7.6%)</f>
        <v>90.461253094541462</v>
      </c>
    </row>
    <row r="106" spans="1:4" x14ac:dyDescent="0.25">
      <c r="A106" s="1">
        <v>2285</v>
      </c>
      <c r="B106" s="1" t="s">
        <v>311</v>
      </c>
      <c r="C106" s="1" t="s">
        <v>207</v>
      </c>
      <c r="D106" s="2">
        <f>(((63.06*(1+7.46%))*(1+4.16%))*(1+5.33%))*(1+7.6%)</f>
        <v>79.995605386927281</v>
      </c>
    </row>
    <row r="107" spans="1:4" x14ac:dyDescent="0.25">
      <c r="A107" s="1">
        <v>2460</v>
      </c>
      <c r="B107" s="1" t="s">
        <v>312</v>
      </c>
      <c r="C107" s="1" t="s">
        <v>207</v>
      </c>
      <c r="D107" s="2">
        <f>(((1006.73*(1+7.46%))*(1+4.16%))*(1+5.33%))*(1+7.6%)</f>
        <v>1277.1007899013841</v>
      </c>
    </row>
    <row r="108" spans="1:4" x14ac:dyDescent="0.25">
      <c r="A108" s="1">
        <v>2494</v>
      </c>
      <c r="B108" s="1" t="s">
        <v>313</v>
      </c>
      <c r="C108" s="1" t="s">
        <v>207</v>
      </c>
      <c r="D108" s="2">
        <f>(((707.04*(1+7.46%))*(1+4.16%))*(1+5.33%))*(1+7.6%)</f>
        <v>896.92503699291228</v>
      </c>
    </row>
    <row r="109" spans="1:4" x14ac:dyDescent="0.25">
      <c r="A109" s="1">
        <v>2504</v>
      </c>
      <c r="B109" s="1" t="s">
        <v>314</v>
      </c>
      <c r="C109" s="1" t="s">
        <v>207</v>
      </c>
      <c r="D109" s="2">
        <f>(((529.6*(1+7.46%))*(1+4.16%))*(1+5.33%))*(1+7.6%)</f>
        <v>671.8311546609051</v>
      </c>
    </row>
    <row r="110" spans="1:4" x14ac:dyDescent="0.25">
      <c r="A110" s="1">
        <v>2508</v>
      </c>
      <c r="B110" s="1" t="s">
        <v>315</v>
      </c>
      <c r="C110" s="1" t="s">
        <v>207</v>
      </c>
      <c r="D110" s="2">
        <f>(((575.25*(1+7.46%))*(1+4.16%))*(1+5.33%))*(1+7.6%)</f>
        <v>729.74107197637034</v>
      </c>
    </row>
    <row r="111" spans="1:4" x14ac:dyDescent="0.25">
      <c r="A111" s="1">
        <v>2516</v>
      </c>
      <c r="B111" s="1" t="s">
        <v>316</v>
      </c>
      <c r="C111" s="1" t="s">
        <v>207</v>
      </c>
      <c r="D111" s="2">
        <f>(((547.56*(1+7.46%))*(1+4.16%))*(1+5.33%))*(1+7.6%)</f>
        <v>694.61455257954151</v>
      </c>
    </row>
    <row r="112" spans="1:4" x14ac:dyDescent="0.25">
      <c r="A112" s="1">
        <v>2522</v>
      </c>
      <c r="B112" s="1" t="s">
        <v>317</v>
      </c>
      <c r="C112" s="1" t="s">
        <v>207</v>
      </c>
      <c r="D112" s="2">
        <f>(((967.97*(1+7.46%))*(1+4.16%))*(1+5.33%))*(1+7.6%)</f>
        <v>1227.9312741259751</v>
      </c>
    </row>
    <row r="113" spans="1:4" x14ac:dyDescent="0.25">
      <c r="A113" s="1">
        <v>2523</v>
      </c>
      <c r="B113" s="1" t="s">
        <v>318</v>
      </c>
      <c r="C113" s="1" t="s">
        <v>207</v>
      </c>
      <c r="D113" s="2">
        <f>(((1212.61*(1+7.46%))*(1+4.16%))*(1+5.33%))*(1+7.6%)</f>
        <v>1538.2726141490941</v>
      </c>
    </row>
    <row r="114" spans="1:4" x14ac:dyDescent="0.25">
      <c r="A114" s="1">
        <v>3014</v>
      </c>
      <c r="B114" s="1" t="s">
        <v>319</v>
      </c>
      <c r="C114" s="1" t="s">
        <v>207</v>
      </c>
      <c r="D114" s="2">
        <f>(((3059.6*(1+7.46%))*(1+4.16%))*(1+5.33%))*(1+7.6%)</f>
        <v>3881.2964516625862</v>
      </c>
    </row>
    <row r="115" spans="1:4" x14ac:dyDescent="0.25">
      <c r="A115" s="1">
        <v>3021</v>
      </c>
      <c r="B115" s="1" t="s">
        <v>320</v>
      </c>
      <c r="C115" s="1" t="s">
        <v>207</v>
      </c>
      <c r="D115" s="2">
        <f>(((5136.45*(1+7.46%))*(1+4.16%))*(1+5.33%))*(1+7.6%)</f>
        <v>6515.9122627605866</v>
      </c>
    </row>
    <row r="116" spans="1:4" x14ac:dyDescent="0.25">
      <c r="A116" s="1">
        <v>3605</v>
      </c>
      <c r="B116" s="1" t="s">
        <v>321</v>
      </c>
      <c r="C116" s="1" t="s">
        <v>207</v>
      </c>
      <c r="D116" s="2">
        <f>(((1357.86*(1+7.46%))*(1+4.16%))*(1+5.33%))*(1+7.6%)</f>
        <v>1722.5314419710285</v>
      </c>
    </row>
    <row r="117" spans="1:4" x14ac:dyDescent="0.25">
      <c r="A117" s="1">
        <v>4002</v>
      </c>
      <c r="B117" s="1" t="s">
        <v>322</v>
      </c>
      <c r="C117" s="1" t="s">
        <v>207</v>
      </c>
      <c r="D117" s="2">
        <f>(((786.07*(1+7.46%))*(1+4.16%))*(1+5.33%))*(1+7.6%)</f>
        <v>997.17959921506372</v>
      </c>
    </row>
    <row r="118" spans="1:4" x14ac:dyDescent="0.25">
      <c r="A118" s="1">
        <v>4003</v>
      </c>
      <c r="B118" s="1" t="s">
        <v>323</v>
      </c>
      <c r="C118" s="1" t="s">
        <v>207</v>
      </c>
      <c r="D118" s="2">
        <f>(((958.15*(1+7.46%))*(1+4.16%))*(1+5.33%))*(1+7.6%)</f>
        <v>1215.4739819455181</v>
      </c>
    </row>
    <row r="119" spans="1:4" x14ac:dyDescent="0.25">
      <c r="A119" s="1">
        <v>4004</v>
      </c>
      <c r="B119" s="1" t="s">
        <v>324</v>
      </c>
      <c r="C119" s="1" t="s">
        <v>207</v>
      </c>
      <c r="D119" s="2">
        <f>(((786.07*(1+7.46%))*(1+4.16%))*(1+5.33%))*(1+7.6%)</f>
        <v>997.17959921506372</v>
      </c>
    </row>
    <row r="120" spans="1:4" x14ac:dyDescent="0.25">
      <c r="A120" s="1">
        <v>4006</v>
      </c>
      <c r="B120" s="1" t="s">
        <v>325</v>
      </c>
      <c r="C120" s="1" t="s">
        <v>207</v>
      </c>
      <c r="D120" s="2">
        <f>(((548.14*(1+7.46%))*(1+4.16%))*(1+5.33%))*(1+7.6%)</f>
        <v>695.35031932747086</v>
      </c>
    </row>
    <row r="121" spans="1:4" x14ac:dyDescent="0.25">
      <c r="A121" s="1">
        <v>4007</v>
      </c>
      <c r="B121" s="1" t="s">
        <v>326</v>
      </c>
      <c r="C121" s="1" t="s">
        <v>207</v>
      </c>
      <c r="D121" s="2">
        <f>(((584.14*(1+7.46%))*(1+4.16%))*(1+5.33%))*(1+7.6%)</f>
        <v>741.01860023342374</v>
      </c>
    </row>
    <row r="122" spans="1:4" x14ac:dyDescent="0.25">
      <c r="A122" s="1">
        <v>4008</v>
      </c>
      <c r="B122" s="1" t="s">
        <v>327</v>
      </c>
      <c r="C122" s="1" t="s">
        <v>207</v>
      </c>
      <c r="D122" s="2">
        <f>(((571.65*(1+7.46%))*(1+4.16%))*(1+5.33%))*(1+7.6%)</f>
        <v>725.17424388577501</v>
      </c>
    </row>
    <row r="123" spans="1:4" x14ac:dyDescent="0.25">
      <c r="A123" s="1">
        <v>4009</v>
      </c>
      <c r="B123" s="1" t="s">
        <v>328</v>
      </c>
      <c r="C123" s="1" t="s">
        <v>207</v>
      </c>
      <c r="D123" s="2">
        <f>(((571.65*(1+7.46%))*(1+4.16%))*(1+5.33%))*(1+7.6%)</f>
        <v>725.17424388577501</v>
      </c>
    </row>
    <row r="124" spans="1:4" x14ac:dyDescent="0.25">
      <c r="A124" s="1">
        <v>4022</v>
      </c>
      <c r="B124" s="1" t="s">
        <v>329</v>
      </c>
      <c r="C124" s="1" t="s">
        <v>207</v>
      </c>
      <c r="D124" s="2">
        <f>(((641.66*(1+7.46%))*(1+4.16%))*(1+5.33%))*(1+7.6%)</f>
        <v>813.98636461426815</v>
      </c>
    </row>
    <row r="125" spans="1:4" x14ac:dyDescent="0.25">
      <c r="A125" s="1">
        <v>4023</v>
      </c>
      <c r="B125" s="1" t="s">
        <v>330</v>
      </c>
      <c r="C125" s="1" t="s">
        <v>207</v>
      </c>
      <c r="D125" s="2">
        <f>(((1315.72*(1+7.46%))*(1+4.16%))*(1+5.33%))*(1+7.6%)</f>
        <v>1669.0741820438939</v>
      </c>
    </row>
    <row r="126" spans="1:4" x14ac:dyDescent="0.25">
      <c r="A126" s="1">
        <v>4026</v>
      </c>
      <c r="B126" s="1" t="s">
        <v>331</v>
      </c>
      <c r="C126" s="1" t="s">
        <v>207</v>
      </c>
      <c r="D126" s="2">
        <f>(((482.31*(1+7.46%))*(1+4.16%))*(1+5.33%))*(1+7.6%)</f>
        <v>611.84079343750227</v>
      </c>
    </row>
    <row r="127" spans="1:4" x14ac:dyDescent="0.25">
      <c r="A127" s="1">
        <v>4027</v>
      </c>
      <c r="B127" s="1" t="s">
        <v>332</v>
      </c>
      <c r="C127" s="1" t="s">
        <v>207</v>
      </c>
      <c r="D127" s="2">
        <f>(((482.31*(1+7.46%))*(1+4.16%))*(1+5.33%))*(1+7.6%)</f>
        <v>611.84079343750227</v>
      </c>
    </row>
    <row r="128" spans="1:4" x14ac:dyDescent="0.25">
      <c r="A128" s="1">
        <v>4048</v>
      </c>
      <c r="B128" s="1" t="s">
        <v>333</v>
      </c>
      <c r="C128" s="1" t="s">
        <v>207</v>
      </c>
      <c r="D128" s="2">
        <f>(((16296.32*(1+7.46%))*(1+4.16%))*(1+5.33%))*(1+7.6%)</f>
        <v>20672.914430369343</v>
      </c>
    </row>
    <row r="129" spans="1:4" x14ac:dyDescent="0.25">
      <c r="A129" s="1">
        <v>4049</v>
      </c>
      <c r="B129" s="1" t="s">
        <v>334</v>
      </c>
      <c r="C129" s="1" t="s">
        <v>207</v>
      </c>
      <c r="D129" s="2">
        <f>(((10180.05*(1+7.46%))*(1+4.16%))*(1+5.33%))*(1+7.6%)</f>
        <v>12914.038417684569</v>
      </c>
    </row>
    <row r="130" spans="1:4" x14ac:dyDescent="0.25">
      <c r="A130" s="1">
        <v>4050</v>
      </c>
      <c r="B130" s="1" t="s">
        <v>335</v>
      </c>
      <c r="C130" s="1" t="s">
        <v>207</v>
      </c>
      <c r="D130" s="2">
        <f>(((20011.22*(1+7.46%))*(1+4.16%))*(1+5.33%))*(1+7.6%)</f>
        <v>25385.500450856121</v>
      </c>
    </row>
    <row r="131" spans="1:4" x14ac:dyDescent="0.25">
      <c r="A131" s="1">
        <v>4098</v>
      </c>
      <c r="B131" s="1" t="s">
        <v>336</v>
      </c>
      <c r="C131" s="1" t="s">
        <v>207</v>
      </c>
      <c r="D131" s="2">
        <f>(((1965.68*(1+7.46%))*(1+4.16%))*(1+5.33%))*(1+7.6%)</f>
        <v>2493.589622533701</v>
      </c>
    </row>
    <row r="132" spans="1:4" x14ac:dyDescent="0.25">
      <c r="A132" s="1">
        <v>4102</v>
      </c>
      <c r="B132" s="1" t="s">
        <v>337</v>
      </c>
      <c r="C132" s="1" t="s">
        <v>207</v>
      </c>
      <c r="D132" s="2">
        <f>(((792.23*(1+7.46%))*(1+4.16%))*(1+5.33%))*(1+7.6%)</f>
        <v>1004.9939495034156</v>
      </c>
    </row>
    <row r="133" spans="1:4" x14ac:dyDescent="0.25">
      <c r="A133" s="1">
        <v>4104</v>
      </c>
      <c r="B133" s="1" t="s">
        <v>338</v>
      </c>
      <c r="C133" s="1" t="s">
        <v>207</v>
      </c>
      <c r="D133" s="2">
        <f>(((792.23*(1+7.46%))*(1+4.16%))*(1+5.33%))*(1+7.6%)</f>
        <v>1004.9939495034156</v>
      </c>
    </row>
    <row r="134" spans="1:4" x14ac:dyDescent="0.25">
      <c r="A134" s="1">
        <v>4106</v>
      </c>
      <c r="B134" s="1" t="s">
        <v>339</v>
      </c>
      <c r="C134" s="1" t="s">
        <v>207</v>
      </c>
      <c r="D134" s="2">
        <f>(((584.14*(1+7.46%))*(1+4.16%))*(1+5.33%))*(1+7.6%)</f>
        <v>741.01860023342374</v>
      </c>
    </row>
    <row r="135" spans="1:4" x14ac:dyDescent="0.25">
      <c r="A135" s="1">
        <v>4128</v>
      </c>
      <c r="B135" s="1" t="s">
        <v>340</v>
      </c>
      <c r="C135" s="1" t="s">
        <v>207</v>
      </c>
      <c r="D135" s="2">
        <f>(((1965.68*(1+7.46%))*(1+4.16%))*(1+5.33%))*(1+7.6%)</f>
        <v>2493.589622533701</v>
      </c>
    </row>
    <row r="136" spans="1:4" x14ac:dyDescent="0.25">
      <c r="A136" s="1">
        <v>4130</v>
      </c>
      <c r="B136" s="1" t="s">
        <v>341</v>
      </c>
      <c r="C136" s="1" t="s">
        <v>207</v>
      </c>
      <c r="D136" s="2">
        <f>(((2269.96*(1+7.46%))*(1+4.16%))*(1+5.33%))*(1+7.6%)</f>
        <v>2879.5880812576816</v>
      </c>
    </row>
    <row r="137" spans="1:4" x14ac:dyDescent="0.25">
      <c r="A137" s="1">
        <v>4132</v>
      </c>
      <c r="B137" s="1" t="s">
        <v>342</v>
      </c>
      <c r="C137" s="1" t="s">
        <v>207</v>
      </c>
      <c r="D137" s="2">
        <f>(((2269.96*(1+7.46%))*(1+4.16%))*(1+5.33%))*(1+7.6%)</f>
        <v>2879.5880812576816</v>
      </c>
    </row>
    <row r="138" spans="1:4" x14ac:dyDescent="0.25">
      <c r="A138" s="1">
        <v>4139</v>
      </c>
      <c r="B138" s="1" t="s">
        <v>343</v>
      </c>
      <c r="C138" s="1" t="s">
        <v>207</v>
      </c>
      <c r="D138" s="2">
        <f>(((1150.66*(1+7.46%))*(1+4.16%))*(1+5.33%))*(1+7.6%)</f>
        <v>1459.6851140901006</v>
      </c>
    </row>
    <row r="139" spans="1:4" x14ac:dyDescent="0.25">
      <c r="A139" s="1">
        <v>4140</v>
      </c>
      <c r="B139" s="1" t="s">
        <v>344</v>
      </c>
      <c r="C139" s="1" t="s">
        <v>207</v>
      </c>
      <c r="D139" s="2">
        <f>(((961.04*(1+7.46%))*(1+4.16%))*(1+5.33%))*(1+7.6%)</f>
        <v>1219.1401300515793</v>
      </c>
    </row>
    <row r="140" spans="1:4" x14ac:dyDescent="0.25">
      <c r="A140" s="1">
        <v>4143</v>
      </c>
      <c r="B140" s="1" t="s">
        <v>345</v>
      </c>
      <c r="C140" s="1" t="s">
        <v>207</v>
      </c>
      <c r="D140" s="2">
        <f>(((1209.81*(1+7.46%))*(1+4.16%))*(1+5.33%))*(1+7.6%)</f>
        <v>1534.7206367452975</v>
      </c>
    </row>
    <row r="141" spans="1:4" x14ac:dyDescent="0.25">
      <c r="A141" s="1">
        <v>4150</v>
      </c>
      <c r="B141" s="1" t="s">
        <v>346</v>
      </c>
      <c r="C141" s="1" t="s">
        <v>207</v>
      </c>
      <c r="D141" s="2">
        <f>(((247.55*(1+7.46%))*(1+4.16%))*(1+5.33%))*(1+7.6%)</f>
        <v>314.03285939635026</v>
      </c>
    </row>
    <row r="142" spans="1:4" x14ac:dyDescent="0.25">
      <c r="A142" s="1">
        <v>4151</v>
      </c>
      <c r="B142" s="1" t="s">
        <v>347</v>
      </c>
      <c r="C142" s="1" t="s">
        <v>207</v>
      </c>
      <c r="D142" s="2">
        <f>(((421.91*(1+7.46%))*(1+4.16%))*(1+5.33%))*(1+7.6%)</f>
        <v>535.21956658418151</v>
      </c>
    </row>
    <row r="143" spans="1:4" x14ac:dyDescent="0.25">
      <c r="A143" s="1">
        <v>4153</v>
      </c>
      <c r="B143" s="1" t="s">
        <v>348</v>
      </c>
      <c r="C143" s="1" t="s">
        <v>207</v>
      </c>
      <c r="D143" s="2">
        <f>(((3276.62*(1+7.46%))*(1+4.16%))*(1+5.33%))*(1+7.6%)</f>
        <v>4156.6000717239713</v>
      </c>
    </row>
    <row r="144" spans="1:4" x14ac:dyDescent="0.25">
      <c r="A144" s="1">
        <v>4153</v>
      </c>
      <c r="B144" s="1" t="s">
        <v>349</v>
      </c>
      <c r="C144" s="1" t="s">
        <v>207</v>
      </c>
      <c r="D144" s="2">
        <f>(((1217.8*(1+7.46%))*(1+4.16%))*(1+5.33%))*(1+7.6%)</f>
        <v>1544.8564579797023</v>
      </c>
    </row>
    <row r="145" spans="1:4" x14ac:dyDescent="0.25">
      <c r="A145" s="1">
        <v>4160</v>
      </c>
      <c r="B145" s="1" t="s">
        <v>350</v>
      </c>
      <c r="C145" s="1" t="s">
        <v>207</v>
      </c>
      <c r="D145" s="2">
        <f>(((1309.35*(1+7.46%))*(1+4.16%))*(1+5.33%))*(1+7.6%)</f>
        <v>1660.993433450257</v>
      </c>
    </row>
    <row r="146" spans="1:4" x14ac:dyDescent="0.25">
      <c r="A146" s="1">
        <v>4160</v>
      </c>
      <c r="B146" s="1" t="s">
        <v>351</v>
      </c>
      <c r="C146" s="1" t="s">
        <v>207</v>
      </c>
      <c r="D146" s="2">
        <f>(((3522.93*(1+7.46%))*(1+4.16%))*(1+5.33%))*(1+7.6%)</f>
        <v>4469.0599125557828</v>
      </c>
    </row>
    <row r="147" spans="1:4" x14ac:dyDescent="0.25">
      <c r="A147" s="1">
        <v>4164</v>
      </c>
      <c r="B147" s="1" t="s">
        <v>352</v>
      </c>
      <c r="C147" s="1" t="s">
        <v>207</v>
      </c>
      <c r="D147" s="2">
        <f>(((1325.16*(1+7.46%))*(1+4.16%))*(1+5.33%))*(1+7.6%)</f>
        <v>1681.0494201481215</v>
      </c>
    </row>
    <row r="148" spans="1:4" x14ac:dyDescent="0.25">
      <c r="A148" s="1">
        <v>4170</v>
      </c>
      <c r="B148" s="1" t="s">
        <v>353</v>
      </c>
      <c r="C148" s="1" t="s">
        <v>207</v>
      </c>
      <c r="D148" s="2">
        <f>(((150.44*(1+7.46%))*(1+4.16%))*(1+5.33%))*(1+7.6%)</f>
        <v>190.84267165254263</v>
      </c>
    </row>
    <row r="149" spans="1:4" x14ac:dyDescent="0.25">
      <c r="A149" s="1">
        <v>4180</v>
      </c>
      <c r="B149" s="1" t="s">
        <v>354</v>
      </c>
      <c r="C149" s="1" t="s">
        <v>207</v>
      </c>
      <c r="D149" s="2">
        <f>(((6788.24*(1+7.46%))*(1+4.16%))*(1+5.33%))*(1+7.6%)</f>
        <v>8611.312532695134</v>
      </c>
    </row>
    <row r="150" spans="1:4" x14ac:dyDescent="0.25">
      <c r="A150" s="1">
        <v>4180</v>
      </c>
      <c r="B150" s="1" t="s">
        <v>355</v>
      </c>
      <c r="C150" s="1" t="s">
        <v>207</v>
      </c>
      <c r="D150" s="2">
        <f>(((6999.58*(1+7.46%))*(1+4.16%))*(1+5.33%))*(1+7.6%)</f>
        <v>8879.410712880248</v>
      </c>
    </row>
    <row r="151" spans="1:4" x14ac:dyDescent="0.25">
      <c r="A151" s="1">
        <v>4183</v>
      </c>
      <c r="B151" s="1" t="s">
        <v>356</v>
      </c>
      <c r="C151" s="1" t="s">
        <v>207</v>
      </c>
      <c r="D151" s="2">
        <f>(((2309.76*(1+7.46%))*(1+4.16%))*(1+5.33%))*(1+7.6%)</f>
        <v>2930.0769029259304</v>
      </c>
    </row>
    <row r="152" spans="1:4" x14ac:dyDescent="0.25">
      <c r="A152" s="1">
        <v>4210</v>
      </c>
      <c r="B152" s="1" t="s">
        <v>357</v>
      </c>
      <c r="C152" s="1" t="s">
        <v>207</v>
      </c>
      <c r="D152" s="2">
        <f>(((1137.6*(1+7.46%))*(1+4.16%))*(1+5.33%))*(1+7.6%)</f>
        <v>1443.1176766281073</v>
      </c>
    </row>
    <row r="153" spans="1:4" x14ac:dyDescent="0.25">
      <c r="A153" s="1">
        <v>4220</v>
      </c>
      <c r="B153" s="1" t="s">
        <v>358</v>
      </c>
      <c r="C153" s="1" t="s">
        <v>207</v>
      </c>
      <c r="D153" s="2">
        <f>(((584.02*(1+7.46%))*(1+4.16%))*(1+5.33%))*(1+7.6%)</f>
        <v>740.8663726304037</v>
      </c>
    </row>
    <row r="154" spans="1:4" x14ac:dyDescent="0.25">
      <c r="A154" s="1">
        <v>4226</v>
      </c>
      <c r="B154" s="1" t="s">
        <v>359</v>
      </c>
      <c r="C154" s="1" t="s">
        <v>207</v>
      </c>
      <c r="D154" s="2">
        <f>(((672.91*(1+7.46%))*(1+4.16%))*(1+5.33%))*(1+7.6%)</f>
        <v>853.6289695673521</v>
      </c>
    </row>
    <row r="155" spans="1:4" x14ac:dyDescent="0.25">
      <c r="A155" s="1">
        <v>4227</v>
      </c>
      <c r="B155" s="1" t="s">
        <v>360</v>
      </c>
      <c r="C155" s="1" t="s">
        <v>207</v>
      </c>
      <c r="D155" s="2">
        <f>(((734.4*(1+7.46%))*(1+4.16%))*(1+5.33%))*(1+7.6%)</f>
        <v>931.63293048143657</v>
      </c>
    </row>
    <row r="156" spans="1:4" x14ac:dyDescent="0.25">
      <c r="A156" s="1">
        <v>4228</v>
      </c>
      <c r="B156" s="1" t="s">
        <v>361</v>
      </c>
      <c r="C156" s="1" t="s">
        <v>207</v>
      </c>
      <c r="D156" s="2">
        <f>(((877.84*(1+7.46%))*(1+4.16%))*(1+5.33%))*(1+7.6%)</f>
        <v>1113.5956586244886</v>
      </c>
    </row>
    <row r="157" spans="1:4" x14ac:dyDescent="0.25">
      <c r="A157" s="1">
        <v>4229</v>
      </c>
      <c r="B157" s="1" t="s">
        <v>362</v>
      </c>
      <c r="C157" s="1" t="s">
        <v>207</v>
      </c>
      <c r="D157" s="2">
        <f>(((1280.94*(1+7.46%))*(1+4.16%))*(1+5.33%))*(1+7.6%)</f>
        <v>1624.9535484353096</v>
      </c>
    </row>
    <row r="158" spans="1:4" x14ac:dyDescent="0.25">
      <c r="A158" s="1">
        <v>4251</v>
      </c>
      <c r="B158" s="1" t="s">
        <v>363</v>
      </c>
      <c r="C158" s="1" t="s">
        <v>207</v>
      </c>
      <c r="D158" s="2">
        <f>(((3032.26*(1+7.46%))*(1+4.16%))*(1+5.33%))*(1+7.6%)</f>
        <v>3846.6139294412324</v>
      </c>
    </row>
    <row r="159" spans="1:4" x14ac:dyDescent="0.25">
      <c r="A159" s="1">
        <v>4252</v>
      </c>
      <c r="B159" s="1" t="s">
        <v>364</v>
      </c>
      <c r="C159" s="1" t="s">
        <v>207</v>
      </c>
      <c r="D159" s="2">
        <f>(((7583.8*(1+7.46%))*(1+4.16%))*(1+5.33%))*(1+7.6%)</f>
        <v>9620.5307981823516</v>
      </c>
    </row>
    <row r="160" spans="1:4" x14ac:dyDescent="0.25">
      <c r="A160" s="1">
        <v>4253</v>
      </c>
      <c r="B160" s="1" t="s">
        <v>365</v>
      </c>
      <c r="C160" s="1" t="s">
        <v>207</v>
      </c>
      <c r="D160" s="2">
        <f>(((7583.8*(1+7.46%))*(1+4.16%))*(1+5.33%))*(1+7.6%)</f>
        <v>9620.5307981823516</v>
      </c>
    </row>
    <row r="161" spans="1:4" x14ac:dyDescent="0.25">
      <c r="A161" s="1">
        <v>4254</v>
      </c>
      <c r="B161" s="1" t="s">
        <v>366</v>
      </c>
      <c r="C161" s="1" t="s">
        <v>207</v>
      </c>
      <c r="D161" s="2">
        <f>(((7583.8*(1+7.46%))*(1+4.16%))*(1+5.33%))*(1+7.6%)</f>
        <v>9620.5307981823516</v>
      </c>
    </row>
    <row r="162" spans="1:4" x14ac:dyDescent="0.25">
      <c r="A162" s="1">
        <v>4256</v>
      </c>
      <c r="B162" s="1" t="s">
        <v>367</v>
      </c>
      <c r="C162" s="1" t="s">
        <v>207</v>
      </c>
      <c r="D162" s="2">
        <f>(((1821.23*(1+7.46%))*(1+4.16%))*(1+5.33%))*(1+7.6%)</f>
        <v>2310.3456453985655</v>
      </c>
    </row>
    <row r="163" spans="1:4" x14ac:dyDescent="0.25">
      <c r="A163" s="1">
        <v>4257</v>
      </c>
      <c r="B163" s="1" t="s">
        <v>368</v>
      </c>
      <c r="C163" s="1" t="s">
        <v>207</v>
      </c>
      <c r="D163" s="2">
        <f>(((1821.23*(1+7.46%))*(1+4.16%))*(1+5.33%))*(1+7.6%)</f>
        <v>2310.3456453985655</v>
      </c>
    </row>
    <row r="164" spans="1:4" x14ac:dyDescent="0.25">
      <c r="A164" s="1">
        <v>4258</v>
      </c>
      <c r="B164" s="1" t="s">
        <v>369</v>
      </c>
      <c r="C164" s="1" t="s">
        <v>207</v>
      </c>
      <c r="D164" s="2">
        <f>(((1821.23*(1+7.46%))*(1+4.16%))*(1+5.33%))*(1+7.6%)</f>
        <v>2310.3456453985655</v>
      </c>
    </row>
    <row r="165" spans="1:4" x14ac:dyDescent="0.25">
      <c r="A165" s="1">
        <v>4259</v>
      </c>
      <c r="B165" s="1" t="s">
        <v>370</v>
      </c>
      <c r="C165" s="1" t="s">
        <v>207</v>
      </c>
      <c r="D165" s="2">
        <f>(((1821.23*(1+7.46%))*(1+4.16%))*(1+5.33%))*(1+7.6%)</f>
        <v>2310.3456453985655</v>
      </c>
    </row>
    <row r="166" spans="1:4" x14ac:dyDescent="0.25">
      <c r="A166" s="1">
        <v>6001</v>
      </c>
      <c r="B166" s="1" t="s">
        <v>371</v>
      </c>
      <c r="C166" s="1" t="s">
        <v>207</v>
      </c>
      <c r="D166" s="2">
        <f>(((4595.47*(1+7.46%))*(1+4.16%))*(1+5.33%))*(1+7.6%)</f>
        <v>5829.6448570799666</v>
      </c>
    </row>
    <row r="167" spans="1:4" x14ac:dyDescent="0.25">
      <c r="A167" s="1">
        <v>6002</v>
      </c>
      <c r="B167" s="1" t="s">
        <v>372</v>
      </c>
      <c r="C167" s="1" t="s">
        <v>207</v>
      </c>
      <c r="D167" s="2">
        <f>(((3308.82*(1+7.46%))*(1+4.16%))*(1+5.33%))*(1+7.6%)</f>
        <v>4197.4478118676288</v>
      </c>
    </row>
    <row r="168" spans="1:4" x14ac:dyDescent="0.25">
      <c r="A168" s="1">
        <v>6003</v>
      </c>
      <c r="B168" s="1" t="s">
        <v>373</v>
      </c>
      <c r="C168" s="1" t="s">
        <v>207</v>
      </c>
      <c r="D168" s="2">
        <f>(((5295.3*(1+7.46%))*(1+4.16%))*(1+5.33%))*(1+7.6%)</f>
        <v>6717.423552258103</v>
      </c>
    </row>
    <row r="169" spans="1:4" x14ac:dyDescent="0.25">
      <c r="A169" s="1">
        <v>6005</v>
      </c>
      <c r="B169" s="1" t="s">
        <v>374</v>
      </c>
      <c r="C169" s="1" t="s">
        <v>207</v>
      </c>
      <c r="D169" s="2">
        <f>(((3602.29*(1+7.46%))*(1+4.16%))*(1+5.33%))*(1+7.6%)</f>
        <v>4569.7331006862387</v>
      </c>
    </row>
    <row r="170" spans="1:4" x14ac:dyDescent="0.25">
      <c r="A170" s="1">
        <v>6007</v>
      </c>
      <c r="B170" s="1" t="s">
        <v>375</v>
      </c>
      <c r="C170" s="1" t="s">
        <v>207</v>
      </c>
      <c r="D170" s="2">
        <f>(((5328.4*(1+7.46%))*(1+4.16%))*(1+5.33%))*(1+7.6%)</f>
        <v>6759.4129994244095</v>
      </c>
    </row>
    <row r="171" spans="1:4" x14ac:dyDescent="0.25">
      <c r="A171" s="1">
        <v>6009</v>
      </c>
      <c r="B171" s="1" t="s">
        <v>376</v>
      </c>
      <c r="C171" s="1" t="s">
        <v>207</v>
      </c>
      <c r="D171" s="2">
        <f>(((2574.23*(1+7.46%))*(1+4.16%))*(1+5.33%))*(1+7.6%)</f>
        <v>3265.5738543480779</v>
      </c>
    </row>
    <row r="172" spans="1:4" x14ac:dyDescent="0.25">
      <c r="A172" s="1">
        <v>6010</v>
      </c>
      <c r="B172" s="1" t="s">
        <v>377</v>
      </c>
      <c r="C172" s="1" t="s">
        <v>207</v>
      </c>
      <c r="D172" s="2">
        <f>(((2427.58*(1+7.46%))*(1+4.16%))*(1+5.33%))*(1+7.6%)</f>
        <v>3079.539037824245</v>
      </c>
    </row>
    <row r="173" spans="1:4" x14ac:dyDescent="0.25">
      <c r="A173" s="1">
        <v>6011</v>
      </c>
      <c r="B173" s="1" t="s">
        <v>378</v>
      </c>
      <c r="C173" s="1" t="s">
        <v>207</v>
      </c>
      <c r="D173" s="2">
        <f>(((2756.62*(1+7.46%))*(1+4.16%))*(1+5.33%))*(1+7.6%)</f>
        <v>3496.9471253046536</v>
      </c>
    </row>
    <row r="174" spans="1:4" x14ac:dyDescent="0.25">
      <c r="A174" s="1">
        <v>6017</v>
      </c>
      <c r="B174" s="1" t="s">
        <v>379</v>
      </c>
      <c r="C174" s="1" t="s">
        <v>207</v>
      </c>
      <c r="D174" s="2">
        <f>(((1483.36*(1+7.46%))*(1+4.16%))*(1+5.33%))*(1+7.6%)</f>
        <v>1881.7361434626139</v>
      </c>
    </row>
    <row r="175" spans="1:4" x14ac:dyDescent="0.25">
      <c r="A175" s="1">
        <v>6024</v>
      </c>
      <c r="B175" s="1" t="s">
        <v>380</v>
      </c>
      <c r="C175" s="1" t="s">
        <v>207</v>
      </c>
      <c r="D175" s="2">
        <f>(((5338.28*(1+7.46%))*(1+4.16%))*(1+5.33%))*(1+7.6%)</f>
        <v>6771.9464054063765</v>
      </c>
    </row>
    <row r="176" spans="1:4" x14ac:dyDescent="0.25">
      <c r="A176" s="1">
        <v>6070</v>
      </c>
      <c r="B176" s="1" t="s">
        <v>381</v>
      </c>
      <c r="C176" s="1" t="s">
        <v>207</v>
      </c>
      <c r="D176" s="2">
        <f>(((11319.34*(1+7.46%))*(1+4.16%))*(1+5.33%))*(1+7.6%)</f>
        <v>14359.29996638854</v>
      </c>
    </row>
    <row r="177" spans="1:4" x14ac:dyDescent="0.25">
      <c r="A177" s="1">
        <v>6075</v>
      </c>
      <c r="B177" s="1" t="s">
        <v>382</v>
      </c>
      <c r="C177" s="1" t="s">
        <v>207</v>
      </c>
      <c r="D177" s="2">
        <f>(((6509.32*(1+7.46%))*(1+4.16%))*(1+5.33%))*(1+7.6%)</f>
        <v>8257.4848407426798</v>
      </c>
    </row>
    <row r="178" spans="1:4" x14ac:dyDescent="0.25">
      <c r="A178" s="1">
        <v>7120</v>
      </c>
      <c r="B178" s="1" t="s">
        <v>383</v>
      </c>
      <c r="C178" s="1" t="s">
        <v>207</v>
      </c>
      <c r="D178" s="2">
        <f>(((2026.26*(1+7.46%))*(1+4.16%))*(1+5.33%))*(1+7.6%)</f>
        <v>2570.4391907915515</v>
      </c>
    </row>
    <row r="179" spans="1:4" x14ac:dyDescent="0.25">
      <c r="A179" s="1">
        <v>7123</v>
      </c>
      <c r="B179" s="1" t="s">
        <v>384</v>
      </c>
      <c r="C179" s="1" t="s">
        <v>207</v>
      </c>
      <c r="D179" s="2">
        <f>(((1317.06*(1+7.46%))*(1+4.16%))*(1+5.33%))*(1+7.6%)</f>
        <v>1670.7740569442822</v>
      </c>
    </row>
    <row r="180" spans="1:4" x14ac:dyDescent="0.25">
      <c r="A180" s="1">
        <v>7151</v>
      </c>
      <c r="B180" s="1" t="s">
        <v>385</v>
      </c>
      <c r="C180" s="1" t="s">
        <v>207</v>
      </c>
      <c r="D180" s="2">
        <f>(((2026.26*(1+7.46%))*(1+4.16%))*(1+5.33%))*(1+7.6%)</f>
        <v>2570.4391907915515</v>
      </c>
    </row>
    <row r="181" spans="1:4" x14ac:dyDescent="0.25">
      <c r="A181" s="1">
        <v>7701</v>
      </c>
      <c r="B181" s="1" t="s">
        <v>386</v>
      </c>
      <c r="C181" s="1" t="s">
        <v>207</v>
      </c>
      <c r="D181" s="2">
        <f>(((2499.42*(1+7.46%))*(1+4.16%))*(1+5.33%))*(1+7.6%)</f>
        <v>3170.6726294987911</v>
      </c>
    </row>
    <row r="182" spans="1:4" x14ac:dyDescent="0.25">
      <c r="A182" s="1">
        <v>7705</v>
      </c>
      <c r="B182" s="1" t="s">
        <v>387</v>
      </c>
      <c r="C182" s="1" t="s">
        <v>207</v>
      </c>
      <c r="D182" s="2">
        <f>(((5319.23*(1+7.46%))*(1+4.16%))*(1+5.33%))*(1+7.6%)</f>
        <v>6747.7802734269753</v>
      </c>
    </row>
    <row r="183" spans="1:4" x14ac:dyDescent="0.25">
      <c r="A183" s="1">
        <v>7727</v>
      </c>
      <c r="B183" s="1" t="s">
        <v>388</v>
      </c>
      <c r="C183" s="1" t="s">
        <v>207</v>
      </c>
      <c r="D183" s="2">
        <f>(((1803.4*(1+7.46%))*(1+4.16%))*(1+5.33%))*(1+7.6%)</f>
        <v>2287.7271607165344</v>
      </c>
    </row>
    <row r="184" spans="1:4" x14ac:dyDescent="0.25">
      <c r="A184" s="1">
        <v>7999</v>
      </c>
      <c r="B184" s="1" t="s">
        <v>389</v>
      </c>
      <c r="C184" s="1" t="s">
        <v>207</v>
      </c>
      <c r="D184" s="2">
        <f>(((4276.75*(1+7.46%))*(1+4.16%))*(1+5.33%))*(1+7.6%)</f>
        <v>5425.328343459264</v>
      </c>
    </row>
    <row r="185" spans="1:4" x14ac:dyDescent="0.25">
      <c r="A185" s="1">
        <v>8801</v>
      </c>
      <c r="B185" s="1" t="s">
        <v>390</v>
      </c>
      <c r="C185" s="1" t="s">
        <v>207</v>
      </c>
      <c r="D185" s="2">
        <f>(((843.78*(1+7.46%))*(1+4.16%))*(1+5.33%))*(1+7.6%)</f>
        <v>1070.3883906340229</v>
      </c>
    </row>
    <row r="186" spans="1:4" x14ac:dyDescent="0.25">
      <c r="A186" s="1">
        <v>8811</v>
      </c>
      <c r="B186" s="1" t="s">
        <v>391</v>
      </c>
      <c r="C186" s="1" t="s">
        <v>207</v>
      </c>
      <c r="D186" s="2">
        <f>(((867.02*(1+7.46%))*(1+4.16%))*(1+5.33%))*(1+7.6%)</f>
        <v>1099.8698030855326</v>
      </c>
    </row>
    <row r="187" spans="1:4" x14ac:dyDescent="0.25">
      <c r="A187" s="1">
        <v>8835</v>
      </c>
      <c r="B187" s="1" t="s">
        <v>392</v>
      </c>
      <c r="C187" s="1" t="s">
        <v>207</v>
      </c>
      <c r="D187" s="2">
        <f>(((2164.82*(1+7.46%))*(1+4.16%))*(1+5.33%))*(1+7.6%)</f>
        <v>2746.2113297451301</v>
      </c>
    </row>
    <row r="188" spans="1:4" x14ac:dyDescent="0.25">
      <c r="A188" s="1">
        <v>8836</v>
      </c>
      <c r="B188" s="1" t="s">
        <v>393</v>
      </c>
      <c r="C188" s="1" t="s">
        <v>207</v>
      </c>
      <c r="D188" s="2">
        <f>(((1562.36*(1+7.46%))*(1+4.16%))*(1+5.33%))*(1+7.6%)</f>
        <v>1981.9526487840101</v>
      </c>
    </row>
    <row r="189" spans="1:4" x14ac:dyDescent="0.25">
      <c r="A189" s="1">
        <v>8843</v>
      </c>
      <c r="B189" s="1" t="s">
        <v>394</v>
      </c>
      <c r="C189" s="1" t="s">
        <v>207</v>
      </c>
      <c r="D189" s="2">
        <f>(((885.63*(1+7.46%))*(1+4.16%))*(1+5.33%))*(1+7.6%)</f>
        <v>1123.4777671871932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>
      <selection activeCell="F13" sqref="F13"/>
    </sheetView>
  </sheetViews>
  <sheetFormatPr baseColWidth="10" defaultRowHeight="15" x14ac:dyDescent="0.25"/>
  <cols>
    <col min="2" max="2" width="32.7109375" bestFit="1" customWidth="1"/>
    <col min="9" max="9" width="54.28515625" bestFit="1" customWidth="1"/>
    <col min="10" max="10" width="9.8554687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8" t="s">
        <v>3</v>
      </c>
    </row>
    <row r="2" spans="1:11" x14ac:dyDescent="0.25">
      <c r="A2" s="1">
        <v>200020</v>
      </c>
      <c r="B2" s="1" t="s">
        <v>395</v>
      </c>
      <c r="C2" s="1" t="s">
        <v>396</v>
      </c>
      <c r="D2" s="2">
        <f>3712.76*(1+4.6%)</f>
        <v>3883.5469600000006</v>
      </c>
      <c r="K2" s="48"/>
    </row>
    <row r="3" spans="1:11" x14ac:dyDescent="0.25">
      <c r="A3" s="1">
        <v>200025</v>
      </c>
      <c r="B3" s="1" t="s">
        <v>397</v>
      </c>
      <c r="C3" s="1" t="s">
        <v>396</v>
      </c>
      <c r="D3" s="2">
        <f>4812.4*(1+4.6%)</f>
        <v>5033.7703999999994</v>
      </c>
      <c r="F3" s="16"/>
      <c r="G3" s="16"/>
      <c r="H3" s="16"/>
      <c r="K3" s="48"/>
    </row>
    <row r="4" spans="1:11" x14ac:dyDescent="0.25">
      <c r="A4" s="1">
        <v>200032</v>
      </c>
      <c r="B4" s="1" t="s">
        <v>398</v>
      </c>
      <c r="C4" s="1" t="s">
        <v>396</v>
      </c>
      <c r="D4" s="2">
        <f>7335.38*(1+4.6%)</f>
        <v>7672.8074800000004</v>
      </c>
      <c r="F4" s="16"/>
      <c r="G4" s="47"/>
      <c r="H4" s="16"/>
      <c r="K4" s="48"/>
    </row>
    <row r="5" spans="1:11" x14ac:dyDescent="0.25">
      <c r="A5" s="1">
        <v>200040</v>
      </c>
      <c r="B5" s="1" t="s">
        <v>399</v>
      </c>
      <c r="C5" s="1" t="s">
        <v>396</v>
      </c>
      <c r="D5" s="2">
        <f>8463.92*(1+4.6%)</f>
        <v>8853.2603200000012</v>
      </c>
      <c r="K5" s="48"/>
    </row>
    <row r="6" spans="1:11" x14ac:dyDescent="0.25">
      <c r="A6" s="1">
        <v>200050</v>
      </c>
      <c r="B6" s="1" t="s">
        <v>400</v>
      </c>
      <c r="C6" s="1" t="s">
        <v>396</v>
      </c>
      <c r="D6" s="2">
        <f>10595.97*(1+4.6%)</f>
        <v>11083.384619999999</v>
      </c>
      <c r="F6" s="47"/>
      <c r="K6" s="48"/>
    </row>
    <row r="7" spans="1:11" x14ac:dyDescent="0.25">
      <c r="A7" s="1">
        <v>200063</v>
      </c>
      <c r="B7" s="1" t="s">
        <v>401</v>
      </c>
      <c r="C7" s="1" t="s">
        <v>396</v>
      </c>
      <c r="D7" s="2">
        <f>13657.53*(1+4.6%)</f>
        <v>14285.776380000001</v>
      </c>
      <c r="K7" s="48"/>
    </row>
    <row r="8" spans="1:11" x14ac:dyDescent="0.25">
      <c r="A8" s="6" t="s">
        <v>0</v>
      </c>
      <c r="B8" s="6" t="s">
        <v>1</v>
      </c>
      <c r="C8" s="6" t="s">
        <v>2</v>
      </c>
      <c r="D8" s="6" t="s">
        <v>3</v>
      </c>
      <c r="K8" s="48"/>
    </row>
    <row r="9" spans="1:11" x14ac:dyDescent="0.25">
      <c r="A9" s="1">
        <v>24020</v>
      </c>
      <c r="B9" s="1" t="s">
        <v>402</v>
      </c>
      <c r="C9" s="1" t="s">
        <v>396</v>
      </c>
      <c r="D9" s="2">
        <f>2420.15*(1+4.6%)</f>
        <v>2531.4769000000001</v>
      </c>
      <c r="K9" s="48"/>
    </row>
    <row r="10" spans="1:11" x14ac:dyDescent="0.25">
      <c r="A10" s="1">
        <v>24025</v>
      </c>
      <c r="B10" s="1" t="s">
        <v>403</v>
      </c>
      <c r="C10" s="1" t="s">
        <v>396</v>
      </c>
      <c r="D10" s="2">
        <f>3137.58*(1+4.6%)</f>
        <v>3281.90868</v>
      </c>
      <c r="K10" s="48"/>
    </row>
    <row r="11" spans="1:11" x14ac:dyDescent="0.25">
      <c r="A11" s="1">
        <v>24032</v>
      </c>
      <c r="B11" s="1" t="s">
        <v>404</v>
      </c>
      <c r="C11" s="1" t="s">
        <v>396</v>
      </c>
      <c r="D11" s="2">
        <f>4514.22*(1+4.6%)</f>
        <v>4721.8741200000004</v>
      </c>
      <c r="K11" s="48"/>
    </row>
    <row r="12" spans="1:11" x14ac:dyDescent="0.25">
      <c r="A12" s="1">
        <v>24040</v>
      </c>
      <c r="B12" s="1" t="s">
        <v>405</v>
      </c>
      <c r="C12" s="1" t="s">
        <v>396</v>
      </c>
      <c r="D12" s="2">
        <f>4514.22*(1+4.6%)</f>
        <v>4721.8741200000004</v>
      </c>
      <c r="F12" t="s">
        <v>585</v>
      </c>
      <c r="K12" s="48"/>
    </row>
    <row r="13" spans="1:11" x14ac:dyDescent="0.25">
      <c r="A13" s="1">
        <v>24050</v>
      </c>
      <c r="B13" s="1" t="s">
        <v>406</v>
      </c>
      <c r="C13" s="1" t="s">
        <v>396</v>
      </c>
      <c r="D13" s="2">
        <f>9397.46*(1+4.6%)</f>
        <v>9829.74316</v>
      </c>
      <c r="K13" s="48"/>
    </row>
    <row r="14" spans="1:11" x14ac:dyDescent="0.25">
      <c r="A14" s="1">
        <v>24063</v>
      </c>
      <c r="B14" s="1" t="s">
        <v>407</v>
      </c>
      <c r="C14" s="1" t="s">
        <v>396</v>
      </c>
      <c r="D14" s="2">
        <f>13282.77*(1+4.6%)</f>
        <v>13893.77742</v>
      </c>
    </row>
    <row r="15" spans="1:11" x14ac:dyDescent="0.25">
      <c r="A15" s="1">
        <v>24120</v>
      </c>
      <c r="B15" s="1" t="s">
        <v>408</v>
      </c>
      <c r="C15" s="1" t="s">
        <v>396</v>
      </c>
      <c r="D15" s="2">
        <f>4727.42*(1+4.6%)</f>
        <v>4944.8813200000004</v>
      </c>
      <c r="F15" s="16"/>
    </row>
    <row r="16" spans="1:11" x14ac:dyDescent="0.25">
      <c r="A16" s="1">
        <v>24125</v>
      </c>
      <c r="B16" s="1" t="s">
        <v>409</v>
      </c>
      <c r="C16" s="1" t="s">
        <v>396</v>
      </c>
      <c r="D16" s="2">
        <f>4727.42*(1+4.6%)</f>
        <v>4944.8813200000004</v>
      </c>
    </row>
    <row r="17" spans="1:11" x14ac:dyDescent="0.25">
      <c r="A17" s="1">
        <v>24132</v>
      </c>
      <c r="B17" s="1" t="s">
        <v>410</v>
      </c>
      <c r="C17" s="1" t="s">
        <v>396</v>
      </c>
      <c r="D17" s="2">
        <f>4727.42*(1+4.6%)</f>
        <v>4944.8813200000004</v>
      </c>
    </row>
    <row r="18" spans="1:11" x14ac:dyDescent="0.25">
      <c r="A18" s="1">
        <v>24140</v>
      </c>
      <c r="B18" s="1" t="s">
        <v>411</v>
      </c>
      <c r="C18" s="1" t="s">
        <v>396</v>
      </c>
      <c r="D18" s="2">
        <f>4727.42*(1+4.6%)</f>
        <v>4944.8813200000004</v>
      </c>
    </row>
    <row r="19" spans="1:11" x14ac:dyDescent="0.25">
      <c r="A19" s="1">
        <v>24150</v>
      </c>
      <c r="B19" s="1" t="s">
        <v>412</v>
      </c>
      <c r="C19" s="1" t="s">
        <v>396</v>
      </c>
      <c r="D19" s="2">
        <f>5858.86*(1+4.6%)</f>
        <v>6128.3675599999997</v>
      </c>
      <c r="K19" s="48"/>
    </row>
    <row r="20" spans="1:11" x14ac:dyDescent="0.25">
      <c r="A20" s="1">
        <v>24163</v>
      </c>
      <c r="B20" s="1" t="s">
        <v>413</v>
      </c>
      <c r="C20" s="1" t="s">
        <v>396</v>
      </c>
      <c r="D20" s="2">
        <f>6444.13*(1+4.6%)</f>
        <v>6740.55998</v>
      </c>
      <c r="K20" s="48"/>
    </row>
    <row r="21" spans="1:11" x14ac:dyDescent="0.25">
      <c r="A21" s="1">
        <v>204026</v>
      </c>
      <c r="B21" s="1" t="s">
        <v>414</v>
      </c>
      <c r="C21" s="1" t="s">
        <v>396</v>
      </c>
      <c r="D21" s="2">
        <f>361.05*(1+4.6%)</f>
        <v>377.65830000000005</v>
      </c>
      <c r="K21" s="48"/>
    </row>
    <row r="22" spans="1:11" x14ac:dyDescent="0.25">
      <c r="A22" s="1">
        <v>204034</v>
      </c>
      <c r="B22" s="1" t="s">
        <v>415</v>
      </c>
      <c r="C22" s="1" t="s">
        <v>396</v>
      </c>
      <c r="D22" s="2">
        <f>467.74*(1+4.6%)</f>
        <v>489.25604000000004</v>
      </c>
      <c r="K22" s="48"/>
    </row>
    <row r="23" spans="1:11" x14ac:dyDescent="0.25">
      <c r="A23" s="1">
        <v>204033</v>
      </c>
      <c r="B23" s="1" t="s">
        <v>416</v>
      </c>
      <c r="C23" s="1" t="s">
        <v>396</v>
      </c>
      <c r="D23" s="2">
        <f>446.49*(1+4.6%)</f>
        <v>467.02854000000002</v>
      </c>
    </row>
    <row r="24" spans="1:11" x14ac:dyDescent="0.25">
      <c r="A24" s="1">
        <v>204042</v>
      </c>
      <c r="B24" s="1" t="s">
        <v>417</v>
      </c>
      <c r="C24" s="1" t="s">
        <v>396</v>
      </c>
      <c r="D24" s="2">
        <f>736.15*(1+4.6%)</f>
        <v>770.01290000000006</v>
      </c>
    </row>
    <row r="25" spans="1:11" x14ac:dyDescent="0.25">
      <c r="A25" s="1">
        <v>204041</v>
      </c>
      <c r="B25" s="1" t="s">
        <v>418</v>
      </c>
      <c r="C25" s="1" t="s">
        <v>396</v>
      </c>
      <c r="D25" s="2">
        <f>717.67*(1+4.6%)</f>
        <v>750.68281999999999</v>
      </c>
    </row>
    <row r="26" spans="1:11" x14ac:dyDescent="0.25">
      <c r="A26" s="1">
        <v>204052</v>
      </c>
      <c r="B26" s="1" t="s">
        <v>419</v>
      </c>
      <c r="C26" s="1" t="s">
        <v>396</v>
      </c>
      <c r="D26" s="2">
        <f>1096.79*(1+4.6%)</f>
        <v>1147.24234</v>
      </c>
      <c r="K26" s="48"/>
    </row>
    <row r="27" spans="1:11" x14ac:dyDescent="0.25">
      <c r="A27" s="1">
        <v>204051</v>
      </c>
      <c r="B27" s="1" t="s">
        <v>420</v>
      </c>
      <c r="C27" s="1" t="s">
        <v>396</v>
      </c>
      <c r="D27" s="2">
        <f>1025.84*(1+4.6%)</f>
        <v>1073.02864</v>
      </c>
      <c r="K27" s="48"/>
    </row>
    <row r="28" spans="1:11" x14ac:dyDescent="0.25">
      <c r="A28" s="1">
        <v>204065</v>
      </c>
      <c r="B28" s="1" t="s">
        <v>421</v>
      </c>
      <c r="C28" s="1" t="s">
        <v>396</v>
      </c>
      <c r="D28" s="2">
        <f>1842.69*(1+4.6%)</f>
        <v>1927.4537400000002</v>
      </c>
      <c r="K28" s="48"/>
    </row>
    <row r="29" spans="1:11" x14ac:dyDescent="0.25">
      <c r="A29" s="1">
        <v>204064</v>
      </c>
      <c r="B29" s="1" t="s">
        <v>422</v>
      </c>
      <c r="C29" s="1" t="s">
        <v>396</v>
      </c>
      <c r="D29" s="2">
        <f>1145.41*(1+4.6%)</f>
        <v>1198.0988600000001</v>
      </c>
    </row>
    <row r="30" spans="1:11" x14ac:dyDescent="0.25">
      <c r="A30" s="1">
        <v>201620</v>
      </c>
      <c r="B30" s="1" t="s">
        <v>423</v>
      </c>
      <c r="C30" s="1" t="s">
        <v>396</v>
      </c>
      <c r="D30" s="2">
        <f>636.51*(1+4.6%)</f>
        <v>665.78945999999996</v>
      </c>
    </row>
    <row r="31" spans="1:11" x14ac:dyDescent="0.25">
      <c r="A31" s="1">
        <v>201625</v>
      </c>
      <c r="B31" s="1" t="s">
        <v>424</v>
      </c>
      <c r="C31" s="1" t="s">
        <v>396</v>
      </c>
      <c r="D31" s="2">
        <f>730.81*(1+4.6%)</f>
        <v>764.42725999999993</v>
      </c>
    </row>
    <row r="32" spans="1:11" x14ac:dyDescent="0.25">
      <c r="A32" s="1">
        <v>201632</v>
      </c>
      <c r="B32" s="1" t="s">
        <v>425</v>
      </c>
      <c r="C32" s="1" t="s">
        <v>396</v>
      </c>
      <c r="D32" s="2">
        <f>812.83*(1+4.6%)</f>
        <v>850.22018000000003</v>
      </c>
      <c r="K32" s="48"/>
    </row>
    <row r="33" spans="1:11" x14ac:dyDescent="0.25">
      <c r="A33" s="1">
        <v>201640</v>
      </c>
      <c r="B33" s="1" t="s">
        <v>426</v>
      </c>
      <c r="C33" s="1" t="s">
        <v>396</v>
      </c>
      <c r="D33" s="2">
        <f>1907.84*(1+4.6%)</f>
        <v>1995.6006399999999</v>
      </c>
      <c r="K33" s="48"/>
    </row>
    <row r="34" spans="1:11" x14ac:dyDescent="0.25">
      <c r="A34" s="1">
        <v>201650</v>
      </c>
      <c r="B34" s="1" t="s">
        <v>427</v>
      </c>
      <c r="C34" s="1" t="s">
        <v>396</v>
      </c>
      <c r="D34" s="2">
        <f>4433.21*(1+4.6%)</f>
        <v>4637.1376600000003</v>
      </c>
      <c r="K34" s="48"/>
    </row>
    <row r="35" spans="1:11" x14ac:dyDescent="0.25">
      <c r="A35" s="1">
        <v>201663</v>
      </c>
      <c r="B35" s="1" t="s">
        <v>428</v>
      </c>
      <c r="C35" s="1" t="s">
        <v>396</v>
      </c>
      <c r="D35" s="2">
        <f>5549.95*(1+4.6%)</f>
        <v>5805.2476999999999</v>
      </c>
    </row>
    <row r="36" spans="1:11" x14ac:dyDescent="0.25">
      <c r="A36" s="1">
        <v>201020</v>
      </c>
      <c r="B36" s="1" t="s">
        <v>429</v>
      </c>
      <c r="C36" s="1" t="s">
        <v>396</v>
      </c>
      <c r="D36" s="2">
        <f>442.74*(1+4.6%)</f>
        <v>463.10604000000001</v>
      </c>
      <c r="K36" s="48"/>
    </row>
    <row r="37" spans="1:11" x14ac:dyDescent="0.25">
      <c r="A37" s="1">
        <v>201025</v>
      </c>
      <c r="B37" s="1" t="s">
        <v>430</v>
      </c>
      <c r="C37" s="1" t="s">
        <v>396</v>
      </c>
      <c r="D37" s="2">
        <f>482.9*(1+4.6%)</f>
        <v>505.11340000000001</v>
      </c>
      <c r="K37" s="48"/>
    </row>
    <row r="38" spans="1:11" x14ac:dyDescent="0.25">
      <c r="A38" s="1">
        <v>201032</v>
      </c>
      <c r="B38" s="1" t="s">
        <v>431</v>
      </c>
      <c r="C38" s="1" t="s">
        <v>396</v>
      </c>
      <c r="D38" s="2">
        <f>742.25*(1+4.6%)</f>
        <v>776.39350000000002</v>
      </c>
      <c r="K38" s="48"/>
    </row>
    <row r="39" spans="1:11" x14ac:dyDescent="0.25">
      <c r="A39" s="1">
        <v>201040</v>
      </c>
      <c r="B39" s="1" t="s">
        <v>432</v>
      </c>
      <c r="C39" s="1" t="s">
        <v>396</v>
      </c>
      <c r="D39" s="2">
        <f>1291.81*(1+4.6%)</f>
        <v>1351.23326</v>
      </c>
      <c r="K39" s="48"/>
    </row>
    <row r="40" spans="1:11" x14ac:dyDescent="0.25">
      <c r="A40" s="1">
        <v>201050</v>
      </c>
      <c r="B40" s="1" t="s">
        <v>433</v>
      </c>
      <c r="C40" s="1" t="s">
        <v>396</v>
      </c>
      <c r="D40" s="2">
        <f>3073.53*(1+4.6%)</f>
        <v>3214.9123800000002</v>
      </c>
      <c r="K40" s="48"/>
    </row>
    <row r="41" spans="1:11" x14ac:dyDescent="0.25">
      <c r="A41" s="1">
        <v>201063</v>
      </c>
      <c r="B41" s="1" t="s">
        <v>434</v>
      </c>
      <c r="C41" s="1" t="s">
        <v>396</v>
      </c>
      <c r="D41" s="2">
        <f>4916.34*(1+4.6%)</f>
        <v>5142.4916400000002</v>
      </c>
      <c r="K41" s="48"/>
    </row>
    <row r="42" spans="1:11" x14ac:dyDescent="0.25">
      <c r="A42" s="1">
        <v>201220</v>
      </c>
      <c r="B42" s="1" t="s">
        <v>435</v>
      </c>
      <c r="C42" s="1" t="s">
        <v>396</v>
      </c>
      <c r="D42" s="2">
        <f>844.65*(1+4.6%)</f>
        <v>883.50390000000004</v>
      </c>
      <c r="K42" s="48"/>
    </row>
    <row r="43" spans="1:11" x14ac:dyDescent="0.25">
      <c r="A43" s="1">
        <v>201326</v>
      </c>
      <c r="B43" s="1" t="s">
        <v>436</v>
      </c>
      <c r="C43" s="1" t="s">
        <v>396</v>
      </c>
      <c r="D43" s="2">
        <f>1092.73*(1+4.6%)</f>
        <v>1142.99558</v>
      </c>
      <c r="K43" s="48"/>
    </row>
    <row r="44" spans="1:11" x14ac:dyDescent="0.25">
      <c r="A44" s="1">
        <v>201225</v>
      </c>
      <c r="B44" s="1" t="s">
        <v>437</v>
      </c>
      <c r="C44" s="1" t="s">
        <v>396</v>
      </c>
      <c r="D44" s="2">
        <f>1254.64*(1+4.6%)</f>
        <v>1312.3534400000001</v>
      </c>
      <c r="K44" s="48"/>
    </row>
    <row r="45" spans="1:11" x14ac:dyDescent="0.25">
      <c r="A45" s="1">
        <v>201232</v>
      </c>
      <c r="B45" s="1" t="s">
        <v>438</v>
      </c>
      <c r="C45" s="1" t="s">
        <v>396</v>
      </c>
      <c r="D45" s="2">
        <f>1951.5*(1+4.6%)</f>
        <v>2041.269</v>
      </c>
      <c r="K45" s="48"/>
    </row>
    <row r="46" spans="1:11" x14ac:dyDescent="0.25">
      <c r="A46" s="1">
        <v>201333</v>
      </c>
      <c r="B46" s="1" t="s">
        <v>439</v>
      </c>
      <c r="C46" s="1" t="s">
        <v>396</v>
      </c>
      <c r="D46" s="2">
        <f>1596.6*(1+4.6%)</f>
        <v>1670.0436</v>
      </c>
      <c r="K46" s="48"/>
    </row>
    <row r="47" spans="1:11" x14ac:dyDescent="0.25">
      <c r="A47" s="1">
        <v>201240</v>
      </c>
      <c r="B47" s="1" t="s">
        <v>440</v>
      </c>
      <c r="C47" s="1" t="s">
        <v>396</v>
      </c>
      <c r="D47" s="2">
        <f>3360.56*(1+4.6%)</f>
        <v>3515.1457599999999</v>
      </c>
      <c r="K47" s="48"/>
    </row>
    <row r="48" spans="1:11" x14ac:dyDescent="0.25">
      <c r="A48" s="1">
        <v>201341</v>
      </c>
      <c r="B48" s="1" t="s">
        <v>441</v>
      </c>
      <c r="C48" s="1" t="s">
        <v>396</v>
      </c>
      <c r="D48" s="2">
        <f>3272.89*(1+4.6%)</f>
        <v>3423.4429399999999</v>
      </c>
    </row>
    <row r="49" spans="1:11" x14ac:dyDescent="0.25">
      <c r="A49" s="1">
        <v>201250</v>
      </c>
      <c r="B49" s="1" t="s">
        <v>442</v>
      </c>
      <c r="C49" s="1" t="s">
        <v>396</v>
      </c>
      <c r="D49" s="2">
        <f>5185.05*(1+4.6%)</f>
        <v>5423.5623000000005</v>
      </c>
    </row>
    <row r="50" spans="1:11" x14ac:dyDescent="0.25">
      <c r="A50" s="1">
        <v>201351</v>
      </c>
      <c r="B50" s="1" t="s">
        <v>443</v>
      </c>
      <c r="C50" s="1" t="s">
        <v>396</v>
      </c>
      <c r="D50" s="2">
        <f>5031.66*(1+4.6%)</f>
        <v>5263.11636</v>
      </c>
    </row>
    <row r="51" spans="1:11" x14ac:dyDescent="0.25">
      <c r="A51" s="1">
        <v>201364</v>
      </c>
      <c r="B51" s="1" t="s">
        <v>444</v>
      </c>
      <c r="C51" s="1" t="s">
        <v>396</v>
      </c>
      <c r="D51" s="2">
        <f>7801.89*(1+4.6%)</f>
        <v>8160.7769400000006</v>
      </c>
      <c r="K51" s="48"/>
    </row>
    <row r="52" spans="1:11" x14ac:dyDescent="0.25">
      <c r="A52" s="1">
        <v>201263</v>
      </c>
      <c r="B52" s="1" t="s">
        <v>445</v>
      </c>
      <c r="C52" s="1" t="s">
        <v>396</v>
      </c>
      <c r="D52" s="2">
        <f>7462.04*(1+4.6%)</f>
        <v>7805.2938400000003</v>
      </c>
      <c r="K52" s="48"/>
    </row>
    <row r="53" spans="1:11" x14ac:dyDescent="0.25">
      <c r="A53" s="1">
        <v>24240</v>
      </c>
      <c r="B53" s="1" t="s">
        <v>446</v>
      </c>
      <c r="C53" s="1" t="s">
        <v>396</v>
      </c>
      <c r="D53" s="2">
        <f>12746.66*(1+4.6%)</f>
        <v>13333.006360000001</v>
      </c>
      <c r="K53" s="48"/>
    </row>
    <row r="54" spans="1:11" x14ac:dyDescent="0.25">
      <c r="A54" s="1">
        <v>24263</v>
      </c>
      <c r="B54" s="1" t="s">
        <v>447</v>
      </c>
      <c r="C54" s="1" t="s">
        <v>396</v>
      </c>
      <c r="D54" s="2">
        <f>15869.31*(1+4.6%)</f>
        <v>16599.29826</v>
      </c>
    </row>
    <row r="55" spans="1:11" x14ac:dyDescent="0.25">
      <c r="A55" s="1">
        <v>203020</v>
      </c>
      <c r="B55" s="1" t="s">
        <v>448</v>
      </c>
      <c r="C55" s="1" t="s">
        <v>396</v>
      </c>
      <c r="D55" s="2">
        <f>332.71*(1+4.6%)</f>
        <v>348.01465999999999</v>
      </c>
    </row>
    <row r="56" spans="1:11" x14ac:dyDescent="0.25">
      <c r="A56" s="1">
        <v>203025</v>
      </c>
      <c r="B56" s="1" t="s">
        <v>449</v>
      </c>
      <c r="C56" s="1" t="s">
        <v>396</v>
      </c>
      <c r="D56" s="2">
        <f>374.72*(1+4.6%)</f>
        <v>391.95712000000003</v>
      </c>
    </row>
    <row r="57" spans="1:11" x14ac:dyDescent="0.25">
      <c r="A57" s="1">
        <v>203032</v>
      </c>
      <c r="B57" s="1" t="s">
        <v>450</v>
      </c>
      <c r="C57" s="1" t="s">
        <v>396</v>
      </c>
      <c r="D57" s="2">
        <f>425.45*(1+4.6%)</f>
        <v>445.02070000000003</v>
      </c>
      <c r="K57" s="48"/>
    </row>
    <row r="58" spans="1:11" x14ac:dyDescent="0.25">
      <c r="A58" s="1">
        <v>203040</v>
      </c>
      <c r="B58" s="1" t="s">
        <v>451</v>
      </c>
      <c r="C58" s="1" t="s">
        <v>396</v>
      </c>
      <c r="D58" s="2">
        <f>1013.19*(1+4.6%)</f>
        <v>1059.79674</v>
      </c>
      <c r="K58" s="48"/>
    </row>
    <row r="59" spans="1:11" x14ac:dyDescent="0.25">
      <c r="A59" s="1">
        <v>203050</v>
      </c>
      <c r="B59" s="1" t="s">
        <v>452</v>
      </c>
      <c r="C59" s="1" t="s">
        <v>396</v>
      </c>
      <c r="D59" s="2">
        <f>2035.49*(1+4.6%)</f>
        <v>2129.1225400000003</v>
      </c>
      <c r="K59" s="48"/>
    </row>
    <row r="60" spans="1:11" x14ac:dyDescent="0.25">
      <c r="A60" s="1">
        <v>203063</v>
      </c>
      <c r="B60" s="1" t="s">
        <v>453</v>
      </c>
      <c r="C60" s="1" t="s">
        <v>396</v>
      </c>
      <c r="D60" s="2">
        <f>2698.89*(1+4.6%)</f>
        <v>2823.0389399999999</v>
      </c>
      <c r="K60" s="48"/>
    </row>
    <row r="61" spans="1:11" x14ac:dyDescent="0.25">
      <c r="A61" s="1">
        <v>203126</v>
      </c>
      <c r="B61" s="1" t="s">
        <v>454</v>
      </c>
      <c r="C61" s="1" t="s">
        <v>396</v>
      </c>
      <c r="D61" s="2">
        <f>317.06*(1+4.6%)</f>
        <v>331.64476000000002</v>
      </c>
      <c r="K61" s="48"/>
    </row>
    <row r="62" spans="1:11" x14ac:dyDescent="0.25">
      <c r="A62" s="1">
        <v>203134</v>
      </c>
      <c r="B62" s="1" t="s">
        <v>455</v>
      </c>
      <c r="C62" s="1" t="s">
        <v>396</v>
      </c>
      <c r="D62" s="2">
        <f>378.28*(1+4.6%)</f>
        <v>395.68088</v>
      </c>
      <c r="K62" s="48"/>
    </row>
    <row r="63" spans="1:11" x14ac:dyDescent="0.25">
      <c r="A63" s="1">
        <v>203133</v>
      </c>
      <c r="B63" s="1" t="s">
        <v>456</v>
      </c>
      <c r="C63" s="1" t="s">
        <v>396</v>
      </c>
      <c r="D63" s="2">
        <f>373.24*(1+4.6%)</f>
        <v>390.40904</v>
      </c>
      <c r="K63" s="48"/>
    </row>
    <row r="64" spans="1:11" x14ac:dyDescent="0.25">
      <c r="A64" s="1">
        <v>203142</v>
      </c>
      <c r="B64" s="1" t="s">
        <v>457</v>
      </c>
      <c r="C64" s="1" t="s">
        <v>396</v>
      </c>
      <c r="D64" s="2">
        <f>1636.19*(1+4.6%)</f>
        <v>1711.4547400000001</v>
      </c>
      <c r="K64" s="48"/>
    </row>
    <row r="65" spans="1:11" x14ac:dyDescent="0.25">
      <c r="A65" s="1">
        <v>203141</v>
      </c>
      <c r="B65" s="1" t="s">
        <v>458</v>
      </c>
      <c r="C65" s="1" t="s">
        <v>396</v>
      </c>
      <c r="D65" s="2">
        <f>1701.07*(1+4.6%)</f>
        <v>1779.3192200000001</v>
      </c>
      <c r="K65" s="48"/>
    </row>
    <row r="66" spans="1:11" x14ac:dyDescent="0.25">
      <c r="A66" s="1">
        <v>203152</v>
      </c>
      <c r="B66" s="1" t="s">
        <v>459</v>
      </c>
      <c r="C66" s="1" t="s">
        <v>396</v>
      </c>
      <c r="D66" s="2">
        <f>1998.93*(1+4.6%)</f>
        <v>2090.88078</v>
      </c>
    </row>
    <row r="67" spans="1:11" x14ac:dyDescent="0.25">
      <c r="A67" s="1">
        <v>203151</v>
      </c>
      <c r="B67" s="1" t="s">
        <v>460</v>
      </c>
      <c r="C67" s="1" t="s">
        <v>396</v>
      </c>
      <c r="D67" s="2">
        <f>2035.49*(1+4.6%)</f>
        <v>2129.1225400000003</v>
      </c>
      <c r="K67" s="48"/>
    </row>
    <row r="68" spans="1:11" x14ac:dyDescent="0.25">
      <c r="A68" s="1">
        <v>203165</v>
      </c>
      <c r="B68" s="1" t="s">
        <v>461</v>
      </c>
      <c r="C68" s="1" t="s">
        <v>396</v>
      </c>
      <c r="D68" s="2">
        <f>2447.14*(1+4.6%)</f>
        <v>2559.7084399999999</v>
      </c>
      <c r="K68" s="48"/>
    </row>
    <row r="69" spans="1:11" x14ac:dyDescent="0.25">
      <c r="A69" s="1">
        <v>203164</v>
      </c>
      <c r="B69" s="1" t="s">
        <v>462</v>
      </c>
      <c r="C69" s="1" t="s">
        <v>396</v>
      </c>
      <c r="D69" s="2">
        <f>2776.52*(1+4.6%)</f>
        <v>2904.23992</v>
      </c>
      <c r="K69" s="48"/>
    </row>
    <row r="70" spans="1:11" x14ac:dyDescent="0.25">
      <c r="A70" s="1">
        <v>207120</v>
      </c>
      <c r="B70" s="1" t="s">
        <v>463</v>
      </c>
      <c r="C70" s="1" t="s">
        <v>396</v>
      </c>
      <c r="D70" s="2">
        <f>4715.38*(1+4.6%)</f>
        <v>4932.28748</v>
      </c>
    </row>
    <row r="71" spans="1:11" x14ac:dyDescent="0.25">
      <c r="A71" s="1">
        <v>207125</v>
      </c>
      <c r="B71" s="1" t="s">
        <v>464</v>
      </c>
      <c r="C71" s="1" t="s">
        <v>396</v>
      </c>
      <c r="D71" s="2">
        <f>4720.39*(1+4.6%)</f>
        <v>4937.5279400000009</v>
      </c>
    </row>
    <row r="72" spans="1:11" x14ac:dyDescent="0.25">
      <c r="A72" s="1">
        <v>207132</v>
      </c>
      <c r="B72" s="1" t="s">
        <v>465</v>
      </c>
      <c r="C72" s="1" t="s">
        <v>396</v>
      </c>
      <c r="D72" s="2">
        <f>11411.44*(1+4.6%)</f>
        <v>11936.366240000001</v>
      </c>
    </row>
    <row r="73" spans="1:11" x14ac:dyDescent="0.25">
      <c r="A73" s="1">
        <v>207240</v>
      </c>
      <c r="B73" s="1" t="s">
        <v>466</v>
      </c>
      <c r="C73" s="1" t="s">
        <v>396</v>
      </c>
      <c r="D73" s="2">
        <f>0*(1+4.6%)</f>
        <v>0</v>
      </c>
    </row>
    <row r="74" spans="1:11" x14ac:dyDescent="0.25">
      <c r="A74" s="1">
        <v>207240</v>
      </c>
      <c r="B74" s="1" t="s">
        <v>466</v>
      </c>
      <c r="C74" s="1" t="s">
        <v>396</v>
      </c>
      <c r="D74" s="2">
        <f>11137.46*(1+4.6%)</f>
        <v>11649.783159999999</v>
      </c>
    </row>
    <row r="75" spans="1:11" x14ac:dyDescent="0.25">
      <c r="A75" s="1">
        <v>207250</v>
      </c>
      <c r="B75" s="1" t="s">
        <v>467</v>
      </c>
      <c r="C75" s="1" t="s">
        <v>396</v>
      </c>
      <c r="D75" s="2">
        <f>18263.81*(1+4.6%)</f>
        <v>19103.94526</v>
      </c>
    </row>
    <row r="76" spans="1:11" x14ac:dyDescent="0.25">
      <c r="A76" s="1">
        <v>207263</v>
      </c>
      <c r="B76" s="1" t="s">
        <v>468</v>
      </c>
      <c r="C76" s="1" t="s">
        <v>396</v>
      </c>
      <c r="D76" s="2">
        <f>32149.14*(1+4.6%)</f>
        <v>33628.000440000003</v>
      </c>
    </row>
    <row r="77" spans="1:11" x14ac:dyDescent="0.25">
      <c r="A77" s="1">
        <v>206020</v>
      </c>
      <c r="B77" s="1" t="s">
        <v>469</v>
      </c>
      <c r="C77" s="1" t="s">
        <v>396</v>
      </c>
      <c r="D77" s="2">
        <f>186.49*(1+4.6%)</f>
        <v>195.06854000000001</v>
      </c>
    </row>
    <row r="78" spans="1:11" x14ac:dyDescent="0.25">
      <c r="A78" s="1">
        <v>206025</v>
      </c>
      <c r="B78" s="1" t="s">
        <v>470</v>
      </c>
      <c r="C78" s="1" t="s">
        <v>396</v>
      </c>
      <c r="D78" s="2">
        <f>186.49*(1+4.6%)</f>
        <v>195.06854000000001</v>
      </c>
    </row>
    <row r="79" spans="1:11" x14ac:dyDescent="0.25">
      <c r="A79" s="1">
        <v>206032</v>
      </c>
      <c r="B79" s="1" t="s">
        <v>471</v>
      </c>
      <c r="C79" s="1" t="s">
        <v>396</v>
      </c>
      <c r="D79" s="2">
        <f>186.49*(1+4.6%)</f>
        <v>195.06854000000001</v>
      </c>
    </row>
    <row r="80" spans="1:11" x14ac:dyDescent="0.25">
      <c r="A80" s="1">
        <v>206040</v>
      </c>
      <c r="B80" s="1" t="s">
        <v>472</v>
      </c>
      <c r="C80" s="1" t="s">
        <v>396</v>
      </c>
      <c r="D80" s="2">
        <f>198.21*(1+4.6%)</f>
        <v>207.32766000000001</v>
      </c>
    </row>
    <row r="81" spans="1:11" x14ac:dyDescent="0.25">
      <c r="A81" s="1">
        <v>206050</v>
      </c>
      <c r="B81" s="1" t="s">
        <v>473</v>
      </c>
      <c r="C81" s="1" t="s">
        <v>396</v>
      </c>
      <c r="D81" s="2">
        <f>198.21*(1+4.6%)</f>
        <v>207.32766000000001</v>
      </c>
    </row>
    <row r="82" spans="1:11" x14ac:dyDescent="0.25">
      <c r="A82" s="1">
        <v>206063</v>
      </c>
      <c r="B82" s="1" t="s">
        <v>474</v>
      </c>
      <c r="C82" s="1" t="s">
        <v>396</v>
      </c>
      <c r="D82" s="2">
        <f>198.21*(1+4.6%)</f>
        <v>207.32766000000001</v>
      </c>
      <c r="K82" s="48"/>
    </row>
    <row r="83" spans="1:11" x14ac:dyDescent="0.25">
      <c r="A83" s="1">
        <v>208020</v>
      </c>
      <c r="B83" s="1" t="s">
        <v>475</v>
      </c>
      <c r="C83" s="1" t="s">
        <v>396</v>
      </c>
      <c r="D83" s="2">
        <f>308.04*(1+4.6%)</f>
        <v>322.20984000000004</v>
      </c>
    </row>
    <row r="84" spans="1:11" x14ac:dyDescent="0.25">
      <c r="A84" s="1">
        <v>208025</v>
      </c>
      <c r="B84" s="1" t="s">
        <v>476</v>
      </c>
      <c r="C84" s="1" t="s">
        <v>396</v>
      </c>
      <c r="D84" s="2">
        <f>339.75*(1+4.6%)</f>
        <v>355.37850000000003</v>
      </c>
      <c r="K84" s="48"/>
    </row>
    <row r="85" spans="1:11" x14ac:dyDescent="0.25">
      <c r="A85" s="1">
        <v>208032</v>
      </c>
      <c r="B85" s="1" t="s">
        <v>477</v>
      </c>
      <c r="C85" s="1" t="s">
        <v>396</v>
      </c>
      <c r="D85" s="2">
        <f>377.78*(1+4.6%)</f>
        <v>395.15787999999998</v>
      </c>
      <c r="K85" s="48"/>
    </row>
    <row r="86" spans="1:11" x14ac:dyDescent="0.25">
      <c r="A86" s="1">
        <v>208040</v>
      </c>
      <c r="B86" s="1" t="s">
        <v>478</v>
      </c>
      <c r="C86" s="1" t="s">
        <v>396</v>
      </c>
      <c r="D86" s="2">
        <f>504.49*(1+4.6%)</f>
        <v>527.69654000000003</v>
      </c>
    </row>
    <row r="87" spans="1:11" x14ac:dyDescent="0.25">
      <c r="A87" s="1">
        <v>208050</v>
      </c>
      <c r="B87" s="1" t="s">
        <v>479</v>
      </c>
      <c r="C87" s="1" t="s">
        <v>396</v>
      </c>
      <c r="D87" s="2">
        <f>747.46*(1+4.6%)</f>
        <v>781.84316000000013</v>
      </c>
      <c r="K87" s="48"/>
    </row>
    <row r="88" spans="1:11" x14ac:dyDescent="0.25">
      <c r="A88" s="1">
        <v>208063</v>
      </c>
      <c r="B88" s="1" t="s">
        <v>480</v>
      </c>
      <c r="C88" s="1" t="s">
        <v>396</v>
      </c>
      <c r="D88" s="2">
        <f>969.26*(1+4.6%)</f>
        <v>1013.84596</v>
      </c>
    </row>
    <row r="89" spans="1:11" x14ac:dyDescent="0.25">
      <c r="A89" s="1">
        <v>2063</v>
      </c>
      <c r="B89" s="1" t="s">
        <v>481</v>
      </c>
      <c r="C89" s="1" t="s">
        <v>396</v>
      </c>
      <c r="D89" s="2">
        <f>3000.47*(1+4.6%)</f>
        <v>3138.4916199999998</v>
      </c>
    </row>
    <row r="90" spans="1:11" x14ac:dyDescent="0.25">
      <c r="A90" s="1">
        <v>24270</v>
      </c>
      <c r="B90" s="1" t="s">
        <v>482</v>
      </c>
      <c r="C90" s="1" t="s">
        <v>396</v>
      </c>
      <c r="D90" s="2">
        <f>890.86*(1+4.6%)</f>
        <v>931.83956000000001</v>
      </c>
      <c r="K90" s="48"/>
    </row>
    <row r="91" spans="1:11" x14ac:dyDescent="0.25">
      <c r="A91" s="1">
        <v>24271</v>
      </c>
      <c r="B91" s="1" t="s">
        <v>483</v>
      </c>
      <c r="C91" s="1" t="s">
        <v>396</v>
      </c>
      <c r="D91" s="2">
        <f>1644.97*(1+4.6%)</f>
        <v>1720.6386200000002</v>
      </c>
    </row>
    <row r="92" spans="1:11" x14ac:dyDescent="0.25">
      <c r="A92" s="1">
        <v>81610</v>
      </c>
      <c r="B92" s="1" t="s">
        <v>484</v>
      </c>
      <c r="C92" s="1" t="s">
        <v>396</v>
      </c>
      <c r="D92" s="2">
        <f>1677.98*(1+4.6%)</f>
        <v>1755.1670800000002</v>
      </c>
    </row>
    <row r="93" spans="1:11" x14ac:dyDescent="0.25">
      <c r="A93" s="1">
        <v>24280</v>
      </c>
      <c r="B93" s="1" t="s">
        <v>485</v>
      </c>
      <c r="C93" s="1" t="s">
        <v>396</v>
      </c>
      <c r="D93" s="2">
        <f>936.42*(1+4.6%)</f>
        <v>979.49531999999999</v>
      </c>
    </row>
    <row r="94" spans="1:11" x14ac:dyDescent="0.25">
      <c r="A94" s="1">
        <v>24281</v>
      </c>
      <c r="B94" s="1" t="s">
        <v>486</v>
      </c>
      <c r="C94" s="1" t="s">
        <v>396</v>
      </c>
      <c r="D94" s="2">
        <f>1633.32*(1+4.6%)</f>
        <v>1708.45272</v>
      </c>
    </row>
    <row r="95" spans="1:11" x14ac:dyDescent="0.25">
      <c r="A95" s="1">
        <v>209020</v>
      </c>
      <c r="B95" s="1" t="s">
        <v>487</v>
      </c>
      <c r="C95" s="1" t="s">
        <v>396</v>
      </c>
      <c r="D95" s="2">
        <f>885.89*(1+4.6%)</f>
        <v>926.64094</v>
      </c>
      <c r="K95" s="48"/>
    </row>
    <row r="96" spans="1:11" x14ac:dyDescent="0.25">
      <c r="A96" s="1">
        <v>209025</v>
      </c>
      <c r="B96" s="1" t="s">
        <v>488</v>
      </c>
      <c r="C96" s="1" t="s">
        <v>396</v>
      </c>
      <c r="D96" s="2">
        <f>947.39*(1+4.6%)</f>
        <v>990.96994000000007</v>
      </c>
      <c r="K96" s="48"/>
    </row>
    <row r="97" spans="1:11" x14ac:dyDescent="0.25">
      <c r="A97" s="1">
        <v>209032</v>
      </c>
      <c r="B97" s="1" t="s">
        <v>489</v>
      </c>
      <c r="C97" s="1" t="s">
        <v>396</v>
      </c>
      <c r="D97" s="2">
        <f>1085.1*(1+4.6%)</f>
        <v>1135.0146</v>
      </c>
    </row>
    <row r="98" spans="1:11" x14ac:dyDescent="0.25">
      <c r="A98" s="1">
        <v>205020</v>
      </c>
      <c r="B98" s="1" t="s">
        <v>490</v>
      </c>
      <c r="C98" s="1" t="s">
        <v>396</v>
      </c>
      <c r="D98" s="2">
        <f>298.86*(1+4.6%)</f>
        <v>312.60756000000003</v>
      </c>
    </row>
    <row r="99" spans="1:11" x14ac:dyDescent="0.25">
      <c r="A99" s="1">
        <v>205025</v>
      </c>
      <c r="B99" s="1" t="s">
        <v>491</v>
      </c>
      <c r="C99" s="1" t="s">
        <v>396</v>
      </c>
      <c r="D99" s="2">
        <f>327.96*(1+4.6%)</f>
        <v>343.04615999999999</v>
      </c>
      <c r="K99" s="48"/>
    </row>
    <row r="100" spans="1:11" x14ac:dyDescent="0.25">
      <c r="A100" s="1">
        <v>205032</v>
      </c>
      <c r="B100" s="1" t="s">
        <v>492</v>
      </c>
      <c r="C100" s="1" t="s">
        <v>396</v>
      </c>
      <c r="D100" s="2">
        <f>340.13*(1+4.6%)</f>
        <v>355.77598</v>
      </c>
      <c r="K100" s="48"/>
    </row>
    <row r="101" spans="1:11" x14ac:dyDescent="0.25">
      <c r="A101" s="1">
        <v>205040</v>
      </c>
      <c r="B101" s="1" t="s">
        <v>493</v>
      </c>
      <c r="C101" s="1" t="s">
        <v>396</v>
      </c>
      <c r="D101" s="2">
        <f>864.08*(1+4.6%)</f>
        <v>903.8276800000001</v>
      </c>
      <c r="K101" s="48"/>
    </row>
    <row r="102" spans="1:11" x14ac:dyDescent="0.25">
      <c r="A102" s="1">
        <v>205050</v>
      </c>
      <c r="B102" s="1" t="s">
        <v>494</v>
      </c>
      <c r="C102" s="1" t="s">
        <v>396</v>
      </c>
      <c r="D102" s="2">
        <f>1119.72*(1+4.6%)</f>
        <v>1171.22712</v>
      </c>
      <c r="K102" s="48"/>
    </row>
    <row r="103" spans="1:11" x14ac:dyDescent="0.25">
      <c r="A103" s="1">
        <v>205063</v>
      </c>
      <c r="B103" s="1" t="s">
        <v>495</v>
      </c>
      <c r="C103" s="1" t="s">
        <v>396</v>
      </c>
      <c r="D103" s="2">
        <f>1528.3*(1+4.6%)</f>
        <v>1598.6017999999999</v>
      </c>
    </row>
    <row r="104" spans="1:11" x14ac:dyDescent="0.25">
      <c r="A104" s="1">
        <v>202020</v>
      </c>
      <c r="B104" s="1" t="s">
        <v>496</v>
      </c>
      <c r="C104" s="1" t="s">
        <v>396</v>
      </c>
      <c r="D104" s="2">
        <f>834.69*(1+4.6%)</f>
        <v>873.0857400000001</v>
      </c>
      <c r="K104" s="48"/>
    </row>
    <row r="105" spans="1:11" x14ac:dyDescent="0.25">
      <c r="A105" s="1">
        <v>202025</v>
      </c>
      <c r="B105" s="1" t="s">
        <v>497</v>
      </c>
      <c r="C105" s="1" t="s">
        <v>396</v>
      </c>
      <c r="D105" s="2">
        <f>895.9*(1+4.6%)</f>
        <v>937.1114</v>
      </c>
      <c r="K105" s="48"/>
    </row>
    <row r="106" spans="1:11" x14ac:dyDescent="0.25">
      <c r="A106" s="1">
        <v>202032</v>
      </c>
      <c r="B106" s="1" t="s">
        <v>498</v>
      </c>
      <c r="C106" s="1" t="s">
        <v>396</v>
      </c>
      <c r="D106" s="2">
        <f>1179.16*(1+4.6%)</f>
        <v>1233.4013600000001</v>
      </c>
      <c r="K106" s="48"/>
    </row>
    <row r="107" spans="1:11" x14ac:dyDescent="0.25">
      <c r="A107" s="1">
        <v>202040</v>
      </c>
      <c r="B107" s="1" t="s">
        <v>499</v>
      </c>
      <c r="C107" s="1" t="s">
        <v>396</v>
      </c>
      <c r="D107" s="2">
        <f>2111.31*(1+4.6%)</f>
        <v>2208.4302600000001</v>
      </c>
      <c r="K107" s="48"/>
    </row>
    <row r="108" spans="1:11" x14ac:dyDescent="0.25">
      <c r="A108" s="1">
        <v>202050</v>
      </c>
      <c r="B108" s="1" t="s">
        <v>500</v>
      </c>
      <c r="C108" s="1" t="s">
        <v>396</v>
      </c>
      <c r="D108" s="2">
        <f>4121.14*(1+4.6%)</f>
        <v>4310.7124400000002</v>
      </c>
      <c r="K108" s="48"/>
    </row>
    <row r="109" spans="1:11" x14ac:dyDescent="0.25">
      <c r="A109" s="1">
        <v>202063</v>
      </c>
      <c r="B109" s="1" t="s">
        <v>501</v>
      </c>
      <c r="C109" s="1" t="s">
        <v>396</v>
      </c>
      <c r="D109" s="2">
        <f>7504.08*(1+4.6%)</f>
        <v>7849.2676799999999</v>
      </c>
      <c r="K109" s="48"/>
    </row>
    <row r="110" spans="1:11" x14ac:dyDescent="0.25">
      <c r="A110" s="1">
        <v>202126</v>
      </c>
      <c r="B110" s="1" t="s">
        <v>502</v>
      </c>
      <c r="C110" s="1" t="s">
        <v>396</v>
      </c>
      <c r="D110" s="2">
        <f>918.46*(1+4.6%)</f>
        <v>960.70916000000011</v>
      </c>
      <c r="K110" s="48"/>
    </row>
    <row r="111" spans="1:11" x14ac:dyDescent="0.25">
      <c r="A111" s="1">
        <v>202134</v>
      </c>
      <c r="B111" s="1" t="s">
        <v>503</v>
      </c>
      <c r="C111" s="1" t="s">
        <v>396</v>
      </c>
      <c r="D111" s="2">
        <f>1072.53*(1+4.6%)</f>
        <v>1121.8663799999999</v>
      </c>
      <c r="K111" s="48"/>
    </row>
    <row r="112" spans="1:11" x14ac:dyDescent="0.25">
      <c r="A112" s="1">
        <v>202133</v>
      </c>
      <c r="B112" s="1" t="s">
        <v>504</v>
      </c>
      <c r="C112" s="1" t="s">
        <v>396</v>
      </c>
      <c r="D112" s="2">
        <f>1033.16*(1+4.6%)</f>
        <v>1080.6853600000002</v>
      </c>
    </row>
    <row r="113" spans="1:11" x14ac:dyDescent="0.25">
      <c r="A113" s="1">
        <v>202142</v>
      </c>
      <c r="B113" s="1" t="s">
        <v>505</v>
      </c>
      <c r="C113" s="1" t="s">
        <v>396</v>
      </c>
      <c r="D113" s="2">
        <f>1874.94*(1+4.6%)</f>
        <v>1961.1872400000002</v>
      </c>
    </row>
    <row r="114" spans="1:11" x14ac:dyDescent="0.25">
      <c r="A114" s="1">
        <v>202141</v>
      </c>
      <c r="B114" s="1" t="s">
        <v>506</v>
      </c>
      <c r="C114" s="1" t="s">
        <v>396</v>
      </c>
      <c r="D114" s="2">
        <f>1968.67*(1+4.6%)</f>
        <v>2059.2288200000003</v>
      </c>
    </row>
    <row r="115" spans="1:11" x14ac:dyDescent="0.25">
      <c r="A115" s="1">
        <v>202152</v>
      </c>
      <c r="B115" s="1" t="s">
        <v>507</v>
      </c>
      <c r="C115" s="1" t="s">
        <v>396</v>
      </c>
      <c r="D115" s="2">
        <f>4527.12*(1+4.6%)</f>
        <v>4735.3675199999998</v>
      </c>
      <c r="K115" s="48"/>
    </row>
    <row r="116" spans="1:11" x14ac:dyDescent="0.25">
      <c r="A116" s="1">
        <v>202151</v>
      </c>
      <c r="B116" s="1" t="s">
        <v>508</v>
      </c>
      <c r="C116" s="1" t="s">
        <v>396</v>
      </c>
      <c r="D116" s="2">
        <f>5117.94*(1+4.6%)</f>
        <v>5353.3652400000001</v>
      </c>
      <c r="K116" s="48"/>
    </row>
    <row r="117" spans="1:11" x14ac:dyDescent="0.25">
      <c r="A117" s="1">
        <v>202165</v>
      </c>
      <c r="B117" s="1" t="s">
        <v>509</v>
      </c>
      <c r="C117" s="1" t="s">
        <v>396</v>
      </c>
      <c r="D117" s="2">
        <f>6653.75*(1+4.6%)</f>
        <v>6959.8225000000002</v>
      </c>
      <c r="K117" s="48"/>
    </row>
    <row r="118" spans="1:11" x14ac:dyDescent="0.25">
      <c r="A118" s="1">
        <v>202164</v>
      </c>
      <c r="B118" s="1" t="s">
        <v>510</v>
      </c>
      <c r="C118" s="1" t="s">
        <v>396</v>
      </c>
      <c r="D118" s="2">
        <f>7335.72*(1+4.6%)</f>
        <v>7673.1631200000002</v>
      </c>
      <c r="K118" s="48"/>
    </row>
    <row r="119" spans="1:11" x14ac:dyDescent="0.25">
      <c r="A119" s="1">
        <v>203220</v>
      </c>
      <c r="B119" s="1" t="s">
        <v>511</v>
      </c>
      <c r="C119" s="1" t="s">
        <v>396</v>
      </c>
      <c r="D119" s="2">
        <f>711.41*(1+4.6%)</f>
        <v>744.13486</v>
      </c>
    </row>
    <row r="120" spans="1:11" x14ac:dyDescent="0.25">
      <c r="A120" s="1">
        <v>203326</v>
      </c>
      <c r="B120" s="1" t="s">
        <v>512</v>
      </c>
      <c r="C120" s="1" t="s">
        <v>396</v>
      </c>
      <c r="D120" s="2">
        <f>954.9*(1+4.6%)</f>
        <v>998.82540000000006</v>
      </c>
    </row>
    <row r="121" spans="1:11" x14ac:dyDescent="0.25">
      <c r="A121" s="1">
        <v>203225</v>
      </c>
      <c r="B121" s="1" t="s">
        <v>513</v>
      </c>
      <c r="C121" s="1" t="s">
        <v>396</v>
      </c>
      <c r="D121" s="2">
        <f>938.18*(1+4.6%)</f>
        <v>981.33627999999999</v>
      </c>
      <c r="K121" s="48"/>
    </row>
    <row r="122" spans="1:11" x14ac:dyDescent="0.25">
      <c r="A122" s="1">
        <v>203232</v>
      </c>
      <c r="B122" s="1" t="s">
        <v>514</v>
      </c>
      <c r="C122" s="1" t="s">
        <v>396</v>
      </c>
      <c r="D122" s="2">
        <f>1226.13*(1+4.6%)</f>
        <v>1282.5319800000002</v>
      </c>
      <c r="K122" s="48"/>
    </row>
    <row r="123" spans="1:11" x14ac:dyDescent="0.25">
      <c r="A123" s="1">
        <v>203240</v>
      </c>
      <c r="B123" s="1" t="s">
        <v>515</v>
      </c>
      <c r="C123" s="1" t="s">
        <v>396</v>
      </c>
      <c r="D123" s="2">
        <f>2491.02*(1+4.6%)</f>
        <v>2605.6069200000002</v>
      </c>
      <c r="K123" s="48"/>
    </row>
    <row r="124" spans="1:11" x14ac:dyDescent="0.25">
      <c r="A124" s="1">
        <v>203250</v>
      </c>
      <c r="B124" s="1" t="s">
        <v>516</v>
      </c>
      <c r="C124" s="1" t="s">
        <v>396</v>
      </c>
      <c r="D124" s="2">
        <f>4167.35*(1+4.6%)</f>
        <v>4359.0481000000009</v>
      </c>
      <c r="K124" s="48"/>
    </row>
    <row r="125" spans="1:11" x14ac:dyDescent="0.25">
      <c r="A125" s="1">
        <v>203263</v>
      </c>
      <c r="B125" s="1" t="s">
        <v>517</v>
      </c>
      <c r="C125" s="1" t="s">
        <v>396</v>
      </c>
      <c r="D125" s="2">
        <f>6062.56*(1+4.6%)</f>
        <v>6341.4377600000007</v>
      </c>
      <c r="K125" s="48"/>
    </row>
    <row r="126" spans="1:11" x14ac:dyDescent="0.25">
      <c r="A126" s="1">
        <v>203420</v>
      </c>
      <c r="B126" s="1" t="s">
        <v>518</v>
      </c>
      <c r="C126" s="1" t="s">
        <v>396</v>
      </c>
      <c r="D126" s="2">
        <f>796.33*(1+4.6%)</f>
        <v>832.96118000000013</v>
      </c>
      <c r="K126" s="48"/>
    </row>
    <row r="127" spans="1:11" x14ac:dyDescent="0.25">
      <c r="A127" s="1">
        <v>203526</v>
      </c>
      <c r="B127" s="1" t="s">
        <v>519</v>
      </c>
      <c r="C127" s="1" t="s">
        <v>396</v>
      </c>
      <c r="D127" s="2">
        <f>990.68*(1+4.6%)</f>
        <v>1036.25128</v>
      </c>
      <c r="K127" s="48"/>
    </row>
    <row r="128" spans="1:11" x14ac:dyDescent="0.25">
      <c r="A128" s="1">
        <v>203425</v>
      </c>
      <c r="B128" s="1" t="s">
        <v>520</v>
      </c>
      <c r="C128" s="1" t="s">
        <v>396</v>
      </c>
      <c r="D128" s="2">
        <f>1072.22*(1+4.6%)</f>
        <v>1121.5421200000001</v>
      </c>
      <c r="K128" s="48"/>
    </row>
    <row r="129" spans="1:11" x14ac:dyDescent="0.25">
      <c r="A129" s="1">
        <v>203432</v>
      </c>
      <c r="B129" s="1" t="s">
        <v>521</v>
      </c>
      <c r="C129" s="1" t="s">
        <v>396</v>
      </c>
      <c r="D129" s="2">
        <f>1377.19*(1+4.6%)</f>
        <v>1440.5407400000001</v>
      </c>
      <c r="K129" s="48"/>
    </row>
    <row r="130" spans="1:11" x14ac:dyDescent="0.25">
      <c r="A130" s="1">
        <v>203440</v>
      </c>
      <c r="B130" s="1" t="s">
        <v>522</v>
      </c>
      <c r="C130" s="1" t="s">
        <v>396</v>
      </c>
      <c r="D130" s="2">
        <f>2852.47*(1+4.6%)</f>
        <v>2983.6836199999998</v>
      </c>
      <c r="K130" s="48"/>
    </row>
    <row r="131" spans="1:11" x14ac:dyDescent="0.25">
      <c r="A131" s="1">
        <v>203450</v>
      </c>
      <c r="B131" s="1" t="s">
        <v>523</v>
      </c>
      <c r="C131" s="1" t="s">
        <v>396</v>
      </c>
      <c r="D131" s="2">
        <f>6507.45*(1+4.6%)</f>
        <v>6806.7927</v>
      </c>
      <c r="K131" s="48"/>
    </row>
    <row r="132" spans="1:11" x14ac:dyDescent="0.25">
      <c r="A132" s="1">
        <v>203463</v>
      </c>
      <c r="B132" s="1" t="s">
        <v>524</v>
      </c>
      <c r="C132" s="1" t="s">
        <v>396</v>
      </c>
      <c r="D132" s="2">
        <f>5896.31*(1+4.6%)</f>
        <v>6167.5402600000007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5" sqref="G15"/>
    </sheetView>
  </sheetViews>
  <sheetFormatPr baseColWidth="10" defaultRowHeight="15" x14ac:dyDescent="0.25"/>
  <cols>
    <col min="1" max="1" width="39.7109375" bestFit="1" customWidth="1"/>
  </cols>
  <sheetData>
    <row r="1" spans="1:3" x14ac:dyDescent="0.25">
      <c r="A1" s="4" t="s">
        <v>1</v>
      </c>
      <c r="B1" s="4" t="s">
        <v>2</v>
      </c>
      <c r="C1" s="9" t="s">
        <v>3</v>
      </c>
    </row>
    <row r="2" spans="1:3" x14ac:dyDescent="0.25">
      <c r="A2" s="1" t="s">
        <v>525</v>
      </c>
      <c r="B2" s="1" t="s">
        <v>526</v>
      </c>
      <c r="C2" s="2">
        <v>2490.67</v>
      </c>
    </row>
    <row r="3" spans="1:3" x14ac:dyDescent="0.25">
      <c r="A3" s="1" t="s">
        <v>527</v>
      </c>
      <c r="B3" s="1" t="s">
        <v>526</v>
      </c>
      <c r="C3" s="2">
        <v>721.48</v>
      </c>
    </row>
    <row r="4" spans="1:3" x14ac:dyDescent="0.25">
      <c r="A4" s="1" t="s">
        <v>528</v>
      </c>
      <c r="B4" s="1" t="s">
        <v>526</v>
      </c>
      <c r="C4" s="2">
        <v>769.5</v>
      </c>
    </row>
    <row r="5" spans="1:3" x14ac:dyDescent="0.25">
      <c r="A5" s="1" t="s">
        <v>529</v>
      </c>
      <c r="B5" s="1" t="s">
        <v>526</v>
      </c>
      <c r="C5" s="2">
        <v>786.62</v>
      </c>
    </row>
    <row r="6" spans="1:3" x14ac:dyDescent="0.25">
      <c r="A6" s="1" t="s">
        <v>530</v>
      </c>
      <c r="B6" s="1" t="s">
        <v>526</v>
      </c>
      <c r="C6" s="2">
        <v>828.02</v>
      </c>
    </row>
    <row r="7" spans="1:3" x14ac:dyDescent="0.25">
      <c r="A7" s="1" t="s">
        <v>531</v>
      </c>
      <c r="B7" s="1" t="s">
        <v>526</v>
      </c>
      <c r="C7" s="2">
        <v>191.58</v>
      </c>
    </row>
    <row r="8" spans="1:3" x14ac:dyDescent="0.25">
      <c r="A8" s="1" t="s">
        <v>532</v>
      </c>
      <c r="B8" s="1" t="s">
        <v>526</v>
      </c>
      <c r="C8" s="2">
        <v>249.52</v>
      </c>
    </row>
    <row r="9" spans="1:3" x14ac:dyDescent="0.25">
      <c r="A9" s="1" t="s">
        <v>533</v>
      </c>
      <c r="B9" s="1" t="s">
        <v>526</v>
      </c>
      <c r="C9" s="2">
        <v>549.5</v>
      </c>
    </row>
    <row r="10" spans="1:3" x14ac:dyDescent="0.25">
      <c r="A10" s="1" t="s">
        <v>534</v>
      </c>
      <c r="B10" s="1" t="s">
        <v>526</v>
      </c>
      <c r="C10" s="2">
        <v>549.5</v>
      </c>
    </row>
    <row r="11" spans="1:3" x14ac:dyDescent="0.25">
      <c r="A11" s="1" t="s">
        <v>535</v>
      </c>
      <c r="B11" s="1" t="s">
        <v>526</v>
      </c>
      <c r="C11" s="2">
        <v>549.5</v>
      </c>
    </row>
    <row r="12" spans="1:3" x14ac:dyDescent="0.25">
      <c r="A12" s="1" t="s">
        <v>536</v>
      </c>
      <c r="B12" s="1" t="s">
        <v>526</v>
      </c>
      <c r="C12" s="2">
        <v>191.58</v>
      </c>
    </row>
    <row r="13" spans="1:3" x14ac:dyDescent="0.25">
      <c r="A13" s="1" t="s">
        <v>537</v>
      </c>
      <c r="B13" s="1" t="s">
        <v>526</v>
      </c>
      <c r="C13" s="2">
        <v>191.58</v>
      </c>
    </row>
    <row r="14" spans="1:3" x14ac:dyDescent="0.25">
      <c r="A14" s="1" t="s">
        <v>538</v>
      </c>
      <c r="B14" s="1" t="s">
        <v>526</v>
      </c>
      <c r="C14" s="2">
        <v>191.58</v>
      </c>
    </row>
    <row r="15" spans="1:3" x14ac:dyDescent="0.25">
      <c r="A15" s="1" t="s">
        <v>539</v>
      </c>
      <c r="B15" s="1" t="s">
        <v>526</v>
      </c>
      <c r="C15" s="2">
        <v>191.58</v>
      </c>
    </row>
    <row r="16" spans="1:3" x14ac:dyDescent="0.25">
      <c r="A16" s="1" t="s">
        <v>540</v>
      </c>
      <c r="B16" s="1" t="s">
        <v>526</v>
      </c>
      <c r="C16" s="2">
        <v>2739.7</v>
      </c>
    </row>
    <row r="17" spans="1:3" x14ac:dyDescent="0.25">
      <c r="A17" s="1" t="s">
        <v>541</v>
      </c>
      <c r="B17" s="1" t="s">
        <v>526</v>
      </c>
      <c r="C17" s="2">
        <v>913.26</v>
      </c>
    </row>
    <row r="18" spans="1:3" x14ac:dyDescent="0.25">
      <c r="A18" s="1" t="s">
        <v>542</v>
      </c>
      <c r="B18" s="1" t="s">
        <v>526</v>
      </c>
      <c r="C18" s="2">
        <v>269.79000000000002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12" sqref="E12"/>
    </sheetView>
  </sheetViews>
  <sheetFormatPr baseColWidth="10" defaultRowHeight="15" x14ac:dyDescent="0.25"/>
  <cols>
    <col min="1" max="1" width="9.140625" bestFit="1" customWidth="1"/>
    <col min="2" max="2" width="53.7109375" bestFit="1" customWidth="1"/>
    <col min="4" max="4" width="14.28515625" bestFit="1" customWidth="1"/>
  </cols>
  <sheetData>
    <row r="1" spans="1:6" ht="24" thickBot="1" x14ac:dyDescent="0.4">
      <c r="A1" s="52" t="s">
        <v>543</v>
      </c>
      <c r="B1" s="53"/>
      <c r="C1" s="53"/>
      <c r="D1" s="54"/>
    </row>
    <row r="2" spans="1:6" x14ac:dyDescent="0.25">
      <c r="A2" s="10" t="s">
        <v>544</v>
      </c>
      <c r="B2" s="11" t="s">
        <v>545</v>
      </c>
      <c r="C2" s="12">
        <v>20</v>
      </c>
      <c r="D2" s="46">
        <v>1308.05</v>
      </c>
    </row>
    <row r="3" spans="1:6" x14ac:dyDescent="0.25">
      <c r="A3" s="13" t="s">
        <v>544</v>
      </c>
      <c r="B3" s="14" t="s">
        <v>546</v>
      </c>
      <c r="C3" s="15">
        <v>10</v>
      </c>
      <c r="D3" s="46">
        <v>2022.65</v>
      </c>
    </row>
    <row r="4" spans="1:6" x14ac:dyDescent="0.25">
      <c r="A4" s="13" t="s">
        <v>544</v>
      </c>
      <c r="B4" s="14" t="s">
        <v>547</v>
      </c>
      <c r="C4" s="15">
        <v>10</v>
      </c>
      <c r="D4" s="46">
        <v>3033.93</v>
      </c>
    </row>
    <row r="5" spans="1:6" x14ac:dyDescent="0.25">
      <c r="A5" s="13" t="s">
        <v>544</v>
      </c>
      <c r="B5" s="14" t="s">
        <v>548</v>
      </c>
      <c r="C5" s="15">
        <v>5</v>
      </c>
      <c r="D5" s="46">
        <v>4521.6099999999997</v>
      </c>
    </row>
    <row r="6" spans="1:6" x14ac:dyDescent="0.25">
      <c r="A6" s="13" t="s">
        <v>544</v>
      </c>
      <c r="B6" s="14" t="s">
        <v>549</v>
      </c>
      <c r="C6" s="15">
        <v>5</v>
      </c>
      <c r="D6" s="46">
        <v>5782.74</v>
      </c>
    </row>
    <row r="7" spans="1:6" x14ac:dyDescent="0.25">
      <c r="A7" s="13" t="s">
        <v>544</v>
      </c>
      <c r="B7" s="14" t="s">
        <v>550</v>
      </c>
      <c r="C7" s="15">
        <v>5</v>
      </c>
      <c r="D7" s="46">
        <v>8929.94</v>
      </c>
    </row>
    <row r="9" spans="1:6" x14ac:dyDescent="0.25">
      <c r="A9" s="4" t="s">
        <v>551</v>
      </c>
      <c r="B9" s="4" t="s">
        <v>552</v>
      </c>
      <c r="C9" s="4" t="s">
        <v>553</v>
      </c>
      <c r="D9" s="4" t="s">
        <v>554</v>
      </c>
    </row>
    <row r="10" spans="1:6" x14ac:dyDescent="0.25">
      <c r="A10" s="1">
        <v>74</v>
      </c>
      <c r="B10" s="1" t="s">
        <v>555</v>
      </c>
      <c r="C10" s="1">
        <v>24</v>
      </c>
      <c r="D10" s="2">
        <f>988.11*(1+4.6%)</f>
        <v>1033.56306</v>
      </c>
      <c r="F10" s="47"/>
    </row>
    <row r="11" spans="1:6" x14ac:dyDescent="0.25">
      <c r="A11" s="1">
        <v>82</v>
      </c>
      <c r="B11" s="1" t="s">
        <v>556</v>
      </c>
      <c r="C11" s="1">
        <v>25</v>
      </c>
      <c r="D11" s="2">
        <f>354.23*(1+4.6%)</f>
        <v>370.52458000000001</v>
      </c>
    </row>
    <row r="12" spans="1:6" x14ac:dyDescent="0.25">
      <c r="A12" s="1">
        <v>85</v>
      </c>
      <c r="B12" s="1" t="s">
        <v>557</v>
      </c>
      <c r="C12" s="1">
        <v>24</v>
      </c>
      <c r="D12" s="2">
        <f>622.57*(1+4.6%)</f>
        <v>651.2082200000001</v>
      </c>
    </row>
    <row r="13" spans="1:6" x14ac:dyDescent="0.25">
      <c r="A13" s="1">
        <v>86</v>
      </c>
      <c r="B13" s="1" t="s">
        <v>558</v>
      </c>
      <c r="C13" s="1">
        <v>24</v>
      </c>
      <c r="D13" s="2">
        <f>1001.74*(1+4.6%)</f>
        <v>1047.8200400000001</v>
      </c>
    </row>
    <row r="14" spans="1:6" x14ac:dyDescent="0.25">
      <c r="A14" s="16"/>
      <c r="B14" s="16"/>
      <c r="C14" s="16"/>
      <c r="D14" s="16"/>
    </row>
    <row r="15" spans="1:6" x14ac:dyDescent="0.25">
      <c r="A15" s="4" t="s">
        <v>551</v>
      </c>
      <c r="B15" s="4" t="s">
        <v>552</v>
      </c>
      <c r="C15" s="4" t="s">
        <v>553</v>
      </c>
      <c r="D15" s="4" t="s">
        <v>554</v>
      </c>
    </row>
    <row r="16" spans="1:6" x14ac:dyDescent="0.25">
      <c r="A16" s="17">
        <v>3201</v>
      </c>
      <c r="B16" s="14" t="s">
        <v>559</v>
      </c>
      <c r="C16" s="15">
        <v>30</v>
      </c>
      <c r="D16" s="2">
        <f>159.57*(1+4.6%)</f>
        <v>166.91022000000001</v>
      </c>
    </row>
    <row r="17" spans="1:4" x14ac:dyDescent="0.25">
      <c r="A17" s="18">
        <v>3202</v>
      </c>
      <c r="B17" s="14" t="s">
        <v>560</v>
      </c>
      <c r="C17" s="15">
        <v>25</v>
      </c>
      <c r="D17" s="2">
        <f>175.2*(1+4.6%)</f>
        <v>183.25919999999999</v>
      </c>
    </row>
    <row r="18" spans="1:4" x14ac:dyDescent="0.25">
      <c r="A18" s="19">
        <v>3203</v>
      </c>
      <c r="B18" s="14" t="s">
        <v>561</v>
      </c>
      <c r="C18" s="15">
        <v>20</v>
      </c>
      <c r="D18" s="2">
        <f>241.56*(1+4.6%)</f>
        <v>252.67176000000001</v>
      </c>
    </row>
    <row r="19" spans="1:4" x14ac:dyDescent="0.25">
      <c r="A19" s="18">
        <v>3401</v>
      </c>
      <c r="B19" s="14" t="s">
        <v>562</v>
      </c>
      <c r="C19" s="15">
        <v>45</v>
      </c>
      <c r="D19" s="2">
        <f>171.58*(1+4.6%)</f>
        <v>179.47268000000003</v>
      </c>
    </row>
    <row r="20" spans="1:4" x14ac:dyDescent="0.25">
      <c r="A20" s="18">
        <v>3402</v>
      </c>
      <c r="B20" s="14" t="s">
        <v>563</v>
      </c>
      <c r="C20" s="15">
        <v>30</v>
      </c>
      <c r="D20" s="2">
        <f>218.26*(1+4.6%)</f>
        <v>228.29996</v>
      </c>
    </row>
    <row r="21" spans="1:4" x14ac:dyDescent="0.25">
      <c r="A21" s="20"/>
      <c r="B21" s="21"/>
      <c r="C21" s="22"/>
      <c r="D21" s="23"/>
    </row>
    <row r="22" spans="1:4" x14ac:dyDescent="0.25">
      <c r="A22" s="24" t="s">
        <v>564</v>
      </c>
      <c r="B22" s="24" t="s">
        <v>565</v>
      </c>
      <c r="C22" s="24" t="s">
        <v>566</v>
      </c>
      <c r="D22" s="24" t="s">
        <v>567</v>
      </c>
    </row>
    <row r="23" spans="1:4" ht="15.75" thickBot="1" x14ac:dyDescent="0.3">
      <c r="A23" s="25">
        <v>40004</v>
      </c>
      <c r="B23" s="26" t="s">
        <v>568</v>
      </c>
      <c r="C23" s="27">
        <v>10</v>
      </c>
      <c r="D23" s="2">
        <v>702.79</v>
      </c>
    </row>
    <row r="24" spans="1:4" ht="15.75" thickBot="1" x14ac:dyDescent="0.3">
      <c r="A24" s="28">
        <v>50005</v>
      </c>
      <c r="B24" s="29" t="s">
        <v>569</v>
      </c>
      <c r="C24" s="30">
        <v>10</v>
      </c>
      <c r="D24" s="2">
        <v>844.49</v>
      </c>
    </row>
    <row r="25" spans="1:4" ht="15.75" thickBot="1" x14ac:dyDescent="0.3">
      <c r="A25" s="31">
        <v>63004</v>
      </c>
      <c r="B25" s="29" t="s">
        <v>570</v>
      </c>
      <c r="C25" s="30">
        <v>5</v>
      </c>
      <c r="D25" s="2">
        <v>1368.56</v>
      </c>
    </row>
    <row r="26" spans="1:4" x14ac:dyDescent="0.25">
      <c r="A26" s="32">
        <v>100004</v>
      </c>
      <c r="B26" s="33" t="s">
        <v>571</v>
      </c>
      <c r="C26" s="34">
        <v>5</v>
      </c>
      <c r="D26" s="2">
        <v>1460.96</v>
      </c>
    </row>
    <row r="27" spans="1:4" x14ac:dyDescent="0.25">
      <c r="A27" s="35">
        <v>110104</v>
      </c>
      <c r="B27" s="36" t="s">
        <v>572</v>
      </c>
      <c r="C27" s="37">
        <v>3</v>
      </c>
      <c r="D27" s="2">
        <v>2013.24</v>
      </c>
    </row>
    <row r="28" spans="1:4" x14ac:dyDescent="0.25">
      <c r="A28" s="1"/>
      <c r="B28" s="1" t="s">
        <v>573</v>
      </c>
      <c r="C28" s="13">
        <v>1</v>
      </c>
      <c r="D28" s="2">
        <f>(4095*(1+5%))*(1+10%)</f>
        <v>4729.7250000000004</v>
      </c>
    </row>
    <row r="29" spans="1:4" ht="15.75" thickBot="1" x14ac:dyDescent="0.3">
      <c r="A29" s="38"/>
      <c r="B29" s="39"/>
      <c r="C29" s="39"/>
      <c r="D29" s="39"/>
    </row>
    <row r="30" spans="1:4" ht="39" thickBot="1" x14ac:dyDescent="0.3">
      <c r="A30" s="40" t="s">
        <v>551</v>
      </c>
      <c r="B30" s="41" t="s">
        <v>552</v>
      </c>
      <c r="C30" s="41" t="s">
        <v>574</v>
      </c>
      <c r="D30" s="41" t="s">
        <v>554</v>
      </c>
    </row>
    <row r="31" spans="1:4" ht="15.75" thickBot="1" x14ac:dyDescent="0.3">
      <c r="A31" s="31">
        <v>102</v>
      </c>
      <c r="B31" s="42" t="s">
        <v>575</v>
      </c>
      <c r="C31" s="30">
        <v>100</v>
      </c>
      <c r="D31" s="2">
        <v>50.4</v>
      </c>
    </row>
    <row r="32" spans="1:4" ht="16.5" thickTop="1" thickBot="1" x14ac:dyDescent="0.3">
      <c r="A32" s="31">
        <v>104</v>
      </c>
      <c r="B32" s="29" t="s">
        <v>576</v>
      </c>
      <c r="C32" s="30">
        <v>100</v>
      </c>
      <c r="D32" s="2">
        <v>98</v>
      </c>
    </row>
    <row r="33" spans="1:4" ht="15.75" thickBot="1" x14ac:dyDescent="0.3">
      <c r="A33" s="31">
        <v>106</v>
      </c>
      <c r="B33" s="42" t="s">
        <v>577</v>
      </c>
      <c r="C33" s="30">
        <v>100</v>
      </c>
      <c r="D33" s="2">
        <v>135</v>
      </c>
    </row>
    <row r="34" spans="1:4" ht="16.5" thickTop="1" thickBot="1" x14ac:dyDescent="0.3">
      <c r="A34" s="31">
        <v>107</v>
      </c>
      <c r="B34" s="43" t="s">
        <v>578</v>
      </c>
      <c r="C34" s="30">
        <v>100</v>
      </c>
      <c r="D34" s="2" t="s">
        <v>579</v>
      </c>
    </row>
    <row r="35" spans="1:4" ht="16.5" thickTop="1" thickBot="1" x14ac:dyDescent="0.3">
      <c r="A35" s="31">
        <v>108</v>
      </c>
      <c r="B35" s="43" t="s">
        <v>580</v>
      </c>
      <c r="C35" s="30">
        <v>100</v>
      </c>
      <c r="D35" s="2">
        <v>220</v>
      </c>
    </row>
    <row r="36" spans="1:4" ht="16.5" thickTop="1" thickBot="1" x14ac:dyDescent="0.3">
      <c r="A36" s="31">
        <v>109</v>
      </c>
      <c r="B36" s="44" t="s">
        <v>581</v>
      </c>
      <c r="C36" s="30">
        <v>100</v>
      </c>
      <c r="D36" s="2" t="s">
        <v>579</v>
      </c>
    </row>
    <row r="37" spans="1:4" ht="16.5" thickTop="1" thickBot="1" x14ac:dyDescent="0.3">
      <c r="A37" s="31">
        <v>110</v>
      </c>
      <c r="B37" s="44" t="s">
        <v>582</v>
      </c>
      <c r="C37" s="30">
        <v>100</v>
      </c>
      <c r="D37" s="2">
        <v>308</v>
      </c>
    </row>
    <row r="38" spans="1:4" ht="16.5" thickTop="1" thickBot="1" x14ac:dyDescent="0.3">
      <c r="A38" s="31">
        <v>111</v>
      </c>
      <c r="B38" s="45" t="s">
        <v>583</v>
      </c>
      <c r="C38" s="30">
        <v>100</v>
      </c>
      <c r="D38" s="2">
        <v>390</v>
      </c>
    </row>
    <row r="39" spans="1:4" ht="16.5" thickTop="1" thickBot="1" x14ac:dyDescent="0.3">
      <c r="A39" s="31">
        <v>112</v>
      </c>
      <c r="B39" s="45" t="s">
        <v>584</v>
      </c>
      <c r="C39" s="30">
        <v>100</v>
      </c>
      <c r="D39" s="2">
        <v>540</v>
      </c>
    </row>
    <row r="40" spans="1:4" ht="15.75" thickTop="1" x14ac:dyDescent="0.25"/>
  </sheetData>
  <mergeCells count="1">
    <mergeCell ref="A1:D1"/>
  </mergeCells>
  <conditionalFormatting sqref="A21">
    <cfRule type="expression" dxfId="6" priority="7">
      <formula>NOT(EXACT(L21,A21))</formula>
    </cfRule>
  </conditionalFormatting>
  <conditionalFormatting sqref="A16:A18">
    <cfRule type="expression" dxfId="5" priority="6">
      <formula>NOT(EXACT(J16,A16))</formula>
    </cfRule>
  </conditionalFormatting>
  <conditionalFormatting sqref="A19:A20">
    <cfRule type="expression" dxfId="4" priority="5">
      <formula>NOT(EXACT(K19,A19))</formula>
    </cfRule>
  </conditionalFormatting>
  <conditionalFormatting sqref="A25:A27">
    <cfRule type="expression" dxfId="3" priority="2">
      <formula>NOT(EXACT(J23,A25))</formula>
    </cfRule>
  </conditionalFormatting>
  <conditionalFormatting sqref="A23">
    <cfRule type="expression" dxfId="2" priority="3">
      <formula>NOT(EXACT(J21,A23))</formula>
    </cfRule>
  </conditionalFormatting>
  <conditionalFormatting sqref="A24">
    <cfRule type="expression" dxfId="1" priority="4">
      <formula>NOT(EXACT(#REF!,A24))</formula>
    </cfRule>
  </conditionalFormatting>
  <conditionalFormatting sqref="A31:A39">
    <cfRule type="expression" dxfId="0" priority="1">
      <formula>NOT(EXACT(I31,A31))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FERRUM</vt:lpstr>
      <vt:lpstr>TUBOFUSION</vt:lpstr>
      <vt:lpstr>AWADUCT TUBOS</vt:lpstr>
      <vt:lpstr>AWADUCT ACC</vt:lpstr>
      <vt:lpstr>FUSIOGAS</vt:lpstr>
      <vt:lpstr>CANALETAS</vt:lpstr>
      <vt:lpstr>VARIOS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</dc:creator>
  <cp:lastModifiedBy>usuario</cp:lastModifiedBy>
  <dcterms:created xsi:type="dcterms:W3CDTF">2023-02-27T17:15:45Z</dcterms:created>
  <dcterms:modified xsi:type="dcterms:W3CDTF">2023-04-24T19:50:25Z</dcterms:modified>
</cp:coreProperties>
</file>