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 firstSheet="1" activeTab="1"/>
  </bookViews>
  <sheets>
    <sheet name="FERRUM" sheetId="1" r:id="rId1"/>
    <sheet name="TUBOFUSION" sheetId="2" r:id="rId2"/>
    <sheet name="AWADUCT TUBOS" sheetId="3" r:id="rId3"/>
    <sheet name="AWADUCT ACC" sheetId="4" r:id="rId4"/>
    <sheet name="FUSIOGAS" sheetId="5" r:id="rId5"/>
    <sheet name="CANALETAS" sheetId="6" r:id="rId6"/>
    <sheet name="VARIO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9" i="4" l="1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2" i="1"/>
  <c r="D31" i="1"/>
  <c r="D30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32" i="5" l="1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7" i="5"/>
  <c r="D6" i="5"/>
  <c r="D5" i="5"/>
  <c r="D4" i="5"/>
  <c r="D3" i="5"/>
  <c r="D2" i="5"/>
  <c r="D28" i="7"/>
</calcChain>
</file>

<file path=xl/sharedStrings.xml><?xml version="1.0" encoding="utf-8"?>
<sst xmlns="http://schemas.openxmlformats.org/spreadsheetml/2006/main" count="1274" uniqueCount="693">
  <si>
    <t>CÓDIGO</t>
  </si>
  <si>
    <t>DENOMINACION</t>
  </si>
  <si>
    <t>MARCA</t>
  </si>
  <si>
    <t xml:space="preserve">P.LISTA </t>
  </si>
  <si>
    <t xml:space="preserve">SANITARIOS </t>
  </si>
  <si>
    <t>BEA1-B</t>
  </si>
  <si>
    <t>BIDET 1 AGUJERO ANDINA</t>
  </si>
  <si>
    <t>FERRUM</t>
  </si>
  <si>
    <t>BEA3-B</t>
  </si>
  <si>
    <t>BIDET 3 AGUJEROS ANDINA</t>
  </si>
  <si>
    <t>BKM1-B</t>
  </si>
  <si>
    <t>BIDET BARI 1AG</t>
  </si>
  <si>
    <t>BKM3-B</t>
  </si>
  <si>
    <t>BIDET 3 AGUJEROS-BARI</t>
  </si>
  <si>
    <t>IALQ-B</t>
  </si>
  <si>
    <t>INODORO LARGO 4,5 LITROS-ANDINA</t>
  </si>
  <si>
    <t>IFAM-B</t>
  </si>
  <si>
    <t>INODORO CORTO 6L ANDINA</t>
  </si>
  <si>
    <t>IKCM</t>
  </si>
  <si>
    <t>INODORO BARI CORTO 6LTS</t>
  </si>
  <si>
    <t>IKLM-B</t>
  </si>
  <si>
    <t>INODORO LARGO 6L-BARI</t>
  </si>
  <si>
    <t>IML-B</t>
  </si>
  <si>
    <t>INODORO LARGO 9L-MAYO</t>
  </si>
  <si>
    <t>DEPÓSITOS</t>
  </si>
  <si>
    <t>DAS4A-B</t>
  </si>
  <si>
    <t>DEP DE APOYAR DESC SIMP 4.5 L - ANDINA</t>
  </si>
  <si>
    <t>DAS6C-B</t>
  </si>
  <si>
    <t>DEPO COLGAR 6L ANDINA</t>
  </si>
  <si>
    <t>DAW4A-B</t>
  </si>
  <si>
    <t>DEP APOYO DESC DUAL 4.5L - ANDINA</t>
  </si>
  <si>
    <t>DFLXF-B</t>
  </si>
  <si>
    <t>DEPOSITO APOYAR D/SIMPLE 9L-MAYO</t>
  </si>
  <si>
    <t>DKW6F-B</t>
  </si>
  <si>
    <t>DEPOSITO DE APOYAR DUAL 6L-BARI</t>
  </si>
  <si>
    <t>DPCXF-B</t>
  </si>
  <si>
    <t>DEP DE COLGAR DESC/S 9 LTS ANDINA</t>
  </si>
  <si>
    <t>LAVATORIOS</t>
  </si>
  <si>
    <t>LEA1-B</t>
  </si>
  <si>
    <t>LAVATORIO 1 AGUJEROS-ANDINA</t>
  </si>
  <si>
    <t>LEA3-B</t>
  </si>
  <si>
    <t>LAVATORIO 3 AGUJEROS-ANDINA</t>
  </si>
  <si>
    <t>LKM3-B</t>
  </si>
  <si>
    <t>LAVATORIO 3 AGUJEROS BARI</t>
  </si>
  <si>
    <t>PFC-B</t>
  </si>
  <si>
    <t>PIL.P-LAVAD. C-FREGAD-SANITARIOS VARIOS</t>
  </si>
  <si>
    <t>PLH-B</t>
  </si>
  <si>
    <t>PIL.P-LAVAD. S-FREGAD-SANITARIOS VARIOS</t>
  </si>
  <si>
    <t>PLK-B</t>
  </si>
  <si>
    <t>CKC-B</t>
  </si>
  <si>
    <t>COLUMNA LAVATORIO BARI</t>
  </si>
  <si>
    <t>CTF-B</t>
  </si>
  <si>
    <t>COLUMNA LAVATORIO-ANDINA</t>
  </si>
  <si>
    <t>BAÑERAS</t>
  </si>
  <si>
    <t>BF140-B</t>
  </si>
  <si>
    <t>BAÑERA ACRILICA 140X71X38,5 - SERENA</t>
  </si>
  <si>
    <t>BF150-B</t>
  </si>
  <si>
    <t>BAÑERA ACRILICA 150X71X38,5 - SERENA</t>
  </si>
  <si>
    <t>BF160-B</t>
  </si>
  <si>
    <t>BAÑERA ACRILICA 160X71X38,5 - SERENA</t>
  </si>
  <si>
    <t>ASIENTOS INODORO</t>
  </si>
  <si>
    <t>TFW-B</t>
  </si>
  <si>
    <t>TAPA INOD UNIV - PP PLUS H-PP - TRAFUL</t>
  </si>
  <si>
    <t>TKX-B</t>
  </si>
  <si>
    <t>TAPA INOD BARI HDF H-PP - TRAFUL</t>
  </si>
  <si>
    <t>TPX</t>
  </si>
  <si>
    <t>TAPA INOD PILAR HDF H-PP - TRAFUL</t>
  </si>
  <si>
    <t>TPXT-B</t>
  </si>
  <si>
    <t>TSW1-B</t>
  </si>
  <si>
    <t>TAPA INOD UNIV-POLIP BASE H-PP-TRAFUL</t>
  </si>
  <si>
    <t>TSX-B</t>
  </si>
  <si>
    <t>TAPA INOD UNIV EST HDF H-PP -TRAFUL</t>
  </si>
  <si>
    <t>REPUESTOS</t>
  </si>
  <si>
    <t>VF051</t>
  </si>
  <si>
    <t>VAL.DESC.FLAP. C-V - REPUESTOS</t>
  </si>
  <si>
    <t>VF051-R2</t>
  </si>
  <si>
    <t>OBT.FLAPPER C-VASO - REPUESTOS</t>
  </si>
  <si>
    <t>VF059</t>
  </si>
  <si>
    <t>VAL.DESC.DU.ACC.38 - REPUESTOS</t>
  </si>
  <si>
    <t>VFI16-04</t>
  </si>
  <si>
    <t>BOYA P-VALVULA - REPUESTOS</t>
  </si>
  <si>
    <t>VFI18</t>
  </si>
  <si>
    <t>VAL.ENT.DUAL TELESC - REPUESTOS</t>
  </si>
  <si>
    <t>VFI21</t>
  </si>
  <si>
    <t>VAL.ENT.12"CAB BL - REPUESTOS</t>
  </si>
  <si>
    <t>VIP19</t>
  </si>
  <si>
    <t>PALANCA ACC. DEP DACX (X10) - REPUESTOS</t>
  </si>
  <si>
    <t>VP191</t>
  </si>
  <si>
    <t>CONJ.TOR.PLAST. 8CM (X20) - REPUESTOS</t>
  </si>
  <si>
    <t>VP230</t>
  </si>
  <si>
    <t>ARO CONEXION INOD-DEP (X10) - REPUESTOS</t>
  </si>
  <si>
    <t>VP802</t>
  </si>
  <si>
    <t>OBT.P-SIST.FLAP C-V (X30) - REPUESTOS</t>
  </si>
  <si>
    <t>VS908</t>
  </si>
  <si>
    <t>ARO CONEXION INOD PISO - REP SANITARIOS</t>
  </si>
  <si>
    <t>VTA40-B</t>
  </si>
  <si>
    <t>BOT.LIV.P-DEP RECT - REPUESTOS</t>
  </si>
  <si>
    <t>VTA47-01</t>
  </si>
  <si>
    <t>BOTÓN DUAL 38MM CABLE - REPUESTOS</t>
  </si>
  <si>
    <t>VTC09</t>
  </si>
  <si>
    <t>CON.FUELL.P-DEP COL - REPUESTOS</t>
  </si>
  <si>
    <t>ZTDAC-B</t>
  </si>
  <si>
    <t>TAPA DEP ANDINA - REPUESTOS</t>
  </si>
  <si>
    <t>ZTDAP-B</t>
  </si>
  <si>
    <t>TAPA DEP DPC/DPL/DAR/DAP  X  UNIDAD</t>
  </si>
  <si>
    <t>ZTDKA-B</t>
  </si>
  <si>
    <t>TAPA DEPO BARI ACC.SUP - REPUESTOS</t>
  </si>
  <si>
    <t>ZTDMA-D</t>
  </si>
  <si>
    <t>TAPA DEP FLOR C-TIR - REPUESTOS</t>
  </si>
  <si>
    <t>ZTDML-B</t>
  </si>
  <si>
    <t>TAPA DEP FLORENC ACC.LAT - REPUESTOS</t>
  </si>
  <si>
    <t xml:space="preserve">LISTA </t>
  </si>
  <si>
    <t>TUBO PN 12 Ø 110 X 4 MTS</t>
  </si>
  <si>
    <t>TUBOFUSION</t>
  </si>
  <si>
    <t>TUBO PN 12 Ø 20 X 4 MTS</t>
  </si>
  <si>
    <t>TUBO PN 12 Ø 25 X 4 MTS</t>
  </si>
  <si>
    <t>TUBO PN 12 Ø 32 X 4 MTS</t>
  </si>
  <si>
    <t>TUBO PN 12 Ø 40 X 4 MTS</t>
  </si>
  <si>
    <t>TUBO PN 12 Ø 50 X 4 MTS</t>
  </si>
  <si>
    <t>TUBO PN 12 Ø 63 X 4 MTS</t>
  </si>
  <si>
    <t>TUBO PN 12 Ø 75 X 4 MTS</t>
  </si>
  <si>
    <t>TUBO PN 12 Ø 90 X 4 MTS</t>
  </si>
  <si>
    <t>TUBO PN 20 Ø 20 X 4 MTS</t>
  </si>
  <si>
    <t>TUBO PN 20 Ø 25 X 4 MTS</t>
  </si>
  <si>
    <t>TUBO PN 20 Ø 32 X 4 MTS</t>
  </si>
  <si>
    <t>TUBO PN 20 Ø 40 X 4 MTS</t>
  </si>
  <si>
    <t>TUBO PN 20 Ø 50 X 4 MTS</t>
  </si>
  <si>
    <t>TUBO PN 20 Ø 63 X 4 MTS</t>
  </si>
  <si>
    <t>TUBO PN 20 Ø 75 X 4 MTS</t>
  </si>
  <si>
    <t>TUBO PN 20 Ø 90 X 4 MTS</t>
  </si>
  <si>
    <t>TUBO PN 20 Ø 110 X 4 MTS</t>
  </si>
  <si>
    <t>CURVA A 90º Ø 20</t>
  </si>
  <si>
    <t>CURVA A 90º Ø 25</t>
  </si>
  <si>
    <t>CURVA A 90º Ø 32</t>
  </si>
  <si>
    <t>CURVA A 90º Ø 40</t>
  </si>
  <si>
    <t>CURVA A 90º Ø 50</t>
  </si>
  <si>
    <t>CURVA A 90º Ø 63</t>
  </si>
  <si>
    <t>CODO A 45 Ø 20</t>
  </si>
  <si>
    <t>CODO A 45 Ø 25</t>
  </si>
  <si>
    <t>CODO A 45 Ø 32</t>
  </si>
  <si>
    <t>CODO A 45 Ø 40</t>
  </si>
  <si>
    <t>CODO A 45 Ø 50</t>
  </si>
  <si>
    <t>CODO A 45 Ø 63</t>
  </si>
  <si>
    <t>CODO A 45º Ø 75</t>
  </si>
  <si>
    <t>CODO A 45º Ø 90</t>
  </si>
  <si>
    <t>CODO A 90 Ø 20</t>
  </si>
  <si>
    <t>CODO A 90 Ø 25</t>
  </si>
  <si>
    <t>CODO A 90 Ø 32</t>
  </si>
  <si>
    <t>CODO A 90 Ø 40</t>
  </si>
  <si>
    <t>CODO A 90 Ø 50</t>
  </si>
  <si>
    <t>CODO A 90 Ø 63</t>
  </si>
  <si>
    <t>CODO A 90 Ø 75</t>
  </si>
  <si>
    <t>CODO A 90 Ø 90</t>
  </si>
  <si>
    <t>CODO A 90º ROSCA M Ø 20 X ½</t>
  </si>
  <si>
    <t>CODO A 90º ROSCA M Ø 20 X ½" SEAL-RAP</t>
  </si>
  <si>
    <t>CODO A 90º ROSCA M Ø 25 X ½"</t>
  </si>
  <si>
    <t>CODO A 90º ROSCA M Ø 25 X ¾"</t>
  </si>
  <si>
    <t>CODO A 90º ROSCA M Ø 32 X 1"</t>
  </si>
  <si>
    <t>CODO A 90º ROSCA M Ø 32 X ¾"</t>
  </si>
  <si>
    <t>CODO A 90º ROSCA H Ø 20 X ½"</t>
  </si>
  <si>
    <t>CODO R/SINTETICA H 20X1/2</t>
  </si>
  <si>
    <t>CODO A 90º ROSCA H Ø 25 X ½"</t>
  </si>
  <si>
    <t>CODO A 90º ROSCA H Ø 25 X ¾"</t>
  </si>
  <si>
    <t>CODO A 90º ROSCA H Ø 32 X 1"</t>
  </si>
  <si>
    <t>CODO A 90º ROSCA H Ø 32 X ¾"</t>
  </si>
  <si>
    <t>CUPLA UNION Ø 20</t>
  </si>
  <si>
    <t>CUPLA UNION Ø 25</t>
  </si>
  <si>
    <t>CUPLA UNION Ø 32</t>
  </si>
  <si>
    <t>CUPLA UNION Ø 40</t>
  </si>
  <si>
    <t>CUPLA UNION Ø 50</t>
  </si>
  <si>
    <t>CUPLA UNION Ø 63</t>
  </si>
  <si>
    <t>CUPLA UNION Ø 75</t>
  </si>
  <si>
    <t>CUPLA UNION Ø 90</t>
  </si>
  <si>
    <t>BUJE DE REDUCCION Ø 25X20</t>
  </si>
  <si>
    <t>BUJE DE REDUCCION Ø 32X20</t>
  </si>
  <si>
    <t>BUJE DE REDUCCION Ø 32X25</t>
  </si>
  <si>
    <t>BUJE DE REDUCCION Ø 40X25</t>
  </si>
  <si>
    <t>BUJE DE REDUCCION Ø 40X32</t>
  </si>
  <si>
    <t>BUJE DE REDUCCION Ø 50X25</t>
  </si>
  <si>
    <t>BUJE DE REDUCCION Ø 50X32</t>
  </si>
  <si>
    <t>BUJE DE REDUCCION Ø 50X40</t>
  </si>
  <si>
    <t>BUJE DE REDUCCION Ø 63X32</t>
  </si>
  <si>
    <t>BUJE DE REDUCCION Ø 63X40</t>
  </si>
  <si>
    <t>BUJE DE REDUCCION Ø 63X50</t>
  </si>
  <si>
    <t>CUPLA ROSCA M Ø 20 X ½"</t>
  </si>
  <si>
    <t>CUPLA ROSCA M Ø 25 X ½"</t>
  </si>
  <si>
    <t>CUPLA ROSCA M Ø 25 X ¾"</t>
  </si>
  <si>
    <t>CUPLA ROSCA M Ø 32 X 1"</t>
  </si>
  <si>
    <t>CUPLA ROSCA M Ø 32 X ¾"</t>
  </si>
  <si>
    <t>CUPLA ROSCA M Ø 40 X 1¼"</t>
  </si>
  <si>
    <t>CUPLA ROSCA M Ø 50 X 1½"</t>
  </si>
  <si>
    <t>CUPLA ROSCA M Ø 63 X 2"</t>
  </si>
  <si>
    <t>CUPLA ROSCA M Ø 75 X 2½"</t>
  </si>
  <si>
    <t>CUPLA ROSCA H Ø 20 X ½"</t>
  </si>
  <si>
    <t>CUPLA ROSCA H Ø 20 X 3/8</t>
  </si>
  <si>
    <t>CUPLA ROSCA H Ø 25 X ½"</t>
  </si>
  <si>
    <t>CUPLA ROSCA H Ø 25 X ¾"</t>
  </si>
  <si>
    <t>CUPLA ROSCA H Ø 32 X 1"</t>
  </si>
  <si>
    <t>CUPLA ROSCA H Ø 32 X ¾"</t>
  </si>
  <si>
    <t>CUPLA ROSCA H Ø 40 X 1¼"</t>
  </si>
  <si>
    <t>CUPLA ROSCA H Ø 50 X 1½"</t>
  </si>
  <si>
    <t>CUPLA ROSCA H Ø 63 X 2"</t>
  </si>
  <si>
    <t>CUPLA ROSCA H Ø 75 X 2½"</t>
  </si>
  <si>
    <t>TAPA Ø 20</t>
  </si>
  <si>
    <t>TAPA Ø 25</t>
  </si>
  <si>
    <t>TAPA Ø 32</t>
  </si>
  <si>
    <t>TAPA Ø 40</t>
  </si>
  <si>
    <t>TAPA Ø 50</t>
  </si>
  <si>
    <t>TAPA Ø 63</t>
  </si>
  <si>
    <t>TAPA Ø 75</t>
  </si>
  <si>
    <t>TAPA Ø 90</t>
  </si>
  <si>
    <t>TEE Ø 20</t>
  </si>
  <si>
    <t>TEE Ø 25</t>
  </si>
  <si>
    <t>TEE RED. CENTRAL Ø 25 X 20 X 25</t>
  </si>
  <si>
    <t>TEE Ø 32</t>
  </si>
  <si>
    <t>TEE RED. CENTRAL Ø 32 X 20 X 32</t>
  </si>
  <si>
    <t>TEE RED. CENTRAL Ø 32 X 25 X 32</t>
  </si>
  <si>
    <t>TEE Ø 40</t>
  </si>
  <si>
    <t>TEE RED. CENTRAL Ø 40 X 20 X 40</t>
  </si>
  <si>
    <t>TEE RED. CENTRAL Ø 40 X 25 X 40</t>
  </si>
  <si>
    <t>TEE RED. CENTRAL Ø 40 X 32 X 40</t>
  </si>
  <si>
    <t>TEE Ø 50</t>
  </si>
  <si>
    <t>TEE RED. CENTRAL Ø 50 X 25X 50</t>
  </si>
  <si>
    <t>TEE RED. CENTRAL Ø 50 X 32 X 50</t>
  </si>
  <si>
    <t>TEE RED. CENTRAL Ø 50 X 40 X 50</t>
  </si>
  <si>
    <t>TEE Ø 63</t>
  </si>
  <si>
    <t>TEE RED. CENTRAL Ø 63 X 40 X 63</t>
  </si>
  <si>
    <t>TEE RED. CENTRAL Ø 63 X 50 X 63</t>
  </si>
  <si>
    <t>TEE Ø 75</t>
  </si>
  <si>
    <t>TEE RED. CENTRAL Ø 75 X 40 X 75</t>
  </si>
  <si>
    <t>TEE RED. CENTRAL Ø 75 X 50 X 75</t>
  </si>
  <si>
    <t>TEE RED. CENTRAL Ø 75 X 63 X 75</t>
  </si>
  <si>
    <t>TEE Ø 90</t>
  </si>
  <si>
    <t>TEE ROSCA M Ø 20 X ½"</t>
  </si>
  <si>
    <t>TEE ROSCA M Ø 25 X ½"</t>
  </si>
  <si>
    <t>TEE ROSCA M Ø 25 X ¾"</t>
  </si>
  <si>
    <t>TEE ROSCA M Ø 32 X 1"</t>
  </si>
  <si>
    <t>TEE ROSCA M Ø 32 X ¾"</t>
  </si>
  <si>
    <t>TEE ROSCA H Ø 20 X ½"</t>
  </si>
  <si>
    <t>TEE ROSCA H Ø 25 X ½"</t>
  </si>
  <si>
    <t>TEE ROSCA H Ø 25 X ¾"</t>
  </si>
  <si>
    <t>TEE ROSCA H Ø 32 X 1"</t>
  </si>
  <si>
    <t>TEE ROSCA H Ø 32 X ¾"</t>
  </si>
  <si>
    <t>UNION DOBLE Ø 20 HH</t>
  </si>
  <si>
    <t>UNION DOBLE Ø 25 HH</t>
  </si>
  <si>
    <t>UNION DOBLE Ø 32 HH</t>
  </si>
  <si>
    <t>UNION DOBLE Ø 40 HH</t>
  </si>
  <si>
    <t>UNION DOBLE C/BRIDA HH Ø 40</t>
  </si>
  <si>
    <t>UNION DOBLE Ø 50 HH</t>
  </si>
  <si>
    <t>UNION DOBLE C/BRIDA HH Ø 50</t>
  </si>
  <si>
    <t>UNION DOBLE C/BRIDA HH Ø 63</t>
  </si>
  <si>
    <t>UNION DOBLE C/BRIDA HH Ø 75</t>
  </si>
  <si>
    <t>UNION DOBLE C/BRIDA HH Ø 90</t>
  </si>
  <si>
    <t>LLAVE DE PASO C/BRONCE Ø 20</t>
  </si>
  <si>
    <t>LLAVE DE PASO C/BRONCE Ø 25</t>
  </si>
  <si>
    <t>LLAVE DE PASO C/BRONCE Ø 32</t>
  </si>
  <si>
    <t>LLAVE DE PASO C/BRONCE Y POLIAMIDA Ø 20</t>
  </si>
  <si>
    <t>LLAVE DE PASO C/BRONCE Y POLIAMIDA Ø 25</t>
  </si>
  <si>
    <t>LLAVE DE PASO C/BRONCE Y POLIAMIDA Ø 32</t>
  </si>
  <si>
    <t>CABEZAL DE BRONCE Ø 20/25</t>
  </si>
  <si>
    <t>CABEZAL DE BRONCE Y POLIAMIDA Ø 20/25</t>
  </si>
  <si>
    <t>CAPUCHON C/CAMPANA (CROMADO)</t>
  </si>
  <si>
    <t>SOBREPASO Ø 20</t>
  </si>
  <si>
    <t>SOBREPASO HH Ø 20</t>
  </si>
  <si>
    <t>SOBREPASO Ø 25</t>
  </si>
  <si>
    <t>SOBREPASO HH Ø 25</t>
  </si>
  <si>
    <t>SOBREPASO Ø 32</t>
  </si>
  <si>
    <t>SOBREPASO HH Ø 32</t>
  </si>
  <si>
    <t>VALVULA ESFERICA Ø 20</t>
  </si>
  <si>
    <t>VALVULA ESFERICA Ø 25</t>
  </si>
  <si>
    <t>VALVULA ESFERICA Ø 32</t>
  </si>
  <si>
    <t>CAÑO AWADUCT 40 X 0.25 MTS</t>
  </si>
  <si>
    <t>CAÑO AWADUCT 40 X 0.50 MTS</t>
  </si>
  <si>
    <t>CAÑO AWADUCT 40 X 0.75 MTS</t>
  </si>
  <si>
    <t>CAÑO AWADUCT 40 X 1 MTS</t>
  </si>
  <si>
    <t>CAÑO AWADUCT 40 X 1.50 MTS</t>
  </si>
  <si>
    <t>CAÑO AWADUCT 40 X 2 MTS</t>
  </si>
  <si>
    <t>CAÑO AWADUCT 40 X 3 MTS</t>
  </si>
  <si>
    <t>CAÑO AWADUCT 40 X 4 MTS</t>
  </si>
  <si>
    <t>CAÑO AWADUCT 50 X 0.25 MTS</t>
  </si>
  <si>
    <t>CAÑO AWADUCT 50 X 0.50 MTS</t>
  </si>
  <si>
    <t>CAÑO AWADUCT 50 X 0.75 MTS</t>
  </si>
  <si>
    <t>CAÑO AWADUCT 50 X 1 MTS</t>
  </si>
  <si>
    <t>CAÑO AWADUCT 50 X 1.50 MTS</t>
  </si>
  <si>
    <t>CAÑO AWADUCT 50 X 2 MTS</t>
  </si>
  <si>
    <t>CAÑO AWADUCT 50 X 3 MTS</t>
  </si>
  <si>
    <t>CAÑO AWADUCT 50 X 4 MTS</t>
  </si>
  <si>
    <t>CAÑO AWADUCT 63 X 0.25 MTS</t>
  </si>
  <si>
    <t>CAÑO AWADUCT 63 X 0.50 MTS</t>
  </si>
  <si>
    <t>CAÑO AWADUCT 63 X 0.75 MTS</t>
  </si>
  <si>
    <t>CAÑO AWADUCT 63 X 1 MTS</t>
  </si>
  <si>
    <t>CAÑO AWADUCT 63 X 1.50 MTS</t>
  </si>
  <si>
    <t>CAÑO AWADUCT 63 X 2 MTS</t>
  </si>
  <si>
    <t>CAÑO AWADUCT 63 X 3 MTS</t>
  </si>
  <si>
    <t>CAÑO AWADUCT 63 X 4 MTS</t>
  </si>
  <si>
    <t>CAÑO AWADUCT 110 X 0.25 MTS</t>
  </si>
  <si>
    <t>CAÑO AWADUCT 110 X 0.50 MTS</t>
  </si>
  <si>
    <t>CAÑO AWADUCT 110 X 0.75 MTS</t>
  </si>
  <si>
    <t>CAÑO AWADUCT 110 X 1 MTS</t>
  </si>
  <si>
    <t>CAÑO AWADUCT 110 X 1.50 MTS</t>
  </si>
  <si>
    <t>CAÑO AWADUCT 110 X 2 MTS</t>
  </si>
  <si>
    <t>CAÑO AWADUCT 110 X 3 MTS</t>
  </si>
  <si>
    <t>CAÑO AWADUCT 110 X 4 MTS</t>
  </si>
  <si>
    <t>CAÑO AWADUCT 110 X 6 MTS</t>
  </si>
  <si>
    <t>CAÑO RIGID AWADUCT 110 X 4 MTS</t>
  </si>
  <si>
    <t>CAÑO AWADUCT 110 X 4MTS PLUVIAL</t>
  </si>
  <si>
    <t>TUBO 32 X 3.00 MM  [1060]</t>
  </si>
  <si>
    <t>RIGID AWADUCT 110 X 4 MTS</t>
  </si>
  <si>
    <t>CAÑO AWADUCT 160 X 3 MTS</t>
  </si>
  <si>
    <t>CAÑO AWADUCT 160 X 4 MTS</t>
  </si>
  <si>
    <t>TERRA C/CAMP CLAK 110X4MTS</t>
  </si>
  <si>
    <t>TUBO TERRA CON CAMPANA SISTEMA CLAK 160MM</t>
  </si>
  <si>
    <t>TUBO DRENA 110MM X 4MTS 4 RANURAS</t>
  </si>
  <si>
    <t>CODO 45 MH 40</t>
  </si>
  <si>
    <t>AWADUCT</t>
  </si>
  <si>
    <t>CODO 45 MH 50</t>
  </si>
  <si>
    <t>CODO 45 MH 63</t>
  </si>
  <si>
    <t>CODO 45 MH 110</t>
  </si>
  <si>
    <t>CODO 8730 MH 40</t>
  </si>
  <si>
    <t>CODO 8730 MH 50</t>
  </si>
  <si>
    <t>CODO 8730 MH 63</t>
  </si>
  <si>
    <t>CODO 8730 MH 110</t>
  </si>
  <si>
    <t>PILETA BALCON 50 M (SIN ORING)</t>
  </si>
  <si>
    <t>SIFON PILETA LOSA</t>
  </si>
  <si>
    <t>MANG.REPARACION DE 40</t>
  </si>
  <si>
    <t>MANG.REPARACION DE 50</t>
  </si>
  <si>
    <t>MANG.REPARACION DE 63</t>
  </si>
  <si>
    <t>MANGUITO REP AWADUCT 110</t>
  </si>
  <si>
    <t>MANG.REPARACION DE 110</t>
  </si>
  <si>
    <t>CODO 8730 MH 110 C-BASE</t>
  </si>
  <si>
    <t>RAMAL 8730 MH 110X63</t>
  </si>
  <si>
    <t>RAMAL 8730 MH 63X63</t>
  </si>
  <si>
    <t>RAMAL 8730 HH 40X40</t>
  </si>
  <si>
    <t>RAMAL 8730 HH 50X50</t>
  </si>
  <si>
    <t>RAMAL 8730 MH 110X110</t>
  </si>
  <si>
    <t>RAMAL 45 MH 110X110</t>
  </si>
  <si>
    <t>RAMAL 45 MH 110X63</t>
  </si>
  <si>
    <t>RAMAL INVERTIDO M-H 50 X 50 A 45°</t>
  </si>
  <si>
    <t>RAMAL 45 MH 63X63 AWADUCT</t>
  </si>
  <si>
    <t>RAMAL 45 MH 63X63</t>
  </si>
  <si>
    <t>PIL.LOSA 5 ENT.C-SIF.DES.50X110-63  [2027]</t>
  </si>
  <si>
    <t>CUPLA REDUCCION DE 50X40  [2028]</t>
  </si>
  <si>
    <t>CUPLA REDUCCION DE 63X50  [2029]</t>
  </si>
  <si>
    <t>PIL.PATIO POLIANG.CON O`RING  [2031]</t>
  </si>
  <si>
    <t>CUPLA REDUCCION DE 110X63  [2032]</t>
  </si>
  <si>
    <t>TAPA HEMBRA DE 40  [2034]</t>
  </si>
  <si>
    <t>TAPA HEMBRA DE 63  [2035]</t>
  </si>
  <si>
    <t>TAPA HEMBRA DE 110  [2036]</t>
  </si>
  <si>
    <t>TAPA HEMBRA DE 50  [2037]</t>
  </si>
  <si>
    <t>TAPA MACHO DE 110  [2038]</t>
  </si>
  <si>
    <t>CODO 45 HH 40  [2040]</t>
  </si>
  <si>
    <t>CODO 45 HH 50  [2041]</t>
  </si>
  <si>
    <t>CODO 45 HH 63  [2042]</t>
  </si>
  <si>
    <t>PIL.PATIO 4 ENT.C-SIF.DES.40X63  [2044]</t>
  </si>
  <si>
    <t>CODO 8730 HH 40  [2045]</t>
  </si>
  <si>
    <t>CODO 8730 HH 50  [2046]</t>
  </si>
  <si>
    <t>CODO 8730 HH 63  [2047]</t>
  </si>
  <si>
    <t>RAMAL SIMPLE A 87°30’ M-H C/VENT.</t>
  </si>
  <si>
    <t>BOCA ACC.COCINA 63X50  [2052]</t>
  </si>
  <si>
    <t>BOCA ACC COCINA  63X50  AWADUCT</t>
  </si>
  <si>
    <t>PILETA PATIO 3 ENTR.40 C-SIFON  [2053]</t>
  </si>
  <si>
    <t>PIL.PATIO 4 ENT.C-SIF.DES.50X63  [2054]</t>
  </si>
  <si>
    <t>RAMAL 45 HH 40  [2057]</t>
  </si>
  <si>
    <t>RAMAL 45 HH 50  [2058]</t>
  </si>
  <si>
    <t>BOCA ACCESO HORIZ.110X63 (CODO 2 ACOMET)  [2060]</t>
  </si>
  <si>
    <t>PILETA DUCHA  40 M  [2061]</t>
  </si>
  <si>
    <t>PILETA BALCON 63 M  [2062]</t>
  </si>
  <si>
    <t>TAPA INSPECCION 110  [2064]</t>
  </si>
  <si>
    <t>CAÑO CAMARA 110 ROSC.  [2065]</t>
  </si>
  <si>
    <t>TAPA MACHO DE 40  [2066]</t>
  </si>
  <si>
    <t>TAPA MACHO DE 50  [2067]</t>
  </si>
  <si>
    <t>TAPA MACHO DE 63  [2068]</t>
  </si>
  <si>
    <t>PIL.LOSA 5 ENT.C-SIF.DES.40X110-63  [2069]</t>
  </si>
  <si>
    <t>ADAPT EXCÉN P/ INODORO (12MM)</t>
  </si>
  <si>
    <t>ADAP EXCÉN INOD ACAN (12MM)</t>
  </si>
  <si>
    <t>CODO 8730 40 HH CORTA  [2074]</t>
  </si>
  <si>
    <t>RECEPTACULO BALCON 63 H  [2076]</t>
  </si>
  <si>
    <t>DISCO ANTIFILTRACIONES PARA REJILLAS</t>
  </si>
  <si>
    <t>BUJE REDUC. 63X40 MH  [2080]</t>
  </si>
  <si>
    <t>BUJE REDUC. 63X50 MH  [2081]</t>
  </si>
  <si>
    <t>BUJE REDUC.110X40 MH  [2082]</t>
  </si>
  <si>
    <t>BUJE REDUC.110X50 MH  [2083]</t>
  </si>
  <si>
    <t>BUJE REDUC.110X63 MH  [2084]</t>
  </si>
  <si>
    <t>CURVA 8730 MH 110  [2090]</t>
  </si>
  <si>
    <t>CODO 15 MH 110  [2093]</t>
  </si>
  <si>
    <t>CODO 30 MH 110  [2094]</t>
  </si>
  <si>
    <t>TAPÓN HERMÉTICO PORTARREJILLAS 110MM</t>
  </si>
  <si>
    <t>CODO POLIANGULAR 40  HH [2100]</t>
  </si>
  <si>
    <t>BUJE RED.50X40 MH  [2101]</t>
  </si>
  <si>
    <t>CODO POLIANGULAR HH 50  [2105]</t>
  </si>
  <si>
    <t>CODO POLIANGULAR HH 63  [2112]</t>
  </si>
  <si>
    <t>RAMAL 40 A 45º MH [2117]</t>
  </si>
  <si>
    <t>RAMAL 50 A 45º MH [2119]</t>
  </si>
  <si>
    <t>CURVA 8730 MH 40  [2187]</t>
  </si>
  <si>
    <t>CURVA 8730 MH 50  [2188]</t>
  </si>
  <si>
    <t>CURVA 8730 MH 63  [2189]</t>
  </si>
  <si>
    <t>CONJ. COJINETE Ø200 C/PROL.Y TAPA</t>
  </si>
  <si>
    <t>RECEPTACULO BALCON 40  [2211]</t>
  </si>
  <si>
    <t>RAMAL 45 HHC 110X110  [2223]</t>
  </si>
  <si>
    <t>CODO A 45° H-HC CON SUJECIÓN 40MM</t>
  </si>
  <si>
    <t>CODO A 45° H-HC CON SUJECIÓN 50MM</t>
  </si>
  <si>
    <t>CODO A 45° H-HC CON SUJECIÓN 63MM</t>
  </si>
  <si>
    <t>CODO 45 HHC 110  [2243]</t>
  </si>
  <si>
    <t>CODO A 87° 30’ H-HC CON SUJECIÓN 40MM</t>
  </si>
  <si>
    <t>CODO A 87° 30’ H-HC CON SUJECIÓN 50MM</t>
  </si>
  <si>
    <t>CODO 8730 HHC 110</t>
  </si>
  <si>
    <t>CODO A 45° H-H 32MM</t>
  </si>
  <si>
    <t>BUJE REDUCCIÓN M-H 40X32</t>
  </si>
  <si>
    <t>CODO A 87° 30’ H-H 32MM</t>
  </si>
  <si>
    <t>RAMAL SIMPLE A 87° 30’ H-H 32MM</t>
  </si>
  <si>
    <t>MANGUITO REPARACIÓN H-H 32MM</t>
  </si>
  <si>
    <t>AD.PIL.DESC.AA 32HX3-4 ROSCA  [2268]</t>
  </si>
  <si>
    <t>ADAPT EXCÉN INODORO (55MM)</t>
  </si>
  <si>
    <t>ADAPT EXCÉN INODORO ACAN (55MM)</t>
  </si>
  <si>
    <t>RAMAL SIMPLE A 45°H-H 32MM</t>
  </si>
  <si>
    <t>VALVULA ANTI-PLAGA 110  [2275]</t>
  </si>
  <si>
    <t>VALVULA ANTIRRETORNO 110  [2277]</t>
  </si>
  <si>
    <t>ADAPT 32M X 1/2"-3/4</t>
  </si>
  <si>
    <t>TRANSICION 40 X 3-4 ROSCA  [2285]</t>
  </si>
  <si>
    <t>BOCA ACCESO HORIZ (3 ACOM)  [2460]</t>
  </si>
  <si>
    <t>RAMAL SIMPLE A 45° M-H 110X50</t>
  </si>
  <si>
    <t>RIGID CODO 45° MH 110</t>
  </si>
  <si>
    <t>RIGID CODO 8730 MH 110</t>
  </si>
  <si>
    <t>RIGID MANG.REPARACION DE 110</t>
  </si>
  <si>
    <t>RIGID RAMAL 8730 MH 110X110</t>
  </si>
  <si>
    <t>RIGID RAMAL 45° MH 110X110</t>
  </si>
  <si>
    <t>RAMAL INVERTIDO M-H 110 X 50 PARA</t>
  </si>
  <si>
    <t>RAMAL DOBLE A 87° 30’ M-H</t>
  </si>
  <si>
    <t>SIFÓN LARGO DESENGRASADORA</t>
  </si>
  <si>
    <t>PORTAREJ.12X12 C-REJ.METALICA</t>
  </si>
  <si>
    <t>PORTAREJ.15X15 C-REJ.METALICA  [4003]</t>
  </si>
  <si>
    <t>PORTAREJ.12X12 CIEGA METALICA  [4004]</t>
  </si>
  <si>
    <t>PORTAREJ.8X8 C-REJ.INOX.SAL.63  [4006]</t>
  </si>
  <si>
    <t>PORTAREJ.8X8 CIEGA INOX.SAL.63  [4007]</t>
  </si>
  <si>
    <t>PORTAREJ.8X8 C-REJ.INOX.SAL.40  [4008]</t>
  </si>
  <si>
    <t>PORTAREJ.8X8 CIEGA INOX.SAL.40  [4009]</t>
  </si>
  <si>
    <t>SOLUCION DESLIZANTE DE 400 CC  [4022]</t>
  </si>
  <si>
    <t>SOLUCIÓN DESLIZANTE EN AEROSOL 125CM3</t>
  </si>
  <si>
    <t>PORTAREJILLA PLAST REJ 12X12</t>
  </si>
  <si>
    <t>PORTAREJILLA CIEGA PLAST 12X12</t>
  </si>
  <si>
    <t>TAPON NEUMATICO 110 CORTO  [4048]</t>
  </si>
  <si>
    <t>TAPON NEUMATICO 40-63 CORTO  [4049]</t>
  </si>
  <si>
    <t>REF.CHANFLE DE 40 A 160  [4050]</t>
  </si>
  <si>
    <t>CODO SOPAPA BAÑERA 40 CROMADA  [4098]</t>
  </si>
  <si>
    <t>PORT.12X12 ACR.INOX.ACANAL.  [4102]</t>
  </si>
  <si>
    <t>PORT.12X12 ACR.INOX.CIEGA ACAN  [4104]</t>
  </si>
  <si>
    <t>PORT.8X8 ACR.INOX.ACANAL. 63  [4106]</t>
  </si>
  <si>
    <t>SOPAPA VERTICAL 40 CROMADA  [4128]</t>
  </si>
  <si>
    <t>CODO SOPAPA 40 R.LARGA CROMADA  [4130]</t>
  </si>
  <si>
    <t>SOP.VERT.40 REJ.LARGA BCE.CR.  [4132]</t>
  </si>
  <si>
    <t>EMBUDO CODO 110 C-REJ.PP.20X20  [4139]</t>
  </si>
  <si>
    <t>EMBUDO C/REJ 20X20</t>
  </si>
  <si>
    <t>EMBUDO HORIZ. S.110  [4143]</t>
  </si>
  <si>
    <t>SOMBRERETE 63 MM  [4150]</t>
  </si>
  <si>
    <t>SOMBRERETE 110 MM  [4151]</t>
  </si>
  <si>
    <t>DISCO CON MEMBRANA Ø 63</t>
  </si>
  <si>
    <t>DISCO CON MEMBRANA 63MM</t>
  </si>
  <si>
    <t>DISCO CON MEMBRANA 110MM</t>
  </si>
  <si>
    <t>DISCO CON MEMBRANA Ø110</t>
  </si>
  <si>
    <t>PORTAREJILLA 20X20 SALIDA Ø160 (CIEGA)</t>
  </si>
  <si>
    <t>RAPICLAK - GRAPA FIJA Y DESLIZANTE 110MM</t>
  </si>
  <si>
    <t>CINTA GRAMPAFLEX PERF. 14MM X100MTS [4180]</t>
  </si>
  <si>
    <t>CINTA GRAMPAFLEX PERF.14 MM X100MTS 32-110  [4180]</t>
  </si>
  <si>
    <t>CINTA GRAMPAFLEX PERF.14MMX25 MTS 32-110  [4183]</t>
  </si>
  <si>
    <t>DESCARGA INODORO BLANCO</t>
  </si>
  <si>
    <t>PORTARR.8X8 REJ.A.I. ACAN.40  [4220]</t>
  </si>
  <si>
    <t>TRANSICIÓN GOLLETE Ø (40) 35-40</t>
  </si>
  <si>
    <t>TRANSICIÓN GOLLETE Ø (50) 45-50</t>
  </si>
  <si>
    <t>TRANSICIÓN GOLLETE Ø (63) 59-80</t>
  </si>
  <si>
    <t>TRANSICIÓN GOLLETE Ø (110) 97-120</t>
  </si>
  <si>
    <t>COLECTOR DESAGUE LINEAL 650 + PROT. OBRA</t>
  </si>
  <si>
    <t>MARCO INOX. C/PROL + REJ INOX LISA</t>
  </si>
  <si>
    <t>MARCO INOX. C/PROL + REJILLA INOX. BASTONES</t>
  </si>
  <si>
    <t>MARCO INOX. C/PROL + REJILLA INOX CUADRADOS</t>
  </si>
  <si>
    <t>MARCO PP C/PROL + REJILLA PP BLANCA LISA</t>
  </si>
  <si>
    <t>MARCO PP C/PROL + REJILLA PP BLANCA BASTONES</t>
  </si>
  <si>
    <t>MARCO PP C/PROL + REJILLA PP GRIS LISA</t>
  </si>
  <si>
    <t>MARCO PP C/PROL + REJILLA PP GRIS BASTONES</t>
  </si>
  <si>
    <t>CODO 8730 MH 160</t>
  </si>
  <si>
    <t>CODO 45 MH 160</t>
  </si>
  <si>
    <t>RAMAL 160X160 A 87º 30  [6003]</t>
  </si>
  <si>
    <t>RAMAL 160X110 A 87º 30  [6005]</t>
  </si>
  <si>
    <t>RAMAL ACOPLE A 45° 160 X 110 C/ABRAZADERAS</t>
  </si>
  <si>
    <t>MANG.REPARACION DE 160</t>
  </si>
  <si>
    <t>TAPA HEMBRA DE 160  [6010]</t>
  </si>
  <si>
    <t>CUPLA RED MH 160 110</t>
  </si>
  <si>
    <t>TAPA MACHO DE 160  [6017]</t>
  </si>
  <si>
    <t>BOCA DE ACCESO Y PILETA DE PATIO Ø160 C/SIFÓN DESMONTABLE</t>
  </si>
  <si>
    <t>DESENGR.110X63 C-SIF.Y F.DIF.  [6070]</t>
  </si>
  <si>
    <t>PILETA DE PATIO Ø160 C/SIFÓN DESMONTABLE</t>
  </si>
  <si>
    <t>SIFON EMBUT.LAVARROPAS  [7120]</t>
  </si>
  <si>
    <t>SIFON EMBUT.LAVA BLANCO  [7123]</t>
  </si>
  <si>
    <t>SIFÓN DE EMBUTIR COCINA TAPA INOX</t>
  </si>
  <si>
    <t>TUBO TERRA 110MM</t>
  </si>
  <si>
    <t>TUBO TERRA PLUVIAL VEREDA 110</t>
  </si>
  <si>
    <t>PROLONGACIÓN 200X1 METRO  [7727]</t>
  </si>
  <si>
    <t>CAJONES AUTOESTIBABLES GRANDE [7999]</t>
  </si>
  <si>
    <t>CUPLA TERRA (H-HC) 110MM</t>
  </si>
  <si>
    <t>ACOPLE TERRA HEMBRA (HC)</t>
  </si>
  <si>
    <t>RAMAL TERRA-AWADUCT A 45º  110 (118 X AW110)</t>
  </si>
  <si>
    <t>RAMAL TERRA-AWADUCT A 45º 110 (118 X AW63)</t>
  </si>
  <si>
    <t>CODO TERRA A 45° H-HC 110MM</t>
  </si>
  <si>
    <t>TUBO FUSIOGAS 20 MM X 4 METROS</t>
  </si>
  <si>
    <t>FUSIOGAS</t>
  </si>
  <si>
    <t>TUBO FUSIOGAS 25 MM X 4 METROS</t>
  </si>
  <si>
    <t>TUBO FUSIOGAS 32 MM X 4 METROS</t>
  </si>
  <si>
    <t>TUBO FUSIOGAS 40 MM X 4 METROS</t>
  </si>
  <si>
    <t>TUBO FUSIOGAS 50 MM X 4 METROS</t>
  </si>
  <si>
    <t>TUBO FUSIOGAS 63 MM X 4 METROS</t>
  </si>
  <si>
    <t>BOQUILLA FUSIOGAS 20 MM</t>
  </si>
  <si>
    <t>BOQUILLA FUSIOGAS 25 MM</t>
  </si>
  <si>
    <t>BOQUILLA FUSIOGAS 32 MM</t>
  </si>
  <si>
    <t>BOQUILLA FUSIOGAS 40 MM</t>
  </si>
  <si>
    <t>BOQUILLA FUSIOGAS 50 MM</t>
  </si>
  <si>
    <t>BOQUILLA FUSIOGAS 63 MM</t>
  </si>
  <si>
    <t>BOQUILLA FUSIOGAS P/MONTURA DE REPARACION 20 MM</t>
  </si>
  <si>
    <t>BOQUILLA FUSIOGAS P/MONTURA DE REPARACION 25 MM</t>
  </si>
  <si>
    <t>BOQUILLA FUSIOGAS P/MONTURA DE REPARACION 32 MM</t>
  </si>
  <si>
    <t>BOQUILLA FUSIOGAS P/MONTURA DE REPARACION 40 MM</t>
  </si>
  <si>
    <t>BOQUILLA FUSIOGAS P/MONTURA DE REPARACION 50 MM</t>
  </si>
  <si>
    <t>BOQUILLA FUSIOGAS P/MONTURA DE REPARACION 63 MM</t>
  </si>
  <si>
    <t>BUJE RED FUSIOGAS C/ARO TOPE REMOVIBLE 25 X 20 MM</t>
  </si>
  <si>
    <t>BUJE RED FUSIOGAS C/ARO TOPE REMOVIBLE 32 X 20 MM</t>
  </si>
  <si>
    <t>BUJE RED FUSIOGAS C/ARO TOPE REMOVIBLE 32 X 25 MM</t>
  </si>
  <si>
    <t>BUJE RED FUSIOGAS C/ARO TOPE REMOVIBLE 40 X 25 MM</t>
  </si>
  <si>
    <t>BUJE RED FUSIOGAS C/ARO TOPE REMOVIBLE 40 X 32 MM</t>
  </si>
  <si>
    <t>BUJE RED FUSIOGAS C/ARO TOPE REMOVIBLE 50 X 32 MM</t>
  </si>
  <si>
    <t>BUJE RED FUSIOGAS C/ARO TOPE REMOVIBLE 50 X 40 MM</t>
  </si>
  <si>
    <t>BUJE RED FUSIOGAS C/ARO TOPE REMOVIBLE 63 X 40 MM</t>
  </si>
  <si>
    <t>BUJE RED FUSIOGAS C/ARO TOPE REMOVIBLE 63 X 50 MM</t>
  </si>
  <si>
    <t>CODO 45º FUSIOGAS FUSION 20 MM</t>
  </si>
  <si>
    <t>CODO 45º FUSIOGAS FUSION 25 MM</t>
  </si>
  <si>
    <t>CODO 45º FUSIOGAS FUSION 32 MM</t>
  </si>
  <si>
    <t>CODO 45º FUSIOGAS FUSION 40 MM</t>
  </si>
  <si>
    <t>CODO 45º FUSIOGAS FUSION 50 MM</t>
  </si>
  <si>
    <t>CODO 45º FUSIOGAS FUSION 63 MM</t>
  </si>
  <si>
    <t>CODO 90º FUSIOGAS FUSION 20 MM</t>
  </si>
  <si>
    <t>CODO 90º FUSIOGAS FUSION 25 MM</t>
  </si>
  <si>
    <t>CODO 90º FUSIOGAS FUSION 32 MM</t>
  </si>
  <si>
    <t>CODO 90º FUSIOGAS FUSION 40 MM</t>
  </si>
  <si>
    <t>CODO 90º FUSIOGAS FUSION 50 MM</t>
  </si>
  <si>
    <t>CODO 90º FUSIOGAS FUSION 63 MM</t>
  </si>
  <si>
    <t>CODO 90º FUSIOGAS ROSCA HEMBRA 20 X 1/2"</t>
  </si>
  <si>
    <t>CODO 90º FUSIOGAS ROSCA HEMBRA 25 X 1/2"</t>
  </si>
  <si>
    <t>CODO 90º FUSIOGAS ROSCA HEMBRA 25 X 3/4"</t>
  </si>
  <si>
    <t>CODO 90º FUSIOGAS ROSCA HEMBRA 32 X 1"</t>
  </si>
  <si>
    <t>CODO 90º FUSIOGAS ROSCA HEMBRA 32 X 3/4"</t>
  </si>
  <si>
    <t>CODO 90º FUSIOGAS ROSCA HEMBRA 40 X 1 1/4"</t>
  </si>
  <si>
    <t>CODO 90º FUSIOGAS ROSCA HEMBRA 40 X 1"</t>
  </si>
  <si>
    <t>CODO 90º FUSIOGAS ROSCA HEMBRA 50 X 1 1/2"</t>
  </si>
  <si>
    <t>CODO 90º FUSIOGAS ROSCA HEMBRA 50 X 1 1/4"  [201351]</t>
  </si>
  <si>
    <t>CODO 90º FUSIOGAS ROSCA HEMBRA 63 X 1 1/2"</t>
  </si>
  <si>
    <t>CODO 90º FUSIOGAS ROSCA HEMBRA 63 X 2"</t>
  </si>
  <si>
    <t>CORTA TUBO RADIAL FUSIOGAS 20-40MM - UC-6-50</t>
  </si>
  <si>
    <t>CORTA TUBO RADIAL FUSIOGAS 50-63MM - UC-84</t>
  </si>
  <si>
    <t>CUPLA FUSIOGAS FUSION 20 MM</t>
  </si>
  <si>
    <t>CUPLA FUSIOGAS FUSION 25 MM</t>
  </si>
  <si>
    <t>CUPLA FUSIOGAS FUSION 32 MM</t>
  </si>
  <si>
    <t>CUPLA FUSIOGAS FUSION 40 MM</t>
  </si>
  <si>
    <t>CUPLA FUSIOGAS FUSION 50 MM</t>
  </si>
  <si>
    <t>CUPLA FUSIOGAS FUSION 63 MM</t>
  </si>
  <si>
    <t>CUPLA REDUCCION FUSIOGAS FUSION 25 X 20 MM</t>
  </si>
  <si>
    <t>CUPLA REDUCCION FUSIOGAS FUSION 32 X 20 MM</t>
  </si>
  <si>
    <t>CUPLA REDUCCION FUSIOGAS FUSION 32 X 25 MM</t>
  </si>
  <si>
    <t>CUPLA REDUCCION FUSIOGAS FUSION 40 X 25 MM</t>
  </si>
  <si>
    <t>CUPLA REDUCCION FUSIOGAS FUSION 40 X 32 MM</t>
  </si>
  <si>
    <t>CUPLA REDUCCION FUSIOGAS FUSION 50 X 32 MM</t>
  </si>
  <si>
    <t>CUPLA REDUCCION FUSIOGAS FUSION 50 X 40 MM</t>
  </si>
  <si>
    <t>CUPLA REDUCCION FUSIOGAS FUSION 63 X 40 MM</t>
  </si>
  <si>
    <t>CUPLA REDUCCION FUSIOGAS FUSION 63 X 50 MM</t>
  </si>
  <si>
    <t>LLAVE DE PASO FUSIOGAS C/MANIVELA Y ROSETA 20 MM</t>
  </si>
  <si>
    <t>LLAVE DE PASO FUSIOGAS C/MANIVELA Y ROSETA 25 MM</t>
  </si>
  <si>
    <t>LLAVE DE PASO FUSIOGAS C/MANIVELA Y ROSETA 32 MM</t>
  </si>
  <si>
    <t>LLAVE DE PASO FUSIOGAS CON MANIJA 40 MM</t>
  </si>
  <si>
    <t>LLAVE DE PASO FUSIOGAS CON MANIJA 50 MM</t>
  </si>
  <si>
    <t>LLAVE DE PASO FUSIOGAS CON MANIJA 63 MM</t>
  </si>
  <si>
    <t>MONTURA DE REPARACION FUSIOGAS 20 MM</t>
  </si>
  <si>
    <t>MONTURA DE REPARACION FUSIOGAS 25 MM</t>
  </si>
  <si>
    <t>MONTURA DE REPARACION FUSIOGAS 32 MM</t>
  </si>
  <si>
    <t>MONTURA DE REPARACION FUSIOGAS 40 MM</t>
  </si>
  <si>
    <t>MONTURA DE REPARACION FUSIOGAS 50 MM</t>
  </si>
  <si>
    <t>MONTURA DE REPARACION FUSIOGAS 63 MM</t>
  </si>
  <si>
    <t>NIPLE ENTREFUSION FUSIOGAS C/ARO TOPE REMOV. 20 MM</t>
  </si>
  <si>
    <t>NIPLE ENTREFUSION FUSIOGAS C/ARO TOPE REMOV. 25 MM</t>
  </si>
  <si>
    <t>NIPLE ENTREFUSION FUSIOGAS C/ARO TOPE REMOV. 32 MM</t>
  </si>
  <si>
    <t>NIPLE ENTREFUSION FUSIOGAS C/ARO TOPE REMOV. 40 MM</t>
  </si>
  <si>
    <t>NIPLE ENTREFUSION FUSIOGAS C/ARO TOPE REMOV. 50 MM</t>
  </si>
  <si>
    <t>NIPLE ENTREFUSION FUSIOGAS C/ARO TOPE REMOV. 63 MM</t>
  </si>
  <si>
    <t>PROTECCION SOLAR AUTOADHESIVA ALSOL 40 M X 4 CM</t>
  </si>
  <si>
    <t>REP CUCHILLA CORTA TUBO RADIAL FUSIOGAS 20 - 40 MM</t>
  </si>
  <si>
    <t>REP CUCHILLA CORTA TUBO RADIAL FUSIOGAS 50 - 63 MM</t>
  </si>
  <si>
    <t>REP ROSETA Y MANIVELA CROMADA GAS 20 - 32 MM</t>
  </si>
  <si>
    <t>REPUESTO KIT MANIJA FUSIOGAS 40 - 50 MM</t>
  </si>
  <si>
    <t>REPUESTO KIT MANIJA FUSIOGAS 63 MM</t>
  </si>
  <si>
    <t>SOBREPASO FUSIOGAS 20 MM</t>
  </si>
  <si>
    <t>SOBREPASO FUSIOGAS 25 MM</t>
  </si>
  <si>
    <t>SOBREPASO FUSIOGAS 32 MM</t>
  </si>
  <si>
    <t>TAPA FUSIOGAS 20 MM</t>
  </si>
  <si>
    <t>TAPA FUSIOGAS 25 MM</t>
  </si>
  <si>
    <t>TAPA FUSIOGAS 32 MM</t>
  </si>
  <si>
    <t>TAPA FUSIOGAS 40 MM</t>
  </si>
  <si>
    <t>TAPA FUSIOGAS 50 MM</t>
  </si>
  <si>
    <t>TAPA FUSIOGAS 63 MM</t>
  </si>
  <si>
    <t>TE FUSIOGAS FUSION 20 MM</t>
  </si>
  <si>
    <t>TE FUSIOGAS FUSION 25 MM</t>
  </si>
  <si>
    <t>TE FUSIOGAS FUSION 32 MM</t>
  </si>
  <si>
    <t>TE FUSIOGAS FUSION 40 MM</t>
  </si>
  <si>
    <t>TE FUSIOGAS FUSION 50 MM</t>
  </si>
  <si>
    <t>TE FUSIOGAS FUSION 63 MM</t>
  </si>
  <si>
    <t>TE REDUCCION FUSIOGAS FUSION 25 X 20 MM</t>
  </si>
  <si>
    <t>TE REDUCCION FUSIOGAS FUSION 32 X 20 MM</t>
  </si>
  <si>
    <t>TE REDUCCION FUSIOGAS FUSION 32 X 25 MM</t>
  </si>
  <si>
    <t>TE REDUCCION FUSIOGAS FUSION 40 X 25 MM</t>
  </si>
  <si>
    <t>TE REDUCCION FUSIOGAS FUSION 40 X 32 MM</t>
  </si>
  <si>
    <t>TE REDUCCION FUSIOGAS FUSION 50 X 32 MM</t>
  </si>
  <si>
    <t>TE REDUCCION FUSIOGAS FUSION 50 X 40 MM</t>
  </si>
  <si>
    <t>TE REDUCCION FUSIOGAS FUSION 63 X 40 MM</t>
  </si>
  <si>
    <t>TE REDUCCION FUSIOGAS FUSION 63 X 50 MM</t>
  </si>
  <si>
    <t>TRANSICION HEMBRA FUSIOGAS 20 X 1/2"</t>
  </si>
  <si>
    <t>TRANSICION HEMBRA FUSIOGAS 25 X 1/2"</t>
  </si>
  <si>
    <t>TRANSICION HEMBRA FUSIOGAS 25 X 3/4"</t>
  </si>
  <si>
    <t>TRANSICION HEMBRA FUSIOGAS 32 X 1"</t>
  </si>
  <si>
    <t>TRANSICION HEMBRA FUSIOGAS 40 X 1 1/4"</t>
  </si>
  <si>
    <t>TRANSICION HEMBRA FUSIOGAS 50 X 1 1/2"</t>
  </si>
  <si>
    <t>TRANSICION HEMBRA FUSIOGAS 63 X 2"</t>
  </si>
  <si>
    <t>TRANSICION MACHO FUSIOGAS 20 X 1/2"</t>
  </si>
  <si>
    <t>TRANSICION MACHO FUSIOGAS 25 X 1/2"</t>
  </si>
  <si>
    <t>TRANSICION MACHO FUSIOGAS 25 X 3/4"</t>
  </si>
  <si>
    <t>TRANSICION MACHO FUSIOGAS 32 X 1"</t>
  </si>
  <si>
    <t>TRANSICION MACHO FUSIOGAS 40 X 1 1/4"</t>
  </si>
  <si>
    <t>TRANSICION MACHO FUSIOGAS 50 X 1 1/2"</t>
  </si>
  <si>
    <t>TRANSICION MACHO FUSIOGAS 63 X 2"</t>
  </si>
  <si>
    <t>CANALETA X 3MTS</t>
  </si>
  <si>
    <t>PLUVITUBO</t>
  </si>
  <si>
    <t>CODO Ø115 A 67°</t>
  </si>
  <si>
    <t>CODO Ø115 A 87°</t>
  </si>
  <si>
    <t>EMBUDO DE DESCARGA</t>
  </si>
  <si>
    <t>ESQUINERO CANALETA INTERIOR/EXTERIOR</t>
  </si>
  <si>
    <t>GRAMPA P/TUBO DE DESCARGA</t>
  </si>
  <si>
    <t>SOPORTE CANALETA</t>
  </si>
  <si>
    <t>SOPORTE METÁLICO P/CABIO</t>
  </si>
  <si>
    <t>SOPORTE METÁLICO P/CHAPA</t>
  </si>
  <si>
    <t>SOPORTE METÁLICO P/TEJA</t>
  </si>
  <si>
    <t>TAPA CANALETA DERECHA</t>
  </si>
  <si>
    <t>TAPA CANALETA ZQUIERDA</t>
  </si>
  <si>
    <t>TAPA EMBUDO DERECHA</t>
  </si>
  <si>
    <t>TAPA EMBUDO IZQUIERDA</t>
  </si>
  <si>
    <t>TUBO DE DESCARGA Ø115 3MTS</t>
  </si>
  <si>
    <t>TUBO DE DESCARGA Ø115 X 1MT</t>
  </si>
  <si>
    <t>UNION DE CANALETA</t>
  </si>
  <si>
    <t xml:space="preserve">MERCADO SANITARIO MDQ </t>
  </si>
  <si>
    <t>TUBILENO</t>
  </si>
  <si>
    <t>TUBO TUBILENO 1/2" PP UNION ROSCADA X 6 METROS  [44]</t>
  </si>
  <si>
    <t>TUBO TUBILENO 3/4" PP UNION ROSCADA X 6 METROS  [45]</t>
  </si>
  <si>
    <t>TUBO TUBILENO 1" PP UNION ROSCADA X 6 METROS  [46]</t>
  </si>
  <si>
    <t>TUBO TUBILENO 1 1/4" PP UNION ROSCADA X 6 METROS  [47]</t>
  </si>
  <si>
    <t>TUBO TUBILENO 1 1/2" PP UNION ROSCADA X 6 METROS  [48]</t>
  </si>
  <si>
    <t>TUBO TUBILENO 2" PP UNION ROSCADA X 6 METROS  [49]</t>
  </si>
  <si>
    <t>Artículo</t>
  </si>
  <si>
    <t>Nombre Artículo [Código]</t>
  </si>
  <si>
    <t>U. por Envase</t>
  </si>
  <si>
    <t>Precio Unitario</t>
  </si>
  <si>
    <t>SELLADOR H3 125 CC  [74]</t>
  </si>
  <si>
    <t>SELLADOR H3 25 CC  [82]</t>
  </si>
  <si>
    <t>SELLADOR H3 50 CC  [85]</t>
  </si>
  <si>
    <t>SELLADOR GAS H3 125 CC  [86]</t>
  </si>
  <si>
    <t>COVERTHOR BLANCO 1/2" 5MM X 2 METROS  [3201]</t>
  </si>
  <si>
    <t>COVERTHOR BLANCO 3/4" 5MM X 2 METROS  [3202]</t>
  </si>
  <si>
    <t>COVERTHOR BLANCO 1" 5MM X 2 METROS  [3203]</t>
  </si>
  <si>
    <t>COVERTHOR GRIS 13 X 33 10MM X 2 METROS  [3401]</t>
  </si>
  <si>
    <t>COVERTHOR GRIS 17 X 37 10MM X 2 METROS  [3402]</t>
  </si>
  <si>
    <t>Codigo</t>
  </si>
  <si>
    <t>Descripcion</t>
  </si>
  <si>
    <t>cant x bulto</t>
  </si>
  <si>
    <t>Precio unit</t>
  </si>
  <si>
    <r>
      <t xml:space="preserve">Tubo Compacto PVC J/P </t>
    </r>
    <r>
      <rPr>
        <sz val="11"/>
        <color indexed="8"/>
        <rFont val="Calibri"/>
        <family val="2"/>
      </rPr>
      <t>Ø40 x 4mts</t>
    </r>
  </si>
  <si>
    <r>
      <t xml:space="preserve">Tubo Compacto PVC J/P </t>
    </r>
    <r>
      <rPr>
        <sz val="11"/>
        <color indexed="8"/>
        <rFont val="Calibri"/>
        <family val="2"/>
      </rPr>
      <t>Ø50 x 4mts</t>
    </r>
  </si>
  <si>
    <r>
      <t xml:space="preserve">Tubo Compacto PVC J/P </t>
    </r>
    <r>
      <rPr>
        <sz val="11"/>
        <color indexed="8"/>
        <rFont val="Calibri"/>
        <family val="2"/>
      </rPr>
      <t>Ø63 x 4mts</t>
    </r>
  </si>
  <si>
    <r>
      <t xml:space="preserve">Tubo Compacto PVC J/P </t>
    </r>
    <r>
      <rPr>
        <sz val="11"/>
        <color indexed="8"/>
        <rFont val="Calibri"/>
        <family val="2"/>
      </rPr>
      <t>Ø100 x 4mts</t>
    </r>
  </si>
  <si>
    <r>
      <t xml:space="preserve">Tubo Compacto PVC J/P </t>
    </r>
    <r>
      <rPr>
        <sz val="11"/>
        <color indexed="8"/>
        <rFont val="Calibri"/>
        <family val="2"/>
      </rPr>
      <t>Ø110x 4mts</t>
    </r>
  </si>
  <si>
    <t>TUBO PVC 114 X 6MTS 3MM LINEA POCERO</t>
  </si>
  <si>
    <t>Un. X Paquete en mts</t>
  </si>
  <si>
    <t>POLIETILENO 1/2" X  4KG.</t>
  </si>
  <si>
    <t>POLIETILENO 3/4" X  4KG.</t>
  </si>
  <si>
    <t>POLIETILENO     1"X 4KG.</t>
  </si>
  <si>
    <t>POLIETILENO 1 1/4"X 2,5KG. (Consultar stock)</t>
  </si>
  <si>
    <t>-</t>
  </si>
  <si>
    <t>POLIETILENO 1 1/4"X 4KG.</t>
  </si>
  <si>
    <t>POLIETILENO 1 1/2"X 2,5KG. (Consultar stock)</t>
  </si>
  <si>
    <t>POLIETILENO 1 1/2"X 4KG.</t>
  </si>
  <si>
    <t>POLIETILENO     2"X 2,5KG.</t>
  </si>
  <si>
    <t>POLIETILENO     2"X 4KG.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</si>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</sst>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&quot;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name val="Tahoma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21"/>
      </bottom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indexed="21"/>
      </top>
      <bottom style="double">
        <color theme="8" tint="-0.499984740745262"/>
      </bottom>
      <diagonal/>
    </border>
    <border>
      <left/>
      <right style="double">
        <color theme="8" tint="-0.499984740745262"/>
      </right>
      <top style="thin">
        <color indexed="64"/>
      </top>
      <bottom style="double">
        <color theme="8" tint="-0.499984740745262"/>
      </bottom>
      <diagonal/>
    </border>
    <border>
      <left/>
      <right style="double">
        <color theme="8" tint="-0.499984740745262"/>
      </right>
      <top/>
      <bottom style="double">
        <color theme="8" tint="-0.49998474074526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" fontId="1" fillId="2" borderId="1" xfId="0" applyNumberFormat="1" applyFont="1" applyFill="1" applyBorder="1"/>
    <xf numFmtId="0" fontId="1" fillId="2" borderId="1" xfId="0" applyFont="1" applyFill="1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4" fontId="1" fillId="2" borderId="1" xfId="0" applyNumberFormat="1" applyFont="1" applyFill="1" applyBorder="1"/>
    <xf numFmtId="164" fontId="1" fillId="2" borderId="1" xfId="0" applyNumberFormat="1" applyFont="1" applyFill="1" applyBorder="1"/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3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5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2" borderId="11" xfId="0" applyNumberFormat="1" applyFont="1" applyFill="1" applyBorder="1" applyAlignment="1" applyProtection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9" workbookViewId="0">
      <selection activeCell="H45" sqref="H45"/>
    </sheetView>
  </sheetViews>
  <sheetFormatPr baseColWidth="10" defaultRowHeight="15" x14ac:dyDescent="0.25"/>
  <cols>
    <col min="1" max="1" width="9.5703125" bestFit="1" customWidth="1"/>
    <col min="2" max="2" width="41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6" x14ac:dyDescent="0.25">
      <c r="A2" s="50" t="s">
        <v>4</v>
      </c>
      <c r="B2" s="50"/>
      <c r="C2" s="50"/>
      <c r="D2" s="50"/>
    </row>
    <row r="3" spans="1:6" x14ac:dyDescent="0.25">
      <c r="A3" s="3" t="s">
        <v>5</v>
      </c>
      <c r="B3" s="3" t="s">
        <v>6</v>
      </c>
      <c r="C3" s="3" t="s">
        <v>7</v>
      </c>
      <c r="D3" s="4">
        <f>(15759.9645*(1+5%))*(1+6%)</f>
        <v>17540.840488500002</v>
      </c>
    </row>
    <row r="4" spans="1:6" x14ac:dyDescent="0.25">
      <c r="A4" s="3" t="s">
        <v>8</v>
      </c>
      <c r="B4" s="3" t="s">
        <v>9</v>
      </c>
      <c r="C4" s="3" t="s">
        <v>7</v>
      </c>
      <c r="D4" s="4">
        <f>(15759.9645*(1+5%))*(1+6%)</f>
        <v>17540.840488500002</v>
      </c>
      <c r="F4" s="49"/>
    </row>
    <row r="5" spans="1:6" x14ac:dyDescent="0.25">
      <c r="A5" s="3" t="s">
        <v>10</v>
      </c>
      <c r="B5" s="3" t="s">
        <v>11</v>
      </c>
      <c r="C5" s="3" t="s">
        <v>7</v>
      </c>
      <c r="D5" s="4">
        <f>(21121.7685*(1+5%))*(1+6%)</f>
        <v>23508.528340500001</v>
      </c>
      <c r="F5" s="49"/>
    </row>
    <row r="6" spans="1:6" x14ac:dyDescent="0.25">
      <c r="A6" s="3" t="s">
        <v>12</v>
      </c>
      <c r="B6" s="3" t="s">
        <v>13</v>
      </c>
      <c r="C6" s="3" t="s">
        <v>7</v>
      </c>
      <c r="D6" s="4">
        <f>(21121.7685*(1+5%))*(1+6%)</f>
        <v>23508.528340500001</v>
      </c>
    </row>
    <row r="7" spans="1:6" x14ac:dyDescent="0.25">
      <c r="A7" s="3" t="s">
        <v>14</v>
      </c>
      <c r="B7" s="3" t="s">
        <v>15</v>
      </c>
      <c r="C7" s="3" t="s">
        <v>7</v>
      </c>
      <c r="D7" s="4">
        <f>(20661.8475*(1+5%))*(1+6%)</f>
        <v>22996.636267500002</v>
      </c>
    </row>
    <row r="8" spans="1:6" x14ac:dyDescent="0.25">
      <c r="A8" s="3" t="s">
        <v>16</v>
      </c>
      <c r="B8" s="3" t="s">
        <v>17</v>
      </c>
      <c r="C8" s="3" t="s">
        <v>7</v>
      </c>
      <c r="D8" s="4">
        <f>(15776.649*(1+5%))*(1+6%)</f>
        <v>17559.410337000001</v>
      </c>
    </row>
    <row r="9" spans="1:6" x14ac:dyDescent="0.25">
      <c r="A9" s="3" t="s">
        <v>18</v>
      </c>
      <c r="B9" s="3" t="s">
        <v>19</v>
      </c>
      <c r="C9" s="3" t="s">
        <v>7</v>
      </c>
      <c r="D9" s="4">
        <f>(25471.614*(1+5%))*(1+6%)</f>
        <v>28349.906382000005</v>
      </c>
    </row>
    <row r="10" spans="1:6" x14ac:dyDescent="0.25">
      <c r="A10" s="3" t="s">
        <v>20</v>
      </c>
      <c r="B10" s="3" t="s">
        <v>21</v>
      </c>
      <c r="C10" s="3" t="s">
        <v>7</v>
      </c>
      <c r="D10" s="4">
        <f>(28708.134*(1+5%))*(1+6%)</f>
        <v>31952.153141999999</v>
      </c>
    </row>
    <row r="11" spans="1:6" x14ac:dyDescent="0.25">
      <c r="A11" s="3" t="s">
        <v>22</v>
      </c>
      <c r="B11" s="3" t="s">
        <v>23</v>
      </c>
      <c r="C11" s="3" t="s">
        <v>7</v>
      </c>
      <c r="D11" s="4">
        <f>(20978.601*(1+5%))*(1+6%)</f>
        <v>23349.182913000004</v>
      </c>
    </row>
    <row r="12" spans="1:6" x14ac:dyDescent="0.25">
      <c r="A12" s="3" t="s">
        <v>22</v>
      </c>
      <c r="B12" s="3" t="s">
        <v>23</v>
      </c>
      <c r="C12" s="3" t="s">
        <v>7</v>
      </c>
      <c r="D12" s="4">
        <f>(20978.0025*(1+5%))*(1+6%)</f>
        <v>23348.516782499999</v>
      </c>
    </row>
    <row r="13" spans="1:6" x14ac:dyDescent="0.25">
      <c r="A13" s="50" t="s">
        <v>24</v>
      </c>
      <c r="B13" s="50"/>
      <c r="C13" s="50"/>
      <c r="D13" s="50"/>
    </row>
    <row r="14" spans="1:6" x14ac:dyDescent="0.25">
      <c r="A14" s="3" t="s">
        <v>25</v>
      </c>
      <c r="B14" s="3" t="s">
        <v>26</v>
      </c>
      <c r="C14" s="3" t="s">
        <v>7</v>
      </c>
      <c r="D14" s="4">
        <f>(12881.9565*(1+5%))*(1+6%)</f>
        <v>14337.617584500002</v>
      </c>
    </row>
    <row r="15" spans="1:6" x14ac:dyDescent="0.25">
      <c r="A15" s="3" t="s">
        <v>27</v>
      </c>
      <c r="B15" s="3" t="s">
        <v>28</v>
      </c>
      <c r="C15" s="3" t="s">
        <v>7</v>
      </c>
      <c r="D15" s="4">
        <f>(11284.434*(1+5%))*(1+6%)</f>
        <v>12559.575042</v>
      </c>
    </row>
    <row r="16" spans="1:6" x14ac:dyDescent="0.25">
      <c r="A16" s="3" t="s">
        <v>29</v>
      </c>
      <c r="B16" s="3" t="s">
        <v>30</v>
      </c>
      <c r="C16" s="3" t="s">
        <v>7</v>
      </c>
      <c r="D16" s="4">
        <f>(11309.9175*(1+5%))*(1+6%)</f>
        <v>12587.9381775</v>
      </c>
    </row>
    <row r="17" spans="1:4" x14ac:dyDescent="0.25">
      <c r="A17" s="3" t="s">
        <v>31</v>
      </c>
      <c r="B17" s="3" t="s">
        <v>32</v>
      </c>
      <c r="C17" s="3" t="s">
        <v>7</v>
      </c>
      <c r="D17" s="4">
        <f>(11041.842*(1+5%))*(1+6%)</f>
        <v>12289.570146000002</v>
      </c>
    </row>
    <row r="18" spans="1:4" x14ac:dyDescent="0.25">
      <c r="A18" s="3" t="s">
        <v>33</v>
      </c>
      <c r="B18" s="3" t="s">
        <v>34</v>
      </c>
      <c r="C18" s="3" t="s">
        <v>7</v>
      </c>
      <c r="D18" s="4">
        <f>(27638.8455*(1+5%))*(1+6%)</f>
        <v>30762.035041500003</v>
      </c>
    </row>
    <row r="19" spans="1:4" x14ac:dyDescent="0.25">
      <c r="A19" s="3" t="s">
        <v>35</v>
      </c>
      <c r="B19" s="3" t="s">
        <v>36</v>
      </c>
      <c r="C19" s="3" t="s">
        <v>7</v>
      </c>
      <c r="D19" s="4">
        <f>(21951.3945*(1+5%))*(1+6%)</f>
        <v>24431.902078499999</v>
      </c>
    </row>
    <row r="20" spans="1:4" x14ac:dyDescent="0.25">
      <c r="A20" s="50" t="s">
        <v>37</v>
      </c>
      <c r="B20" s="50"/>
      <c r="C20" s="50"/>
      <c r="D20" s="50"/>
    </row>
    <row r="21" spans="1:4" x14ac:dyDescent="0.25">
      <c r="A21" s="3" t="s">
        <v>38</v>
      </c>
      <c r="B21" s="3" t="s">
        <v>39</v>
      </c>
      <c r="C21" s="3" t="s">
        <v>7</v>
      </c>
      <c r="D21" s="4">
        <f>(8496.4215*(1+5%))*(1+6%)</f>
        <v>9456.5171295</v>
      </c>
    </row>
    <row r="22" spans="1:4" x14ac:dyDescent="0.25">
      <c r="A22" s="3" t="s">
        <v>40</v>
      </c>
      <c r="B22" s="3" t="s">
        <v>41</v>
      </c>
      <c r="C22" s="3" t="s">
        <v>7</v>
      </c>
      <c r="D22" s="4">
        <f>(8496.4215*(1+5%))*(1+6%)</f>
        <v>9456.5171295</v>
      </c>
    </row>
    <row r="23" spans="1:4" x14ac:dyDescent="0.25">
      <c r="A23" s="3" t="s">
        <v>42</v>
      </c>
      <c r="B23" s="3" t="s">
        <v>43</v>
      </c>
      <c r="C23" s="3" t="s">
        <v>7</v>
      </c>
      <c r="D23" s="4">
        <f>(14779.779*(1+5%))*(1+6%)</f>
        <v>16449.894027000002</v>
      </c>
    </row>
    <row r="24" spans="1:4" x14ac:dyDescent="0.25">
      <c r="A24" s="3" t="s">
        <v>44</v>
      </c>
      <c r="B24" s="3" t="s">
        <v>45</v>
      </c>
      <c r="C24" s="3" t="s">
        <v>7</v>
      </c>
      <c r="D24" s="4">
        <f>(18078.06*(1+5%))*(1+6%)</f>
        <v>20120.880780000003</v>
      </c>
    </row>
    <row r="25" spans="1:4" x14ac:dyDescent="0.25">
      <c r="A25" s="3" t="s">
        <v>46</v>
      </c>
      <c r="B25" s="3" t="s">
        <v>47</v>
      </c>
      <c r="C25" s="3" t="s">
        <v>7</v>
      </c>
      <c r="D25" s="4">
        <f>(25097.31*(1+5%))*(1+6%)</f>
        <v>27933.306030000003</v>
      </c>
    </row>
    <row r="26" spans="1:4" x14ac:dyDescent="0.25">
      <c r="A26" s="3" t="s">
        <v>48</v>
      </c>
      <c r="B26" s="3" t="s">
        <v>45</v>
      </c>
      <c r="C26" s="3" t="s">
        <v>7</v>
      </c>
      <c r="D26" s="4">
        <f>(15159.8265*(1+5%))*(1+6%)</f>
        <v>16872.886894499999</v>
      </c>
    </row>
    <row r="27" spans="1:4" x14ac:dyDescent="0.25">
      <c r="A27" s="3" t="s">
        <v>49</v>
      </c>
      <c r="B27" s="3" t="s">
        <v>50</v>
      </c>
      <c r="C27" s="3" t="s">
        <v>7</v>
      </c>
      <c r="D27" s="4">
        <f>(10001.7015*(1+5%))*(1+6%)</f>
        <v>11131.8937695</v>
      </c>
    </row>
    <row r="28" spans="1:4" x14ac:dyDescent="0.25">
      <c r="A28" s="3" t="s">
        <v>51</v>
      </c>
      <c r="B28" s="3" t="s">
        <v>52</v>
      </c>
      <c r="C28" s="3" t="s">
        <v>7</v>
      </c>
      <c r="D28" s="4">
        <f>(6387.045*(1+5%))*(1+6%)</f>
        <v>7108.7810850000005</v>
      </c>
    </row>
    <row r="29" spans="1:4" x14ac:dyDescent="0.25">
      <c r="A29" s="50" t="s">
        <v>53</v>
      </c>
      <c r="B29" s="50"/>
      <c r="C29" s="50"/>
      <c r="D29" s="50"/>
    </row>
    <row r="30" spans="1:4" x14ac:dyDescent="0.25">
      <c r="A30" s="3" t="s">
        <v>54</v>
      </c>
      <c r="B30" s="3" t="s">
        <v>55</v>
      </c>
      <c r="C30" s="3" t="s">
        <v>7</v>
      </c>
      <c r="D30" s="4">
        <f>(44456.643*(1+5%))*(1+6%)</f>
        <v>49480.243659</v>
      </c>
    </row>
    <row r="31" spans="1:4" x14ac:dyDescent="0.25">
      <c r="A31" s="3" t="s">
        <v>56</v>
      </c>
      <c r="B31" s="3" t="s">
        <v>57</v>
      </c>
      <c r="C31" s="3" t="s">
        <v>7</v>
      </c>
      <c r="D31" s="4">
        <f>(46796.463*(1+5%))*(1+6%)</f>
        <v>52084.46331900001</v>
      </c>
    </row>
    <row r="32" spans="1:4" x14ac:dyDescent="0.25">
      <c r="A32" s="3" t="s">
        <v>58</v>
      </c>
      <c r="B32" s="3" t="s">
        <v>59</v>
      </c>
      <c r="C32" s="3" t="s">
        <v>7</v>
      </c>
      <c r="D32" s="4">
        <f>(51477.048*(1+5%))*(1+6%)</f>
        <v>57293.95442400001</v>
      </c>
    </row>
    <row r="33" spans="1:4" x14ac:dyDescent="0.25">
      <c r="A33" s="50" t="s">
        <v>60</v>
      </c>
      <c r="B33" s="50"/>
      <c r="C33" s="50"/>
      <c r="D33" s="50"/>
    </row>
    <row r="34" spans="1:4" x14ac:dyDescent="0.25">
      <c r="A34" s="3" t="s">
        <v>61</v>
      </c>
      <c r="B34" s="3" t="s">
        <v>62</v>
      </c>
      <c r="C34" s="3" t="s">
        <v>7</v>
      </c>
      <c r="D34" s="4">
        <f>(1507.4115*(1+5%))*(1+6%)</f>
        <v>1677.7489995000001</v>
      </c>
    </row>
    <row r="35" spans="1:4" x14ac:dyDescent="0.25">
      <c r="A35" s="3" t="s">
        <v>63</v>
      </c>
      <c r="B35" s="3" t="s">
        <v>64</v>
      </c>
      <c r="C35" s="3" t="s">
        <v>7</v>
      </c>
      <c r="D35" s="4">
        <f>(7702.107*(1+5%))*(1+6%)</f>
        <v>8572.4450910000014</v>
      </c>
    </row>
    <row r="36" spans="1:4" x14ac:dyDescent="0.25">
      <c r="A36" s="3" t="s">
        <v>65</v>
      </c>
      <c r="B36" s="3" t="s">
        <v>66</v>
      </c>
      <c r="C36" s="3" t="s">
        <v>7</v>
      </c>
      <c r="D36" s="4">
        <f>(4702.362*(1+5%))*(1+6%)</f>
        <v>5233.7289060000012</v>
      </c>
    </row>
    <row r="37" spans="1:4" x14ac:dyDescent="0.25">
      <c r="A37" s="3" t="s">
        <v>67</v>
      </c>
      <c r="B37" s="3" t="s">
        <v>66</v>
      </c>
      <c r="C37" s="3" t="s">
        <v>7</v>
      </c>
      <c r="D37" s="4">
        <f>(6256.782*(1+5%))*(1+6%)</f>
        <v>6963.7983660000009</v>
      </c>
    </row>
    <row r="38" spans="1:4" x14ac:dyDescent="0.25">
      <c r="A38" s="3" t="s">
        <v>68</v>
      </c>
      <c r="B38" s="3" t="s">
        <v>69</v>
      </c>
      <c r="C38" s="3" t="s">
        <v>7</v>
      </c>
      <c r="D38" s="4">
        <f>(1987.881*(1+5%))*(1+6%)</f>
        <v>2212.5115530000003</v>
      </c>
    </row>
    <row r="39" spans="1:4" x14ac:dyDescent="0.25">
      <c r="A39" s="3" t="s">
        <v>70</v>
      </c>
      <c r="B39" s="3" t="s">
        <v>71</v>
      </c>
      <c r="C39" s="3" t="s">
        <v>7</v>
      </c>
      <c r="D39" s="4">
        <f>(6306.846*(1+5%))*(1+6%)</f>
        <v>7019.5195979999999</v>
      </c>
    </row>
    <row r="40" spans="1:4" x14ac:dyDescent="0.25">
      <c r="A40" s="50" t="s">
        <v>72</v>
      </c>
      <c r="B40" s="50"/>
      <c r="C40" s="50"/>
      <c r="D40" s="50"/>
    </row>
    <row r="41" spans="1:4" x14ac:dyDescent="0.25">
      <c r="A41" s="3" t="s">
        <v>73</v>
      </c>
      <c r="B41" s="3" t="s">
        <v>74</v>
      </c>
      <c r="C41" s="3" t="s">
        <v>7</v>
      </c>
      <c r="D41" s="4">
        <f>(2211.5205*(1+5%))*(1+6%)</f>
        <v>2461.4223165000003</v>
      </c>
    </row>
    <row r="42" spans="1:4" x14ac:dyDescent="0.25">
      <c r="A42" s="3" t="s">
        <v>75</v>
      </c>
      <c r="B42" s="3" t="s">
        <v>76</v>
      </c>
      <c r="C42" s="3" t="s">
        <v>7</v>
      </c>
      <c r="D42" s="4">
        <f>(1119.132*(1+5%))*(1+6%)</f>
        <v>1245.593916</v>
      </c>
    </row>
    <row r="43" spans="1:4" x14ac:dyDescent="0.25">
      <c r="A43" s="3" t="s">
        <v>77</v>
      </c>
      <c r="B43" s="3" t="s">
        <v>78</v>
      </c>
      <c r="C43" s="3" t="s">
        <v>7</v>
      </c>
      <c r="D43" s="4">
        <f>(5202.477*(1+5%))*(1+6%)</f>
        <v>5790.3569010000001</v>
      </c>
    </row>
    <row r="44" spans="1:4" x14ac:dyDescent="0.25">
      <c r="A44" s="3" t="s">
        <v>79</v>
      </c>
      <c r="B44" s="3" t="s">
        <v>80</v>
      </c>
      <c r="C44" s="3" t="s">
        <v>7</v>
      </c>
      <c r="D44" s="4">
        <f>(421.2495*(1+5%))*(1+6%)</f>
        <v>468.85069350000003</v>
      </c>
    </row>
    <row r="45" spans="1:4" x14ac:dyDescent="0.25">
      <c r="A45" s="3" t="s">
        <v>81</v>
      </c>
      <c r="B45" s="3" t="s">
        <v>82</v>
      </c>
      <c r="C45" s="3" t="s">
        <v>7</v>
      </c>
      <c r="D45" s="4">
        <f>(3402.546*(1+5%))*(1+6%)</f>
        <v>3787.0336980000002</v>
      </c>
    </row>
    <row r="46" spans="1:4" x14ac:dyDescent="0.25">
      <c r="A46" s="3" t="s">
        <v>83</v>
      </c>
      <c r="B46" s="3" t="s">
        <v>84</v>
      </c>
      <c r="C46" s="3" t="s">
        <v>7</v>
      </c>
      <c r="D46" s="4">
        <f>(2571.9435*(1+5%))*(1+6%)</f>
        <v>2862.5731155000003</v>
      </c>
    </row>
    <row r="47" spans="1:4" x14ac:dyDescent="0.25">
      <c r="A47" s="3" t="s">
        <v>85</v>
      </c>
      <c r="B47" s="3" t="s">
        <v>86</v>
      </c>
      <c r="C47" s="3" t="s">
        <v>7</v>
      </c>
      <c r="D47" s="4">
        <f>(302.4*(1+5%))*(1+6%)</f>
        <v>336.57119999999998</v>
      </c>
    </row>
    <row r="48" spans="1:4" x14ac:dyDescent="0.25">
      <c r="A48" s="3" t="s">
        <v>87</v>
      </c>
      <c r="B48" s="3" t="s">
        <v>88</v>
      </c>
      <c r="C48" s="3" t="s">
        <v>7</v>
      </c>
      <c r="D48" s="4">
        <f>(211.6695*(1+5%))*(1+6%)</f>
        <v>235.58815350000003</v>
      </c>
    </row>
    <row r="49" spans="1:4" x14ac:dyDescent="0.25">
      <c r="A49" s="3" t="s">
        <v>89</v>
      </c>
      <c r="B49" s="3" t="s">
        <v>90</v>
      </c>
      <c r="C49" s="3" t="s">
        <v>7</v>
      </c>
      <c r="D49" s="4">
        <f>(288.015*(1+5%))*(1+6%)</f>
        <v>320.56069500000001</v>
      </c>
    </row>
    <row r="50" spans="1:4" x14ac:dyDescent="0.25">
      <c r="A50" s="3" t="s">
        <v>91</v>
      </c>
      <c r="B50" s="3" t="s">
        <v>92</v>
      </c>
      <c r="C50" s="3" t="s">
        <v>7</v>
      </c>
      <c r="D50" s="4">
        <f>(442.764*(1+5%))*(1+6%)</f>
        <v>492.79633200000006</v>
      </c>
    </row>
    <row r="51" spans="1:4" x14ac:dyDescent="0.25">
      <c r="A51" s="3" t="s">
        <v>93</v>
      </c>
      <c r="B51" s="3" t="s">
        <v>94</v>
      </c>
      <c r="C51" s="3" t="s">
        <v>7</v>
      </c>
      <c r="D51" s="4">
        <f>(1428.357*(1+5%))*(1+6%)</f>
        <v>1589.7613410000001</v>
      </c>
    </row>
    <row r="52" spans="1:4" x14ac:dyDescent="0.25">
      <c r="A52" s="3" t="s">
        <v>95</v>
      </c>
      <c r="B52" s="3" t="s">
        <v>96</v>
      </c>
      <c r="C52" s="3" t="s">
        <v>7</v>
      </c>
      <c r="D52" s="4">
        <f>(1908.1965*(1+5%))*(1+6%)</f>
        <v>2123.8227045000003</v>
      </c>
    </row>
    <row r="53" spans="1:4" x14ac:dyDescent="0.25">
      <c r="A53" s="3" t="s">
        <v>97</v>
      </c>
      <c r="B53" s="3" t="s">
        <v>98</v>
      </c>
      <c r="C53" s="3" t="s">
        <v>7</v>
      </c>
      <c r="D53" s="4">
        <f>(2504.4705*(1+5%))*(1+6%)</f>
        <v>2787.4756665</v>
      </c>
    </row>
    <row r="54" spans="1:4" x14ac:dyDescent="0.25">
      <c r="A54" s="3" t="s">
        <v>99</v>
      </c>
      <c r="B54" s="3" t="s">
        <v>100</v>
      </c>
      <c r="C54" s="3" t="s">
        <v>7</v>
      </c>
      <c r="D54" s="4">
        <f>(1252.6185*(1+5%))*(1+6%)</f>
        <v>1394.1643905000003</v>
      </c>
    </row>
    <row r="55" spans="1:4" x14ac:dyDescent="0.25">
      <c r="A55" s="3" t="s">
        <v>101</v>
      </c>
      <c r="B55" s="3" t="s">
        <v>102</v>
      </c>
      <c r="C55" s="3" t="s">
        <v>7</v>
      </c>
      <c r="D55" s="4">
        <f>(4091.5245*(1+5%))*(1+6%)</f>
        <v>4553.8667685</v>
      </c>
    </row>
    <row r="56" spans="1:4" x14ac:dyDescent="0.25">
      <c r="A56" s="3" t="s">
        <v>103</v>
      </c>
      <c r="B56" s="3" t="s">
        <v>104</v>
      </c>
      <c r="C56" s="3" t="s">
        <v>7</v>
      </c>
      <c r="D56" s="4">
        <f>(5589.822*(1+5%))*(1+6%)</f>
        <v>6221.4718860000003</v>
      </c>
    </row>
    <row r="57" spans="1:4" x14ac:dyDescent="0.25">
      <c r="A57" s="3" t="s">
        <v>105</v>
      </c>
      <c r="B57" s="3" t="s">
        <v>106</v>
      </c>
      <c r="C57" s="3" t="s">
        <v>7</v>
      </c>
      <c r="D57" s="4">
        <f>(5312.9895*(1+5%))*(1+6%)</f>
        <v>5913.3573134999997</v>
      </c>
    </row>
    <row r="58" spans="1:4" x14ac:dyDescent="0.25">
      <c r="A58" s="3" t="s">
        <v>107</v>
      </c>
      <c r="B58" s="3" t="s">
        <v>108</v>
      </c>
      <c r="C58" s="3" t="s">
        <v>7</v>
      </c>
      <c r="D58" s="4">
        <f>(3343.977*(1+5%))*(1+6%)</f>
        <v>3721.8464010000002</v>
      </c>
    </row>
    <row r="59" spans="1:4" x14ac:dyDescent="0.25">
      <c r="A59" s="3" t="s">
        <v>109</v>
      </c>
      <c r="B59" s="3" t="s">
        <v>110</v>
      </c>
      <c r="C59" s="3" t="s">
        <v>7</v>
      </c>
      <c r="D59" s="4">
        <f>(3343.977*(1+5%))*(1+6%)</f>
        <v>3721.8464010000002</v>
      </c>
    </row>
  </sheetData>
  <mergeCells count="6">
    <mergeCell ref="A40:D40"/>
    <mergeCell ref="A2:D2"/>
    <mergeCell ref="A13:D13"/>
    <mergeCell ref="A20:D20"/>
    <mergeCell ref="A29:D29"/>
    <mergeCell ref="A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11" workbookViewId="0">
      <selection activeCell="E11" sqref="E11"/>
    </sheetView>
  </sheetViews>
  <sheetFormatPr baseColWidth="10" defaultRowHeight="15" x14ac:dyDescent="0.25"/>
  <cols>
    <col min="1" max="1" width="16.140625" bestFit="1" customWidth="1"/>
    <col min="2" max="2" width="29.42578125" customWidth="1"/>
    <col min="3" max="3" width="12.5703125" bestFit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111</v>
      </c>
    </row>
    <row r="2" spans="1:6" x14ac:dyDescent="0.25">
      <c r="A2" s="7">
        <v>101130212511004</v>
      </c>
      <c r="B2" s="3" t="s">
        <v>112</v>
      </c>
      <c r="C2" s="3" t="s">
        <v>113</v>
      </c>
      <c r="D2" s="4">
        <f>15216.71*(1+1.06%)</f>
        <v>15378.007125999999</v>
      </c>
    </row>
    <row r="3" spans="1:6" x14ac:dyDescent="0.25">
      <c r="A3" s="7">
        <v>101130212520004</v>
      </c>
      <c r="B3" s="3" t="s">
        <v>114</v>
      </c>
      <c r="C3" s="3" t="s">
        <v>113</v>
      </c>
      <c r="D3" s="4">
        <f>6.15*(1+1.06%)</f>
        <v>6.2151899999999998</v>
      </c>
    </row>
    <row r="4" spans="1:6" x14ac:dyDescent="0.25">
      <c r="A4" s="7">
        <v>101130212525004</v>
      </c>
      <c r="B4" s="3" t="s">
        <v>115</v>
      </c>
      <c r="C4" s="3" t="s">
        <v>113</v>
      </c>
      <c r="D4" s="4">
        <f>212.81*(1+1.06%)</f>
        <v>215.065786</v>
      </c>
    </row>
    <row r="5" spans="1:6" x14ac:dyDescent="0.25">
      <c r="A5" s="7">
        <v>101130212532004</v>
      </c>
      <c r="B5" s="3" t="s">
        <v>116</v>
      </c>
      <c r="C5" s="3" t="s">
        <v>113</v>
      </c>
      <c r="D5" s="4">
        <f>1383.69*(1+1.06%)</f>
        <v>1398.3571139999999</v>
      </c>
    </row>
    <row r="6" spans="1:6" x14ac:dyDescent="0.25">
      <c r="A6" s="7">
        <v>101130212540004</v>
      </c>
      <c r="B6" s="3" t="s">
        <v>117</v>
      </c>
      <c r="C6" s="3" t="s">
        <v>113</v>
      </c>
      <c r="D6" s="4">
        <f>2337.22*(1+1.06%)</f>
        <v>2361.9945319999997</v>
      </c>
    </row>
    <row r="7" spans="1:6" x14ac:dyDescent="0.25">
      <c r="A7" s="7">
        <v>101130212540004</v>
      </c>
      <c r="B7" s="3" t="s">
        <v>117</v>
      </c>
      <c r="C7" s="3" t="s">
        <v>113</v>
      </c>
      <c r="D7" s="4">
        <f>2337.22*(1+1.06%)</f>
        <v>2361.9945319999997</v>
      </c>
    </row>
    <row r="8" spans="1:6" x14ac:dyDescent="0.25">
      <c r="A8" s="7">
        <v>101130212550004</v>
      </c>
      <c r="B8" s="3" t="s">
        <v>118</v>
      </c>
      <c r="C8" s="3" t="s">
        <v>113</v>
      </c>
      <c r="D8" s="4">
        <f>3075.73*(1+1.06%)</f>
        <v>3108.3327380000001</v>
      </c>
      <c r="F8" s="49"/>
    </row>
    <row r="9" spans="1:6" x14ac:dyDescent="0.25">
      <c r="A9" s="7">
        <v>101130212563004</v>
      </c>
      <c r="B9" s="3" t="s">
        <v>119</v>
      </c>
      <c r="C9" s="3" t="s">
        <v>113</v>
      </c>
      <c r="D9" s="4">
        <f>4882.29*(1+1.06%)</f>
        <v>4934.0422739999995</v>
      </c>
    </row>
    <row r="10" spans="1:6" x14ac:dyDescent="0.25">
      <c r="A10" s="7">
        <v>101130212575004</v>
      </c>
      <c r="B10" s="3" t="s">
        <v>120</v>
      </c>
      <c r="C10" s="3" t="s">
        <v>113</v>
      </c>
      <c r="D10" s="4">
        <f>6939.77*(1+1.06%)</f>
        <v>7013.3315620000003</v>
      </c>
    </row>
    <row r="11" spans="1:6" x14ac:dyDescent="0.25">
      <c r="A11" s="7">
        <v>101130212590004</v>
      </c>
      <c r="B11" s="3" t="s">
        <v>121</v>
      </c>
      <c r="C11" s="3" t="s">
        <v>113</v>
      </c>
      <c r="D11" s="4">
        <f>10205.5*(1+1.06%)</f>
        <v>10313.6783</v>
      </c>
    </row>
    <row r="12" spans="1:6" x14ac:dyDescent="0.25">
      <c r="A12" s="7">
        <v>101130220020004</v>
      </c>
      <c r="B12" s="3" t="s">
        <v>122</v>
      </c>
      <c r="C12" s="3" t="s">
        <v>113</v>
      </c>
      <c r="D12" s="4">
        <f>677.53*(1+1.06%)</f>
        <v>684.71181799999988</v>
      </c>
    </row>
    <row r="13" spans="1:6" x14ac:dyDescent="0.25">
      <c r="A13" s="7">
        <v>101130220025004</v>
      </c>
      <c r="B13" s="3" t="s">
        <v>123</v>
      </c>
      <c r="C13" s="3" t="s">
        <v>113</v>
      </c>
      <c r="D13" s="4">
        <f>1020.15*(1+1.06%)</f>
        <v>1030.9635899999998</v>
      </c>
    </row>
    <row r="14" spans="1:6" x14ac:dyDescent="0.25">
      <c r="A14" s="7">
        <v>101130220032004</v>
      </c>
      <c r="B14" s="3" t="s">
        <v>124</v>
      </c>
      <c r="C14" s="3" t="s">
        <v>113</v>
      </c>
      <c r="D14" s="4">
        <f>1656.52*(1+1.06%)</f>
        <v>1674.0791119999999</v>
      </c>
    </row>
    <row r="15" spans="1:6" x14ac:dyDescent="0.25">
      <c r="A15" s="7">
        <v>101130220040004</v>
      </c>
      <c r="B15" s="3" t="s">
        <v>125</v>
      </c>
      <c r="C15" s="3" t="s">
        <v>113</v>
      </c>
      <c r="D15" s="4">
        <f>2682.72*(1+1.06%)</f>
        <v>2711.1568319999997</v>
      </c>
    </row>
    <row r="16" spans="1:6" x14ac:dyDescent="0.25">
      <c r="A16" s="7">
        <v>101130220050004</v>
      </c>
      <c r="B16" s="3" t="s">
        <v>126</v>
      </c>
      <c r="C16" s="3" t="s">
        <v>113</v>
      </c>
      <c r="D16" s="4">
        <f>3903.45*(1+1.06%)</f>
        <v>3944.8265699999997</v>
      </c>
    </row>
    <row r="17" spans="1:4" x14ac:dyDescent="0.25">
      <c r="A17" s="7">
        <v>101130220063004</v>
      </c>
      <c r="B17" s="3" t="s">
        <v>127</v>
      </c>
      <c r="C17" s="3" t="s">
        <v>113</v>
      </c>
      <c r="D17" s="4">
        <f>7092.9*(1+1.06%)</f>
        <v>7168.0847399999993</v>
      </c>
    </row>
    <row r="18" spans="1:4" x14ac:dyDescent="0.25">
      <c r="A18" s="7">
        <v>101130220075004</v>
      </c>
      <c r="B18" s="3" t="s">
        <v>128</v>
      </c>
      <c r="C18" s="3" t="s">
        <v>113</v>
      </c>
      <c r="D18" s="4">
        <f>10083.02*(1+1.06%)</f>
        <v>10189.900012</v>
      </c>
    </row>
    <row r="19" spans="1:4" x14ac:dyDescent="0.25">
      <c r="A19" s="7">
        <v>101130220090004</v>
      </c>
      <c r="B19" s="3" t="s">
        <v>129</v>
      </c>
      <c r="C19" s="3" t="s">
        <v>113</v>
      </c>
      <c r="D19" s="4">
        <f>15031.6*(1+1.06%)</f>
        <v>15190.934959999999</v>
      </c>
    </row>
    <row r="20" spans="1:4" x14ac:dyDescent="0.25">
      <c r="A20" s="7">
        <v>10113022011004</v>
      </c>
      <c r="B20" s="3" t="s">
        <v>130</v>
      </c>
      <c r="C20" s="3" t="s">
        <v>113</v>
      </c>
      <c r="D20" s="4">
        <f>22136.17*(1+1.06%)</f>
        <v>22370.813401999996</v>
      </c>
    </row>
    <row r="21" spans="1:4" x14ac:dyDescent="0.25">
      <c r="A21" s="7">
        <v>101203102200000</v>
      </c>
      <c r="B21" s="3" t="s">
        <v>131</v>
      </c>
      <c r="C21" s="3" t="s">
        <v>113</v>
      </c>
      <c r="D21" s="4">
        <f>137.8*(1+1.06%)</f>
        <v>139.26068000000001</v>
      </c>
    </row>
    <row r="22" spans="1:4" x14ac:dyDescent="0.25">
      <c r="A22" s="7">
        <v>101203102250000</v>
      </c>
      <c r="B22" s="3" t="s">
        <v>132</v>
      </c>
      <c r="C22" s="3" t="s">
        <v>113</v>
      </c>
      <c r="D22" s="4">
        <f>191.73*(1+1.06%)</f>
        <v>193.76233799999997</v>
      </c>
    </row>
    <row r="23" spans="1:4" x14ac:dyDescent="0.25">
      <c r="A23" s="7">
        <v>101203102320000</v>
      </c>
      <c r="B23" s="3" t="s">
        <v>133</v>
      </c>
      <c r="C23" s="3" t="s">
        <v>113</v>
      </c>
      <c r="D23" s="4">
        <f>270.79*(1+1.06%)</f>
        <v>273.66037399999999</v>
      </c>
    </row>
    <row r="24" spans="1:4" x14ac:dyDescent="0.25">
      <c r="A24" s="7">
        <v>101203102400000</v>
      </c>
      <c r="B24" s="3" t="s">
        <v>134</v>
      </c>
      <c r="C24" s="3" t="s">
        <v>113</v>
      </c>
      <c r="D24" s="4">
        <f>0*(1+1.06%)</f>
        <v>0</v>
      </c>
    </row>
    <row r="25" spans="1:4" x14ac:dyDescent="0.25">
      <c r="A25" s="7">
        <v>101203102500000</v>
      </c>
      <c r="B25" s="3" t="s">
        <v>135</v>
      </c>
      <c r="C25" s="3" t="s">
        <v>113</v>
      </c>
      <c r="D25" s="4">
        <f>0*(1+1.06%)</f>
        <v>0</v>
      </c>
    </row>
    <row r="26" spans="1:4" x14ac:dyDescent="0.25">
      <c r="A26" s="7">
        <v>101203102630000</v>
      </c>
      <c r="B26" s="3" t="s">
        <v>136</v>
      </c>
      <c r="C26" s="3" t="s">
        <v>113</v>
      </c>
      <c r="D26" s="4">
        <f>0*(1+1.06%)</f>
        <v>0</v>
      </c>
    </row>
    <row r="27" spans="1:4" x14ac:dyDescent="0.25">
      <c r="A27" s="7">
        <v>101203104200000</v>
      </c>
      <c r="B27" s="3" t="s">
        <v>137</v>
      </c>
      <c r="C27" s="3" t="s">
        <v>113</v>
      </c>
      <c r="D27" s="4">
        <f>75.75*(1+1.06%)</f>
        <v>76.552949999999996</v>
      </c>
    </row>
    <row r="28" spans="1:4" x14ac:dyDescent="0.25">
      <c r="A28" s="7">
        <v>101203104250000</v>
      </c>
      <c r="B28" s="3" t="s">
        <v>138</v>
      </c>
      <c r="C28" s="3" t="s">
        <v>113</v>
      </c>
      <c r="D28" s="4">
        <f>95.63*(1+1.06%)</f>
        <v>96.643677999999994</v>
      </c>
    </row>
    <row r="29" spans="1:4" x14ac:dyDescent="0.25">
      <c r="A29" s="7">
        <v>101203104320000</v>
      </c>
      <c r="B29" s="3" t="s">
        <v>139</v>
      </c>
      <c r="C29" s="3" t="s">
        <v>113</v>
      </c>
      <c r="D29" s="4">
        <f>140.66*(1+1.06%)</f>
        <v>142.15099599999999</v>
      </c>
    </row>
    <row r="30" spans="1:4" x14ac:dyDescent="0.25">
      <c r="A30" s="7">
        <v>101203104400000</v>
      </c>
      <c r="B30" s="3" t="s">
        <v>140</v>
      </c>
      <c r="C30" s="3" t="s">
        <v>113</v>
      </c>
      <c r="D30" s="4">
        <f>220.89*(1+1.06%)</f>
        <v>223.23143399999998</v>
      </c>
    </row>
    <row r="31" spans="1:4" x14ac:dyDescent="0.25">
      <c r="A31" s="7">
        <v>101203104500000</v>
      </c>
      <c r="B31" s="3" t="s">
        <v>141</v>
      </c>
      <c r="C31" s="3" t="s">
        <v>113</v>
      </c>
      <c r="D31" s="4">
        <f>425.63*(1+1.06%)</f>
        <v>430.14167799999996</v>
      </c>
    </row>
    <row r="32" spans="1:4" x14ac:dyDescent="0.25">
      <c r="A32" s="7">
        <v>101203104630000</v>
      </c>
      <c r="B32" s="3" t="s">
        <v>142</v>
      </c>
      <c r="C32" s="3" t="s">
        <v>113</v>
      </c>
      <c r="D32" s="4">
        <f>5.52*(1+1.06%)</f>
        <v>5.578511999999999</v>
      </c>
    </row>
    <row r="33" spans="1:4" x14ac:dyDescent="0.25">
      <c r="A33" s="7">
        <v>101203104750000</v>
      </c>
      <c r="B33" s="3" t="s">
        <v>143</v>
      </c>
      <c r="C33" s="3" t="s">
        <v>113</v>
      </c>
      <c r="D33" s="4">
        <f>5.52*(1+1.06%)</f>
        <v>5.578511999999999</v>
      </c>
    </row>
    <row r="34" spans="1:4" x14ac:dyDescent="0.25">
      <c r="A34" s="7">
        <v>101203104900000</v>
      </c>
      <c r="B34" s="3" t="s">
        <v>144</v>
      </c>
      <c r="C34" s="3" t="s">
        <v>113</v>
      </c>
      <c r="D34" s="4">
        <f>5.52*(1+1.06%)</f>
        <v>5.578511999999999</v>
      </c>
    </row>
    <row r="35" spans="1:4" x14ac:dyDescent="0.25">
      <c r="A35" s="7">
        <v>101203105200000</v>
      </c>
      <c r="B35" s="3" t="s">
        <v>145</v>
      </c>
      <c r="C35" s="3" t="s">
        <v>113</v>
      </c>
      <c r="D35" s="4">
        <f>37.95*(1+1.06%)</f>
        <v>38.352269999999997</v>
      </c>
    </row>
    <row r="36" spans="1:4" x14ac:dyDescent="0.25">
      <c r="A36" s="7">
        <v>101203105250000</v>
      </c>
      <c r="B36" s="3" t="s">
        <v>146</v>
      </c>
      <c r="C36" s="3" t="s">
        <v>113</v>
      </c>
      <c r="D36" s="4">
        <f>60.38*(1+1.06%)</f>
        <v>61.020027999999996</v>
      </c>
    </row>
    <row r="37" spans="1:4" x14ac:dyDescent="0.25">
      <c r="A37" s="7">
        <v>101203105320000</v>
      </c>
      <c r="B37" s="3" t="s">
        <v>147</v>
      </c>
      <c r="C37" s="3" t="s">
        <v>113</v>
      </c>
      <c r="D37" s="4">
        <f>87.54*(1+1.06%)</f>
        <v>88.467923999999996</v>
      </c>
    </row>
    <row r="38" spans="1:4" x14ac:dyDescent="0.25">
      <c r="A38" s="7">
        <v>101203105400000</v>
      </c>
      <c r="B38" s="3" t="s">
        <v>148</v>
      </c>
      <c r="C38" s="3" t="s">
        <v>113</v>
      </c>
      <c r="D38" s="4">
        <f>221.94*(1+1.06%)</f>
        <v>224.292564</v>
      </c>
    </row>
    <row r="39" spans="1:4" x14ac:dyDescent="0.25">
      <c r="A39" s="7">
        <v>101203105500000</v>
      </c>
      <c r="B39" s="3" t="s">
        <v>149</v>
      </c>
      <c r="C39" s="3" t="s">
        <v>113</v>
      </c>
      <c r="D39" s="4">
        <f>410.19*(1+1.06%)</f>
        <v>414.53801399999998</v>
      </c>
    </row>
    <row r="40" spans="1:4" x14ac:dyDescent="0.25">
      <c r="A40" s="7">
        <v>101203105630000</v>
      </c>
      <c r="B40" s="3" t="s">
        <v>150</v>
      </c>
      <c r="C40" s="3" t="s">
        <v>113</v>
      </c>
      <c r="D40" s="4">
        <f>556.35*(1+1.06%)</f>
        <v>562.24730999999997</v>
      </c>
    </row>
    <row r="41" spans="1:4" x14ac:dyDescent="0.25">
      <c r="A41" s="7">
        <v>101203105750000</v>
      </c>
      <c r="B41" s="3" t="s">
        <v>151</v>
      </c>
      <c r="C41" s="3" t="s">
        <v>113</v>
      </c>
      <c r="D41" s="4">
        <f>0.34*(1+1.06%)</f>
        <v>0.34360400000000002</v>
      </c>
    </row>
    <row r="42" spans="1:4" x14ac:dyDescent="0.25">
      <c r="A42" s="7">
        <v>101203105900000</v>
      </c>
      <c r="B42" s="3" t="s">
        <v>152</v>
      </c>
      <c r="C42" s="3" t="s">
        <v>113</v>
      </c>
      <c r="D42" s="4">
        <f>0.56*(1+1.06%)</f>
        <v>0.56593599999999999</v>
      </c>
    </row>
    <row r="43" spans="1:4" x14ac:dyDescent="0.25">
      <c r="A43" s="7">
        <v>101203106201200</v>
      </c>
      <c r="B43" s="3" t="s">
        <v>153</v>
      </c>
      <c r="C43" s="3" t="s">
        <v>113</v>
      </c>
      <c r="D43" s="4">
        <f>314.61*(1+1.06%)</f>
        <v>317.94486599999999</v>
      </c>
    </row>
    <row r="44" spans="1:4" x14ac:dyDescent="0.25">
      <c r="A44" s="7">
        <v>101203106201201</v>
      </c>
      <c r="B44" s="3" t="s">
        <v>154</v>
      </c>
      <c r="C44" s="3" t="s">
        <v>113</v>
      </c>
      <c r="D44" s="4">
        <f>349.71*(1+1.06%)</f>
        <v>353.41692599999993</v>
      </c>
    </row>
    <row r="45" spans="1:4" x14ac:dyDescent="0.25">
      <c r="A45" s="7">
        <v>101203106251200</v>
      </c>
      <c r="B45" s="3" t="s">
        <v>155</v>
      </c>
      <c r="C45" s="3" t="s">
        <v>113</v>
      </c>
      <c r="D45" s="4">
        <f>412.19*(1+1.06%)</f>
        <v>416.559214</v>
      </c>
    </row>
    <row r="46" spans="1:4" x14ac:dyDescent="0.25">
      <c r="A46" s="7">
        <v>101203106253400</v>
      </c>
      <c r="B46" s="3" t="s">
        <v>156</v>
      </c>
      <c r="C46" s="3" t="s">
        <v>113</v>
      </c>
      <c r="D46" s="4">
        <f>442.51*(1+1.06%)</f>
        <v>447.20060599999999</v>
      </c>
    </row>
    <row r="47" spans="1:4" x14ac:dyDescent="0.25">
      <c r="A47" s="7">
        <v>101203106321000</v>
      </c>
      <c r="B47" s="3" t="s">
        <v>157</v>
      </c>
      <c r="C47" s="3" t="s">
        <v>113</v>
      </c>
      <c r="D47" s="4">
        <f>812.24*(1+1.06%)</f>
        <v>820.84974399999999</v>
      </c>
    </row>
    <row r="48" spans="1:4" x14ac:dyDescent="0.25">
      <c r="A48" s="7">
        <v>101203106323400</v>
      </c>
      <c r="B48" s="3" t="s">
        <v>158</v>
      </c>
      <c r="C48" s="3" t="s">
        <v>113</v>
      </c>
      <c r="D48" s="4">
        <f>768.64*(1+1.06%)</f>
        <v>776.78758399999992</v>
      </c>
    </row>
    <row r="49" spans="1:4" x14ac:dyDescent="0.25">
      <c r="A49" s="7">
        <v>101203107201200</v>
      </c>
      <c r="B49" s="3" t="s">
        <v>159</v>
      </c>
      <c r="C49" s="3" t="s">
        <v>113</v>
      </c>
      <c r="D49" s="4">
        <f>241.57*(1+1.06%)</f>
        <v>244.13064199999997</v>
      </c>
    </row>
    <row r="50" spans="1:4" x14ac:dyDescent="0.25">
      <c r="A50" s="7">
        <v>101203107201202</v>
      </c>
      <c r="B50" s="3" t="s">
        <v>160</v>
      </c>
      <c r="C50" s="3" t="s">
        <v>113</v>
      </c>
      <c r="D50" s="4">
        <f>160.45*(1+1.06%)</f>
        <v>162.15076999999997</v>
      </c>
    </row>
    <row r="51" spans="1:4" x14ac:dyDescent="0.25">
      <c r="A51" s="7">
        <v>101203107251200</v>
      </c>
      <c r="B51" s="3" t="s">
        <v>161</v>
      </c>
      <c r="C51" s="3" t="s">
        <v>113</v>
      </c>
      <c r="D51" s="4">
        <f>335.55*(1+1.06%)</f>
        <v>339.10683</v>
      </c>
    </row>
    <row r="52" spans="1:4" x14ac:dyDescent="0.25">
      <c r="A52" s="7">
        <v>101203107253400</v>
      </c>
      <c r="B52" s="3" t="s">
        <v>162</v>
      </c>
      <c r="C52" s="3" t="s">
        <v>113</v>
      </c>
      <c r="D52" s="4">
        <f>376.38*(1+1.06%)</f>
        <v>380.36962799999998</v>
      </c>
    </row>
    <row r="53" spans="1:4" x14ac:dyDescent="0.25">
      <c r="A53" s="7">
        <v>101203107321000</v>
      </c>
      <c r="B53" s="3" t="s">
        <v>163</v>
      </c>
      <c r="C53" s="3" t="s">
        <v>113</v>
      </c>
      <c r="D53" s="4">
        <f>682.79*(1+1.06%)</f>
        <v>690.02757399999996</v>
      </c>
    </row>
    <row r="54" spans="1:4" x14ac:dyDescent="0.25">
      <c r="A54" s="7">
        <v>101203107323400</v>
      </c>
      <c r="B54" s="3" t="s">
        <v>164</v>
      </c>
      <c r="C54" s="3" t="s">
        <v>113</v>
      </c>
      <c r="D54" s="4">
        <f>622.4*(1+1.06%)</f>
        <v>628.99743999999998</v>
      </c>
    </row>
    <row r="55" spans="1:4" x14ac:dyDescent="0.25">
      <c r="A55" s="7">
        <v>101203108200000</v>
      </c>
      <c r="B55" s="3" t="s">
        <v>165</v>
      </c>
      <c r="C55" s="3" t="s">
        <v>113</v>
      </c>
      <c r="D55" s="4">
        <f>28.49*(1+1.06%)</f>
        <v>28.791993999999995</v>
      </c>
    </row>
    <row r="56" spans="1:4" x14ac:dyDescent="0.25">
      <c r="A56" s="7">
        <v>101203108250000</v>
      </c>
      <c r="B56" s="3" t="s">
        <v>166</v>
      </c>
      <c r="C56" s="3" t="s">
        <v>113</v>
      </c>
      <c r="D56" s="4">
        <f>46.37*(1+1.06%)</f>
        <v>46.861521999999994</v>
      </c>
    </row>
    <row r="57" spans="1:4" x14ac:dyDescent="0.25">
      <c r="A57" s="7">
        <v>101203108320000</v>
      </c>
      <c r="B57" s="3" t="s">
        <v>167</v>
      </c>
      <c r="C57" s="3" t="s">
        <v>113</v>
      </c>
      <c r="D57" s="4">
        <f>68.91*(1+1.06%)</f>
        <v>69.640445999999997</v>
      </c>
    </row>
    <row r="58" spans="1:4" x14ac:dyDescent="0.25">
      <c r="A58" s="7">
        <v>101203108400000</v>
      </c>
      <c r="B58" s="3" t="s">
        <v>168</v>
      </c>
      <c r="C58" s="3" t="s">
        <v>113</v>
      </c>
      <c r="D58" s="4">
        <f>183.69*(1+1.06%)</f>
        <v>185.637114</v>
      </c>
    </row>
    <row r="59" spans="1:4" x14ac:dyDescent="0.25">
      <c r="A59" s="7">
        <v>101203108500000</v>
      </c>
      <c r="B59" s="3" t="s">
        <v>169</v>
      </c>
      <c r="C59" s="3" t="s">
        <v>113</v>
      </c>
      <c r="D59" s="4">
        <f>279.2*(1+1.06%)</f>
        <v>282.15951999999999</v>
      </c>
    </row>
    <row r="60" spans="1:4" x14ac:dyDescent="0.25">
      <c r="A60" s="7">
        <v>101203108630000</v>
      </c>
      <c r="B60" s="3" t="s">
        <v>170</v>
      </c>
      <c r="C60" s="3" t="s">
        <v>113</v>
      </c>
      <c r="D60" s="4">
        <f>516.5*(1+1.06%)</f>
        <v>521.97489999999993</v>
      </c>
    </row>
    <row r="61" spans="1:4" x14ac:dyDescent="0.25">
      <c r="A61" s="7">
        <v>101203108750000</v>
      </c>
      <c r="B61" s="3" t="s">
        <v>171</v>
      </c>
      <c r="C61" s="3" t="s">
        <v>113</v>
      </c>
      <c r="D61" s="4">
        <f>5.52*(1+1.06%)</f>
        <v>5.578511999999999</v>
      </c>
    </row>
    <row r="62" spans="1:4" x14ac:dyDescent="0.25">
      <c r="A62" s="7">
        <v>101203108900000</v>
      </c>
      <c r="B62" s="3" t="s">
        <v>172</v>
      </c>
      <c r="C62" s="3" t="s">
        <v>113</v>
      </c>
      <c r="D62" s="4">
        <f>5.52*(1+1.06%)</f>
        <v>5.578511999999999</v>
      </c>
    </row>
    <row r="63" spans="1:4" x14ac:dyDescent="0.25">
      <c r="A63" s="7">
        <v>101203109202000</v>
      </c>
      <c r="B63" s="3" t="s">
        <v>173</v>
      </c>
      <c r="C63" s="3" t="s">
        <v>113</v>
      </c>
      <c r="D63" s="4">
        <f>60.28*(1+1.06%)</f>
        <v>60.918968</v>
      </c>
    </row>
    <row r="64" spans="1:4" x14ac:dyDescent="0.25">
      <c r="A64" s="7">
        <v>101203109322000</v>
      </c>
      <c r="B64" s="3" t="s">
        <v>174</v>
      </c>
      <c r="C64" s="3" t="s">
        <v>113</v>
      </c>
      <c r="D64" s="4">
        <f>73.23*(1+1.06%)</f>
        <v>74.006237999999996</v>
      </c>
    </row>
    <row r="65" spans="1:4" x14ac:dyDescent="0.25">
      <c r="A65" s="7">
        <v>101203109322500</v>
      </c>
      <c r="B65" s="3" t="s">
        <v>175</v>
      </c>
      <c r="C65" s="3" t="s">
        <v>113</v>
      </c>
      <c r="D65" s="4">
        <f>90.34*(1+1.06%)</f>
        <v>91.297603999999993</v>
      </c>
    </row>
    <row r="66" spans="1:4" x14ac:dyDescent="0.25">
      <c r="A66" s="7">
        <v>101203109402500</v>
      </c>
      <c r="B66" s="3" t="s">
        <v>176</v>
      </c>
      <c r="C66" s="3" t="s">
        <v>113</v>
      </c>
      <c r="D66" s="4">
        <f>191.55*(1+1.06%)</f>
        <v>193.58043000000001</v>
      </c>
    </row>
    <row r="67" spans="1:4" x14ac:dyDescent="0.25">
      <c r="A67" s="7">
        <v>101203109403200</v>
      </c>
      <c r="B67" s="3" t="s">
        <v>177</v>
      </c>
      <c r="C67" s="3" t="s">
        <v>113</v>
      </c>
      <c r="D67" s="4">
        <f>180.67*(1+1.06%)</f>
        <v>182.58510199999998</v>
      </c>
    </row>
    <row r="68" spans="1:4" x14ac:dyDescent="0.25">
      <c r="A68" s="7">
        <v>101203109502500</v>
      </c>
      <c r="B68" s="3" t="s">
        <v>178</v>
      </c>
      <c r="C68" s="3" t="s">
        <v>113</v>
      </c>
      <c r="D68" s="4">
        <f>0.56*(1+1.06%)</f>
        <v>0.56593599999999999</v>
      </c>
    </row>
    <row r="69" spans="1:4" x14ac:dyDescent="0.25">
      <c r="A69" s="7">
        <v>101203109503200</v>
      </c>
      <c r="B69" s="3" t="s">
        <v>179</v>
      </c>
      <c r="C69" s="3" t="s">
        <v>113</v>
      </c>
      <c r="D69" s="4">
        <f>322.71*(1+1.06%)</f>
        <v>326.13072599999998</v>
      </c>
    </row>
    <row r="70" spans="1:4" x14ac:dyDescent="0.25">
      <c r="A70" s="7">
        <v>101203109504000</v>
      </c>
      <c r="B70" s="3" t="s">
        <v>180</v>
      </c>
      <c r="C70" s="3" t="s">
        <v>113</v>
      </c>
      <c r="D70" s="4">
        <f>277.75*(1+1.06%)</f>
        <v>280.69414999999998</v>
      </c>
    </row>
    <row r="71" spans="1:4" x14ac:dyDescent="0.25">
      <c r="A71" s="7">
        <v>101203109633200</v>
      </c>
      <c r="B71" s="3" t="s">
        <v>181</v>
      </c>
      <c r="C71" s="3" t="s">
        <v>113</v>
      </c>
      <c r="D71" s="4">
        <f>655.9*(1+1.06%)</f>
        <v>662.85253999999998</v>
      </c>
    </row>
    <row r="72" spans="1:4" x14ac:dyDescent="0.25">
      <c r="A72" s="7">
        <v>101203109634000</v>
      </c>
      <c r="B72" s="3" t="s">
        <v>182</v>
      </c>
      <c r="C72" s="3" t="s">
        <v>113</v>
      </c>
      <c r="D72" s="4">
        <f>630.06*(1+1.06%)</f>
        <v>636.73863599999993</v>
      </c>
    </row>
    <row r="73" spans="1:4" x14ac:dyDescent="0.25">
      <c r="A73" s="7">
        <v>101203109635000</v>
      </c>
      <c r="B73" s="3" t="s">
        <v>183</v>
      </c>
      <c r="C73" s="3" t="s">
        <v>113</v>
      </c>
      <c r="D73" s="4">
        <f>632.8*(1+1.06%)</f>
        <v>639.50767999999994</v>
      </c>
    </row>
    <row r="74" spans="1:4" x14ac:dyDescent="0.25">
      <c r="A74" s="7">
        <v>101203110201200</v>
      </c>
      <c r="B74" s="3" t="s">
        <v>184</v>
      </c>
      <c r="C74" s="3" t="s">
        <v>113</v>
      </c>
      <c r="D74" s="4">
        <f>301.38*(1+1.06%)</f>
        <v>304.57462799999996</v>
      </c>
    </row>
    <row r="75" spans="1:4" x14ac:dyDescent="0.25">
      <c r="A75" s="7">
        <v>101203110251200</v>
      </c>
      <c r="B75" s="3" t="s">
        <v>185</v>
      </c>
      <c r="C75" s="3" t="s">
        <v>113</v>
      </c>
      <c r="D75" s="4">
        <f>333.26*(1+1.06%)</f>
        <v>336.79255599999999</v>
      </c>
    </row>
    <row r="76" spans="1:4" x14ac:dyDescent="0.25">
      <c r="A76" s="7">
        <v>101203110253400</v>
      </c>
      <c r="B76" s="3" t="s">
        <v>186</v>
      </c>
      <c r="C76" s="3" t="s">
        <v>113</v>
      </c>
      <c r="D76" s="4">
        <f>396.62*(1+1.06%)</f>
        <v>400.82417199999998</v>
      </c>
    </row>
    <row r="77" spans="1:4" x14ac:dyDescent="0.25">
      <c r="A77" s="7">
        <v>101203110321000</v>
      </c>
      <c r="B77" s="3" t="s">
        <v>187</v>
      </c>
      <c r="C77" s="3" t="s">
        <v>113</v>
      </c>
      <c r="D77" s="4">
        <f>863.8*(1+1.06%)</f>
        <v>872.95627999999988</v>
      </c>
    </row>
    <row r="78" spans="1:4" x14ac:dyDescent="0.25">
      <c r="A78" s="7">
        <v>101203110323400</v>
      </c>
      <c r="B78" s="3" t="s">
        <v>188</v>
      </c>
      <c r="C78" s="3" t="s">
        <v>113</v>
      </c>
      <c r="D78" s="4">
        <f>716.83*(1+1.06%)</f>
        <v>724.42839800000002</v>
      </c>
    </row>
    <row r="79" spans="1:4" x14ac:dyDescent="0.25">
      <c r="A79" s="7">
        <v>101203110401140</v>
      </c>
      <c r="B79" s="3" t="s">
        <v>189</v>
      </c>
      <c r="C79" s="3" t="s">
        <v>113</v>
      </c>
      <c r="D79" s="4">
        <f>2189.94*(1+1.06%)</f>
        <v>2213.1533639999998</v>
      </c>
    </row>
    <row r="80" spans="1:4" x14ac:dyDescent="0.25">
      <c r="A80" s="7">
        <v>101203110501120</v>
      </c>
      <c r="B80" s="3" t="s">
        <v>190</v>
      </c>
      <c r="C80" s="3" t="s">
        <v>113</v>
      </c>
      <c r="D80" s="4">
        <f>3189.52*(1+1.06%)</f>
        <v>3223.3289119999999</v>
      </c>
    </row>
    <row r="81" spans="1:4" x14ac:dyDescent="0.25">
      <c r="A81" s="7">
        <v>101203110632000</v>
      </c>
      <c r="B81" s="3" t="s">
        <v>191</v>
      </c>
      <c r="C81" s="3" t="s">
        <v>113</v>
      </c>
      <c r="D81" s="4">
        <f>4598.79*(1+1.06%)</f>
        <v>4647.5371740000001</v>
      </c>
    </row>
    <row r="82" spans="1:4" x14ac:dyDescent="0.25">
      <c r="A82" s="7">
        <v>101203110752120</v>
      </c>
      <c r="B82" s="3" t="s">
        <v>192</v>
      </c>
      <c r="C82" s="3" t="s">
        <v>113</v>
      </c>
      <c r="D82" s="4">
        <f>0*(1+1.06%)</f>
        <v>0</v>
      </c>
    </row>
    <row r="83" spans="1:4" x14ac:dyDescent="0.25">
      <c r="A83" s="7">
        <v>101203111201200</v>
      </c>
      <c r="B83" s="3" t="s">
        <v>193</v>
      </c>
      <c r="C83" s="3" t="s">
        <v>113</v>
      </c>
      <c r="D83" s="4">
        <f>222.21*(1+1.06%)</f>
        <v>224.565426</v>
      </c>
    </row>
    <row r="84" spans="1:4" x14ac:dyDescent="0.25">
      <c r="A84" s="7">
        <v>101203111203800</v>
      </c>
      <c r="B84" s="3" t="s">
        <v>194</v>
      </c>
      <c r="C84" s="3" t="s">
        <v>113</v>
      </c>
      <c r="D84" s="4">
        <f>226.98*(1+1.06%)</f>
        <v>229.38598799999997</v>
      </c>
    </row>
    <row r="85" spans="1:4" x14ac:dyDescent="0.25">
      <c r="A85" s="7">
        <v>101203111251200</v>
      </c>
      <c r="B85" s="3" t="s">
        <v>195</v>
      </c>
      <c r="C85" s="3" t="s">
        <v>113</v>
      </c>
      <c r="D85" s="4">
        <f>296.74*(1+1.06%)</f>
        <v>299.88544400000001</v>
      </c>
    </row>
    <row r="86" spans="1:4" x14ac:dyDescent="0.25">
      <c r="A86" s="7">
        <v>101203111253400</v>
      </c>
      <c r="B86" s="3" t="s">
        <v>196</v>
      </c>
      <c r="C86" s="3" t="s">
        <v>113</v>
      </c>
      <c r="D86" s="4">
        <f>333.13*(1+1.06%)</f>
        <v>336.66117799999995</v>
      </c>
    </row>
    <row r="87" spans="1:4" x14ac:dyDescent="0.25">
      <c r="A87" s="7">
        <v>101203111321000</v>
      </c>
      <c r="B87" s="3" t="s">
        <v>197</v>
      </c>
      <c r="C87" s="3" t="s">
        <v>113</v>
      </c>
      <c r="D87" s="4">
        <f>720.23*(1+1.06%)</f>
        <v>727.86443799999995</v>
      </c>
    </row>
    <row r="88" spans="1:4" x14ac:dyDescent="0.25">
      <c r="A88" s="7">
        <v>101203111323400</v>
      </c>
      <c r="B88" s="3" t="s">
        <v>198</v>
      </c>
      <c r="C88" s="3" t="s">
        <v>113</v>
      </c>
      <c r="D88" s="4">
        <f>587.22*(1+1.06%)</f>
        <v>593.44453199999998</v>
      </c>
    </row>
    <row r="89" spans="1:4" x14ac:dyDescent="0.25">
      <c r="A89" s="7">
        <v>101203111401140</v>
      </c>
      <c r="B89" s="3" t="s">
        <v>199</v>
      </c>
      <c r="C89" s="3" t="s">
        <v>113</v>
      </c>
      <c r="D89" s="4">
        <f>2025.02*(1+1.06%)</f>
        <v>2046.4852119999998</v>
      </c>
    </row>
    <row r="90" spans="1:4" x14ac:dyDescent="0.25">
      <c r="A90" s="7">
        <v>101203111501120</v>
      </c>
      <c r="B90" s="3" t="s">
        <v>200</v>
      </c>
      <c r="C90" s="3" t="s">
        <v>113</v>
      </c>
      <c r="D90" s="4">
        <f>2876.03*(1+1.06%)</f>
        <v>2906.5159180000001</v>
      </c>
    </row>
    <row r="91" spans="1:4" x14ac:dyDescent="0.25">
      <c r="A91" s="7">
        <v>101203111632000</v>
      </c>
      <c r="B91" s="3" t="s">
        <v>201</v>
      </c>
      <c r="C91" s="3" t="s">
        <v>113</v>
      </c>
      <c r="D91" s="4">
        <f>3737.89*(1+1.06%)</f>
        <v>3777.5116339999995</v>
      </c>
    </row>
    <row r="92" spans="1:4" x14ac:dyDescent="0.25">
      <c r="A92" s="7">
        <v>101203111752120</v>
      </c>
      <c r="B92" s="3" t="s">
        <v>202</v>
      </c>
      <c r="C92" s="3" t="s">
        <v>113</v>
      </c>
      <c r="D92" s="4">
        <f>0*(1+1.06%)</f>
        <v>0</v>
      </c>
    </row>
    <row r="93" spans="1:4" x14ac:dyDescent="0.25">
      <c r="A93" s="7">
        <v>101203112200000</v>
      </c>
      <c r="B93" s="3" t="s">
        <v>203</v>
      </c>
      <c r="C93" s="3" t="s">
        <v>113</v>
      </c>
      <c r="D93" s="4">
        <f>31.77*(1+1.06%)</f>
        <v>32.106761999999996</v>
      </c>
    </row>
    <row r="94" spans="1:4" x14ac:dyDescent="0.25">
      <c r="A94" s="7">
        <v>101203112250000</v>
      </c>
      <c r="B94" s="3" t="s">
        <v>204</v>
      </c>
      <c r="C94" s="3" t="s">
        <v>113</v>
      </c>
      <c r="D94" s="4">
        <f>49.32*(1+1.06%)</f>
        <v>49.842791999999996</v>
      </c>
    </row>
    <row r="95" spans="1:4" x14ac:dyDescent="0.25">
      <c r="A95" s="7">
        <v>101203112320000</v>
      </c>
      <c r="B95" s="3" t="s">
        <v>205</v>
      </c>
      <c r="C95" s="3" t="s">
        <v>113</v>
      </c>
      <c r="D95" s="4">
        <f>80.46*(1+1.06%)</f>
        <v>81.312875999999989</v>
      </c>
    </row>
    <row r="96" spans="1:4" x14ac:dyDescent="0.25">
      <c r="A96" s="7">
        <v>101203112400000</v>
      </c>
      <c r="B96" s="3" t="s">
        <v>206</v>
      </c>
      <c r="C96" s="3" t="s">
        <v>113</v>
      </c>
      <c r="D96" s="4">
        <f>178.51*(1+1.06%)</f>
        <v>180.40220599999998</v>
      </c>
    </row>
    <row r="97" spans="1:4" x14ac:dyDescent="0.25">
      <c r="A97" s="7">
        <v>101203112500000</v>
      </c>
      <c r="B97" s="3" t="s">
        <v>207</v>
      </c>
      <c r="C97" s="3" t="s">
        <v>113</v>
      </c>
      <c r="D97" s="4">
        <f>325.04*(1+1.06%)</f>
        <v>328.48542400000002</v>
      </c>
    </row>
    <row r="98" spans="1:4" x14ac:dyDescent="0.25">
      <c r="A98" s="7">
        <v>101203112600000</v>
      </c>
      <c r="B98" s="3" t="s">
        <v>208</v>
      </c>
      <c r="C98" s="3" t="s">
        <v>113</v>
      </c>
      <c r="D98" s="4">
        <f>0.56*(1+1.06%)</f>
        <v>0.56593599999999999</v>
      </c>
    </row>
    <row r="99" spans="1:4" x14ac:dyDescent="0.25">
      <c r="A99" s="7">
        <v>101203112750000</v>
      </c>
      <c r="B99" s="3" t="s">
        <v>209</v>
      </c>
      <c r="C99" s="3" t="s">
        <v>113</v>
      </c>
      <c r="D99" s="4">
        <f>0.56*(1+1.06%)</f>
        <v>0.56593599999999999</v>
      </c>
    </row>
    <row r="100" spans="1:4" x14ac:dyDescent="0.25">
      <c r="A100" s="7">
        <v>101203112900000</v>
      </c>
      <c r="B100" s="3" t="s">
        <v>210</v>
      </c>
      <c r="C100" s="3" t="s">
        <v>113</v>
      </c>
      <c r="D100" s="4">
        <f>0.56*(1+1.06%)</f>
        <v>0.56593599999999999</v>
      </c>
    </row>
    <row r="101" spans="1:4" x14ac:dyDescent="0.25">
      <c r="A101" s="7">
        <v>101203116200000</v>
      </c>
      <c r="B101" s="3" t="s">
        <v>211</v>
      </c>
      <c r="C101" s="3" t="s">
        <v>113</v>
      </c>
      <c r="D101" s="4">
        <f>54.92*(1+1.06%)</f>
        <v>55.502151999999995</v>
      </c>
    </row>
    <row r="102" spans="1:4" x14ac:dyDescent="0.25">
      <c r="A102" s="7">
        <v>101203116250000</v>
      </c>
      <c r="B102" s="3" t="s">
        <v>212</v>
      </c>
      <c r="C102" s="3" t="s">
        <v>113</v>
      </c>
      <c r="D102" s="4">
        <f>86.7*(1+1.06%)</f>
        <v>87.619019999999992</v>
      </c>
    </row>
    <row r="103" spans="1:4" x14ac:dyDescent="0.25">
      <c r="A103" s="7">
        <v>101203116252025</v>
      </c>
      <c r="B103" s="3" t="s">
        <v>213</v>
      </c>
      <c r="C103" s="3" t="s">
        <v>113</v>
      </c>
      <c r="D103" s="4">
        <f>102*(1+1.06%)</f>
        <v>103.0812</v>
      </c>
    </row>
    <row r="104" spans="1:4" x14ac:dyDescent="0.25">
      <c r="A104" s="7">
        <v>101203116320000</v>
      </c>
      <c r="B104" s="3" t="s">
        <v>214</v>
      </c>
      <c r="C104" s="3" t="s">
        <v>113</v>
      </c>
      <c r="D104" s="4">
        <f>130.34*(1+1.06%)</f>
        <v>131.72160399999999</v>
      </c>
    </row>
    <row r="105" spans="1:4" x14ac:dyDescent="0.25">
      <c r="A105" s="7">
        <v>101203116322032</v>
      </c>
      <c r="B105" s="3" t="s">
        <v>215</v>
      </c>
      <c r="C105" s="3" t="s">
        <v>113</v>
      </c>
      <c r="D105" s="4">
        <f>170.13*(1+1.06%)</f>
        <v>171.93337799999998</v>
      </c>
    </row>
    <row r="106" spans="1:4" x14ac:dyDescent="0.25">
      <c r="A106" s="7">
        <v>101203116322532</v>
      </c>
      <c r="B106" s="3" t="s">
        <v>216</v>
      </c>
      <c r="C106" s="3" t="s">
        <v>113</v>
      </c>
      <c r="D106" s="4">
        <f>159.77*(1+1.06%)</f>
        <v>161.463562</v>
      </c>
    </row>
    <row r="107" spans="1:4" x14ac:dyDescent="0.25">
      <c r="A107" s="7">
        <v>101203116400000</v>
      </c>
      <c r="B107" s="3" t="s">
        <v>217</v>
      </c>
      <c r="C107" s="3" t="s">
        <v>113</v>
      </c>
      <c r="D107" s="4">
        <f>306.53*(1+1.06%)</f>
        <v>309.77921799999996</v>
      </c>
    </row>
    <row r="108" spans="1:4" x14ac:dyDescent="0.25">
      <c r="A108" s="7">
        <v>101203116402040</v>
      </c>
      <c r="B108" s="3" t="s">
        <v>218</v>
      </c>
      <c r="C108" s="3" t="s">
        <v>113</v>
      </c>
      <c r="D108" s="4">
        <f>0*(1+1.06%)</f>
        <v>0</v>
      </c>
    </row>
    <row r="109" spans="1:4" x14ac:dyDescent="0.25">
      <c r="A109" s="7">
        <v>101203116402540</v>
      </c>
      <c r="B109" s="3" t="s">
        <v>219</v>
      </c>
      <c r="C109" s="3" t="s">
        <v>113</v>
      </c>
      <c r="D109" s="4">
        <f>0*(1+1.06%)</f>
        <v>0</v>
      </c>
    </row>
    <row r="110" spans="1:4" x14ac:dyDescent="0.25">
      <c r="A110" s="7">
        <v>101203116403240</v>
      </c>
      <c r="B110" s="3" t="s">
        <v>220</v>
      </c>
      <c r="C110" s="3" t="s">
        <v>113</v>
      </c>
      <c r="D110" s="4">
        <f>297.19*(1+1.06%)</f>
        <v>300.340214</v>
      </c>
    </row>
    <row r="111" spans="1:4" x14ac:dyDescent="0.25">
      <c r="A111" s="7">
        <v>101203116500000</v>
      </c>
      <c r="B111" s="3" t="s">
        <v>221</v>
      </c>
      <c r="C111" s="3" t="s">
        <v>113</v>
      </c>
      <c r="D111" s="4">
        <f>540.3*(1+1.06%)</f>
        <v>546.02717999999993</v>
      </c>
    </row>
    <row r="112" spans="1:4" x14ac:dyDescent="0.25">
      <c r="A112" s="7">
        <v>101203116502550</v>
      </c>
      <c r="B112" s="3" t="s">
        <v>222</v>
      </c>
      <c r="C112" s="3" t="s">
        <v>113</v>
      </c>
      <c r="D112" s="4">
        <f>688.11*(1+1.06%)</f>
        <v>695.40396599999997</v>
      </c>
    </row>
    <row r="113" spans="1:4" x14ac:dyDescent="0.25">
      <c r="A113" s="7">
        <v>101203116503250</v>
      </c>
      <c r="B113" s="3" t="s">
        <v>223</v>
      </c>
      <c r="C113" s="3" t="s">
        <v>113</v>
      </c>
      <c r="D113" s="4">
        <f>622.87*(1+1.06%)</f>
        <v>629.47242199999994</v>
      </c>
    </row>
    <row r="114" spans="1:4" x14ac:dyDescent="0.25">
      <c r="A114" s="7">
        <v>101203116504050</v>
      </c>
      <c r="B114" s="3" t="s">
        <v>224</v>
      </c>
      <c r="C114" s="3" t="s">
        <v>113</v>
      </c>
      <c r="D114" s="4">
        <f>572.56*(1+1.06%)</f>
        <v>578.6291359999999</v>
      </c>
    </row>
    <row r="115" spans="1:4" x14ac:dyDescent="0.25">
      <c r="A115" s="7">
        <v>101203116630000</v>
      </c>
      <c r="B115" s="3" t="s">
        <v>225</v>
      </c>
      <c r="C115" s="3" t="s">
        <v>113</v>
      </c>
      <c r="D115" s="4">
        <f>471.1*(1+1.06%)</f>
        <v>476.09366</v>
      </c>
    </row>
    <row r="116" spans="1:4" x14ac:dyDescent="0.25">
      <c r="A116" s="7">
        <v>101203116634063</v>
      </c>
      <c r="B116" s="3" t="s">
        <v>226</v>
      </c>
      <c r="C116" s="3" t="s">
        <v>113</v>
      </c>
      <c r="D116" s="4">
        <f>0*(1+1.06%)</f>
        <v>0</v>
      </c>
    </row>
    <row r="117" spans="1:4" x14ac:dyDescent="0.25">
      <c r="A117" s="7">
        <v>101203116635063</v>
      </c>
      <c r="B117" s="3" t="s">
        <v>227</v>
      </c>
      <c r="C117" s="3" t="s">
        <v>113</v>
      </c>
      <c r="D117" s="4">
        <f>873.32*(1+1.06%)</f>
        <v>882.57719199999997</v>
      </c>
    </row>
    <row r="118" spans="1:4" x14ac:dyDescent="0.25">
      <c r="A118" s="7">
        <v>101203116750000</v>
      </c>
      <c r="B118" s="3" t="s">
        <v>228</v>
      </c>
      <c r="C118" s="3" t="s">
        <v>113</v>
      </c>
      <c r="D118" s="4">
        <f>0*(1+1.06%)</f>
        <v>0</v>
      </c>
    </row>
    <row r="119" spans="1:4" x14ac:dyDescent="0.25">
      <c r="A119" s="7">
        <v>101203116754075</v>
      </c>
      <c r="B119" s="3" t="s">
        <v>229</v>
      </c>
      <c r="C119" s="3" t="s">
        <v>113</v>
      </c>
      <c r="D119" s="4">
        <f>0*(1+1.06%)</f>
        <v>0</v>
      </c>
    </row>
    <row r="120" spans="1:4" x14ac:dyDescent="0.25">
      <c r="A120" s="7">
        <v>101203116755075</v>
      </c>
      <c r="B120" s="3" t="s">
        <v>230</v>
      </c>
      <c r="C120" s="3" t="s">
        <v>113</v>
      </c>
      <c r="D120" s="4">
        <f>0*(1+1.06%)</f>
        <v>0</v>
      </c>
    </row>
    <row r="121" spans="1:4" x14ac:dyDescent="0.25">
      <c r="A121" s="7">
        <v>101203116756375</v>
      </c>
      <c r="B121" s="3" t="s">
        <v>231</v>
      </c>
      <c r="C121" s="3" t="s">
        <v>113</v>
      </c>
      <c r="D121" s="4">
        <f>0*(1+1.06%)</f>
        <v>0</v>
      </c>
    </row>
    <row r="122" spans="1:4" x14ac:dyDescent="0.25">
      <c r="A122" s="7">
        <v>101203116900000</v>
      </c>
      <c r="B122" s="3" t="s">
        <v>232</v>
      </c>
      <c r="C122" s="3" t="s">
        <v>113</v>
      </c>
      <c r="D122" s="4">
        <f>0*(1+1.06%)</f>
        <v>0</v>
      </c>
    </row>
    <row r="123" spans="1:4" x14ac:dyDescent="0.25">
      <c r="A123" s="7">
        <v>101203117201200</v>
      </c>
      <c r="B123" s="3" t="s">
        <v>233</v>
      </c>
      <c r="C123" s="3" t="s">
        <v>113</v>
      </c>
      <c r="D123" s="4">
        <f>378.1*(1+1.06%)</f>
        <v>382.10786000000002</v>
      </c>
    </row>
    <row r="124" spans="1:4" x14ac:dyDescent="0.25">
      <c r="A124" s="7">
        <v>101203117251200</v>
      </c>
      <c r="B124" s="3" t="s">
        <v>234</v>
      </c>
      <c r="C124" s="3" t="s">
        <v>113</v>
      </c>
      <c r="D124" s="4">
        <f>556.42*(1+1.06%)</f>
        <v>562.31805199999997</v>
      </c>
    </row>
    <row r="125" spans="1:4" x14ac:dyDescent="0.25">
      <c r="A125" s="7">
        <v>101203117253400</v>
      </c>
      <c r="B125" s="3" t="s">
        <v>235</v>
      </c>
      <c r="C125" s="3" t="s">
        <v>113</v>
      </c>
      <c r="D125" s="4">
        <f>519.89*(1+1.06%)</f>
        <v>525.40083399999992</v>
      </c>
    </row>
    <row r="126" spans="1:4" x14ac:dyDescent="0.25">
      <c r="A126" s="7">
        <v>101203117321000</v>
      </c>
      <c r="B126" s="3" t="s">
        <v>236</v>
      </c>
      <c r="C126" s="3" t="s">
        <v>113</v>
      </c>
      <c r="D126" s="4">
        <f>939.32*(1+1.06%)</f>
        <v>949.276792</v>
      </c>
    </row>
    <row r="127" spans="1:4" x14ac:dyDescent="0.25">
      <c r="A127" s="7">
        <v>101203117323400</v>
      </c>
      <c r="B127" s="3" t="s">
        <v>237</v>
      </c>
      <c r="C127" s="3" t="s">
        <v>113</v>
      </c>
      <c r="D127" s="4">
        <f>935.2*(1+1.06%)</f>
        <v>945.11311999999998</v>
      </c>
    </row>
    <row r="128" spans="1:4" x14ac:dyDescent="0.25">
      <c r="A128" s="7">
        <v>101203118201200</v>
      </c>
      <c r="B128" s="3" t="s">
        <v>238</v>
      </c>
      <c r="C128" s="3" t="s">
        <v>113</v>
      </c>
      <c r="D128" s="4">
        <f>305.72*(1+1.06%)</f>
        <v>308.96063200000003</v>
      </c>
    </row>
    <row r="129" spans="1:4" x14ac:dyDescent="0.25">
      <c r="A129" s="7">
        <v>101203118251200</v>
      </c>
      <c r="B129" s="3" t="s">
        <v>239</v>
      </c>
      <c r="C129" s="3" t="s">
        <v>113</v>
      </c>
      <c r="D129" s="4">
        <f>368.37*(1+1.06%)</f>
        <v>372.274722</v>
      </c>
    </row>
    <row r="130" spans="1:4" x14ac:dyDescent="0.25">
      <c r="A130" s="7">
        <v>101203118253400</v>
      </c>
      <c r="B130" s="3" t="s">
        <v>240</v>
      </c>
      <c r="C130" s="3" t="s">
        <v>113</v>
      </c>
      <c r="D130" s="4">
        <f>577.7*(1+1.06%)</f>
        <v>583.82362000000001</v>
      </c>
    </row>
    <row r="131" spans="1:4" x14ac:dyDescent="0.25">
      <c r="A131" s="7">
        <v>101203118321000</v>
      </c>
      <c r="B131" s="3" t="s">
        <v>241</v>
      </c>
      <c r="C131" s="3" t="s">
        <v>113</v>
      </c>
      <c r="D131" s="4">
        <f>712.4*(1+1.06%)</f>
        <v>719.95143999999993</v>
      </c>
    </row>
    <row r="132" spans="1:4" x14ac:dyDescent="0.25">
      <c r="A132" s="7">
        <v>101203118323400</v>
      </c>
      <c r="B132" s="3" t="s">
        <v>242</v>
      </c>
      <c r="C132" s="3" t="s">
        <v>113</v>
      </c>
      <c r="D132" s="4">
        <f>622.85*(1+1.06%)</f>
        <v>629.45221000000004</v>
      </c>
    </row>
    <row r="133" spans="1:4" x14ac:dyDescent="0.25">
      <c r="A133" s="7">
        <v>101203121200000</v>
      </c>
      <c r="B133" s="3" t="s">
        <v>243</v>
      </c>
      <c r="C133" s="3" t="s">
        <v>113</v>
      </c>
      <c r="D133" s="4">
        <f>173.56*(1+1.06%)</f>
        <v>175.39973599999999</v>
      </c>
    </row>
    <row r="134" spans="1:4" x14ac:dyDescent="0.25">
      <c r="A134" s="7">
        <v>101203121250000</v>
      </c>
      <c r="B134" s="3" t="s">
        <v>244</v>
      </c>
      <c r="C134" s="3" t="s">
        <v>113</v>
      </c>
      <c r="D134" s="4">
        <f>226.83*(1+1.06%)</f>
        <v>229.234398</v>
      </c>
    </row>
    <row r="135" spans="1:4" x14ac:dyDescent="0.25">
      <c r="A135" s="7">
        <v>101203121320000</v>
      </c>
      <c r="B135" s="3" t="s">
        <v>245</v>
      </c>
      <c r="C135" s="3" t="s">
        <v>113</v>
      </c>
      <c r="D135" s="4">
        <f>348.47*(1+1.06%)</f>
        <v>352.16378200000003</v>
      </c>
    </row>
    <row r="136" spans="1:4" x14ac:dyDescent="0.25">
      <c r="A136" s="7">
        <v>101203121400000</v>
      </c>
      <c r="B136" s="3" t="s">
        <v>246</v>
      </c>
      <c r="C136" s="3" t="s">
        <v>113</v>
      </c>
      <c r="D136" s="4">
        <f>0*(1+1.06%)</f>
        <v>0</v>
      </c>
    </row>
    <row r="137" spans="1:4" x14ac:dyDescent="0.25">
      <c r="A137" s="7">
        <v>101203121400001</v>
      </c>
      <c r="B137" s="3" t="s">
        <v>247</v>
      </c>
      <c r="C137" s="3" t="s">
        <v>113</v>
      </c>
      <c r="D137" s="4">
        <f>1674.32*(1+1.06%)</f>
        <v>1692.0677919999998</v>
      </c>
    </row>
    <row r="138" spans="1:4" x14ac:dyDescent="0.25">
      <c r="A138" s="7">
        <v>101203121500000</v>
      </c>
      <c r="B138" s="3" t="s">
        <v>248</v>
      </c>
      <c r="C138" s="3" t="s">
        <v>113</v>
      </c>
      <c r="D138" s="4">
        <f>0*(1+1.06%)</f>
        <v>0</v>
      </c>
    </row>
    <row r="139" spans="1:4" x14ac:dyDescent="0.25">
      <c r="A139" s="7">
        <v>101203121500001</v>
      </c>
      <c r="B139" s="3" t="s">
        <v>249</v>
      </c>
      <c r="C139" s="3" t="s">
        <v>113</v>
      </c>
      <c r="D139" s="4">
        <f>1827.91*(1+1.06%)</f>
        <v>1847.285846</v>
      </c>
    </row>
    <row r="140" spans="1:4" x14ac:dyDescent="0.25">
      <c r="A140" s="7">
        <v>101203121630001</v>
      </c>
      <c r="B140" s="3" t="s">
        <v>250</v>
      </c>
      <c r="C140" s="3" t="s">
        <v>113</v>
      </c>
      <c r="D140" s="4">
        <f>2177.53*(1+1.06%)</f>
        <v>2200.6118179999999</v>
      </c>
    </row>
    <row r="141" spans="1:4" x14ac:dyDescent="0.25">
      <c r="A141" s="7">
        <v>101203121750001</v>
      </c>
      <c r="B141" s="3" t="s">
        <v>251</v>
      </c>
      <c r="C141" s="3" t="s">
        <v>113</v>
      </c>
      <c r="D141" s="4">
        <f>0*(1+1.06%)</f>
        <v>0</v>
      </c>
    </row>
    <row r="142" spans="1:4" x14ac:dyDescent="0.25">
      <c r="A142" s="7">
        <v>101203121900001</v>
      </c>
      <c r="B142" s="3" t="s">
        <v>252</v>
      </c>
      <c r="C142" s="3" t="s">
        <v>113</v>
      </c>
      <c r="D142" s="4">
        <f>0*(1+1.06%)</f>
        <v>0</v>
      </c>
    </row>
    <row r="143" spans="1:4" x14ac:dyDescent="0.25">
      <c r="A143" s="7">
        <v>101203130200001</v>
      </c>
      <c r="B143" s="3" t="s">
        <v>253</v>
      </c>
      <c r="C143" s="3" t="s">
        <v>113</v>
      </c>
      <c r="D143" s="4">
        <f>1837.88*(1+1.06%)</f>
        <v>1857.3615279999999</v>
      </c>
    </row>
    <row r="144" spans="1:4" x14ac:dyDescent="0.25">
      <c r="A144" s="7">
        <v>101203130250001</v>
      </c>
      <c r="B144" s="3" t="s">
        <v>254</v>
      </c>
      <c r="C144" s="3" t="s">
        <v>113</v>
      </c>
      <c r="D144" s="4">
        <f>2151.91*(1+1.06%)</f>
        <v>2174.7202459999999</v>
      </c>
    </row>
    <row r="145" spans="1:4" x14ac:dyDescent="0.25">
      <c r="A145" s="7">
        <v>101203130320001</v>
      </c>
      <c r="B145" s="3" t="s">
        <v>255</v>
      </c>
      <c r="C145" s="3" t="s">
        <v>113</v>
      </c>
      <c r="D145" s="4">
        <f>0*(1+1.06%)</f>
        <v>0</v>
      </c>
    </row>
    <row r="146" spans="1:4" x14ac:dyDescent="0.25">
      <c r="A146" s="7">
        <v>101203131200001</v>
      </c>
      <c r="B146" s="3" t="s">
        <v>256</v>
      </c>
      <c r="C146" s="3" t="s">
        <v>113</v>
      </c>
      <c r="D146" s="4">
        <f>1291.25*(1+1.06%)</f>
        <v>1304.9372499999999</v>
      </c>
    </row>
    <row r="147" spans="1:4" x14ac:dyDescent="0.25">
      <c r="A147" s="7">
        <v>101203131250001</v>
      </c>
      <c r="B147" s="3" t="s">
        <v>257</v>
      </c>
      <c r="C147" s="3" t="s">
        <v>113</v>
      </c>
      <c r="D147" s="4">
        <f>1482.64*(1+1.06%)</f>
        <v>1498.355984</v>
      </c>
    </row>
    <row r="148" spans="1:4" x14ac:dyDescent="0.25">
      <c r="A148" s="7">
        <v>101203131320001</v>
      </c>
      <c r="B148" s="3" t="s">
        <v>258</v>
      </c>
      <c r="C148" s="3" t="s">
        <v>113</v>
      </c>
      <c r="D148" s="4">
        <f>0*(1+1.06%)</f>
        <v>0</v>
      </c>
    </row>
    <row r="149" spans="1:4" x14ac:dyDescent="0.25">
      <c r="A149" s="7">
        <v>101203132200000</v>
      </c>
      <c r="B149" s="3" t="s">
        <v>259</v>
      </c>
      <c r="C149" s="3" t="s">
        <v>113</v>
      </c>
      <c r="D149" s="4">
        <f>1036*(1+1.06%)</f>
        <v>1046.9815999999998</v>
      </c>
    </row>
    <row r="150" spans="1:4" x14ac:dyDescent="0.25">
      <c r="A150" s="7">
        <v>101203133200000</v>
      </c>
      <c r="B150" s="3" t="s">
        <v>260</v>
      </c>
      <c r="C150" s="3" t="s">
        <v>113</v>
      </c>
      <c r="D150" s="4">
        <f>627.16*(1+1.06%)</f>
        <v>633.80789599999991</v>
      </c>
    </row>
    <row r="151" spans="1:4" x14ac:dyDescent="0.25">
      <c r="A151" s="7">
        <v>101203134100000</v>
      </c>
      <c r="B151" s="3" t="s">
        <v>261</v>
      </c>
      <c r="C151" s="3" t="s">
        <v>113</v>
      </c>
      <c r="D151" s="4">
        <f>202.51*(1+1.06%)</f>
        <v>204.65660599999998</v>
      </c>
    </row>
    <row r="152" spans="1:4" x14ac:dyDescent="0.25">
      <c r="A152" s="7">
        <v>101203140200000</v>
      </c>
      <c r="B152" s="3" t="s">
        <v>262</v>
      </c>
      <c r="C152" s="3" t="s">
        <v>113</v>
      </c>
      <c r="D152" s="4">
        <f>166.29*(1+1.06%)</f>
        <v>168.052674</v>
      </c>
    </row>
    <row r="153" spans="1:4" x14ac:dyDescent="0.25">
      <c r="A153" s="7">
        <v>101203140200001</v>
      </c>
      <c r="B153" s="3" t="s">
        <v>263</v>
      </c>
      <c r="C153" s="3" t="s">
        <v>113</v>
      </c>
      <c r="D153" s="4">
        <f>171.56*(1+1.06%)</f>
        <v>173.378536</v>
      </c>
    </row>
    <row r="154" spans="1:4" x14ac:dyDescent="0.25">
      <c r="A154" s="7">
        <v>101203140250000</v>
      </c>
      <c r="B154" s="3" t="s">
        <v>264</v>
      </c>
      <c r="C154" s="3" t="s">
        <v>113</v>
      </c>
      <c r="D154" s="4">
        <f>239.36*(1+1.06%)</f>
        <v>241.89721599999999</v>
      </c>
    </row>
    <row r="155" spans="1:4" x14ac:dyDescent="0.25">
      <c r="A155" s="7">
        <v>101203140250001</v>
      </c>
      <c r="B155" s="3" t="s">
        <v>265</v>
      </c>
      <c r="C155" s="3" t="s">
        <v>113</v>
      </c>
      <c r="D155" s="4">
        <f>224.64*(1+1.06%)</f>
        <v>227.02118399999998</v>
      </c>
    </row>
    <row r="156" spans="1:4" x14ac:dyDescent="0.25">
      <c r="A156" s="7">
        <v>101203140320000</v>
      </c>
      <c r="B156" s="3" t="s">
        <v>266</v>
      </c>
      <c r="C156" s="3" t="s">
        <v>113</v>
      </c>
      <c r="D156" s="4">
        <f>329.49*(1+1.06%)</f>
        <v>332.98259400000001</v>
      </c>
    </row>
    <row r="157" spans="1:4" x14ac:dyDescent="0.25">
      <c r="A157" s="7">
        <v>101203140320001</v>
      </c>
      <c r="B157" s="3" t="s">
        <v>267</v>
      </c>
      <c r="C157" s="3" t="s">
        <v>113</v>
      </c>
      <c r="D157" s="4">
        <f>271.8*(1+1.06%)</f>
        <v>274.68108000000001</v>
      </c>
    </row>
    <row r="158" spans="1:4" x14ac:dyDescent="0.25">
      <c r="A158" s="7">
        <v>101203150200001</v>
      </c>
      <c r="B158" s="3" t="s">
        <v>268</v>
      </c>
      <c r="C158" s="3" t="s">
        <v>113</v>
      </c>
      <c r="D158" s="4">
        <f>2125.51*(1+1.06%)</f>
        <v>2148.0404060000001</v>
      </c>
    </row>
    <row r="159" spans="1:4" x14ac:dyDescent="0.25">
      <c r="A159" s="7">
        <v>101203150250001</v>
      </c>
      <c r="B159" s="3" t="s">
        <v>269</v>
      </c>
      <c r="C159" s="3" t="s">
        <v>113</v>
      </c>
      <c r="D159" s="4">
        <f>2340.72*(1+1.06%)</f>
        <v>2365.5316319999997</v>
      </c>
    </row>
    <row r="160" spans="1:4" x14ac:dyDescent="0.25">
      <c r="A160" s="7">
        <v>101203150320001</v>
      </c>
      <c r="B160" s="3" t="s">
        <v>270</v>
      </c>
      <c r="C160" s="3" t="s">
        <v>113</v>
      </c>
      <c r="D160" s="4">
        <f>0*(1+1.06%)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6" sqref="C6"/>
    </sheetView>
  </sheetViews>
  <sheetFormatPr baseColWidth="10" defaultRowHeight="15" x14ac:dyDescent="0.25"/>
  <cols>
    <col min="1" max="1" width="8.28515625" bestFit="1" customWidth="1"/>
    <col min="2" max="2" width="46.5703125" bestFit="1" customWidth="1"/>
  </cols>
  <sheetData>
    <row r="1" spans="1:5" x14ac:dyDescent="0.25">
      <c r="A1" s="8" t="s">
        <v>0</v>
      </c>
      <c r="B1" s="8" t="s">
        <v>1</v>
      </c>
      <c r="C1" s="9" t="s">
        <v>111</v>
      </c>
    </row>
    <row r="2" spans="1:5" x14ac:dyDescent="0.25">
      <c r="A2" s="3">
        <v>1001</v>
      </c>
      <c r="B2" s="3" t="s">
        <v>271</v>
      </c>
      <c r="C2" s="4">
        <f>(237.11*(1+7.46%))*(1+4.16%)</f>
        <v>265.39801968960006</v>
      </c>
    </row>
    <row r="3" spans="1:5" x14ac:dyDescent="0.25">
      <c r="A3" s="3">
        <v>1002</v>
      </c>
      <c r="B3" s="3" t="s">
        <v>272</v>
      </c>
      <c r="C3" s="4">
        <f>(291.9*(1+7.46%))*(1+4.16%)</f>
        <v>326.724650784</v>
      </c>
      <c r="E3" s="49"/>
    </row>
    <row r="4" spans="1:5" x14ac:dyDescent="0.25">
      <c r="A4" s="3">
        <v>1003</v>
      </c>
      <c r="B4" s="3" t="s">
        <v>273</v>
      </c>
      <c r="C4" s="4">
        <f>(352.35*(1+7.46%))*(1+4.16%)</f>
        <v>394.38653889600005</v>
      </c>
    </row>
    <row r="5" spans="1:5" x14ac:dyDescent="0.25">
      <c r="A5" s="3">
        <v>1004</v>
      </c>
      <c r="B5" s="3" t="s">
        <v>274</v>
      </c>
      <c r="C5" s="4">
        <f>(414.85*(1+7.46%))*(1+4.16%)</f>
        <v>464.34299889600004</v>
      </c>
    </row>
    <row r="6" spans="1:5" x14ac:dyDescent="0.25">
      <c r="A6" s="3">
        <v>1005</v>
      </c>
      <c r="B6" s="3" t="s">
        <v>275</v>
      </c>
      <c r="C6" s="4">
        <f>(528.41*(1+7.46%))*(1+4.16%)</f>
        <v>591.45108845760001</v>
      </c>
    </row>
    <row r="7" spans="1:5" x14ac:dyDescent="0.25">
      <c r="A7" s="3">
        <v>1006</v>
      </c>
      <c r="B7" s="3" t="s">
        <v>276</v>
      </c>
      <c r="C7" s="4">
        <f>(652.8*(1+7.46%))*(1+4.16%)</f>
        <v>730.68123340800003</v>
      </c>
    </row>
    <row r="8" spans="1:5" x14ac:dyDescent="0.25">
      <c r="A8" s="3">
        <v>1007</v>
      </c>
      <c r="B8" s="3" t="s">
        <v>277</v>
      </c>
      <c r="C8" s="4">
        <f>(888.11*(1+7.46%))*(1+4.16%)</f>
        <v>994.06450704960014</v>
      </c>
    </row>
    <row r="9" spans="1:5" x14ac:dyDescent="0.25">
      <c r="A9" s="3">
        <v>1008</v>
      </c>
      <c r="B9" s="3" t="s">
        <v>278</v>
      </c>
      <c r="C9" s="4">
        <f>(1179.91*(1+7.46%))*(1+4.16%)</f>
        <v>1320.6772274976001</v>
      </c>
    </row>
    <row r="10" spans="1:5" x14ac:dyDescent="0.25">
      <c r="A10" s="3">
        <v>1010</v>
      </c>
      <c r="B10" s="3" t="s">
        <v>279</v>
      </c>
      <c r="C10" s="4">
        <f>(304.98*(1+7.46%))*(1+4.16%)</f>
        <v>341.36513873280006</v>
      </c>
    </row>
    <row r="11" spans="1:5" x14ac:dyDescent="0.25">
      <c r="A11" s="3">
        <v>1011</v>
      </c>
      <c r="B11" s="3" t="s">
        <v>280</v>
      </c>
      <c r="C11" s="4">
        <f>(380.03*(1+7.46%))*(1+4.16%)</f>
        <v>425.36885590079999</v>
      </c>
    </row>
    <row r="12" spans="1:5" x14ac:dyDescent="0.25">
      <c r="A12" s="3">
        <v>1012</v>
      </c>
      <c r="B12" s="3" t="s">
        <v>281</v>
      </c>
      <c r="C12" s="4">
        <f>(458.22*(1+7.46%))*(1+4.16%)</f>
        <v>512.88718561920007</v>
      </c>
    </row>
    <row r="13" spans="1:5" x14ac:dyDescent="0.25">
      <c r="A13" s="3">
        <v>1013</v>
      </c>
      <c r="B13" s="3" t="s">
        <v>282</v>
      </c>
      <c r="C13" s="4">
        <f>(532.27*(1+7.46%))*(1+4.16%)</f>
        <v>595.77159942720004</v>
      </c>
    </row>
    <row r="14" spans="1:5" x14ac:dyDescent="0.25">
      <c r="A14" s="3">
        <v>1014</v>
      </c>
      <c r="B14" s="3" t="s">
        <v>283</v>
      </c>
      <c r="C14" s="4">
        <f>(642.25*(1+7.46%))*(1+4.16%)</f>
        <v>718.87258296000005</v>
      </c>
    </row>
    <row r="15" spans="1:5" x14ac:dyDescent="0.25">
      <c r="A15" s="3">
        <v>1015</v>
      </c>
      <c r="B15" s="3" t="s">
        <v>284</v>
      </c>
      <c r="C15" s="4">
        <f>(821.38*(1+7.46%))*(1+4.16%)</f>
        <v>919.37339383680001</v>
      </c>
    </row>
    <row r="16" spans="1:5" x14ac:dyDescent="0.25">
      <c r="A16" s="3">
        <v>1016</v>
      </c>
      <c r="B16" s="3" t="s">
        <v>285</v>
      </c>
      <c r="C16" s="4">
        <f>(1102.62*(1+7.46%))*(1+4.16%)</f>
        <v>1234.1662708032002</v>
      </c>
    </row>
    <row r="17" spans="1:3" x14ac:dyDescent="0.25">
      <c r="A17" s="3">
        <v>1017</v>
      </c>
      <c r="B17" s="3" t="s">
        <v>286</v>
      </c>
      <c r="C17" s="4">
        <f>(1496.22*(1+7.46%))*(1+4.16%)</f>
        <v>1674.7240732992</v>
      </c>
    </row>
    <row r="18" spans="1:3" x14ac:dyDescent="0.25">
      <c r="A18" s="3">
        <v>1019</v>
      </c>
      <c r="B18" s="3" t="s">
        <v>287</v>
      </c>
      <c r="C18" s="4">
        <f>(405.79*(1+7.46%))*(1+4.16%)</f>
        <v>454.20211045440004</v>
      </c>
    </row>
    <row r="19" spans="1:3" x14ac:dyDescent="0.25">
      <c r="A19" s="3">
        <v>1020</v>
      </c>
      <c r="B19" s="3" t="s">
        <v>288</v>
      </c>
      <c r="C19" s="4">
        <f>(507.9*(1+7.46%))*(1+4.16%)</f>
        <v>568.49417654399997</v>
      </c>
    </row>
    <row r="20" spans="1:3" x14ac:dyDescent="0.25">
      <c r="A20" s="3">
        <v>1021</v>
      </c>
      <c r="B20" s="3" t="s">
        <v>289</v>
      </c>
      <c r="C20" s="4">
        <f>(596.61*(1+7.46%))*(1+4.16%)</f>
        <v>667.78757760960013</v>
      </c>
    </row>
    <row r="21" spans="1:3" x14ac:dyDescent="0.25">
      <c r="A21" s="3">
        <v>1022</v>
      </c>
      <c r="B21" s="3" t="s">
        <v>290</v>
      </c>
      <c r="C21" s="4">
        <f>(685.6*(1+7.46%))*(1+4.16%)</f>
        <v>767.39438361600003</v>
      </c>
    </row>
    <row r="22" spans="1:3" x14ac:dyDescent="0.25">
      <c r="A22" s="3">
        <v>1023</v>
      </c>
      <c r="B22" s="3" t="s">
        <v>291</v>
      </c>
      <c r="C22" s="4">
        <f>(862.29*(1+7.46%))*(1+4.16%)</f>
        <v>965.1640942944</v>
      </c>
    </row>
    <row r="23" spans="1:3" x14ac:dyDescent="0.25">
      <c r="A23" s="3">
        <v>1024</v>
      </c>
      <c r="B23" s="3" t="s">
        <v>292</v>
      </c>
      <c r="C23" s="4">
        <f>(1040.73*(1+7.46%))*(1+4.16%)</f>
        <v>1164.8925858528</v>
      </c>
    </row>
    <row r="24" spans="1:3" x14ac:dyDescent="0.25">
      <c r="A24" s="3">
        <v>1025</v>
      </c>
      <c r="B24" s="3" t="s">
        <v>293</v>
      </c>
      <c r="C24" s="4">
        <f>(1369.89*(1+7.46%))*(1+4.16%)</f>
        <v>1533.3224798304002</v>
      </c>
    </row>
    <row r="25" spans="1:3" x14ac:dyDescent="0.25">
      <c r="A25" s="3">
        <v>1026</v>
      </c>
      <c r="B25" s="3" t="s">
        <v>294</v>
      </c>
      <c r="C25" s="4">
        <f>(1852.29*(1+7.46%))*(1+4.16%)</f>
        <v>2073.2744206944003</v>
      </c>
    </row>
    <row r="26" spans="1:3" x14ac:dyDescent="0.25">
      <c r="A26" s="3">
        <v>1028</v>
      </c>
      <c r="B26" s="3" t="s">
        <v>295</v>
      </c>
      <c r="C26" s="4">
        <f>(685.6*(1+7.46%))*(1+4.16%)</f>
        <v>767.39438361600003</v>
      </c>
    </row>
    <row r="27" spans="1:3" x14ac:dyDescent="0.25">
      <c r="A27" s="3">
        <v>1029</v>
      </c>
      <c r="B27" s="3" t="s">
        <v>296</v>
      </c>
      <c r="C27" s="4">
        <f>(862.29*(1+7.46%))*(1+4.16%)</f>
        <v>965.1640942944</v>
      </c>
    </row>
    <row r="28" spans="1:3" x14ac:dyDescent="0.25">
      <c r="A28" s="3">
        <v>1030</v>
      </c>
      <c r="B28" s="3" t="s">
        <v>297</v>
      </c>
      <c r="C28" s="4">
        <f>(1040.47*(1+7.46%))*(1+4.16%)</f>
        <v>1164.6015669792</v>
      </c>
    </row>
    <row r="29" spans="1:3" x14ac:dyDescent="0.25">
      <c r="A29" s="3">
        <v>1031</v>
      </c>
      <c r="B29" s="3" t="s">
        <v>298</v>
      </c>
      <c r="C29" s="4">
        <f>(1268.37*(1+7.46%))*(1+4.16%)</f>
        <v>1419.6908027232</v>
      </c>
    </row>
    <row r="30" spans="1:3" x14ac:dyDescent="0.25">
      <c r="A30" s="3">
        <v>1032</v>
      </c>
      <c r="B30" s="3" t="s">
        <v>299</v>
      </c>
      <c r="C30" s="4">
        <f>(1573.57*(1+7.46%))*(1+4.16%)</f>
        <v>1761.3021881952002</v>
      </c>
    </row>
    <row r="31" spans="1:3" x14ac:dyDescent="0.25">
      <c r="A31" s="3">
        <v>1033</v>
      </c>
      <c r="B31" s="3" t="s">
        <v>300</v>
      </c>
      <c r="C31" s="4">
        <f>(1927.21*(1+7.46%))*(1+4.16%)</f>
        <v>2157.1326284256002</v>
      </c>
    </row>
    <row r="32" spans="1:3" x14ac:dyDescent="0.25">
      <c r="A32" s="3">
        <v>1034</v>
      </c>
      <c r="B32" s="3" t="s">
        <v>301</v>
      </c>
      <c r="C32" s="4">
        <f>(2612.3*(1+7.46%))*(1+4.16%)</f>
        <v>2923.9561673280004</v>
      </c>
    </row>
    <row r="33" spans="1:3" x14ac:dyDescent="0.25">
      <c r="A33" s="3">
        <v>1035</v>
      </c>
      <c r="B33" s="3" t="s">
        <v>302</v>
      </c>
      <c r="C33" s="4">
        <f>(3425.85*(1+7.46%))*(1+4.16%)</f>
        <v>3834.5654158560001</v>
      </c>
    </row>
    <row r="34" spans="1:3" x14ac:dyDescent="0.25">
      <c r="A34" s="3">
        <v>1036</v>
      </c>
      <c r="B34" s="3" t="s">
        <v>303</v>
      </c>
      <c r="C34" s="4">
        <f>(4694.59*(1+7.46%))*(1+4.16%)</f>
        <v>5254.6703608224007</v>
      </c>
    </row>
    <row r="35" spans="1:3" x14ac:dyDescent="0.25">
      <c r="A35" s="3">
        <v>1040</v>
      </c>
      <c r="B35" s="3" t="s">
        <v>304</v>
      </c>
      <c r="C35" s="4">
        <f>(3665.64*(1+7.46%))*(1+4.16%)</f>
        <v>4102.9631685504</v>
      </c>
    </row>
    <row r="36" spans="1:3" x14ac:dyDescent="0.25">
      <c r="A36" s="3">
        <v>1051</v>
      </c>
      <c r="B36" s="3" t="s">
        <v>305</v>
      </c>
      <c r="C36" s="4">
        <f>(2219.99*(1+7.46%))*(1+4.16%)</f>
        <v>2484.8422661663999</v>
      </c>
    </row>
    <row r="37" spans="1:3" x14ac:dyDescent="0.25">
      <c r="A37" s="3">
        <v>1060</v>
      </c>
      <c r="B37" s="3" t="s">
        <v>306</v>
      </c>
      <c r="C37" s="4">
        <f>(722.76*(1+7.46%))*(1+4.16%)</f>
        <v>808.98769647360007</v>
      </c>
    </row>
    <row r="38" spans="1:3" x14ac:dyDescent="0.25">
      <c r="A38" s="3">
        <v>1535</v>
      </c>
      <c r="B38" s="3" t="s">
        <v>307</v>
      </c>
      <c r="C38" s="4">
        <f>(3939.74*(1+7.46%))*(1+4.16%)</f>
        <v>4409.7642195264007</v>
      </c>
    </row>
    <row r="39" spans="1:3" x14ac:dyDescent="0.25">
      <c r="A39" s="3">
        <v>5001</v>
      </c>
      <c r="B39" s="3" t="s">
        <v>308</v>
      </c>
      <c r="C39" s="4">
        <f>(5614.14*(1+7.46%))*(1+4.16%)</f>
        <v>6283.9257655104011</v>
      </c>
    </row>
    <row r="40" spans="1:3" x14ac:dyDescent="0.25">
      <c r="A40" s="3">
        <v>5002</v>
      </c>
      <c r="B40" s="3" t="s">
        <v>309</v>
      </c>
      <c r="C40" s="4">
        <f>(7313.13*(1+7.46%))*(1+4.16%)</f>
        <v>8185.6109811168008</v>
      </c>
    </row>
    <row r="41" spans="1:3" x14ac:dyDescent="0.25">
      <c r="A41" s="3">
        <v>7706</v>
      </c>
      <c r="B41" s="3" t="s">
        <v>310</v>
      </c>
      <c r="C41" s="4">
        <f>(2889.82*(1+7.46%))*(1+4.16%)</f>
        <v>3234.5852357952003</v>
      </c>
    </row>
    <row r="42" spans="1:3" x14ac:dyDescent="0.25">
      <c r="A42" s="3">
        <v>7707</v>
      </c>
      <c r="B42" s="3" t="s">
        <v>311</v>
      </c>
      <c r="C42" s="4">
        <f>(5578.32*(1+7.46%))*(1+4.16%)</f>
        <v>6243.8323191551999</v>
      </c>
    </row>
    <row r="43" spans="1:3" x14ac:dyDescent="0.25">
      <c r="A43" s="3">
        <v>7851</v>
      </c>
      <c r="B43" s="3" t="s">
        <v>312</v>
      </c>
      <c r="C43" s="4">
        <f>(3944.71*(1+7.46%))*(1+4.16%)</f>
        <v>4415.3271572255999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workbookViewId="0">
      <selection activeCell="I13" sqref="I13"/>
    </sheetView>
  </sheetViews>
  <sheetFormatPr baseColWidth="10" defaultRowHeight="15" x14ac:dyDescent="0.25"/>
  <cols>
    <col min="1" max="1" width="8.28515625" bestFit="1" customWidth="1"/>
    <col min="2" max="2" width="46.85546875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9" t="s">
        <v>111</v>
      </c>
    </row>
    <row r="2" spans="1:4" x14ac:dyDescent="0.25">
      <c r="A2" s="3">
        <v>2001</v>
      </c>
      <c r="B2" s="3" t="s">
        <v>313</v>
      </c>
      <c r="C2" s="3" t="s">
        <v>314</v>
      </c>
      <c r="D2" s="4">
        <f>(88.98*(1+7.46%))*(1+4.16%)</f>
        <v>99.595612972800012</v>
      </c>
    </row>
    <row r="3" spans="1:4" x14ac:dyDescent="0.25">
      <c r="A3" s="3">
        <v>2002</v>
      </c>
      <c r="B3" s="3" t="s">
        <v>315</v>
      </c>
      <c r="C3" s="3" t="s">
        <v>314</v>
      </c>
      <c r="D3" s="4">
        <f>(127.38*(1+7.46%))*(1+4.16%)</f>
        <v>142.57686199680001</v>
      </c>
    </row>
    <row r="4" spans="1:4" x14ac:dyDescent="0.25">
      <c r="A4" s="3">
        <v>2003</v>
      </c>
      <c r="B4" s="3" t="s">
        <v>316</v>
      </c>
      <c r="C4" s="3" t="s">
        <v>314</v>
      </c>
      <c r="D4" s="4">
        <f>(213.97*(1+7.46%))*(1+4.16%)</f>
        <v>239.49733993920003</v>
      </c>
    </row>
    <row r="5" spans="1:4" x14ac:dyDescent="0.25">
      <c r="A5" s="3">
        <v>2004</v>
      </c>
      <c r="B5" s="3" t="s">
        <v>317</v>
      </c>
      <c r="C5" s="3" t="s">
        <v>314</v>
      </c>
      <c r="D5" s="4">
        <f>(460.44*(1+7.46%))*(1+4.16%)</f>
        <v>515.37203907840001</v>
      </c>
    </row>
    <row r="6" spans="1:4" x14ac:dyDescent="0.25">
      <c r="A6" s="3">
        <v>2005</v>
      </c>
      <c r="B6" s="3" t="s">
        <v>318</v>
      </c>
      <c r="C6" s="3" t="s">
        <v>314</v>
      </c>
      <c r="D6" s="4">
        <f>(96.29*(1+7.46%))*(1+4.16%)</f>
        <v>107.77772053440002</v>
      </c>
    </row>
    <row r="7" spans="1:4" x14ac:dyDescent="0.25">
      <c r="A7" s="3">
        <v>2006</v>
      </c>
      <c r="B7" s="3" t="s">
        <v>319</v>
      </c>
      <c r="C7" s="3" t="s">
        <v>314</v>
      </c>
      <c r="D7" s="4">
        <f>(127.38*(1+7.46%))*(1+4.16%)</f>
        <v>142.57686199680001</v>
      </c>
    </row>
    <row r="8" spans="1:4" x14ac:dyDescent="0.25">
      <c r="A8" s="3">
        <v>2007</v>
      </c>
      <c r="B8" s="3" t="s">
        <v>320</v>
      </c>
      <c r="C8" s="3" t="s">
        <v>314</v>
      </c>
      <c r="D8" s="4">
        <f>(225.98*(1+7.46%))*(1+4.16%)</f>
        <v>252.94017329279998</v>
      </c>
    </row>
    <row r="9" spans="1:4" x14ac:dyDescent="0.25">
      <c r="A9" s="3">
        <v>2008</v>
      </c>
      <c r="B9" s="3" t="s">
        <v>321</v>
      </c>
      <c r="C9" s="3" t="s">
        <v>314</v>
      </c>
      <c r="D9" s="4">
        <f>(500.2*(1+7.46%))*(1+4.16%)</f>
        <v>559.87554067200006</v>
      </c>
    </row>
    <row r="10" spans="1:4" x14ac:dyDescent="0.25">
      <c r="A10" s="3">
        <v>2011</v>
      </c>
      <c r="B10" s="3" t="s">
        <v>322</v>
      </c>
      <c r="C10" s="3" t="s">
        <v>314</v>
      </c>
      <c r="D10" s="4">
        <f>(540.56*(1+7.46%))*(1+4.16%)</f>
        <v>605.05062428159999</v>
      </c>
    </row>
    <row r="11" spans="1:4" x14ac:dyDescent="0.25">
      <c r="A11" s="3">
        <v>2012</v>
      </c>
      <c r="B11" s="3" t="s">
        <v>323</v>
      </c>
      <c r="C11" s="3" t="s">
        <v>314</v>
      </c>
      <c r="D11" s="4">
        <f>(200.16*(1+7.46%))*(1+4.16%)</f>
        <v>224.03976053760002</v>
      </c>
    </row>
    <row r="12" spans="1:4" x14ac:dyDescent="0.25">
      <c r="A12" s="3">
        <v>2013</v>
      </c>
      <c r="B12" s="3" t="s">
        <v>324</v>
      </c>
      <c r="C12" s="3" t="s">
        <v>314</v>
      </c>
      <c r="D12" s="4">
        <f>(146.76*(1+7.46%))*(1+4.16%)</f>
        <v>164.2689611136</v>
      </c>
    </row>
    <row r="13" spans="1:4" x14ac:dyDescent="0.25">
      <c r="A13" s="3">
        <v>2014</v>
      </c>
      <c r="B13" s="3" t="s">
        <v>325</v>
      </c>
      <c r="C13" s="3" t="s">
        <v>314</v>
      </c>
      <c r="D13" s="4">
        <f>(161.12*(1+7.46%))*(1+4.16%)</f>
        <v>180.34215736320002</v>
      </c>
    </row>
    <row r="14" spans="1:4" x14ac:dyDescent="0.25">
      <c r="A14" s="3">
        <v>2015</v>
      </c>
      <c r="B14" s="3" t="s">
        <v>326</v>
      </c>
      <c r="C14" s="3" t="s">
        <v>314</v>
      </c>
      <c r="D14" s="4">
        <f>(213.97*(1+7.46%))*(1+4.16%)</f>
        <v>239.49733993920003</v>
      </c>
    </row>
    <row r="15" spans="1:4" x14ac:dyDescent="0.25">
      <c r="A15" s="3">
        <v>2016</v>
      </c>
      <c r="B15" s="3" t="s">
        <v>327</v>
      </c>
      <c r="C15" s="3" t="s">
        <v>314</v>
      </c>
      <c r="D15" s="4">
        <f>(476.14*(1+7.46%))*(1+4.16%)</f>
        <v>532.94510183040006</v>
      </c>
    </row>
    <row r="16" spans="1:4" x14ac:dyDescent="0.25">
      <c r="A16" s="3">
        <v>2016</v>
      </c>
      <c r="B16" s="3" t="s">
        <v>328</v>
      </c>
      <c r="C16" s="3" t="s">
        <v>314</v>
      </c>
      <c r="D16" s="4">
        <f>(476.14*(1+7.46%))*(1+4.16%)</f>
        <v>532.94510183040006</v>
      </c>
    </row>
    <row r="17" spans="1:4" x14ac:dyDescent="0.25">
      <c r="A17" s="3">
        <v>2017</v>
      </c>
      <c r="B17" s="3" t="s">
        <v>329</v>
      </c>
      <c r="C17" s="3" t="s">
        <v>314</v>
      </c>
      <c r="D17" s="4">
        <f>(664.95*(1+7.46%))*(1+4.16%)</f>
        <v>744.28076923200013</v>
      </c>
    </row>
    <row r="18" spans="1:4" x14ac:dyDescent="0.25">
      <c r="A18" s="3">
        <v>2018</v>
      </c>
      <c r="B18" s="3" t="s">
        <v>330</v>
      </c>
      <c r="C18" s="3" t="s">
        <v>314</v>
      </c>
      <c r="D18" s="4">
        <f>(664.95*(1+7.46%))*(1+4.16%)</f>
        <v>744.28076923200013</v>
      </c>
    </row>
    <row r="19" spans="1:4" x14ac:dyDescent="0.25">
      <c r="A19" s="3">
        <v>2019</v>
      </c>
      <c r="B19" s="3" t="s">
        <v>331</v>
      </c>
      <c r="C19" s="3" t="s">
        <v>314</v>
      </c>
      <c r="D19" s="4">
        <f>(474.87*(1+7.46%))*(1+4.16%)</f>
        <v>531.52358656320007</v>
      </c>
    </row>
    <row r="20" spans="1:4" x14ac:dyDescent="0.25">
      <c r="A20" s="3">
        <v>2020</v>
      </c>
      <c r="B20" s="3" t="s">
        <v>332</v>
      </c>
      <c r="C20" s="3" t="s">
        <v>314</v>
      </c>
      <c r="D20" s="4">
        <f>(189.49*(1+7.46%))*(1+4.16%)</f>
        <v>212.09679368640002</v>
      </c>
    </row>
    <row r="21" spans="1:4" x14ac:dyDescent="0.25">
      <c r="A21" s="3">
        <v>2021</v>
      </c>
      <c r="B21" s="3" t="s">
        <v>333</v>
      </c>
      <c r="C21" s="3" t="s">
        <v>314</v>
      </c>
      <c r="D21" s="4">
        <f>(231.54*(1+7.46%))*(1+4.16%)</f>
        <v>259.1634999744</v>
      </c>
    </row>
    <row r="22" spans="1:4" x14ac:dyDescent="0.25">
      <c r="A22" s="3">
        <v>2022</v>
      </c>
      <c r="B22" s="3" t="s">
        <v>334</v>
      </c>
      <c r="C22" s="3" t="s">
        <v>314</v>
      </c>
      <c r="D22" s="4">
        <f>(841.82*(1+7.46%))*(1+4.16%)</f>
        <v>942.25195451520005</v>
      </c>
    </row>
    <row r="23" spans="1:4" x14ac:dyDescent="0.25">
      <c r="A23" s="3">
        <v>2023</v>
      </c>
      <c r="B23" s="3" t="s">
        <v>335</v>
      </c>
      <c r="C23" s="3" t="s">
        <v>314</v>
      </c>
      <c r="D23" s="4">
        <f>(1054.45*(1+7.46%))*(1+4.16%)</f>
        <v>1180.2494279520004</v>
      </c>
    </row>
    <row r="24" spans="1:4" x14ac:dyDescent="0.25">
      <c r="A24" s="3">
        <v>2024</v>
      </c>
      <c r="B24" s="3" t="s">
        <v>336</v>
      </c>
      <c r="C24" s="3" t="s">
        <v>314</v>
      </c>
      <c r="D24" s="4">
        <f>(749.04*(1+7.46%))*(1+4.16%)</f>
        <v>838.4029887744</v>
      </c>
    </row>
    <row r="25" spans="1:4" x14ac:dyDescent="0.25">
      <c r="A25" s="3">
        <v>2025</v>
      </c>
      <c r="B25" s="3" t="s">
        <v>337</v>
      </c>
      <c r="C25" s="3" t="s">
        <v>314</v>
      </c>
      <c r="D25" s="4">
        <f>(1060.82*(1+7.46%))*(1+4.16%)</f>
        <v>1187.3793903552</v>
      </c>
    </row>
    <row r="26" spans="1:4" x14ac:dyDescent="0.25">
      <c r="A26" s="3">
        <v>2026</v>
      </c>
      <c r="B26" s="3" t="s">
        <v>338</v>
      </c>
      <c r="C26" s="3" t="s">
        <v>314</v>
      </c>
      <c r="D26" s="4">
        <f>(499.63*(1+7.46%))*(1+4.16%)</f>
        <v>559.23753775679995</v>
      </c>
    </row>
    <row r="27" spans="1:4" x14ac:dyDescent="0.25">
      <c r="A27" s="3">
        <v>2026</v>
      </c>
      <c r="B27" s="3" t="s">
        <v>339</v>
      </c>
      <c r="C27" s="3" t="s">
        <v>314</v>
      </c>
      <c r="D27" s="4">
        <f>(499.12*(1+7.46%))*(1+4.16%)</f>
        <v>558.66669304319998</v>
      </c>
    </row>
    <row r="28" spans="1:4" x14ac:dyDescent="0.25">
      <c r="A28" s="3">
        <v>2027</v>
      </c>
      <c r="B28" s="3" t="s">
        <v>340</v>
      </c>
      <c r="C28" s="3" t="s">
        <v>314</v>
      </c>
      <c r="D28" s="4">
        <f>(1627.13*(1+7.46%))*(1+4.16%)</f>
        <v>1821.2520761568003</v>
      </c>
    </row>
    <row r="29" spans="1:4" x14ac:dyDescent="0.25">
      <c r="A29" s="3">
        <v>2028</v>
      </c>
      <c r="B29" s="3" t="s">
        <v>341</v>
      </c>
      <c r="C29" s="3" t="s">
        <v>314</v>
      </c>
      <c r="D29" s="4">
        <f>(138.37*(1+7.46%))*(1+4.16%)</f>
        <v>154.87800592320002</v>
      </c>
    </row>
    <row r="30" spans="1:4" x14ac:dyDescent="0.25">
      <c r="A30" s="3">
        <v>2029</v>
      </c>
      <c r="B30" s="3" t="s">
        <v>342</v>
      </c>
      <c r="C30" s="3" t="s">
        <v>314</v>
      </c>
      <c r="D30" s="4">
        <f>(158.7*(1+7.46%))*(1+4.16%)</f>
        <v>177.63344323200002</v>
      </c>
    </row>
    <row r="31" spans="1:4" x14ac:dyDescent="0.25">
      <c r="A31" s="3">
        <v>2031</v>
      </c>
      <c r="B31" s="3" t="s">
        <v>343</v>
      </c>
      <c r="C31" s="3" t="s">
        <v>314</v>
      </c>
      <c r="D31" s="4">
        <f>(1429.75*(1+7.46%))*(1+4.16%)</f>
        <v>1600.32397896</v>
      </c>
    </row>
    <row r="32" spans="1:4" x14ac:dyDescent="0.25">
      <c r="A32" s="3">
        <v>2032</v>
      </c>
      <c r="B32" s="3" t="s">
        <v>344</v>
      </c>
      <c r="C32" s="3" t="s">
        <v>314</v>
      </c>
      <c r="D32" s="4">
        <f>(390.77*(1+7.46%))*(1+4.16%)</f>
        <v>437.3901739872</v>
      </c>
    </row>
    <row r="33" spans="1:4" x14ac:dyDescent="0.25">
      <c r="A33" s="3">
        <v>2034</v>
      </c>
      <c r="B33" s="3" t="s">
        <v>345</v>
      </c>
      <c r="C33" s="3" t="s">
        <v>314</v>
      </c>
      <c r="D33" s="4">
        <f>(80.61*(1+7.46%))*(1+4.16%)</f>
        <v>90.227043849600008</v>
      </c>
    </row>
    <row r="34" spans="1:4" x14ac:dyDescent="0.25">
      <c r="A34" s="3">
        <v>2035</v>
      </c>
      <c r="B34" s="3" t="s">
        <v>346</v>
      </c>
      <c r="C34" s="3" t="s">
        <v>314</v>
      </c>
      <c r="D34" s="4">
        <f>(211.38*(1+7.46%))*(1+4.16%)</f>
        <v>236.59834423680002</v>
      </c>
    </row>
    <row r="35" spans="1:4" x14ac:dyDescent="0.25">
      <c r="A35" s="3">
        <v>2036</v>
      </c>
      <c r="B35" s="3" t="s">
        <v>347</v>
      </c>
      <c r="C35" s="3" t="s">
        <v>314</v>
      </c>
      <c r="D35" s="4">
        <f>(357.13*(1+7.46%))*(1+4.16%)</f>
        <v>399.73680895680008</v>
      </c>
    </row>
    <row r="36" spans="1:4" x14ac:dyDescent="0.25">
      <c r="A36" s="3">
        <v>2037</v>
      </c>
      <c r="B36" s="3" t="s">
        <v>348</v>
      </c>
      <c r="C36" s="3" t="s">
        <v>314</v>
      </c>
      <c r="D36" s="4">
        <f>(130.65*(1+7.46%))*(1+4.16%)</f>
        <v>146.23698398400001</v>
      </c>
    </row>
    <row r="37" spans="1:4" x14ac:dyDescent="0.25">
      <c r="A37" s="3">
        <v>2038</v>
      </c>
      <c r="B37" s="3" t="s">
        <v>349</v>
      </c>
      <c r="C37" s="3" t="s">
        <v>314</v>
      </c>
      <c r="D37" s="4">
        <f>(222.44*(1+7.46%))*(1+4.16%)</f>
        <v>248.97783939839999</v>
      </c>
    </row>
    <row r="38" spans="1:4" x14ac:dyDescent="0.25">
      <c r="A38" s="3">
        <v>2040</v>
      </c>
      <c r="B38" s="3" t="s">
        <v>350</v>
      </c>
      <c r="C38" s="3" t="s">
        <v>314</v>
      </c>
      <c r="D38" s="4">
        <f>(113.07*(1+7.46%))*(1+4.16%)</f>
        <v>126.5596309152</v>
      </c>
    </row>
    <row r="39" spans="1:4" x14ac:dyDescent="0.25">
      <c r="A39" s="3">
        <v>2041</v>
      </c>
      <c r="B39" s="3" t="s">
        <v>351</v>
      </c>
      <c r="C39" s="3" t="s">
        <v>314</v>
      </c>
      <c r="D39" s="4">
        <f>(157.58*(1+7.46%))*(1+4.16%)</f>
        <v>176.37982346880003</v>
      </c>
    </row>
    <row r="40" spans="1:4" x14ac:dyDescent="0.25">
      <c r="A40" s="3">
        <v>2042</v>
      </c>
      <c r="B40" s="3" t="s">
        <v>352</v>
      </c>
      <c r="C40" s="3" t="s">
        <v>314</v>
      </c>
      <c r="D40" s="4">
        <f>(252.45*(1+7.46%))*(1+4.16%)</f>
        <v>282.56813323199998</v>
      </c>
    </row>
    <row r="41" spans="1:4" x14ac:dyDescent="0.25">
      <c r="A41" s="3">
        <v>2044</v>
      </c>
      <c r="B41" s="3" t="s">
        <v>353</v>
      </c>
      <c r="C41" s="3" t="s">
        <v>314</v>
      </c>
      <c r="D41" s="4">
        <f>(1273.58*(1+7.46%))*(1+4.16%)</f>
        <v>1425.5223732288</v>
      </c>
    </row>
    <row r="42" spans="1:4" x14ac:dyDescent="0.25">
      <c r="A42" s="3">
        <v>2045</v>
      </c>
      <c r="B42" s="3" t="s">
        <v>354</v>
      </c>
      <c r="C42" s="3" t="s">
        <v>314</v>
      </c>
      <c r="D42" s="4">
        <f>(119.16*(1+7.46%))*(1+4.16%)</f>
        <v>133.37618837759999</v>
      </c>
    </row>
    <row r="43" spans="1:4" x14ac:dyDescent="0.25">
      <c r="A43" s="3">
        <v>2046</v>
      </c>
      <c r="B43" s="3" t="s">
        <v>355</v>
      </c>
      <c r="C43" s="3" t="s">
        <v>314</v>
      </c>
      <c r="D43" s="4">
        <f>(157.58*(1+7.46%))*(1+4.16%)</f>
        <v>176.37982346880003</v>
      </c>
    </row>
    <row r="44" spans="1:4" x14ac:dyDescent="0.25">
      <c r="A44" s="3">
        <v>2047</v>
      </c>
      <c r="B44" s="3" t="s">
        <v>356</v>
      </c>
      <c r="C44" s="3" t="s">
        <v>314</v>
      </c>
      <c r="D44" s="4">
        <f>(264.46*(1+7.46%))*(1+4.16%)</f>
        <v>296.01096658560004</v>
      </c>
    </row>
    <row r="45" spans="1:4" x14ac:dyDescent="0.25">
      <c r="A45" s="3">
        <v>2050</v>
      </c>
      <c r="B45" s="3" t="s">
        <v>357</v>
      </c>
      <c r="C45" s="3" t="s">
        <v>314</v>
      </c>
      <c r="D45" s="4">
        <f>(1346.77*(1+7.46%))*(1+4.16%)</f>
        <v>1507.4441861472001</v>
      </c>
    </row>
    <row r="46" spans="1:4" x14ac:dyDescent="0.25">
      <c r="A46" s="3">
        <v>2052</v>
      </c>
      <c r="B46" s="3" t="s">
        <v>358</v>
      </c>
      <c r="C46" s="3" t="s">
        <v>314</v>
      </c>
      <c r="D46" s="4">
        <f>(966.9*(1+7.46%))*(1+4.16%)</f>
        <v>1082.2544187840001</v>
      </c>
    </row>
    <row r="47" spans="1:4" x14ac:dyDescent="0.25">
      <c r="A47" s="3">
        <v>205222</v>
      </c>
      <c r="B47" s="3" t="s">
        <v>359</v>
      </c>
      <c r="C47" s="3" t="s">
        <v>314</v>
      </c>
      <c r="D47" s="4">
        <f>(671.46*(1+7.46%))*(1+4.16%)</f>
        <v>751.56743410560011</v>
      </c>
    </row>
    <row r="48" spans="1:4" x14ac:dyDescent="0.25">
      <c r="A48" s="3">
        <v>2053</v>
      </c>
      <c r="B48" s="3" t="s">
        <v>360</v>
      </c>
      <c r="C48" s="3" t="s">
        <v>314</v>
      </c>
      <c r="D48" s="4">
        <f>(1106.32*(1+7.46%))*(1+4.16%)</f>
        <v>1238.3076932351998</v>
      </c>
    </row>
    <row r="49" spans="1:4" x14ac:dyDescent="0.25">
      <c r="A49" s="3">
        <v>2054</v>
      </c>
      <c r="B49" s="3" t="s">
        <v>361</v>
      </c>
      <c r="C49" s="3" t="s">
        <v>314</v>
      </c>
      <c r="D49" s="4">
        <f>(1412.02*(1+7.46%))*(1+4.16%)</f>
        <v>1580.4787303872001</v>
      </c>
    </row>
    <row r="50" spans="1:4" x14ac:dyDescent="0.25">
      <c r="A50" s="3">
        <v>2057</v>
      </c>
      <c r="B50" s="3" t="s">
        <v>362</v>
      </c>
      <c r="C50" s="3" t="s">
        <v>314</v>
      </c>
      <c r="D50" s="4">
        <f>(273.72*(1+7.46%))*(1+4.16%)</f>
        <v>306.37571569920004</v>
      </c>
    </row>
    <row r="51" spans="1:4" x14ac:dyDescent="0.25">
      <c r="A51" s="3">
        <v>2058</v>
      </c>
      <c r="B51" s="3" t="s">
        <v>363</v>
      </c>
      <c r="C51" s="3" t="s">
        <v>314</v>
      </c>
      <c r="D51" s="4">
        <f>(366.71*(1+7.46%))*(1+4.16%)</f>
        <v>410.45973514560001</v>
      </c>
    </row>
    <row r="52" spans="1:4" x14ac:dyDescent="0.25">
      <c r="A52" s="3">
        <v>2060</v>
      </c>
      <c r="B52" s="3" t="s">
        <v>364</v>
      </c>
      <c r="C52" s="3" t="s">
        <v>314</v>
      </c>
      <c r="D52" s="4">
        <f>(915.21*(1+7.46%))*(1+4.16%)</f>
        <v>1024.3976281056002</v>
      </c>
    </row>
    <row r="53" spans="1:4" x14ac:dyDescent="0.25">
      <c r="A53" s="3">
        <v>2061</v>
      </c>
      <c r="B53" s="3" t="s">
        <v>365</v>
      </c>
      <c r="C53" s="3" t="s">
        <v>314</v>
      </c>
      <c r="D53" s="4">
        <f>(768.05*(1+7.46%))*(1+4.16%)</f>
        <v>859.68094564800003</v>
      </c>
    </row>
    <row r="54" spans="1:4" x14ac:dyDescent="0.25">
      <c r="A54" s="3">
        <v>2062</v>
      </c>
      <c r="B54" s="3" t="s">
        <v>366</v>
      </c>
      <c r="C54" s="3" t="s">
        <v>314</v>
      </c>
      <c r="D54" s="4">
        <f>(768.05*(1+7.46%))*(1+4.16%)</f>
        <v>859.68094564800003</v>
      </c>
    </row>
    <row r="55" spans="1:4" x14ac:dyDescent="0.25">
      <c r="A55" s="3">
        <v>2064</v>
      </c>
      <c r="B55" s="3" t="s">
        <v>367</v>
      </c>
      <c r="C55" s="3" t="s">
        <v>314</v>
      </c>
      <c r="D55" s="4">
        <f>(838.99*(1+7.46%))*(1+4.16%)</f>
        <v>939.08432600640015</v>
      </c>
    </row>
    <row r="56" spans="1:4" x14ac:dyDescent="0.25">
      <c r="A56" s="3">
        <v>2065</v>
      </c>
      <c r="B56" s="3" t="s">
        <v>368</v>
      </c>
      <c r="C56" s="3" t="s">
        <v>314</v>
      </c>
      <c r="D56" s="4">
        <f>(1096.76*(1+7.46%))*(1+4.16%)</f>
        <v>1227.6071531135999</v>
      </c>
    </row>
    <row r="57" spans="1:4" x14ac:dyDescent="0.25">
      <c r="A57" s="3">
        <v>2066</v>
      </c>
      <c r="B57" s="3" t="s">
        <v>369</v>
      </c>
      <c r="C57" s="3" t="s">
        <v>314</v>
      </c>
      <c r="D57" s="4">
        <f>(56.48*(1+7.46%))*(1+4.16%)</f>
        <v>63.218253772800004</v>
      </c>
    </row>
    <row r="58" spans="1:4" x14ac:dyDescent="0.25">
      <c r="A58" s="3">
        <v>2067</v>
      </c>
      <c r="B58" s="3" t="s">
        <v>370</v>
      </c>
      <c r="C58" s="3" t="s">
        <v>314</v>
      </c>
      <c r="D58" s="4">
        <f>(70.93*(1+7.46%))*(1+4.16%)</f>
        <v>79.392187324800005</v>
      </c>
    </row>
    <row r="59" spans="1:4" x14ac:dyDescent="0.25">
      <c r="A59" s="3">
        <v>2068</v>
      </c>
      <c r="B59" s="3" t="s">
        <v>371</v>
      </c>
      <c r="C59" s="3" t="s">
        <v>314</v>
      </c>
      <c r="D59" s="4">
        <f>(114.22*(1+7.46%))*(1+4.16%)</f>
        <v>127.84682977920002</v>
      </c>
    </row>
    <row r="60" spans="1:4" x14ac:dyDescent="0.25">
      <c r="A60" s="3">
        <v>2069</v>
      </c>
      <c r="B60" s="3" t="s">
        <v>372</v>
      </c>
      <c r="C60" s="3" t="s">
        <v>314</v>
      </c>
      <c r="D60" s="4">
        <f>(1491.94*(1+7.46%))*(1+4.16%)</f>
        <v>1669.9334549184002</v>
      </c>
    </row>
    <row r="61" spans="1:4" x14ac:dyDescent="0.25">
      <c r="A61" s="3">
        <v>2070</v>
      </c>
      <c r="B61" s="3" t="s">
        <v>373</v>
      </c>
      <c r="C61" s="3" t="s">
        <v>314</v>
      </c>
      <c r="D61" s="4">
        <f>(918.3*(1+7.46%))*(1+4.16%)</f>
        <v>1027.8562754879999</v>
      </c>
    </row>
    <row r="62" spans="1:4" x14ac:dyDescent="0.25">
      <c r="A62" s="3">
        <v>2071</v>
      </c>
      <c r="B62" s="3" t="s">
        <v>374</v>
      </c>
      <c r="C62" s="3" t="s">
        <v>314</v>
      </c>
      <c r="D62" s="4">
        <f>(956.3*(1+7.46%))*(1+4.16%)</f>
        <v>1070.3898031680001</v>
      </c>
    </row>
    <row r="63" spans="1:4" x14ac:dyDescent="0.25">
      <c r="A63" s="3">
        <v>2074</v>
      </c>
      <c r="B63" s="3" t="s">
        <v>375</v>
      </c>
      <c r="C63" s="3" t="s">
        <v>314</v>
      </c>
      <c r="D63" s="4">
        <f>(146.33*(1+7.46%))*(1+4.16%)</f>
        <v>163.78766066880004</v>
      </c>
    </row>
    <row r="64" spans="1:4" x14ac:dyDescent="0.25">
      <c r="A64" s="3">
        <v>2076</v>
      </c>
      <c r="B64" s="3" t="s">
        <v>376</v>
      </c>
      <c r="C64" s="3" t="s">
        <v>314</v>
      </c>
      <c r="D64" s="4">
        <f>(353.59*(1+7.46%))*(1+4.16%)</f>
        <v>395.77447506240003</v>
      </c>
    </row>
    <row r="65" spans="1:4" x14ac:dyDescent="0.25">
      <c r="A65" s="3">
        <v>2077</v>
      </c>
      <c r="B65" s="3" t="s">
        <v>377</v>
      </c>
      <c r="C65" s="3" t="s">
        <v>314</v>
      </c>
      <c r="D65" s="4">
        <f>(1103.86*(1+7.46%))*(1+4.16%)</f>
        <v>1235.5542069696</v>
      </c>
    </row>
    <row r="66" spans="1:4" x14ac:dyDescent="0.25">
      <c r="A66" s="3">
        <v>2080</v>
      </c>
      <c r="B66" s="3" t="s">
        <v>378</v>
      </c>
      <c r="C66" s="3" t="s">
        <v>314</v>
      </c>
      <c r="D66" s="4">
        <f>(143.16*(1+7.46%))*(1+4.16%)</f>
        <v>160.23946901759999</v>
      </c>
    </row>
    <row r="67" spans="1:4" x14ac:dyDescent="0.25">
      <c r="A67" s="3">
        <v>2081</v>
      </c>
      <c r="B67" s="3" t="s">
        <v>379</v>
      </c>
      <c r="C67" s="3" t="s">
        <v>314</v>
      </c>
      <c r="D67" s="4">
        <f>(145.6*(1+7.46%))*(1+4.16%)</f>
        <v>162.970569216</v>
      </c>
    </row>
    <row r="68" spans="1:4" x14ac:dyDescent="0.25">
      <c r="A68" s="3">
        <v>2082</v>
      </c>
      <c r="B68" s="3" t="s">
        <v>380</v>
      </c>
      <c r="C68" s="3" t="s">
        <v>314</v>
      </c>
      <c r="D68" s="4">
        <f>(325.84*(1+7.46%))*(1+4.16%)</f>
        <v>364.71380682239999</v>
      </c>
    </row>
    <row r="69" spans="1:4" x14ac:dyDescent="0.25">
      <c r="A69" s="3">
        <v>2083</v>
      </c>
      <c r="B69" s="3" t="s">
        <v>381</v>
      </c>
      <c r="C69" s="3" t="s">
        <v>314</v>
      </c>
      <c r="D69" s="4">
        <f>(340.32*(1+7.46%))*(1+4.16%)</f>
        <v>380.92131947520005</v>
      </c>
    </row>
    <row r="70" spans="1:4" x14ac:dyDescent="0.25">
      <c r="A70" s="3">
        <v>2084</v>
      </c>
      <c r="B70" s="3" t="s">
        <v>382</v>
      </c>
      <c r="C70" s="3" t="s">
        <v>314</v>
      </c>
      <c r="D70" s="4">
        <f>(362.09*(1+7.46%))*(1+4.16%)</f>
        <v>405.2885536224</v>
      </c>
    </row>
    <row r="71" spans="1:4" x14ac:dyDescent="0.25">
      <c r="A71" s="3">
        <v>2090</v>
      </c>
      <c r="B71" s="3" t="s">
        <v>383</v>
      </c>
      <c r="C71" s="3" t="s">
        <v>314</v>
      </c>
      <c r="D71" s="4">
        <f>(750.15*(1+7.46%))*(1+4.16%)</f>
        <v>839.64541550400008</v>
      </c>
    </row>
    <row r="72" spans="1:4" x14ac:dyDescent="0.25">
      <c r="A72" s="3">
        <v>2093</v>
      </c>
      <c r="B72" s="3" t="s">
        <v>384</v>
      </c>
      <c r="C72" s="3" t="s">
        <v>314</v>
      </c>
      <c r="D72" s="4">
        <f>(843.88*(1+7.46%))*(1+4.16%)</f>
        <v>944.55771943680008</v>
      </c>
    </row>
    <row r="73" spans="1:4" x14ac:dyDescent="0.25">
      <c r="A73" s="3">
        <v>2094</v>
      </c>
      <c r="B73" s="3" t="s">
        <v>385</v>
      </c>
      <c r="C73" s="3" t="s">
        <v>314</v>
      </c>
      <c r="D73" s="4">
        <f>(843.88*(1+7.46%))*(1+4.16%)</f>
        <v>944.55771943680008</v>
      </c>
    </row>
    <row r="74" spans="1:4" x14ac:dyDescent="0.25">
      <c r="A74" s="3">
        <v>2098</v>
      </c>
      <c r="B74" s="3" t="s">
        <v>386</v>
      </c>
      <c r="C74" s="3" t="s">
        <v>314</v>
      </c>
      <c r="D74" s="4">
        <f>(240.13*(1+7.46%))*(1+4.16%)</f>
        <v>268.7783158368</v>
      </c>
    </row>
    <row r="75" spans="1:4" x14ac:dyDescent="0.25">
      <c r="A75" s="3">
        <v>2100</v>
      </c>
      <c r="B75" s="3" t="s">
        <v>387</v>
      </c>
      <c r="C75" s="3" t="s">
        <v>314</v>
      </c>
      <c r="D75" s="4">
        <f>(232*(1+7.46%))*(1+4.16%)</f>
        <v>259.67837952000002</v>
      </c>
    </row>
    <row r="76" spans="1:4" x14ac:dyDescent="0.25">
      <c r="A76" s="3">
        <v>2101</v>
      </c>
      <c r="B76" s="3" t="s">
        <v>388</v>
      </c>
      <c r="C76" s="3" t="s">
        <v>314</v>
      </c>
      <c r="D76" s="4">
        <f>(131.41*(1+7.46%))*(1+4.16%)</f>
        <v>147.08765453760003</v>
      </c>
    </row>
    <row r="77" spans="1:4" x14ac:dyDescent="0.25">
      <c r="A77" s="3">
        <v>2105</v>
      </c>
      <c r="B77" s="3" t="s">
        <v>389</v>
      </c>
      <c r="C77" s="3" t="s">
        <v>314</v>
      </c>
      <c r="D77" s="4">
        <f>(250.63*(1+7.46%))*(1+4.16%)</f>
        <v>280.53100111680004</v>
      </c>
    </row>
    <row r="78" spans="1:4" x14ac:dyDescent="0.25">
      <c r="A78" s="3">
        <v>2112</v>
      </c>
      <c r="B78" s="3" t="s">
        <v>390</v>
      </c>
      <c r="C78" s="3" t="s">
        <v>314</v>
      </c>
      <c r="D78" s="4">
        <f>(424.56*(1+7.46%))*(1+4.16%)</f>
        <v>475.21143452160004</v>
      </c>
    </row>
    <row r="79" spans="1:4" x14ac:dyDescent="0.25">
      <c r="A79" s="3">
        <v>2117</v>
      </c>
      <c r="B79" s="3" t="s">
        <v>391</v>
      </c>
      <c r="C79" s="3" t="s">
        <v>314</v>
      </c>
      <c r="D79" s="4">
        <f>(183.96*(1+7.46%))*(1+4.16%)</f>
        <v>205.90704610560005</v>
      </c>
    </row>
    <row r="80" spans="1:4" x14ac:dyDescent="0.25">
      <c r="A80" s="3">
        <v>2119</v>
      </c>
      <c r="B80" s="3" t="s">
        <v>392</v>
      </c>
      <c r="C80" s="3" t="s">
        <v>314</v>
      </c>
      <c r="D80" s="4">
        <f>(248.88*(1+7.46%))*(1+4.16%)</f>
        <v>278.57222023679998</v>
      </c>
    </row>
    <row r="81" spans="1:4" x14ac:dyDescent="0.25">
      <c r="A81" s="3">
        <v>2187</v>
      </c>
      <c r="B81" s="3" t="s">
        <v>393</v>
      </c>
      <c r="C81" s="3" t="s">
        <v>314</v>
      </c>
      <c r="D81" s="4">
        <f>(143.25*(1+7.46%))*(1+4.16%)</f>
        <v>160.34020632000002</v>
      </c>
    </row>
    <row r="82" spans="1:4" x14ac:dyDescent="0.25">
      <c r="A82" s="3">
        <v>2188</v>
      </c>
      <c r="B82" s="3" t="s">
        <v>394</v>
      </c>
      <c r="C82" s="3" t="s">
        <v>314</v>
      </c>
      <c r="D82" s="4">
        <f>(189.94*(1+7.46%))*(1+4.16%)</f>
        <v>212.60048019840002</v>
      </c>
    </row>
    <row r="83" spans="1:4" x14ac:dyDescent="0.25">
      <c r="A83" s="3">
        <v>2189</v>
      </c>
      <c r="B83" s="3" t="s">
        <v>395</v>
      </c>
      <c r="C83" s="3" t="s">
        <v>314</v>
      </c>
      <c r="D83" s="4">
        <f>(336.77*(1+7.46%))*(1+4.16%)</f>
        <v>376.94779254719998</v>
      </c>
    </row>
    <row r="84" spans="1:4" x14ac:dyDescent="0.25">
      <c r="A84" s="3">
        <v>2199</v>
      </c>
      <c r="B84" s="3" t="s">
        <v>396</v>
      </c>
      <c r="C84" s="3" t="s">
        <v>314</v>
      </c>
      <c r="D84" s="4">
        <f>(7618.16*(1+7.46%))*(1+4.16%)</f>
        <v>8527.0320850176013</v>
      </c>
    </row>
    <row r="85" spans="1:4" x14ac:dyDescent="0.25">
      <c r="A85" s="3">
        <v>2211</v>
      </c>
      <c r="B85" s="3" t="s">
        <v>397</v>
      </c>
      <c r="C85" s="3" t="s">
        <v>314</v>
      </c>
      <c r="D85" s="4">
        <f>(308.15*(1+7.46%))*(1+4.16%)</f>
        <v>344.91333038400001</v>
      </c>
    </row>
    <row r="86" spans="1:4" x14ac:dyDescent="0.25">
      <c r="A86" s="3">
        <v>2223</v>
      </c>
      <c r="B86" s="3" t="s">
        <v>398</v>
      </c>
      <c r="C86" s="3" t="s">
        <v>314</v>
      </c>
      <c r="D86" s="4">
        <f>(1198.12*(1+7.46%))*(1+4.16%)</f>
        <v>1341.0597416831999</v>
      </c>
    </row>
    <row r="87" spans="1:4" x14ac:dyDescent="0.25">
      <c r="A87" s="3">
        <v>2240</v>
      </c>
      <c r="B87" s="3" t="s">
        <v>399</v>
      </c>
      <c r="C87" s="3" t="s">
        <v>314</v>
      </c>
      <c r="D87" s="4">
        <f>(288.75*(1+7.46%))*(1+4.16%)</f>
        <v>323.19884520000005</v>
      </c>
    </row>
    <row r="88" spans="1:4" x14ac:dyDescent="0.25">
      <c r="A88" s="3">
        <v>2241</v>
      </c>
      <c r="B88" s="3" t="s">
        <v>400</v>
      </c>
      <c r="C88" s="3" t="s">
        <v>314</v>
      </c>
      <c r="D88" s="4">
        <f>(402.38*(1+7.46%))*(1+4.16%)</f>
        <v>450.38528599680001</v>
      </c>
    </row>
    <row r="89" spans="1:4" x14ac:dyDescent="0.25">
      <c r="A89" s="3">
        <v>2242</v>
      </c>
      <c r="B89" s="3" t="s">
        <v>401</v>
      </c>
      <c r="C89" s="3" t="s">
        <v>314</v>
      </c>
      <c r="D89" s="4">
        <f>(644.79*(1+7.46%))*(1+4.16%)</f>
        <v>721.71561349439992</v>
      </c>
    </row>
    <row r="90" spans="1:4" x14ac:dyDescent="0.25">
      <c r="A90" s="3">
        <v>2243</v>
      </c>
      <c r="B90" s="3" t="s">
        <v>402</v>
      </c>
      <c r="C90" s="3" t="s">
        <v>314</v>
      </c>
      <c r="D90" s="4">
        <f>(551.88*(1+7.46%))*(1+4.16%)</f>
        <v>617.72113831680008</v>
      </c>
    </row>
    <row r="91" spans="1:4" x14ac:dyDescent="0.25">
      <c r="A91" s="3">
        <v>2245</v>
      </c>
      <c r="B91" s="3" t="s">
        <v>403</v>
      </c>
      <c r="C91" s="3" t="s">
        <v>314</v>
      </c>
      <c r="D91" s="4">
        <f>(304.33*(1+7.46%))*(1+4.16%)</f>
        <v>340.6375915488</v>
      </c>
    </row>
    <row r="92" spans="1:4" x14ac:dyDescent="0.25">
      <c r="A92" s="3">
        <v>2246</v>
      </c>
      <c r="B92" s="3" t="s">
        <v>404</v>
      </c>
      <c r="C92" s="3" t="s">
        <v>314</v>
      </c>
      <c r="D92" s="4">
        <f>(402.38*(1+7.46%))*(1+4.16%)</f>
        <v>450.38528599680001</v>
      </c>
    </row>
    <row r="93" spans="1:4" x14ac:dyDescent="0.25">
      <c r="A93" s="3">
        <v>2248</v>
      </c>
      <c r="B93" s="3" t="s">
        <v>405</v>
      </c>
      <c r="C93" s="3" t="s">
        <v>314</v>
      </c>
      <c r="D93" s="4">
        <f>(598.51*(1+7.46%))*(1+4.16%)</f>
        <v>669.91425399360014</v>
      </c>
    </row>
    <row r="94" spans="1:4" x14ac:dyDescent="0.25">
      <c r="A94" s="3">
        <v>2252</v>
      </c>
      <c r="B94" s="3" t="s">
        <v>406</v>
      </c>
      <c r="C94" s="3" t="s">
        <v>314</v>
      </c>
      <c r="D94" s="4">
        <f>(95.4*(1+7.46%))*(1+4.16%)</f>
        <v>106.78154054400001</v>
      </c>
    </row>
    <row r="95" spans="1:4" x14ac:dyDescent="0.25">
      <c r="A95" s="3">
        <v>2256</v>
      </c>
      <c r="B95" s="3" t="s">
        <v>407</v>
      </c>
      <c r="C95" s="3" t="s">
        <v>314</v>
      </c>
      <c r="D95" s="4">
        <f>(250.04*(1+7.46%))*(1+4.16%)</f>
        <v>279.87061213440001</v>
      </c>
    </row>
    <row r="96" spans="1:4" x14ac:dyDescent="0.25">
      <c r="A96" s="3">
        <v>2265</v>
      </c>
      <c r="B96" s="3" t="s">
        <v>408</v>
      </c>
      <c r="C96" s="3" t="s">
        <v>314</v>
      </c>
      <c r="D96" s="4">
        <f>(95.57*(1+7.46%))*(1+4.16%)</f>
        <v>106.9718221152</v>
      </c>
    </row>
    <row r="97" spans="1:4" x14ac:dyDescent="0.25">
      <c r="A97" s="3">
        <v>2266</v>
      </c>
      <c r="B97" s="3" t="s">
        <v>409</v>
      </c>
      <c r="C97" s="3" t="s">
        <v>314</v>
      </c>
      <c r="D97" s="4">
        <f>(159.38*(1+7.46%))*(1+4.16%)</f>
        <v>178.3945695168</v>
      </c>
    </row>
    <row r="98" spans="1:4" x14ac:dyDescent="0.25">
      <c r="A98" s="3">
        <v>2267</v>
      </c>
      <c r="B98" s="3" t="s">
        <v>410</v>
      </c>
      <c r="C98" s="3" t="s">
        <v>314</v>
      </c>
      <c r="D98" s="4">
        <f>(135.69*(1+7.46%))*(1+4.16%)</f>
        <v>151.87827291840003</v>
      </c>
    </row>
    <row r="99" spans="1:4" x14ac:dyDescent="0.25">
      <c r="A99" s="3">
        <v>2268</v>
      </c>
      <c r="B99" s="3" t="s">
        <v>411</v>
      </c>
      <c r="C99" s="3" t="s">
        <v>314</v>
      </c>
      <c r="D99" s="4">
        <f>(75.28*(1+7.46%))*(1+4.16%)</f>
        <v>84.261156940800007</v>
      </c>
    </row>
    <row r="100" spans="1:4" x14ac:dyDescent="0.25">
      <c r="A100" s="3">
        <v>2270</v>
      </c>
      <c r="B100" s="3" t="s">
        <v>412</v>
      </c>
      <c r="C100" s="3" t="s">
        <v>314</v>
      </c>
      <c r="D100" s="4">
        <f>(918.3*(1+7.46%))*(1+4.16%)</f>
        <v>1027.8562754879999</v>
      </c>
    </row>
    <row r="101" spans="1:4" x14ac:dyDescent="0.25">
      <c r="A101" s="3">
        <v>2271</v>
      </c>
      <c r="B101" s="3" t="s">
        <v>413</v>
      </c>
      <c r="C101" s="3" t="s">
        <v>314</v>
      </c>
      <c r="D101" s="4">
        <f>(951.02*(1+7.46%))*(1+4.16%)</f>
        <v>1064.4798814272001</v>
      </c>
    </row>
    <row r="102" spans="1:4" x14ac:dyDescent="0.25">
      <c r="A102" s="3">
        <v>2272</v>
      </c>
      <c r="B102" s="3" t="s">
        <v>414</v>
      </c>
      <c r="C102" s="3" t="s">
        <v>314</v>
      </c>
      <c r="D102" s="4">
        <f>(188.22*(1+7.46%))*(1+4.16%)</f>
        <v>210.67527841920003</v>
      </c>
    </row>
    <row r="103" spans="1:4" x14ac:dyDescent="0.25">
      <c r="A103" s="3">
        <v>2275</v>
      </c>
      <c r="B103" s="3" t="s">
        <v>415</v>
      </c>
      <c r="C103" s="3" t="s">
        <v>314</v>
      </c>
      <c r="D103" s="4">
        <f>(2687.13*(1+7.46%))*(1+4.16%)</f>
        <v>3007.7136377568004</v>
      </c>
    </row>
    <row r="104" spans="1:4" x14ac:dyDescent="0.25">
      <c r="A104" s="3">
        <v>2277</v>
      </c>
      <c r="B104" s="3" t="s">
        <v>416</v>
      </c>
      <c r="C104" s="3" t="s">
        <v>314</v>
      </c>
      <c r="D104" s="4">
        <f>(10472.77*(1+7.46%))*(1+4.16%)</f>
        <v>11722.206649507203</v>
      </c>
    </row>
    <row r="105" spans="1:4" x14ac:dyDescent="0.25">
      <c r="A105" s="3">
        <v>2283</v>
      </c>
      <c r="B105" s="3" t="s">
        <v>417</v>
      </c>
      <c r="C105" s="3" t="s">
        <v>314</v>
      </c>
      <c r="D105" s="4">
        <f>(71.31*(1+7.46%))*(1+4.16%)</f>
        <v>79.817522601600018</v>
      </c>
    </row>
    <row r="106" spans="1:4" x14ac:dyDescent="0.25">
      <c r="A106" s="3">
        <v>2285</v>
      </c>
      <c r="B106" s="3" t="s">
        <v>418</v>
      </c>
      <c r="C106" s="3" t="s">
        <v>314</v>
      </c>
      <c r="D106" s="4">
        <f>(63.06*(1+7.46%))*(1+4.16%)</f>
        <v>70.583269881600017</v>
      </c>
    </row>
    <row r="107" spans="1:4" x14ac:dyDescent="0.25">
      <c r="A107" s="3">
        <v>2460</v>
      </c>
      <c r="B107" s="3" t="s">
        <v>419</v>
      </c>
      <c r="C107" s="3" t="s">
        <v>314</v>
      </c>
      <c r="D107" s="4">
        <f>(1006.73*(1+7.46%))*(1+4.16%)</f>
        <v>1126.8362716128001</v>
      </c>
    </row>
    <row r="108" spans="1:4" x14ac:dyDescent="0.25">
      <c r="A108" s="3">
        <v>2494</v>
      </c>
      <c r="B108" s="3" t="s">
        <v>420</v>
      </c>
      <c r="C108" s="3" t="s">
        <v>314</v>
      </c>
      <c r="D108" s="4">
        <f>(707.04*(1+7.46%))*(1+4.16%)</f>
        <v>791.39224765439997</v>
      </c>
    </row>
    <row r="109" spans="1:4" x14ac:dyDescent="0.25">
      <c r="A109" s="3">
        <v>2504</v>
      </c>
      <c r="B109" s="3" t="s">
        <v>421</v>
      </c>
      <c r="C109" s="3" t="s">
        <v>314</v>
      </c>
      <c r="D109" s="4">
        <f>(529.6*(1+7.46%))*(1+4.16%)</f>
        <v>592.78305945600005</v>
      </c>
    </row>
    <row r="110" spans="1:4" x14ac:dyDescent="0.25">
      <c r="A110" s="3">
        <v>2508</v>
      </c>
      <c r="B110" s="3" t="s">
        <v>422</v>
      </c>
      <c r="C110" s="3" t="s">
        <v>314</v>
      </c>
      <c r="D110" s="4">
        <f>(575.25*(1+7.46%))*(1+4.16%)</f>
        <v>643.87925784000004</v>
      </c>
    </row>
    <row r="111" spans="1:4" x14ac:dyDescent="0.25">
      <c r="A111" s="3">
        <v>2516</v>
      </c>
      <c r="B111" s="3" t="s">
        <v>423</v>
      </c>
      <c r="C111" s="3" t="s">
        <v>314</v>
      </c>
      <c r="D111" s="4">
        <f>(547.56*(1+7.46%))*(1+4.16%)</f>
        <v>612.88574780160002</v>
      </c>
    </row>
    <row r="112" spans="1:4" x14ac:dyDescent="0.25">
      <c r="A112" s="3">
        <v>2522</v>
      </c>
      <c r="B112" s="3" t="s">
        <v>424</v>
      </c>
      <c r="C112" s="3" t="s">
        <v>314</v>
      </c>
      <c r="D112" s="4">
        <f>(967.97*(1+7.46%))*(1+4.16%)</f>
        <v>1083.4520733792001</v>
      </c>
    </row>
    <row r="113" spans="1:4" x14ac:dyDescent="0.25">
      <c r="A113" s="3">
        <v>2523</v>
      </c>
      <c r="B113" s="3" t="s">
        <v>425</v>
      </c>
      <c r="C113" s="3" t="s">
        <v>314</v>
      </c>
      <c r="D113" s="4">
        <f>(1212.61*(1+7.46%))*(1+4.16%)</f>
        <v>1357.2784473696001</v>
      </c>
    </row>
    <row r="114" spans="1:4" x14ac:dyDescent="0.25">
      <c r="A114" s="3">
        <v>3014</v>
      </c>
      <c r="B114" s="3" t="s">
        <v>426</v>
      </c>
      <c r="C114" s="3" t="s">
        <v>314</v>
      </c>
      <c r="D114" s="4">
        <f>(3059.6*(1+7.46%))*(1+4.16%)</f>
        <v>3424.6205602560003</v>
      </c>
    </row>
    <row r="115" spans="1:4" x14ac:dyDescent="0.25">
      <c r="A115" s="3">
        <v>3021</v>
      </c>
      <c r="B115" s="3" t="s">
        <v>427</v>
      </c>
      <c r="C115" s="3" t="s">
        <v>314</v>
      </c>
      <c r="D115" s="4">
        <f>(5136.45*(1+7.46%))*(1+4.16%)</f>
        <v>5749.2457434720009</v>
      </c>
    </row>
    <row r="116" spans="1:4" x14ac:dyDescent="0.25">
      <c r="A116" s="3">
        <v>3605</v>
      </c>
      <c r="B116" s="3" t="s">
        <v>428</v>
      </c>
      <c r="C116" s="3" t="s">
        <v>314</v>
      </c>
      <c r="D116" s="4">
        <f>(1357.86*(1+7.46%))*(1+4.16%)</f>
        <v>1519.8572604096</v>
      </c>
    </row>
    <row r="117" spans="1:4" x14ac:dyDescent="0.25">
      <c r="A117" s="3">
        <v>4002</v>
      </c>
      <c r="B117" s="3" t="s">
        <v>429</v>
      </c>
      <c r="C117" s="3" t="s">
        <v>314</v>
      </c>
      <c r="D117" s="4">
        <f>(786.07*(1+7.46%))*(1+4.16%)</f>
        <v>879.85079219520003</v>
      </c>
    </row>
    <row r="118" spans="1:4" x14ac:dyDescent="0.25">
      <c r="A118" s="3">
        <v>4003</v>
      </c>
      <c r="B118" s="3" t="s">
        <v>430</v>
      </c>
      <c r="C118" s="3" t="s">
        <v>314</v>
      </c>
      <c r="D118" s="4">
        <f>(958.15*(1+7.46%))*(1+4.16%)</f>
        <v>1072.4605143840001</v>
      </c>
    </row>
    <row r="119" spans="1:4" x14ac:dyDescent="0.25">
      <c r="A119" s="3">
        <v>4004</v>
      </c>
      <c r="B119" s="3" t="s">
        <v>431</v>
      </c>
      <c r="C119" s="3" t="s">
        <v>314</v>
      </c>
      <c r="D119" s="4">
        <f>(786.07*(1+7.46%))*(1+4.16%)</f>
        <v>879.85079219520003</v>
      </c>
    </row>
    <row r="120" spans="1:4" x14ac:dyDescent="0.25">
      <c r="A120" s="3">
        <v>4006</v>
      </c>
      <c r="B120" s="3" t="s">
        <v>432</v>
      </c>
      <c r="C120" s="3" t="s">
        <v>314</v>
      </c>
      <c r="D120" s="4">
        <f>(548.14*(1+7.46%))*(1+4.16%)</f>
        <v>613.53494375040009</v>
      </c>
    </row>
    <row r="121" spans="1:4" x14ac:dyDescent="0.25">
      <c r="A121" s="3">
        <v>4007</v>
      </c>
      <c r="B121" s="3" t="s">
        <v>433</v>
      </c>
      <c r="C121" s="3" t="s">
        <v>314</v>
      </c>
      <c r="D121" s="4">
        <f>(584.14*(1+7.46%))*(1+4.16%)</f>
        <v>653.8298647104001</v>
      </c>
    </row>
    <row r="122" spans="1:4" x14ac:dyDescent="0.25">
      <c r="A122" s="3">
        <v>4008</v>
      </c>
      <c r="B122" s="3" t="s">
        <v>434</v>
      </c>
      <c r="C122" s="3" t="s">
        <v>314</v>
      </c>
      <c r="D122" s="4">
        <f>(571.65*(1+7.46%))*(1+4.16%)</f>
        <v>639.84976574400002</v>
      </c>
    </row>
    <row r="123" spans="1:4" x14ac:dyDescent="0.25">
      <c r="A123" s="3">
        <v>4009</v>
      </c>
      <c r="B123" s="3" t="s">
        <v>435</v>
      </c>
      <c r="C123" s="3" t="s">
        <v>314</v>
      </c>
      <c r="D123" s="4">
        <f>(571.65*(1+7.46%))*(1+4.16%)</f>
        <v>639.84976574400002</v>
      </c>
    </row>
    <row r="124" spans="1:4" x14ac:dyDescent="0.25">
      <c r="A124" s="3">
        <v>4022</v>
      </c>
      <c r="B124" s="3" t="s">
        <v>436</v>
      </c>
      <c r="C124" s="3" t="s">
        <v>314</v>
      </c>
      <c r="D124" s="4">
        <f>(641.66*(1+7.46%))*(1+4.16%)</f>
        <v>718.21219397760001</v>
      </c>
    </row>
    <row r="125" spans="1:4" x14ac:dyDescent="0.25">
      <c r="A125" s="3">
        <v>4023</v>
      </c>
      <c r="B125" s="3" t="s">
        <v>437</v>
      </c>
      <c r="C125" s="3" t="s">
        <v>314</v>
      </c>
      <c r="D125" s="4">
        <f>(1315.72*(1+7.46%))*(1+4.16%)</f>
        <v>1472.6898168192001</v>
      </c>
    </row>
    <row r="126" spans="1:4" x14ac:dyDescent="0.25">
      <c r="A126" s="3">
        <v>4026</v>
      </c>
      <c r="B126" s="3" t="s">
        <v>438</v>
      </c>
      <c r="C126" s="3" t="s">
        <v>314</v>
      </c>
      <c r="D126" s="4">
        <f>(482.31*(1+7.46%))*(1+4.16%)</f>
        <v>539.85120356160007</v>
      </c>
    </row>
    <row r="127" spans="1:4" x14ac:dyDescent="0.25">
      <c r="A127" s="3">
        <v>4027</v>
      </c>
      <c r="B127" s="3" t="s">
        <v>439</v>
      </c>
      <c r="C127" s="3" t="s">
        <v>314</v>
      </c>
      <c r="D127" s="4">
        <f>(482.31*(1+7.46%))*(1+4.16%)</f>
        <v>539.85120356160007</v>
      </c>
    </row>
    <row r="128" spans="1:4" x14ac:dyDescent="0.25">
      <c r="A128" s="3">
        <v>4048</v>
      </c>
      <c r="B128" s="3" t="s">
        <v>440</v>
      </c>
      <c r="C128" s="3" t="s">
        <v>314</v>
      </c>
      <c r="D128" s="4">
        <f>(16296.32*(1+7.46%))*(1+4.16%)</f>
        <v>18240.525731635204</v>
      </c>
    </row>
    <row r="129" spans="1:4" x14ac:dyDescent="0.25">
      <c r="A129" s="3">
        <v>4049</v>
      </c>
      <c r="B129" s="3" t="s">
        <v>441</v>
      </c>
      <c r="C129" s="3" t="s">
        <v>314</v>
      </c>
      <c r="D129" s="4">
        <f>(10180.05*(1+7.46%))*(1+4.16%)</f>
        <v>11394.564169968</v>
      </c>
    </row>
    <row r="130" spans="1:4" x14ac:dyDescent="0.25">
      <c r="A130" s="3">
        <v>4050</v>
      </c>
      <c r="B130" s="3" t="s">
        <v>442</v>
      </c>
      <c r="C130" s="3" t="s">
        <v>314</v>
      </c>
      <c r="D130" s="4">
        <f>(20011.22*(1+7.46%))*(1+4.16%)</f>
        <v>22398.625783699204</v>
      </c>
    </row>
    <row r="131" spans="1:4" x14ac:dyDescent="0.25">
      <c r="A131" s="3">
        <v>4098</v>
      </c>
      <c r="B131" s="3" t="s">
        <v>443</v>
      </c>
      <c r="C131" s="3" t="s">
        <v>314</v>
      </c>
      <c r="D131" s="4">
        <f>(1965.68*(1+7.46%))*(1+4.16%)</f>
        <v>2200.1922286848003</v>
      </c>
    </row>
    <row r="132" spans="1:4" x14ac:dyDescent="0.25">
      <c r="A132" s="3">
        <v>4102</v>
      </c>
      <c r="B132" s="3" t="s">
        <v>444</v>
      </c>
      <c r="C132" s="3" t="s">
        <v>314</v>
      </c>
      <c r="D132" s="4">
        <f>(792.23*(1+7.46%))*(1+4.16%)</f>
        <v>886.74570089280007</v>
      </c>
    </row>
    <row r="133" spans="1:4" x14ac:dyDescent="0.25">
      <c r="A133" s="3">
        <v>4104</v>
      </c>
      <c r="B133" s="3" t="s">
        <v>445</v>
      </c>
      <c r="C133" s="3" t="s">
        <v>314</v>
      </c>
      <c r="D133" s="4">
        <f>(792.23*(1+7.46%))*(1+4.16%)</f>
        <v>886.74570089280007</v>
      </c>
    </row>
    <row r="134" spans="1:4" x14ac:dyDescent="0.25">
      <c r="A134" s="3">
        <v>4106</v>
      </c>
      <c r="B134" s="3" t="s">
        <v>446</v>
      </c>
      <c r="C134" s="3" t="s">
        <v>314</v>
      </c>
      <c r="D134" s="4">
        <f>(584.14*(1+7.46%))*(1+4.16%)</f>
        <v>653.8298647104001</v>
      </c>
    </row>
    <row r="135" spans="1:4" x14ac:dyDescent="0.25">
      <c r="A135" s="3">
        <v>4128</v>
      </c>
      <c r="B135" s="3" t="s">
        <v>447</v>
      </c>
      <c r="C135" s="3" t="s">
        <v>314</v>
      </c>
      <c r="D135" s="4">
        <f>(1965.68*(1+7.46%))*(1+4.16%)</f>
        <v>2200.1922286848003</v>
      </c>
    </row>
    <row r="136" spans="1:4" x14ac:dyDescent="0.25">
      <c r="A136" s="3">
        <v>4130</v>
      </c>
      <c r="B136" s="3" t="s">
        <v>448</v>
      </c>
      <c r="C136" s="3" t="s">
        <v>314</v>
      </c>
      <c r="D136" s="4">
        <f>(2269.96*(1+7.46%))*(1+4.16%)</f>
        <v>2540.7738550655999</v>
      </c>
    </row>
    <row r="137" spans="1:4" x14ac:dyDescent="0.25">
      <c r="A137" s="3">
        <v>4132</v>
      </c>
      <c r="B137" s="3" t="s">
        <v>449</v>
      </c>
      <c r="C137" s="3" t="s">
        <v>314</v>
      </c>
      <c r="D137" s="4">
        <f>(2269.96*(1+7.46%))*(1+4.16%)</f>
        <v>2540.7738550655999</v>
      </c>
    </row>
    <row r="138" spans="1:4" x14ac:dyDescent="0.25">
      <c r="A138" s="3">
        <v>4139</v>
      </c>
      <c r="B138" s="3" t="s">
        <v>450</v>
      </c>
      <c r="C138" s="3" t="s">
        <v>314</v>
      </c>
      <c r="D138" s="4">
        <f>(1150.66*(1+7.46%))*(1+4.16%)</f>
        <v>1287.9376042176002</v>
      </c>
    </row>
    <row r="139" spans="1:4" x14ac:dyDescent="0.25">
      <c r="A139" s="3">
        <v>4140</v>
      </c>
      <c r="B139" s="3" t="s">
        <v>451</v>
      </c>
      <c r="C139" s="3" t="s">
        <v>314</v>
      </c>
      <c r="D139" s="4">
        <f>(961.04*(1+7.46%))*(1+4.16%)</f>
        <v>1075.6953010944001</v>
      </c>
    </row>
    <row r="140" spans="1:4" x14ac:dyDescent="0.25">
      <c r="A140" s="3">
        <v>4143</v>
      </c>
      <c r="B140" s="3" t="s">
        <v>452</v>
      </c>
      <c r="C140" s="3" t="s">
        <v>314</v>
      </c>
      <c r="D140" s="4">
        <f>(1209.81*(1+7.46%))*(1+4.16%)</f>
        <v>1354.1443979615999</v>
      </c>
    </row>
    <row r="141" spans="1:4" x14ac:dyDescent="0.25">
      <c r="A141" s="3">
        <v>4150</v>
      </c>
      <c r="B141" s="3" t="s">
        <v>453</v>
      </c>
      <c r="C141" s="3" t="s">
        <v>314</v>
      </c>
      <c r="D141" s="4">
        <f>(247.55*(1+7.46%))*(1+4.16%)</f>
        <v>277.08354676800008</v>
      </c>
    </row>
    <row r="142" spans="1:4" x14ac:dyDescent="0.25">
      <c r="A142" s="3">
        <v>4151</v>
      </c>
      <c r="B142" s="3" t="s">
        <v>454</v>
      </c>
      <c r="C142" s="3" t="s">
        <v>314</v>
      </c>
      <c r="D142" s="4">
        <f>(421.91*(1+7.46%))*(1+4.16%)</f>
        <v>472.24528061760009</v>
      </c>
    </row>
    <row r="143" spans="1:4" x14ac:dyDescent="0.25">
      <c r="A143" s="3">
        <v>4153</v>
      </c>
      <c r="B143" s="3" t="s">
        <v>455</v>
      </c>
      <c r="C143" s="3" t="s">
        <v>314</v>
      </c>
      <c r="D143" s="4">
        <f>(3276.62*(1+7.46%))*(1+4.16%)</f>
        <v>3667.5317754432003</v>
      </c>
    </row>
    <row r="144" spans="1:4" x14ac:dyDescent="0.25">
      <c r="A144" s="3">
        <v>4153</v>
      </c>
      <c r="B144" s="3" t="s">
        <v>456</v>
      </c>
      <c r="C144" s="3" t="s">
        <v>314</v>
      </c>
      <c r="D144" s="4">
        <f>(1217.8*(1+7.46%))*(1+4.16%)</f>
        <v>1363.0876318080002</v>
      </c>
    </row>
    <row r="145" spans="1:4" x14ac:dyDescent="0.25">
      <c r="A145" s="3">
        <v>4160</v>
      </c>
      <c r="B145" s="3" t="s">
        <v>457</v>
      </c>
      <c r="C145" s="3" t="s">
        <v>314</v>
      </c>
      <c r="D145" s="4">
        <f>(1309.35*(1+7.46%))*(1+4.16%)</f>
        <v>1465.559854416</v>
      </c>
    </row>
    <row r="146" spans="1:4" x14ac:dyDescent="0.25">
      <c r="A146" s="3">
        <v>4160</v>
      </c>
      <c r="B146" s="3" t="s">
        <v>458</v>
      </c>
      <c r="C146" s="3" t="s">
        <v>314</v>
      </c>
      <c r="D146" s="4">
        <f>(3522.93*(1+7.46%))*(1+4.16%)</f>
        <v>3943.2273860448004</v>
      </c>
    </row>
    <row r="147" spans="1:4" x14ac:dyDescent="0.25">
      <c r="A147" s="3">
        <v>4164</v>
      </c>
      <c r="B147" s="3" t="s">
        <v>459</v>
      </c>
      <c r="C147" s="3" t="s">
        <v>314</v>
      </c>
      <c r="D147" s="4">
        <f>(1325.16*(1+7.46%))*(1+4.16%)</f>
        <v>1483.2560405376</v>
      </c>
    </row>
    <row r="148" spans="1:4" x14ac:dyDescent="0.25">
      <c r="A148" s="3">
        <v>4170</v>
      </c>
      <c r="B148" s="3" t="s">
        <v>460</v>
      </c>
      <c r="C148" s="3" t="s">
        <v>314</v>
      </c>
      <c r="D148" s="4">
        <f>(150.44*(1+7.46%))*(1+4.16%)</f>
        <v>168.38799747840002</v>
      </c>
    </row>
    <row r="149" spans="1:4" x14ac:dyDescent="0.25">
      <c r="A149" s="3">
        <v>4180</v>
      </c>
      <c r="B149" s="3" t="s">
        <v>461</v>
      </c>
      <c r="C149" s="3" t="s">
        <v>314</v>
      </c>
      <c r="D149" s="4">
        <f>(6788.24*(1+7.46%))*(1+4.16%)</f>
        <v>7598.0998404864004</v>
      </c>
    </row>
    <row r="150" spans="1:4" x14ac:dyDescent="0.25">
      <c r="A150" s="3">
        <v>4180</v>
      </c>
      <c r="B150" s="3" t="s">
        <v>462</v>
      </c>
      <c r="C150" s="3" t="s">
        <v>314</v>
      </c>
      <c r="D150" s="4">
        <f>(6999.58*(1+7.46%))*(1+4.16%)</f>
        <v>7834.6534125888011</v>
      </c>
    </row>
    <row r="151" spans="1:4" x14ac:dyDescent="0.25">
      <c r="A151" s="3">
        <v>4183</v>
      </c>
      <c r="B151" s="3" t="s">
        <v>463</v>
      </c>
      <c r="C151" s="3" t="s">
        <v>314</v>
      </c>
      <c r="D151" s="4">
        <f>(2309.76*(1+7.46%))*(1+4.16%)</f>
        <v>2585.3221287936008</v>
      </c>
    </row>
    <row r="152" spans="1:4" x14ac:dyDescent="0.25">
      <c r="A152" s="3">
        <v>4210</v>
      </c>
      <c r="B152" s="3" t="s">
        <v>464</v>
      </c>
      <c r="C152" s="3" t="s">
        <v>314</v>
      </c>
      <c r="D152" s="4">
        <f>(1137.6*(1+7.46%))*(1+4.16%)</f>
        <v>1273.3195023359999</v>
      </c>
    </row>
    <row r="153" spans="1:4" x14ac:dyDescent="0.25">
      <c r="A153" s="3">
        <v>4220</v>
      </c>
      <c r="B153" s="3" t="s">
        <v>465</v>
      </c>
      <c r="C153" s="3" t="s">
        <v>314</v>
      </c>
      <c r="D153" s="4">
        <f>(584.02*(1+7.46%))*(1+4.16%)</f>
        <v>653.69554830720006</v>
      </c>
    </row>
    <row r="154" spans="1:4" x14ac:dyDescent="0.25">
      <c r="A154" s="3">
        <v>4226</v>
      </c>
      <c r="B154" s="3" t="s">
        <v>466</v>
      </c>
      <c r="C154" s="3" t="s">
        <v>314</v>
      </c>
      <c r="D154" s="4">
        <f>(672.91*(1+7.46%))*(1+4.16%)</f>
        <v>753.19042397759995</v>
      </c>
    </row>
    <row r="155" spans="1:4" x14ac:dyDescent="0.25">
      <c r="A155" s="3">
        <v>4227</v>
      </c>
      <c r="B155" s="3" t="s">
        <v>467</v>
      </c>
      <c r="C155" s="3" t="s">
        <v>314</v>
      </c>
      <c r="D155" s="4">
        <f>(734.4*(1+7.46%))*(1+4.16%)</f>
        <v>822.01638758400009</v>
      </c>
    </row>
    <row r="156" spans="1:4" x14ac:dyDescent="0.25">
      <c r="A156" s="3">
        <v>4228</v>
      </c>
      <c r="B156" s="3" t="s">
        <v>468</v>
      </c>
      <c r="C156" s="3" t="s">
        <v>314</v>
      </c>
      <c r="D156" s="4">
        <f>(877.84*(1+7.46%))*(1+4.16%)</f>
        <v>982.56926154240011</v>
      </c>
    </row>
    <row r="157" spans="1:4" x14ac:dyDescent="0.25">
      <c r="A157" s="3">
        <v>4229</v>
      </c>
      <c r="B157" s="3" t="s">
        <v>469</v>
      </c>
      <c r="C157" s="3" t="s">
        <v>314</v>
      </c>
      <c r="D157" s="4">
        <f>(1280.94*(1+7.46%))*(1+4.16%)</f>
        <v>1433.7604459584002</v>
      </c>
    </row>
    <row r="158" spans="1:4" x14ac:dyDescent="0.25">
      <c r="A158" s="3">
        <v>4251</v>
      </c>
      <c r="B158" s="3" t="s">
        <v>470</v>
      </c>
      <c r="C158" s="3" t="s">
        <v>314</v>
      </c>
      <c r="D158" s="4">
        <f>(3032.26*(1+7.46%))*(1+4.16%)</f>
        <v>3394.0188063936007</v>
      </c>
    </row>
    <row r="159" spans="1:4" x14ac:dyDescent="0.25">
      <c r="A159" s="3">
        <v>4252</v>
      </c>
      <c r="B159" s="3" t="s">
        <v>471</v>
      </c>
      <c r="C159" s="3" t="s">
        <v>314</v>
      </c>
      <c r="D159" s="4">
        <f>(7583.8*(1+7.46%))*(1+4.16%)</f>
        <v>8488.572821568001</v>
      </c>
    </row>
    <row r="160" spans="1:4" x14ac:dyDescent="0.25">
      <c r="A160" s="3">
        <v>4253</v>
      </c>
      <c r="B160" s="3" t="s">
        <v>472</v>
      </c>
      <c r="C160" s="3" t="s">
        <v>314</v>
      </c>
      <c r="D160" s="4">
        <f>(7583.8*(1+7.46%))*(1+4.16%)</f>
        <v>8488.572821568001</v>
      </c>
    </row>
    <row r="161" spans="1:4" x14ac:dyDescent="0.25">
      <c r="A161" s="3">
        <v>4254</v>
      </c>
      <c r="B161" s="3" t="s">
        <v>473</v>
      </c>
      <c r="C161" s="3" t="s">
        <v>314</v>
      </c>
      <c r="D161" s="4">
        <f>(7583.8*(1+7.46%))*(1+4.16%)</f>
        <v>8488.572821568001</v>
      </c>
    </row>
    <row r="162" spans="1:4" x14ac:dyDescent="0.25">
      <c r="A162" s="3">
        <v>4256</v>
      </c>
      <c r="B162" s="3" t="s">
        <v>474</v>
      </c>
      <c r="C162" s="3" t="s">
        <v>314</v>
      </c>
      <c r="D162" s="4">
        <f>(1821.23*(1+7.46%))*(1+4.16%)</f>
        <v>2038.5088583328002</v>
      </c>
    </row>
    <row r="163" spans="1:4" x14ac:dyDescent="0.25">
      <c r="A163" s="3">
        <v>4257</v>
      </c>
      <c r="B163" s="3" t="s">
        <v>475</v>
      </c>
      <c r="C163" s="3" t="s">
        <v>314</v>
      </c>
      <c r="D163" s="4">
        <f>(1821.23*(1+7.46%))*(1+4.16%)</f>
        <v>2038.5088583328002</v>
      </c>
    </row>
    <row r="164" spans="1:4" x14ac:dyDescent="0.25">
      <c r="A164" s="3">
        <v>4258</v>
      </c>
      <c r="B164" s="3" t="s">
        <v>476</v>
      </c>
      <c r="C164" s="3" t="s">
        <v>314</v>
      </c>
      <c r="D164" s="4">
        <f>(1821.23*(1+7.46%))*(1+4.16%)</f>
        <v>2038.5088583328002</v>
      </c>
    </row>
    <row r="165" spans="1:4" x14ac:dyDescent="0.25">
      <c r="A165" s="3">
        <v>4259</v>
      </c>
      <c r="B165" s="3" t="s">
        <v>477</v>
      </c>
      <c r="C165" s="3" t="s">
        <v>314</v>
      </c>
      <c r="D165" s="4">
        <f>(1821.23*(1+7.46%))*(1+4.16%)</f>
        <v>2038.5088583328002</v>
      </c>
    </row>
    <row r="166" spans="1:4" x14ac:dyDescent="0.25">
      <c r="A166" s="3">
        <v>6001</v>
      </c>
      <c r="B166" s="3" t="s">
        <v>478</v>
      </c>
      <c r="C166" s="3" t="s">
        <v>314</v>
      </c>
      <c r="D166" s="4">
        <f>(4595.47*(1+7.46%))*(1+4.16%)</f>
        <v>5143.7250117792009</v>
      </c>
    </row>
    <row r="167" spans="1:4" x14ac:dyDescent="0.25">
      <c r="A167" s="3">
        <v>6002</v>
      </c>
      <c r="B167" s="3" t="s">
        <v>479</v>
      </c>
      <c r="C167" s="3" t="s">
        <v>314</v>
      </c>
      <c r="D167" s="4">
        <f>(3308.82*(1+7.46%))*(1+4.16%)</f>
        <v>3703.5733436352002</v>
      </c>
    </row>
    <row r="168" spans="1:4" x14ac:dyDescent="0.25">
      <c r="A168" s="3">
        <v>6003</v>
      </c>
      <c r="B168" s="3" t="s">
        <v>480</v>
      </c>
      <c r="C168" s="3" t="s">
        <v>314</v>
      </c>
      <c r="D168" s="4">
        <f>(5295.3*(1+7.46%))*(1+4.16%)</f>
        <v>5927.0470822080006</v>
      </c>
    </row>
    <row r="169" spans="1:4" x14ac:dyDescent="0.25">
      <c r="A169" s="3">
        <v>6005</v>
      </c>
      <c r="B169" s="3" t="s">
        <v>481</v>
      </c>
      <c r="C169" s="3" t="s">
        <v>314</v>
      </c>
      <c r="D169" s="4">
        <f>(3602.29*(1+7.46%))*(1+4.16%)</f>
        <v>4032.0553006944001</v>
      </c>
    </row>
    <row r="170" spans="1:4" x14ac:dyDescent="0.25">
      <c r="A170" s="3">
        <v>6007</v>
      </c>
      <c r="B170" s="3" t="s">
        <v>482</v>
      </c>
      <c r="C170" s="3" t="s">
        <v>314</v>
      </c>
      <c r="D170" s="4">
        <f>(5328.4*(1+7.46%))*(1+4.16%)</f>
        <v>5964.0960234240001</v>
      </c>
    </row>
    <row r="171" spans="1:4" x14ac:dyDescent="0.25">
      <c r="A171" s="3">
        <v>6009</v>
      </c>
      <c r="B171" s="3" t="s">
        <v>483</v>
      </c>
      <c r="C171" s="3" t="s">
        <v>314</v>
      </c>
      <c r="D171" s="4">
        <f>(2574.23*(1+7.46%))*(1+4.16%)</f>
        <v>2881.3442884128003</v>
      </c>
    </row>
    <row r="172" spans="1:4" x14ac:dyDescent="0.25">
      <c r="A172" s="3">
        <v>6010</v>
      </c>
      <c r="B172" s="3" t="s">
        <v>484</v>
      </c>
      <c r="C172" s="3" t="s">
        <v>314</v>
      </c>
      <c r="D172" s="4">
        <f>(2427.58*(1+7.46%))*(1+4.16%)</f>
        <v>2717.1984506688</v>
      </c>
    </row>
    <row r="173" spans="1:4" x14ac:dyDescent="0.25">
      <c r="A173" s="3">
        <v>6011</v>
      </c>
      <c r="B173" s="3" t="s">
        <v>485</v>
      </c>
      <c r="C173" s="3" t="s">
        <v>314</v>
      </c>
      <c r="D173" s="4">
        <f>(2756.62*(1+7.46%))*(1+4.16%)</f>
        <v>3085.4940282432003</v>
      </c>
    </row>
    <row r="174" spans="1:4" x14ac:dyDescent="0.25">
      <c r="A174" s="3">
        <v>6017</v>
      </c>
      <c r="B174" s="3" t="s">
        <v>486</v>
      </c>
      <c r="C174" s="3" t="s">
        <v>314</v>
      </c>
      <c r="D174" s="4">
        <f>(1483.36*(1+7.46%))*(1+4.16%)</f>
        <v>1660.3298320896001</v>
      </c>
    </row>
    <row r="175" spans="1:4" x14ac:dyDescent="0.25">
      <c r="A175" s="3">
        <v>6024</v>
      </c>
      <c r="B175" s="3" t="s">
        <v>487</v>
      </c>
      <c r="C175" s="3" t="s">
        <v>314</v>
      </c>
      <c r="D175" s="4">
        <f>(5338.28*(1+7.46%))*(1+4.16%)</f>
        <v>5975.1547406208001</v>
      </c>
    </row>
    <row r="176" spans="1:4" x14ac:dyDescent="0.25">
      <c r="A176" s="3">
        <v>6070</v>
      </c>
      <c r="B176" s="3" t="s">
        <v>488</v>
      </c>
      <c r="C176" s="3" t="s">
        <v>314</v>
      </c>
      <c r="D176" s="4">
        <f>(11319.34*(1+7.46%))*(1+4.16%)</f>
        <v>12669.775294982403</v>
      </c>
    </row>
    <row r="177" spans="1:4" x14ac:dyDescent="0.25">
      <c r="A177" s="3">
        <v>6075</v>
      </c>
      <c r="B177" s="3" t="s">
        <v>489</v>
      </c>
      <c r="C177" s="3" t="s">
        <v>314</v>
      </c>
      <c r="D177" s="4">
        <f>(6509.32*(1+7.46%))*(1+4.16%)</f>
        <v>7285.9037473152002</v>
      </c>
    </row>
    <row r="178" spans="1:4" x14ac:dyDescent="0.25">
      <c r="A178" s="3">
        <v>7120</v>
      </c>
      <c r="B178" s="3" t="s">
        <v>490</v>
      </c>
      <c r="C178" s="3" t="s">
        <v>314</v>
      </c>
      <c r="D178" s="4">
        <f>(2026.26*(1+7.46%))*(1+4.16%)</f>
        <v>2267.9996262335999</v>
      </c>
    </row>
    <row r="179" spans="1:4" x14ac:dyDescent="0.25">
      <c r="A179" s="3">
        <v>7123</v>
      </c>
      <c r="B179" s="3" t="s">
        <v>491</v>
      </c>
      <c r="C179" s="3" t="s">
        <v>314</v>
      </c>
      <c r="D179" s="4">
        <f>(1317.06*(1+7.46%))*(1+4.16%)</f>
        <v>1474.1896833216001</v>
      </c>
    </row>
    <row r="180" spans="1:4" x14ac:dyDescent="0.25">
      <c r="A180" s="3">
        <v>7151</v>
      </c>
      <c r="B180" s="3" t="s">
        <v>492</v>
      </c>
      <c r="C180" s="3" t="s">
        <v>314</v>
      </c>
      <c r="D180" s="4">
        <f>(2026.26*(1+7.46%))*(1+4.16%)</f>
        <v>2267.9996262335999</v>
      </c>
    </row>
    <row r="181" spans="1:4" x14ac:dyDescent="0.25">
      <c r="A181" s="3">
        <v>7701</v>
      </c>
      <c r="B181" s="3" t="s">
        <v>493</v>
      </c>
      <c r="C181" s="3" t="s">
        <v>314</v>
      </c>
      <c r="D181" s="4">
        <f>(2499.42*(1+7.46%))*(1+4.16%)</f>
        <v>2797.6092040512003</v>
      </c>
    </row>
    <row r="182" spans="1:4" x14ac:dyDescent="0.25">
      <c r="A182" s="3">
        <v>7705</v>
      </c>
      <c r="B182" s="3" t="s">
        <v>494</v>
      </c>
      <c r="C182" s="3" t="s">
        <v>314</v>
      </c>
      <c r="D182" s="4">
        <f>(5319.23*(1+7.46%))*(1+4.16%)</f>
        <v>5953.8320116127998</v>
      </c>
    </row>
    <row r="183" spans="1:4" x14ac:dyDescent="0.25">
      <c r="A183" s="3">
        <v>7727</v>
      </c>
      <c r="B183" s="3" t="s">
        <v>495</v>
      </c>
      <c r="C183" s="3" t="s">
        <v>314</v>
      </c>
      <c r="D183" s="4">
        <f>(1803.4*(1+7.46%))*(1+4.16%)</f>
        <v>2018.5516794240004</v>
      </c>
    </row>
    <row r="184" spans="1:4" x14ac:dyDescent="0.25">
      <c r="A184" s="3">
        <v>7999</v>
      </c>
      <c r="B184" s="3" t="s">
        <v>496</v>
      </c>
      <c r="C184" s="3" t="s">
        <v>314</v>
      </c>
      <c r="D184" s="4">
        <f>(4276.75*(1+7.46%))*(1+4.16%)</f>
        <v>4786.98064488</v>
      </c>
    </row>
    <row r="185" spans="1:4" x14ac:dyDescent="0.25">
      <c r="A185" s="3">
        <v>8801</v>
      </c>
      <c r="B185" s="3" t="s">
        <v>497</v>
      </c>
      <c r="C185" s="3" t="s">
        <v>314</v>
      </c>
      <c r="D185" s="4">
        <f>(843.78*(1+7.46%))*(1+4.16%)</f>
        <v>944.44578910079997</v>
      </c>
    </row>
    <row r="186" spans="1:4" x14ac:dyDescent="0.25">
      <c r="A186" s="3">
        <v>8811</v>
      </c>
      <c r="B186" s="3" t="s">
        <v>498</v>
      </c>
      <c r="C186" s="3" t="s">
        <v>314</v>
      </c>
      <c r="D186" s="4">
        <f>(867.02*(1+7.46%))*(1+4.16%)</f>
        <v>970.45839918720014</v>
      </c>
    </row>
    <row r="187" spans="1:4" x14ac:dyDescent="0.25">
      <c r="A187" s="3">
        <v>8835</v>
      </c>
      <c r="B187" s="3" t="s">
        <v>499</v>
      </c>
      <c r="C187" s="3" t="s">
        <v>314</v>
      </c>
      <c r="D187" s="4">
        <f>(2164.82*(1+7.46%))*(1+4.16%)</f>
        <v>2423.0902997952003</v>
      </c>
    </row>
    <row r="188" spans="1:4" x14ac:dyDescent="0.25">
      <c r="A188" s="3">
        <v>8836</v>
      </c>
      <c r="B188" s="3" t="s">
        <v>500</v>
      </c>
      <c r="C188" s="3" t="s">
        <v>314</v>
      </c>
      <c r="D188" s="4">
        <f>(1562.36*(1+7.46%))*(1+4.16%)</f>
        <v>1748.7547975296</v>
      </c>
    </row>
    <row r="189" spans="1:4" x14ac:dyDescent="0.25">
      <c r="A189" s="3">
        <v>8843</v>
      </c>
      <c r="B189" s="3" t="s">
        <v>501</v>
      </c>
      <c r="C189" s="3" t="s">
        <v>314</v>
      </c>
      <c r="D189" s="4">
        <f>(885.63*(1+7.46%))*(1+4.16%)</f>
        <v>991.28863471680006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activeCell="D9" sqref="D9"/>
    </sheetView>
  </sheetViews>
  <sheetFormatPr baseColWidth="10" defaultRowHeight="15" x14ac:dyDescent="0.25"/>
  <cols>
    <col min="2" max="2" width="32.7109375" bestFit="1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10" t="s">
        <v>3</v>
      </c>
    </row>
    <row r="2" spans="1:9" x14ac:dyDescent="0.25">
      <c r="A2" s="3">
        <v>200020</v>
      </c>
      <c r="B2" s="3" t="s">
        <v>502</v>
      </c>
      <c r="C2" s="3" t="s">
        <v>503</v>
      </c>
      <c r="D2" s="4">
        <f>(2929.71043720037*(1+6.48%))*(1+2.6%)</f>
        <v>3200.6641210427588</v>
      </c>
    </row>
    <row r="3" spans="1:9" x14ac:dyDescent="0.25">
      <c r="A3" s="3">
        <v>200025</v>
      </c>
      <c r="B3" s="3" t="s">
        <v>504</v>
      </c>
      <c r="C3" s="3" t="s">
        <v>503</v>
      </c>
      <c r="D3" s="4">
        <f>(3797.41594404915*(1+6.48%))*(1+2.6%)</f>
        <v>4148.6191981513439</v>
      </c>
      <c r="F3" s="18"/>
      <c r="G3" s="18"/>
      <c r="H3" s="18"/>
      <c r="I3" s="18"/>
    </row>
    <row r="4" spans="1:9" x14ac:dyDescent="0.25">
      <c r="A4" s="3">
        <v>200032</v>
      </c>
      <c r="B4" s="3" t="s">
        <v>505</v>
      </c>
      <c r="C4" s="3" t="s">
        <v>503</v>
      </c>
      <c r="D4" s="4">
        <f>(5788.29258520284*(1+6.48%))*(1+2.6%)</f>
        <v>6323.6216672868059</v>
      </c>
      <c r="F4" s="18"/>
      <c r="G4" s="49"/>
      <c r="H4" s="49"/>
      <c r="I4" s="18"/>
    </row>
    <row r="5" spans="1:9" x14ac:dyDescent="0.25">
      <c r="A5" s="3">
        <v>200040</v>
      </c>
      <c r="B5" s="3" t="s">
        <v>506</v>
      </c>
      <c r="C5" s="3" t="s">
        <v>503</v>
      </c>
      <c r="D5" s="4">
        <f>(6678.80922654207*(1+6.48%))*(1+2.6%)</f>
        <v>7296.4975620969735</v>
      </c>
    </row>
    <row r="6" spans="1:9" x14ac:dyDescent="0.25">
      <c r="A6" s="3">
        <v>200050</v>
      </c>
      <c r="B6" s="3" t="s">
        <v>507</v>
      </c>
      <c r="C6" s="3" t="s">
        <v>503</v>
      </c>
      <c r="D6" s="4">
        <f>(8361.1810733742*(1+6.48%))*(1+2.6%)</f>
        <v>9134.4632327089985</v>
      </c>
    </row>
    <row r="7" spans="1:9" x14ac:dyDescent="0.25">
      <c r="A7" s="3">
        <v>200063</v>
      </c>
      <c r="B7" s="3" t="s">
        <v>508</v>
      </c>
      <c r="C7" s="3" t="s">
        <v>503</v>
      </c>
      <c r="D7" s="4">
        <f>(10777.0388087464*(1+6.48%))*(1+2.6%)</f>
        <v>11773.751087565521</v>
      </c>
    </row>
    <row r="8" spans="1:9" x14ac:dyDescent="0.25">
      <c r="A8" s="8" t="s">
        <v>0</v>
      </c>
      <c r="B8" s="8" t="s">
        <v>1</v>
      </c>
      <c r="C8" s="8" t="s">
        <v>2</v>
      </c>
      <c r="D8" s="8" t="s">
        <v>3</v>
      </c>
    </row>
    <row r="9" spans="1:9" x14ac:dyDescent="0.25">
      <c r="A9" s="3">
        <v>24020</v>
      </c>
      <c r="B9" s="3" t="s">
        <v>509</v>
      </c>
      <c r="C9" s="3" t="s">
        <v>503</v>
      </c>
      <c r="D9" s="4">
        <f>(1909.72003825664*(1+6.48%))*(1+2.6%)</f>
        <v>2086.3401140507954</v>
      </c>
    </row>
    <row r="10" spans="1:9" x14ac:dyDescent="0.25">
      <c r="A10" s="3">
        <v>24025</v>
      </c>
      <c r="B10" s="3" t="s">
        <v>510</v>
      </c>
      <c r="C10" s="3" t="s">
        <v>503</v>
      </c>
      <c r="D10" s="4">
        <f>(2475.83682919706*(1+6.48%))*(1+2.6%)</f>
        <v>2704.8141031779824</v>
      </c>
    </row>
    <row r="11" spans="1:9" x14ac:dyDescent="0.25">
      <c r="A11" s="3">
        <v>24032</v>
      </c>
      <c r="B11" s="3" t="s">
        <v>511</v>
      </c>
      <c r="C11" s="3" t="s">
        <v>503</v>
      </c>
      <c r="D11" s="4">
        <f>(3562.12618672257*(1+6.48%))*(1+2.6%)</f>
        <v>3891.5687146763735</v>
      </c>
    </row>
    <row r="12" spans="1:9" x14ac:dyDescent="0.25">
      <c r="A12" s="3">
        <v>24040</v>
      </c>
      <c r="B12" s="3" t="s">
        <v>512</v>
      </c>
      <c r="C12" s="3" t="s">
        <v>503</v>
      </c>
      <c r="D12" s="4">
        <f>(3562.12618672257*(1+6.48%))*(1+2.6%)</f>
        <v>3891.5687146763735</v>
      </c>
      <c r="F12" t="s">
        <v>692</v>
      </c>
    </row>
    <row r="13" spans="1:9" x14ac:dyDescent="0.25">
      <c r="A13" s="3">
        <v>24050</v>
      </c>
      <c r="B13" s="3" t="s">
        <v>513</v>
      </c>
      <c r="C13" s="3" t="s">
        <v>503</v>
      </c>
      <c r="D13" s="4">
        <f>(7415.45504746057*(1+6.48%))*(1+2.6%)</f>
        <v>8101.2719244339478</v>
      </c>
    </row>
    <row r="14" spans="1:9" x14ac:dyDescent="0.25">
      <c r="A14" s="3">
        <v>24063</v>
      </c>
      <c r="B14" s="3" t="s">
        <v>514</v>
      </c>
      <c r="C14" s="3" t="s">
        <v>503</v>
      </c>
      <c r="D14" s="4">
        <f>(10481.304910943*(1+6.48%))*(1+2.6%)</f>
        <v>11450.666299370569</v>
      </c>
    </row>
    <row r="15" spans="1:9" x14ac:dyDescent="0.25">
      <c r="A15" s="3">
        <v>24120</v>
      </c>
      <c r="B15" s="3" t="s">
        <v>515</v>
      </c>
      <c r="C15" s="3" t="s">
        <v>503</v>
      </c>
      <c r="D15" s="4">
        <f>(3730.36575626041*(1+6.48%))*(1+2.6%)</f>
        <v>4075.3678871550055</v>
      </c>
      <c r="F15" s="18"/>
    </row>
    <row r="16" spans="1:9" x14ac:dyDescent="0.25">
      <c r="A16" s="3">
        <v>24125</v>
      </c>
      <c r="B16" s="3" t="s">
        <v>516</v>
      </c>
      <c r="C16" s="3" t="s">
        <v>503</v>
      </c>
      <c r="D16" s="4">
        <f>(3730.36575626041*(1+6.48%))*(1+2.6%)</f>
        <v>4075.3678871550055</v>
      </c>
    </row>
    <row r="17" spans="1:4" x14ac:dyDescent="0.25">
      <c r="A17" s="3">
        <v>24132</v>
      </c>
      <c r="B17" s="3" t="s">
        <v>517</v>
      </c>
      <c r="C17" s="3" t="s">
        <v>503</v>
      </c>
      <c r="D17" s="4">
        <f>(3730.36575626041*(1+6.48%))*(1+2.6%)</f>
        <v>4075.3678871550055</v>
      </c>
    </row>
    <row r="18" spans="1:4" x14ac:dyDescent="0.25">
      <c r="A18" s="3">
        <v>24140</v>
      </c>
      <c r="B18" s="3" t="s">
        <v>518</v>
      </c>
      <c r="C18" s="3" t="s">
        <v>503</v>
      </c>
      <c r="D18" s="4">
        <f>(3730.36575626041*(1+6.48%))*(1+2.6%)</f>
        <v>4075.3678871550055</v>
      </c>
    </row>
    <row r="19" spans="1:4" x14ac:dyDescent="0.25">
      <c r="A19" s="3">
        <v>24150</v>
      </c>
      <c r="B19" s="3" t="s">
        <v>519</v>
      </c>
      <c r="C19" s="3" t="s">
        <v>503</v>
      </c>
      <c r="D19" s="4">
        <f>(4623.15993376676*(1+6.48%))*(1+2.6%)</f>
        <v>5050.7319556091888</v>
      </c>
    </row>
    <row r="20" spans="1:4" x14ac:dyDescent="0.25">
      <c r="A20" s="3">
        <v>24163</v>
      </c>
      <c r="B20" s="3" t="s">
        <v>520</v>
      </c>
      <c r="C20" s="3" t="s">
        <v>503</v>
      </c>
      <c r="D20" s="4">
        <f>(5084.98703194526*(1+6.48%))*(1+2.6%)</f>
        <v>5555.2710405973066</v>
      </c>
    </row>
    <row r="21" spans="1:4" x14ac:dyDescent="0.25">
      <c r="A21" s="3">
        <v>204026</v>
      </c>
      <c r="B21" s="3" t="s">
        <v>521</v>
      </c>
      <c r="C21" s="3" t="s">
        <v>503</v>
      </c>
      <c r="D21" s="4">
        <f>(284.918582077901*(1+6.48%))*(1+2.6%)</f>
        <v>311.26922015765888</v>
      </c>
    </row>
    <row r="22" spans="1:4" x14ac:dyDescent="0.25">
      <c r="A22" s="3">
        <v>204034</v>
      </c>
      <c r="B22" s="3" t="s">
        <v>522</v>
      </c>
      <c r="C22" s="3" t="s">
        <v>503</v>
      </c>
      <c r="D22" s="4">
        <f>(369.092026075888*(1+6.48%))*(1+2.6%)</f>
        <v>403.22742828911083</v>
      </c>
    </row>
    <row r="23" spans="1:4" x14ac:dyDescent="0.25">
      <c r="A23" s="3">
        <v>204033</v>
      </c>
      <c r="B23" s="3" t="s">
        <v>523</v>
      </c>
      <c r="C23" s="3" t="s">
        <v>503</v>
      </c>
      <c r="D23" s="4">
        <f>(352.314573787296*(1+6.48%))*(1+2.6%)</f>
        <v>384.89831668109935</v>
      </c>
    </row>
    <row r="24" spans="1:4" x14ac:dyDescent="0.25">
      <c r="A24" s="3">
        <v>204042</v>
      </c>
      <c r="B24" s="3" t="s">
        <v>524</v>
      </c>
      <c r="C24" s="3" t="s">
        <v>503</v>
      </c>
      <c r="D24" s="4">
        <f>(580.867116797555*(1+6.48%))*(1+2.6%)</f>
        <v>634.58849592115348</v>
      </c>
    </row>
    <row r="25" spans="1:4" x14ac:dyDescent="0.25">
      <c r="A25" s="3">
        <v>204041</v>
      </c>
      <c r="B25" s="3" t="s">
        <v>525</v>
      </c>
      <c r="C25" s="3" t="s">
        <v>503</v>
      </c>
      <c r="D25" s="4">
        <f>(566.30757931044*(1+6.48%))*(1+2.6%)</f>
        <v>618.68242252145046</v>
      </c>
    </row>
    <row r="26" spans="1:4" x14ac:dyDescent="0.25">
      <c r="A26" s="3">
        <v>204052</v>
      </c>
      <c r="B26" s="3" t="s">
        <v>526</v>
      </c>
      <c r="C26" s="3" t="s">
        <v>503</v>
      </c>
      <c r="D26" s="4">
        <f>(865.463743501047*(1+6.48%))*(1+2.6%)</f>
        <v>945.50598472599302</v>
      </c>
    </row>
    <row r="27" spans="1:4" x14ac:dyDescent="0.25">
      <c r="A27" s="3">
        <v>204051</v>
      </c>
      <c r="B27" s="3" t="s">
        <v>527</v>
      </c>
      <c r="C27" s="3" t="s">
        <v>503</v>
      </c>
      <c r="D27" s="4">
        <f>(809.455432627192*(1+6.48%))*(1+2.6%)</f>
        <v>884.31775642263165</v>
      </c>
    </row>
    <row r="28" spans="1:4" x14ac:dyDescent="0.25">
      <c r="A28" s="3">
        <v>204065</v>
      </c>
      <c r="B28" s="3" t="s">
        <v>528</v>
      </c>
      <c r="C28" s="3" t="s">
        <v>503</v>
      </c>
      <c r="D28" s="4">
        <f>(1454.05778928439*(1+6.48%))*(1+2.6%)</f>
        <v>1588.536033114802</v>
      </c>
    </row>
    <row r="29" spans="1:4" x14ac:dyDescent="0.25">
      <c r="A29" s="3">
        <v>204064</v>
      </c>
      <c r="B29" s="3" t="s">
        <v>529</v>
      </c>
      <c r="C29" s="3" t="s">
        <v>503</v>
      </c>
      <c r="D29" s="4">
        <f>(903.824130148097*(1+6.48%))*(1+2.6%)</f>
        <v>987.41412406001803</v>
      </c>
    </row>
    <row r="30" spans="1:4" x14ac:dyDescent="0.25">
      <c r="A30" s="3">
        <v>201620</v>
      </c>
      <c r="B30" s="3" t="s">
        <v>530</v>
      </c>
      <c r="C30" s="3" t="s">
        <v>503</v>
      </c>
      <c r="D30" s="4">
        <f>(502.286156895765*(1+6.48%))*(1+2.6%)</f>
        <v>548.73999165903842</v>
      </c>
    </row>
    <row r="31" spans="1:4" x14ac:dyDescent="0.25">
      <c r="A31" s="3">
        <v>201625</v>
      </c>
      <c r="B31" s="3" t="s">
        <v>531</v>
      </c>
      <c r="C31" s="3" t="s">
        <v>503</v>
      </c>
      <c r="D31" s="4">
        <f>(576.681696930252*(1+6.48%))*(1+2.6%)</f>
        <v>630.01598833450657</v>
      </c>
    </row>
    <row r="32" spans="1:4" x14ac:dyDescent="0.25">
      <c r="A32" s="3">
        <v>201632</v>
      </c>
      <c r="B32" s="3" t="s">
        <v>532</v>
      </c>
      <c r="C32" s="3" t="s">
        <v>503</v>
      </c>
      <c r="D32" s="4">
        <f>(641.394727186247*(1+6.48%))*(1+2.6%)</f>
        <v>700.71399025112214</v>
      </c>
    </row>
    <row r="33" spans="1:4" x14ac:dyDescent="0.25">
      <c r="A33" s="3">
        <v>201640</v>
      </c>
      <c r="B33" s="3" t="s">
        <v>533</v>
      </c>
      <c r="C33" s="3" t="s">
        <v>503</v>
      </c>
      <c r="D33" s="4">
        <f>(1505.46333073153*(1+6.48%))*(1+2.6%)</f>
        <v>1644.6958057815664</v>
      </c>
    </row>
    <row r="34" spans="1:4" x14ac:dyDescent="0.25">
      <c r="A34" s="3">
        <v>201650</v>
      </c>
      <c r="B34" s="3" t="s">
        <v>534</v>
      </c>
      <c r="C34" s="3" t="s">
        <v>503</v>
      </c>
      <c r="D34" s="4">
        <f>(3498.18823421978*(1+6.48%))*(1+2.6%)</f>
        <v>3821.7174734239525</v>
      </c>
    </row>
    <row r="35" spans="1:4" x14ac:dyDescent="0.25">
      <c r="A35" s="3">
        <v>201663</v>
      </c>
      <c r="B35" s="3" t="s">
        <v>535</v>
      </c>
      <c r="C35" s="3" t="s">
        <v>503</v>
      </c>
      <c r="D35" s="4">
        <f>(4379.42779106682*(1+6.48%))*(1+2.6%)</f>
        <v>4784.4582944380754</v>
      </c>
    </row>
    <row r="36" spans="1:4" x14ac:dyDescent="0.25">
      <c r="A36" s="3">
        <v>201020</v>
      </c>
      <c r="B36" s="3" t="s">
        <v>536</v>
      </c>
      <c r="C36" s="3" t="s">
        <v>503</v>
      </c>
      <c r="D36" s="4">
        <f>(349.357354051994*(1+6.48%))*(1+2.6%)</f>
        <v>381.66759907002137</v>
      </c>
    </row>
    <row r="37" spans="1:4" x14ac:dyDescent="0.25">
      <c r="A37" s="3">
        <v>201025</v>
      </c>
      <c r="B37" s="3" t="s">
        <v>537</v>
      </c>
      <c r="C37" s="3" t="s">
        <v>503</v>
      </c>
      <c r="D37" s="4">
        <f>(381.04014774836*(1+6.48%))*(1+2.6%)</f>
        <v>416.28056960483758</v>
      </c>
    </row>
    <row r="38" spans="1:4" x14ac:dyDescent="0.25">
      <c r="A38" s="3">
        <v>201032</v>
      </c>
      <c r="B38" s="3" t="s">
        <v>538</v>
      </c>
      <c r="C38" s="3" t="s">
        <v>503</v>
      </c>
      <c r="D38" s="4">
        <f>(585.720295959926*(1+6.48%))*(1+2.6%)</f>
        <v>639.89052038772081</v>
      </c>
    </row>
    <row r="39" spans="1:4" x14ac:dyDescent="0.25">
      <c r="A39" s="3">
        <v>201040</v>
      </c>
      <c r="B39" s="3" t="s">
        <v>539</v>
      </c>
      <c r="C39" s="3" t="s">
        <v>503</v>
      </c>
      <c r="D39" s="4">
        <f>(1019.34648819492*(1+6.48%))*(1+2.6%)</f>
        <v>1113.6205442863259</v>
      </c>
    </row>
    <row r="40" spans="1:4" x14ac:dyDescent="0.25">
      <c r="A40" s="3">
        <v>201050</v>
      </c>
      <c r="B40" s="3" t="s">
        <v>540</v>
      </c>
      <c r="C40" s="3" t="s">
        <v>503</v>
      </c>
      <c r="D40" s="4">
        <f>(2425.28983541501*(1+6.48%))*(1+2.6%)</f>
        <v>2649.5922807854022</v>
      </c>
    </row>
    <row r="41" spans="1:4" x14ac:dyDescent="0.25">
      <c r="A41" s="3">
        <v>201063</v>
      </c>
      <c r="B41" s="3" t="s">
        <v>541</v>
      </c>
      <c r="C41" s="3" t="s">
        <v>503</v>
      </c>
      <c r="D41" s="4">
        <f>(3879.43109461129*(1+6.48%))*(1+2.6%)</f>
        <v>4238.219503510194</v>
      </c>
    </row>
    <row r="42" spans="1:4" x14ac:dyDescent="0.25">
      <c r="A42" s="3">
        <v>201220</v>
      </c>
      <c r="B42" s="3" t="s">
        <v>542</v>
      </c>
      <c r="C42" s="3" t="s">
        <v>503</v>
      </c>
      <c r="D42" s="4">
        <f>(666.495322116941*(1+6.48%))*(1+2.6%)</f>
        <v>728.13600868386175</v>
      </c>
    </row>
    <row r="43" spans="1:4" x14ac:dyDescent="0.25">
      <c r="A43" s="3">
        <v>201326</v>
      </c>
      <c r="B43" s="3" t="s">
        <v>543</v>
      </c>
      <c r="C43" s="3" t="s">
        <v>503</v>
      </c>
      <c r="D43" s="4">
        <f>(862.256114030094*(1+6.48%))*(1+2.6%)</f>
        <v>942.00169828494484</v>
      </c>
    </row>
    <row r="44" spans="1:4" x14ac:dyDescent="0.25">
      <c r="A44" s="3">
        <v>201225</v>
      </c>
      <c r="B44" s="3" t="s">
        <v>544</v>
      </c>
      <c r="C44" s="3" t="s">
        <v>503</v>
      </c>
      <c r="D44" s="4">
        <f>(990.024700577542*(1+6.48%))*(1+2.6%)</f>
        <v>1081.5869370055157</v>
      </c>
    </row>
    <row r="45" spans="1:4" x14ac:dyDescent="0.25">
      <c r="A45" s="3">
        <v>201232</v>
      </c>
      <c r="B45" s="3" t="s">
        <v>545</v>
      </c>
      <c r="C45" s="3" t="s">
        <v>503</v>
      </c>
      <c r="D45" s="4">
        <f>(1539.90063152005*(1+6.48%))*(1+2.6%)</f>
        <v>1682.3180334460565</v>
      </c>
    </row>
    <row r="46" spans="1:4" x14ac:dyDescent="0.25">
      <c r="A46" s="3">
        <v>201333</v>
      </c>
      <c r="B46" s="3" t="s">
        <v>546</v>
      </c>
      <c r="C46" s="3" t="s">
        <v>503</v>
      </c>
      <c r="D46" s="4">
        <f>(1259.88292569703*(1+6.48%))*(1+2.6%)</f>
        <v>1376.4029461035304</v>
      </c>
    </row>
    <row r="47" spans="1:4" x14ac:dyDescent="0.25">
      <c r="A47" s="3">
        <v>201240</v>
      </c>
      <c r="B47" s="3" t="s">
        <v>547</v>
      </c>
      <c r="C47" s="3" t="s">
        <v>503</v>
      </c>
      <c r="D47" s="4">
        <f>(2651.79140344756*(1+6.48%))*(1+2.6%)</f>
        <v>2897.0418010371277</v>
      </c>
    </row>
    <row r="48" spans="1:4" x14ac:dyDescent="0.25">
      <c r="A48" s="3">
        <v>201341</v>
      </c>
      <c r="B48" s="3" t="s">
        <v>548</v>
      </c>
      <c r="C48" s="3" t="s">
        <v>503</v>
      </c>
      <c r="D48" s="4">
        <f>(2582.59484649611*(1+6.48%))*(1+2.6%)</f>
        <v>2821.4456143553289</v>
      </c>
    </row>
    <row r="49" spans="1:4" x14ac:dyDescent="0.25">
      <c r="A49" s="3">
        <v>201250</v>
      </c>
      <c r="B49" s="3" t="s">
        <v>549</v>
      </c>
      <c r="C49" s="3" t="s">
        <v>503</v>
      </c>
      <c r="D49" s="4">
        <f>(4091.48044361486*(1+6.48%))*(1+2.6%)</f>
        <v>4469.880194146489</v>
      </c>
    </row>
    <row r="50" spans="1:4" x14ac:dyDescent="0.25">
      <c r="A50" s="3">
        <v>201351</v>
      </c>
      <c r="B50" s="3" t="s">
        <v>550</v>
      </c>
      <c r="C50" s="3" t="s">
        <v>503</v>
      </c>
      <c r="D50" s="4">
        <f>(3970.44907138373*(1+6.48%))*(1+2.6%)</f>
        <v>4337.6552596608344</v>
      </c>
    </row>
    <row r="51" spans="1:4" x14ac:dyDescent="0.25">
      <c r="A51" s="3">
        <v>201364</v>
      </c>
      <c r="B51" s="3" t="s">
        <v>551</v>
      </c>
      <c r="C51" s="3" t="s">
        <v>503</v>
      </c>
      <c r="D51" s="4">
        <f>(6156.40682088238*(1+6.48%))*(1+2.6%)</f>
        <v>6725.7808744303175</v>
      </c>
    </row>
    <row r="52" spans="1:4" x14ac:dyDescent="0.25">
      <c r="A52" s="3">
        <v>201263</v>
      </c>
      <c r="B52" s="3" t="s">
        <v>552</v>
      </c>
      <c r="C52" s="3" t="s">
        <v>503</v>
      </c>
      <c r="D52" s="4">
        <f>(5888.21799400056*(1+6.48%))*(1+2.6%)</f>
        <v>6432.7886575321054</v>
      </c>
    </row>
    <row r="53" spans="1:4" x14ac:dyDescent="0.25">
      <c r="A53" s="3">
        <v>24240</v>
      </c>
      <c r="B53" s="3" t="s">
        <v>553</v>
      </c>
      <c r="C53" s="3" t="s">
        <v>503</v>
      </c>
      <c r="D53" s="4">
        <f>(10058.2793975172*(1+6.48%))*(1+2.6%)</f>
        <v>10988.517355940707</v>
      </c>
    </row>
    <row r="54" spans="1:4" x14ac:dyDescent="0.25">
      <c r="A54" s="3">
        <v>24263</v>
      </c>
      <c r="B54" s="3" t="s">
        <v>554</v>
      </c>
      <c r="C54" s="3" t="s">
        <v>503</v>
      </c>
      <c r="D54" s="4">
        <f>(12522.3111963193*(1+6.48%))*(1+2.6%)</f>
        <v>13680.434642848662</v>
      </c>
    </row>
    <row r="55" spans="1:4" x14ac:dyDescent="0.25">
      <c r="A55" s="3">
        <v>203020</v>
      </c>
      <c r="B55" s="3" t="s">
        <v>555</v>
      </c>
      <c r="C55" s="3" t="s">
        <v>503</v>
      </c>
      <c r="D55" s="4">
        <f>(262.548645693112*(1+6.48%))*(1+2.6%)</f>
        <v>286.83040468031027</v>
      </c>
    </row>
    <row r="56" spans="1:4" x14ac:dyDescent="0.25">
      <c r="A56" s="3">
        <v>203025</v>
      </c>
      <c r="B56" s="3" t="s">
        <v>556</v>
      </c>
      <c r="C56" s="3" t="s">
        <v>503</v>
      </c>
      <c r="D56" s="4">
        <f>(295.686200710877*(1+6.48%))*(1+2.6%)</f>
        <v>323.03267984638273</v>
      </c>
    </row>
    <row r="57" spans="1:4" x14ac:dyDescent="0.25">
      <c r="A57" s="3">
        <v>203032</v>
      </c>
      <c r="B57" s="3" t="s">
        <v>557</v>
      </c>
      <c r="C57" s="3" t="s">
        <v>503</v>
      </c>
      <c r="D57" s="4">
        <f>(335.704061322472*(1+6.48%))*(1+2.6%)</f>
        <v>366.75158429306811</v>
      </c>
    </row>
    <row r="58" spans="1:4" x14ac:dyDescent="0.25">
      <c r="A58" s="3">
        <v>203040</v>
      </c>
      <c r="B58" s="3" t="s">
        <v>558</v>
      </c>
      <c r="C58" s="3" t="s">
        <v>503</v>
      </c>
      <c r="D58" s="4">
        <f>(799.486740293672*(1+6.48%))*(1+2.6%)</f>
        <v>873.42711157238443</v>
      </c>
    </row>
    <row r="59" spans="1:4" x14ac:dyDescent="0.25">
      <c r="A59" s="3">
        <v>203050</v>
      </c>
      <c r="B59" s="3" t="s">
        <v>559</v>
      </c>
      <c r="C59" s="3" t="s">
        <v>503</v>
      </c>
      <c r="D59" s="4">
        <f>(1606.19959010183*(1+6.48%))*(1+2.6%)</f>
        <v>1754.7486379524839</v>
      </c>
    </row>
    <row r="60" spans="1:4" x14ac:dyDescent="0.25">
      <c r="A60" s="3">
        <v>203063</v>
      </c>
      <c r="B60" s="3" t="s">
        <v>560</v>
      </c>
      <c r="C60" s="3" t="s">
        <v>503</v>
      </c>
      <c r="D60" s="4">
        <f>(2129.68710461602*(1+6.48%))*(1+2.6%)</f>
        <v>2326.6507905490098</v>
      </c>
    </row>
    <row r="61" spans="1:4" x14ac:dyDescent="0.25">
      <c r="A61" s="3">
        <v>203126</v>
      </c>
      <c r="B61" s="3" t="s">
        <v>561</v>
      </c>
      <c r="C61" s="3" t="s">
        <v>503</v>
      </c>
      <c r="D61" s="4">
        <f>(250.171250188096*(1+6.48%))*(1+2.6%)</f>
        <v>273.30828822749152</v>
      </c>
    </row>
    <row r="62" spans="1:4" x14ac:dyDescent="0.25">
      <c r="A62" s="3">
        <v>203134</v>
      </c>
      <c r="B62" s="3" t="s">
        <v>562</v>
      </c>
      <c r="C62" s="3" t="s">
        <v>503</v>
      </c>
      <c r="D62" s="4">
        <f>(298.488404895539*(1+6.48%))*(1+2.6%)</f>
        <v>326.09404532462196</v>
      </c>
    </row>
    <row r="63" spans="1:4" x14ac:dyDescent="0.25">
      <c r="A63" s="3">
        <v>203133</v>
      </c>
      <c r="B63" s="3" t="s">
        <v>563</v>
      </c>
      <c r="C63" s="3" t="s">
        <v>503</v>
      </c>
      <c r="D63" s="4">
        <f>(294.529546217634*(1+6.48%))*(1+2.6%)</f>
        <v>321.76905239366266</v>
      </c>
    </row>
    <row r="64" spans="1:4" x14ac:dyDescent="0.25">
      <c r="A64" s="3">
        <v>203142</v>
      </c>
      <c r="B64" s="3" t="s">
        <v>564</v>
      </c>
      <c r="C64" s="3" t="s">
        <v>503</v>
      </c>
      <c r="D64" s="4">
        <f>(1291.1125970146*(1+6.48%))*(1+2.6%)</f>
        <v>1410.5208873269723</v>
      </c>
    </row>
    <row r="65" spans="1:4" x14ac:dyDescent="0.25">
      <c r="A65" s="3">
        <v>203141</v>
      </c>
      <c r="B65" s="3" t="s">
        <v>565</v>
      </c>
      <c r="C65" s="3" t="s">
        <v>503</v>
      </c>
      <c r="D65" s="4">
        <f>(1342.29157727233*(1+6.48%))*(1+2.6%)</f>
        <v>1466.4331453380491</v>
      </c>
    </row>
    <row r="66" spans="1:4" x14ac:dyDescent="0.25">
      <c r="A66" s="3">
        <v>203152</v>
      </c>
      <c r="B66" s="3" t="s">
        <v>566</v>
      </c>
      <c r="C66" s="3" t="s">
        <v>503</v>
      </c>
      <c r="D66" s="4">
        <f>(1577.33092486326*(1+6.48%))*(1+2.6%)</f>
        <v>1723.2100599830483</v>
      </c>
    </row>
    <row r="67" spans="1:4" x14ac:dyDescent="0.25">
      <c r="A67" s="3">
        <v>203151</v>
      </c>
      <c r="B67" s="3" t="s">
        <v>567</v>
      </c>
      <c r="C67" s="3" t="s">
        <v>503</v>
      </c>
      <c r="D67" s="4">
        <f>(1606.19959010183*(1+6.48%))*(1+2.6%)</f>
        <v>1754.7486379524839</v>
      </c>
    </row>
    <row r="68" spans="1:4" x14ac:dyDescent="0.25">
      <c r="A68" s="3">
        <v>203165</v>
      </c>
      <c r="B68" s="3" t="s">
        <v>568</v>
      </c>
      <c r="C68" s="3" t="s">
        <v>503</v>
      </c>
      <c r="D68" s="4">
        <f>(1931.00486578694*(1+6.48%))*(1+2.6%)</f>
        <v>2109.5934645982729</v>
      </c>
    </row>
    <row r="69" spans="1:4" x14ac:dyDescent="0.25">
      <c r="A69" s="3">
        <v>203164</v>
      </c>
      <c r="B69" s="3" t="s">
        <v>569</v>
      </c>
      <c r="C69" s="3" t="s">
        <v>503</v>
      </c>
      <c r="D69" s="4">
        <f>(2190.91824711916*(1+6.48%))*(1+2.6%)</f>
        <v>2393.5448830203236</v>
      </c>
    </row>
    <row r="70" spans="1:4" x14ac:dyDescent="0.25">
      <c r="A70" s="3">
        <v>207120</v>
      </c>
      <c r="B70" s="3" t="s">
        <v>570</v>
      </c>
      <c r="C70" s="3" t="s">
        <v>503</v>
      </c>
      <c r="D70" s="4">
        <f>(3720.87403485194*(1+6.48%))*(1+2.6%)</f>
        <v>4064.9983257904159</v>
      </c>
    </row>
    <row r="71" spans="1:4" x14ac:dyDescent="0.25">
      <c r="A71" s="3">
        <v>207125</v>
      </c>
      <c r="B71" s="3" t="s">
        <v>571</v>
      </c>
      <c r="C71" s="3" t="s">
        <v>503</v>
      </c>
      <c r="D71" s="4">
        <f>(3724.80904498359*(1+6.48%))*(1+2.6%)</f>
        <v>4069.2972645470923</v>
      </c>
    </row>
    <row r="72" spans="1:4" x14ac:dyDescent="0.25">
      <c r="A72" s="3">
        <v>207132</v>
      </c>
      <c r="B72" s="3" t="s">
        <v>572</v>
      </c>
      <c r="C72" s="3" t="s">
        <v>503</v>
      </c>
      <c r="D72" s="4">
        <f>(9004.65062408441*(1+6.48%))*(1+2.6%)</f>
        <v>9837.4439361227342</v>
      </c>
    </row>
    <row r="73" spans="1:4" x14ac:dyDescent="0.25">
      <c r="A73" s="3">
        <v>207240</v>
      </c>
      <c r="B73" s="3" t="s">
        <v>573</v>
      </c>
      <c r="C73" s="3" t="s">
        <v>503</v>
      </c>
      <c r="D73" s="4">
        <f>(0*(1+6.48%))*(1+2.6%)</f>
        <v>0</v>
      </c>
    </row>
    <row r="74" spans="1:4" x14ac:dyDescent="0.25">
      <c r="A74" s="3">
        <v>207240</v>
      </c>
      <c r="B74" s="3" t="s">
        <v>573</v>
      </c>
      <c r="C74" s="3" t="s">
        <v>503</v>
      </c>
      <c r="D74" s="4">
        <f>(8788.46355230604*(1+6.48%))*(1+2.6%)</f>
        <v>9601.2628462483553</v>
      </c>
    </row>
    <row r="75" spans="1:4" x14ac:dyDescent="0.25">
      <c r="A75" s="3">
        <v>207250</v>
      </c>
      <c r="B75" s="3" t="s">
        <v>574</v>
      </c>
      <c r="C75" s="3" t="s">
        <v>503</v>
      </c>
      <c r="D75" s="4">
        <f>(14411.7838188076*(1+6.48%))*(1+2.6%)</f>
        <v>15744.654762933287</v>
      </c>
    </row>
    <row r="76" spans="1:4" x14ac:dyDescent="0.25">
      <c r="A76" s="3">
        <v>207263</v>
      </c>
      <c r="B76" s="3" t="s">
        <v>575</v>
      </c>
      <c r="C76" s="3" t="s">
        <v>503</v>
      </c>
      <c r="D76" s="4">
        <f>(25368.5810449318*(1+6.48%))*(1+2.6%)</f>
        <v>27714.789189156076</v>
      </c>
    </row>
    <row r="77" spans="1:4" x14ac:dyDescent="0.25">
      <c r="A77" s="3">
        <v>206020</v>
      </c>
      <c r="B77" s="3" t="s">
        <v>576</v>
      </c>
      <c r="C77" s="3" t="s">
        <v>503</v>
      </c>
      <c r="D77" s="4">
        <f>(147.157454650681*(1+6.48%))*(1+2.6%)</f>
        <v>160.76728241255833</v>
      </c>
    </row>
    <row r="78" spans="1:4" x14ac:dyDescent="0.25">
      <c r="A78" s="3">
        <v>206025</v>
      </c>
      <c r="B78" s="3" t="s">
        <v>577</v>
      </c>
      <c r="C78" s="3" t="s">
        <v>503</v>
      </c>
      <c r="D78" s="4">
        <f>(147.157454650681*(1+6.48%))*(1+2.6%)</f>
        <v>160.76728241255833</v>
      </c>
    </row>
    <row r="79" spans="1:4" x14ac:dyDescent="0.25">
      <c r="A79" s="3">
        <v>206032</v>
      </c>
      <c r="B79" s="3" t="s">
        <v>578</v>
      </c>
      <c r="C79" s="3" t="s">
        <v>503</v>
      </c>
      <c r="D79" s="4">
        <f>(147.157454650681*(1+6.48%))*(1+2.6%)</f>
        <v>160.76728241255833</v>
      </c>
    </row>
    <row r="80" spans="1:4" x14ac:dyDescent="0.25">
      <c r="A80" s="3">
        <v>206040</v>
      </c>
      <c r="B80" s="3" t="s">
        <v>579</v>
      </c>
      <c r="C80" s="3" t="s">
        <v>503</v>
      </c>
      <c r="D80" s="4">
        <f>(156.422614869754*(1+6.48%))*(1+2.6%)</f>
        <v>170.88932912146015</v>
      </c>
    </row>
    <row r="81" spans="1:4" x14ac:dyDescent="0.25">
      <c r="A81" s="3">
        <v>206050</v>
      </c>
      <c r="B81" s="3" t="s">
        <v>580</v>
      </c>
      <c r="C81" s="3" t="s">
        <v>503</v>
      </c>
      <c r="D81" s="4">
        <f>(156.422614869754*(1+6.48%))*(1+2.6%)</f>
        <v>170.88932912146015</v>
      </c>
    </row>
    <row r="82" spans="1:4" x14ac:dyDescent="0.25">
      <c r="A82" s="3">
        <v>206063</v>
      </c>
      <c r="B82" s="3" t="s">
        <v>581</v>
      </c>
      <c r="C82" s="3" t="s">
        <v>503</v>
      </c>
      <c r="D82" s="4">
        <f>(156.422614869754*(1+6.48%))*(1+2.6%)</f>
        <v>170.88932912146015</v>
      </c>
    </row>
    <row r="83" spans="1:4" x14ac:dyDescent="0.25">
      <c r="A83" s="3">
        <v>208020</v>
      </c>
      <c r="B83" s="3" t="s">
        <v>582</v>
      </c>
      <c r="C83" s="3" t="s">
        <v>503</v>
      </c>
      <c r="D83" s="4">
        <f>(243.064383404868*(1+6.48%))*(1+2.6%)</f>
        <v>265.54414429119106</v>
      </c>
    </row>
    <row r="84" spans="1:4" x14ac:dyDescent="0.25">
      <c r="A84" s="3">
        <v>208025</v>
      </c>
      <c r="B84" s="3" t="s">
        <v>583</v>
      </c>
      <c r="C84" s="3" t="s">
        <v>503</v>
      </c>
      <c r="D84" s="4">
        <f>(268.10535696993*(1+6.48%))*(1+2.6%)</f>
        <v>292.90102728822308</v>
      </c>
    </row>
    <row r="85" spans="1:4" x14ac:dyDescent="0.25">
      <c r="A85" s="3">
        <v>208032</v>
      </c>
      <c r="B85" s="3" t="s">
        <v>584</v>
      </c>
      <c r="C85" s="3" t="s">
        <v>503</v>
      </c>
      <c r="D85" s="4">
        <f>(298.1068281555*(1+6.48%))*(1+2.6%)</f>
        <v>325.67717853609577</v>
      </c>
    </row>
    <row r="86" spans="1:4" x14ac:dyDescent="0.25">
      <c r="A86" s="3">
        <v>208040</v>
      </c>
      <c r="B86" s="3" t="s">
        <v>585</v>
      </c>
      <c r="C86" s="3" t="s">
        <v>503</v>
      </c>
      <c r="D86" s="4">
        <f>(398.079934045728*(1+6.48%))*(1+2.6%)</f>
        <v>434.89627712996077</v>
      </c>
    </row>
    <row r="87" spans="1:4" x14ac:dyDescent="0.25">
      <c r="A87" s="3">
        <v>208050</v>
      </c>
      <c r="B87" s="3" t="s">
        <v>586</v>
      </c>
      <c r="C87" s="3" t="s">
        <v>503</v>
      </c>
      <c r="D87" s="4">
        <f>(589.834170188472*(1+6.48%))*(1+2.6%)</f>
        <v>644.38486545151898</v>
      </c>
    </row>
    <row r="88" spans="1:4" x14ac:dyDescent="0.25">
      <c r="A88" s="3">
        <v>208063</v>
      </c>
      <c r="B88" s="3" t="s">
        <v>587</v>
      </c>
      <c r="C88" s="3" t="s">
        <v>503</v>
      </c>
      <c r="D88" s="4">
        <f>(764.834802588877*(1+6.48%))*(1+2.6%)</f>
        <v>835.5703963393488</v>
      </c>
    </row>
    <row r="89" spans="1:4" x14ac:dyDescent="0.25">
      <c r="A89" s="3">
        <v>2063</v>
      </c>
      <c r="B89" s="3" t="s">
        <v>588</v>
      </c>
      <c r="C89" s="3" t="s">
        <v>503</v>
      </c>
      <c r="D89" s="4">
        <f>(2367.63597484974*(1+6.48%))*(1+2.6%)</f>
        <v>2586.606314456521</v>
      </c>
    </row>
    <row r="90" spans="1:4" x14ac:dyDescent="0.25">
      <c r="A90" s="3">
        <v>24270</v>
      </c>
      <c r="B90" s="3" t="s">
        <v>589</v>
      </c>
      <c r="C90" s="3" t="s">
        <v>503</v>
      </c>
      <c r="D90" s="4">
        <f>(702.971673610048*(1+6.48%))*(1+2.6%)</f>
        <v>767.98586824953816</v>
      </c>
    </row>
    <row r="91" spans="1:4" x14ac:dyDescent="0.25">
      <c r="A91" s="3">
        <v>24271</v>
      </c>
      <c r="B91" s="3" t="s">
        <v>590</v>
      </c>
      <c r="C91" s="3" t="s">
        <v>503</v>
      </c>
      <c r="D91" s="4">
        <f>(1298.0286754278*(1+6.48%))*(1+2.6%)</f>
        <v>1418.0765978690097</v>
      </c>
    </row>
    <row r="92" spans="1:4" x14ac:dyDescent="0.25">
      <c r="A92" s="3">
        <v>81610</v>
      </c>
      <c r="B92" s="3" t="s">
        <v>591</v>
      </c>
      <c r="C92" s="3" t="s">
        <v>503</v>
      </c>
      <c r="D92" s="4">
        <f>(1324.07128793547*(1+6.48%))*(1+2.6%)</f>
        <v>1446.5277561859232</v>
      </c>
    </row>
    <row r="93" spans="1:4" x14ac:dyDescent="0.25">
      <c r="A93" s="3">
        <v>24280</v>
      </c>
      <c r="B93" s="3" t="s">
        <v>592</v>
      </c>
      <c r="C93" s="3" t="s">
        <v>503</v>
      </c>
      <c r="D93" s="4">
        <f>(738.923357085601*(1+6.48%))*(1+2.6%)</f>
        <v>807.26253598099117</v>
      </c>
    </row>
    <row r="94" spans="1:4" x14ac:dyDescent="0.25">
      <c r="A94" s="3">
        <v>24281</v>
      </c>
      <c r="B94" s="3" t="s">
        <v>593</v>
      </c>
      <c r="C94" s="3" t="s">
        <v>503</v>
      </c>
      <c r="D94" s="4">
        <f>(1288.84698512061*(1+6.48%))*(1+2.6%)</f>
        <v>1408.0457407700976</v>
      </c>
    </row>
    <row r="95" spans="1:4" x14ac:dyDescent="0.25">
      <c r="A95" s="3">
        <v>209020</v>
      </c>
      <c r="B95" s="3" t="s">
        <v>594</v>
      </c>
      <c r="C95" s="3" t="s">
        <v>503</v>
      </c>
      <c r="D95" s="4">
        <f>(699.048587751521*(1+6.48%))*(1+2.6%)</f>
        <v>763.69995658000312</v>
      </c>
    </row>
    <row r="96" spans="1:4" x14ac:dyDescent="0.25">
      <c r="A96" s="3">
        <v>209025</v>
      </c>
      <c r="B96" s="3" t="s">
        <v>595</v>
      </c>
      <c r="C96" s="3" t="s">
        <v>503</v>
      </c>
      <c r="D96" s="4">
        <f>(747.56845510211*(1+6.48%))*(1+2.6%)</f>
        <v>816.70717415853801</v>
      </c>
    </row>
    <row r="97" spans="1:4" x14ac:dyDescent="0.25">
      <c r="A97" s="3">
        <v>209032</v>
      </c>
      <c r="B97" s="3" t="s">
        <v>596</v>
      </c>
      <c r="C97" s="3" t="s">
        <v>503</v>
      </c>
      <c r="D97" s="4">
        <f>(856.24628037448*(1+6.48%))*(1+2.6%)</f>
        <v>935.43604636565715</v>
      </c>
    </row>
    <row r="98" spans="1:4" x14ac:dyDescent="0.25">
      <c r="A98" s="3">
        <v>205020</v>
      </c>
      <c r="B98" s="3" t="s">
        <v>597</v>
      </c>
      <c r="C98" s="3" t="s">
        <v>503</v>
      </c>
      <c r="D98" s="4">
        <f>(235.838273890379*(1+6.48%))*(1+2.6%)</f>
        <v>257.64972948347611</v>
      </c>
    </row>
    <row r="99" spans="1:4" x14ac:dyDescent="0.25">
      <c r="A99" s="3">
        <v>205025</v>
      </c>
      <c r="B99" s="3" t="s">
        <v>598</v>
      </c>
      <c r="C99" s="3" t="s">
        <v>503</v>
      </c>
      <c r="D99" s="4">
        <f>(258.7686511121*(1+6.48%))*(1+2.6%)</f>
        <v>282.70081805647254</v>
      </c>
    </row>
    <row r="100" spans="1:4" x14ac:dyDescent="0.25">
      <c r="A100" s="3">
        <v>205032</v>
      </c>
      <c r="B100" s="3" t="s">
        <v>599</v>
      </c>
      <c r="C100" s="3" t="s">
        <v>503</v>
      </c>
      <c r="D100" s="4">
        <f>(268.39153952496*(1+6.48%))*(1+2.6%)</f>
        <v>293.21367737961782</v>
      </c>
    </row>
    <row r="101" spans="1:4" x14ac:dyDescent="0.25">
      <c r="A101" s="3">
        <v>205040</v>
      </c>
      <c r="B101" s="3" t="s">
        <v>600</v>
      </c>
      <c r="C101" s="3" t="s">
        <v>503</v>
      </c>
      <c r="D101" s="4">
        <f>(681.853785903512*(1+6.48%))*(1+2.6%)</f>
        <v>744.91489692204129</v>
      </c>
    </row>
    <row r="102" spans="1:4" x14ac:dyDescent="0.25">
      <c r="A102" s="3">
        <v>205050</v>
      </c>
      <c r="B102" s="3" t="s">
        <v>601</v>
      </c>
      <c r="C102" s="3" t="s">
        <v>503</v>
      </c>
      <c r="D102" s="4">
        <f>(883.540941560397*(1+6.48%))*(1+2.6%)</f>
        <v>965.25504883242218</v>
      </c>
    </row>
    <row r="103" spans="1:4" x14ac:dyDescent="0.25">
      <c r="A103" s="3">
        <v>205063</v>
      </c>
      <c r="B103" s="3" t="s">
        <v>602</v>
      </c>
      <c r="C103" s="3" t="s">
        <v>503</v>
      </c>
      <c r="D103" s="4">
        <f>(1205.96136262026*(1+6.48%))*(1+2.6%)</f>
        <v>1317.4944580499218</v>
      </c>
    </row>
    <row r="104" spans="1:4" x14ac:dyDescent="0.25">
      <c r="A104" s="3">
        <v>202020</v>
      </c>
      <c r="B104" s="3" t="s">
        <v>603</v>
      </c>
      <c r="C104" s="3" t="s">
        <v>503</v>
      </c>
      <c r="D104" s="4">
        <f>(658.649150399888*(1+6.48%))*(1+2.6%)</f>
        <v>719.56418534479144</v>
      </c>
    </row>
    <row r="105" spans="1:4" x14ac:dyDescent="0.25">
      <c r="A105" s="3">
        <v>202025</v>
      </c>
      <c r="B105" s="3" t="s">
        <v>604</v>
      </c>
      <c r="C105" s="3" t="s">
        <v>503</v>
      </c>
      <c r="D105" s="4">
        <f>(706.942456561079*(1+6.48%))*(1+2.6%)</f>
        <v>772.32388826763906</v>
      </c>
    </row>
    <row r="106" spans="1:4" x14ac:dyDescent="0.25">
      <c r="A106" s="3">
        <v>202032</v>
      </c>
      <c r="B106" s="3" t="s">
        <v>605</v>
      </c>
      <c r="C106" s="3" t="s">
        <v>503</v>
      </c>
      <c r="D106" s="4">
        <f>(930.451032038947*(1+6.48%))*(1+2.6%)</f>
        <v>1016.5036096468622</v>
      </c>
    </row>
    <row r="107" spans="1:4" x14ac:dyDescent="0.25">
      <c r="A107" s="3">
        <v>202040</v>
      </c>
      <c r="B107" s="3" t="s">
        <v>606</v>
      </c>
      <c r="C107" s="3" t="s">
        <v>503</v>
      </c>
      <c r="D107" s="4">
        <f>(1666.01174410295*(1+6.48%))*(1+2.6%)</f>
        <v>1820.0925070539663</v>
      </c>
    </row>
    <row r="108" spans="1:4" x14ac:dyDescent="0.25">
      <c r="A108" s="3">
        <v>202050</v>
      </c>
      <c r="B108" s="3" t="s">
        <v>607</v>
      </c>
      <c r="C108" s="3" t="s">
        <v>503</v>
      </c>
      <c r="D108" s="4">
        <f>(3251.94006989021*(1+6.48%))*(1+2.6%)</f>
        <v>3552.6950968659953</v>
      </c>
    </row>
    <row r="109" spans="1:4" x14ac:dyDescent="0.25">
      <c r="A109" s="3">
        <v>202063</v>
      </c>
      <c r="B109" s="3" t="s">
        <v>608</v>
      </c>
      <c r="C109" s="3" t="s">
        <v>503</v>
      </c>
      <c r="D109" s="4">
        <f>(5921.3913218377*(1+6.48%))*(1+2.6%)</f>
        <v>6469.0300139596002</v>
      </c>
    </row>
    <row r="110" spans="1:4" x14ac:dyDescent="0.25">
      <c r="A110" s="3">
        <v>202126</v>
      </c>
      <c r="B110" s="3" t="s">
        <v>609</v>
      </c>
      <c r="C110" s="3" t="s">
        <v>503</v>
      </c>
      <c r="D110" s="4">
        <f>(724.733472065399*(1+6.48%))*(1+2.6%)</f>
        <v>791.76030228267302</v>
      </c>
    </row>
    <row r="111" spans="1:4" x14ac:dyDescent="0.25">
      <c r="A111" s="3">
        <v>202134</v>
      </c>
      <c r="B111" s="3" t="s">
        <v>610</v>
      </c>
      <c r="C111" s="3" t="s">
        <v>503</v>
      </c>
      <c r="D111" s="4">
        <f>(846.313360860338*(1+6.48%))*(1+2.6%)</f>
        <v>924.58448277683453</v>
      </c>
    </row>
    <row r="112" spans="1:4" x14ac:dyDescent="0.25">
      <c r="A112" s="3">
        <v>202133</v>
      </c>
      <c r="B112" s="3" t="s">
        <v>611</v>
      </c>
      <c r="C112" s="3" t="s">
        <v>503</v>
      </c>
      <c r="D112" s="4">
        <f>(815.250629366535*(1+6.48%))*(1+2.6%)</f>
        <v>890.64892077337333</v>
      </c>
    </row>
    <row r="113" spans="1:4" x14ac:dyDescent="0.25">
      <c r="A113" s="3">
        <v>202142</v>
      </c>
      <c r="B113" s="3" t="s">
        <v>612</v>
      </c>
      <c r="C113" s="3" t="s">
        <v>503</v>
      </c>
      <c r="D113" s="4">
        <f>(1479.49226386262*(1+6.48%))*(1+2.6%)</f>
        <v>1616.3228099875021</v>
      </c>
    </row>
    <row r="114" spans="1:4" x14ac:dyDescent="0.25">
      <c r="A114" s="3">
        <v>202141</v>
      </c>
      <c r="B114" s="3" t="s">
        <v>613</v>
      </c>
      <c r="C114" s="3" t="s">
        <v>503</v>
      </c>
      <c r="D114" s="4">
        <f>(1553.45853006456*(1+6.48%))*(1+2.6%)</f>
        <v>1697.1298315258778</v>
      </c>
    </row>
    <row r="115" spans="1:4" x14ac:dyDescent="0.25">
      <c r="A115" s="3">
        <v>202152</v>
      </c>
      <c r="B115" s="3" t="s">
        <v>614</v>
      </c>
      <c r="C115" s="3" t="s">
        <v>503</v>
      </c>
      <c r="D115" s="4">
        <f>(3572.33336451862*(1+6.48%))*(1+2.6%)</f>
        <v>3902.71990126945</v>
      </c>
    </row>
    <row r="116" spans="1:4" x14ac:dyDescent="0.25">
      <c r="A116" s="3">
        <v>202151</v>
      </c>
      <c r="B116" s="3" t="s">
        <v>615</v>
      </c>
      <c r="C116" s="3" t="s">
        <v>503</v>
      </c>
      <c r="D116" s="4">
        <f>(4038.51282238819*(1+6.48%))*(1+2.6%)</f>
        <v>4412.0138730641966</v>
      </c>
    </row>
    <row r="117" spans="1:4" x14ac:dyDescent="0.25">
      <c r="A117" s="3">
        <v>202165</v>
      </c>
      <c r="B117" s="3" t="s">
        <v>616</v>
      </c>
      <c r="C117" s="3" t="s">
        <v>503</v>
      </c>
      <c r="D117" s="4">
        <f>(5250.41247302531*(1+6.48%))*(1+2.6%)</f>
        <v>5735.9958205105568</v>
      </c>
    </row>
    <row r="118" spans="1:4" x14ac:dyDescent="0.25">
      <c r="A118" s="3">
        <v>202164</v>
      </c>
      <c r="B118" s="3" t="s">
        <v>617</v>
      </c>
      <c r="C118" s="3" t="s">
        <v>503</v>
      </c>
      <c r="D118" s="4">
        <f>(5788.54299493849*(1+6.48%))*(1+2.6%)</f>
        <v>6323.8952361167767</v>
      </c>
    </row>
    <row r="119" spans="1:4" x14ac:dyDescent="0.25">
      <c r="A119" s="3">
        <v>203220</v>
      </c>
      <c r="B119" s="3" t="s">
        <v>618</v>
      </c>
      <c r="C119" s="3" t="s">
        <v>503</v>
      </c>
      <c r="D119" s="4">
        <f>(561.370930236185*(1+6.48%))*(1+2.6%)</f>
        <v>613.28920844489267</v>
      </c>
    </row>
    <row r="120" spans="1:4" x14ac:dyDescent="0.25">
      <c r="A120" s="3">
        <v>203326</v>
      </c>
      <c r="B120" s="3" t="s">
        <v>619</v>
      </c>
      <c r="C120" s="3" t="s">
        <v>503</v>
      </c>
      <c r="D120" s="4">
        <f>(753.494818845842*(1+6.48%))*(1+2.6%)</f>
        <v>823.18163646783569</v>
      </c>
    </row>
    <row r="121" spans="1:4" x14ac:dyDescent="0.25">
      <c r="A121" s="3">
        <v>203225</v>
      </c>
      <c r="B121" s="3" t="s">
        <v>620</v>
      </c>
      <c r="C121" s="3" t="s">
        <v>503</v>
      </c>
      <c r="D121" s="4">
        <f>(740.294648495116*(1+6.48%))*(1+2.6%)</f>
        <v>808.76065100225753</v>
      </c>
    </row>
    <row r="122" spans="1:4" x14ac:dyDescent="0.25">
      <c r="A122" s="3">
        <v>203232</v>
      </c>
      <c r="B122" s="3" t="s">
        <v>621</v>
      </c>
      <c r="C122" s="3" t="s">
        <v>503</v>
      </c>
      <c r="D122" s="4">
        <f>(967.547445734617*(1+6.48%))*(1+2.6%)</f>
        <v>1057.0308777438938</v>
      </c>
    </row>
    <row r="123" spans="1:4" x14ac:dyDescent="0.25">
      <c r="A123" s="3">
        <v>203240</v>
      </c>
      <c r="B123" s="3" t="s">
        <v>622</v>
      </c>
      <c r="C123" s="3" t="s">
        <v>503</v>
      </c>
      <c r="D123" s="4">
        <f>(1965.63295494548*(1+6.48%))*(1+2.6%)</f>
        <v>2147.4241256570253</v>
      </c>
    </row>
    <row r="124" spans="1:4" x14ac:dyDescent="0.25">
      <c r="A124" s="3">
        <v>203250</v>
      </c>
      <c r="B124" s="3" t="s">
        <v>623</v>
      </c>
      <c r="C124" s="3" t="s">
        <v>503</v>
      </c>
      <c r="D124" s="4">
        <f>(3288.41642138332*(1+6.48%))*(1+2.6%)</f>
        <v>3592.5449564316732</v>
      </c>
    </row>
    <row r="125" spans="1:4" x14ac:dyDescent="0.25">
      <c r="A125" s="3">
        <v>203263</v>
      </c>
      <c r="B125" s="3" t="s">
        <v>624</v>
      </c>
      <c r="C125" s="3" t="s">
        <v>503</v>
      </c>
      <c r="D125" s="4">
        <f>(4783.8991355082*(1+6.48%))*(1+2.6%)</f>
        <v>5226.3370902758488</v>
      </c>
    </row>
    <row r="126" spans="1:4" x14ac:dyDescent="0.25">
      <c r="A126" s="3">
        <v>203420</v>
      </c>
      <c r="B126" s="3" t="s">
        <v>625</v>
      </c>
      <c r="C126" s="3" t="s">
        <v>503</v>
      </c>
      <c r="D126" s="4">
        <f>(628.361496659289*(1+6.48%))*(1+2.6%)</f>
        <v>686.47538400552423</v>
      </c>
    </row>
    <row r="127" spans="1:4" x14ac:dyDescent="0.25">
      <c r="A127" s="3">
        <v>203526</v>
      </c>
      <c r="B127" s="3" t="s">
        <v>626</v>
      </c>
      <c r="C127" s="3" t="s">
        <v>503</v>
      </c>
      <c r="D127" s="4">
        <f>(781.743421881857*(1+6.48%))*(1+2.6%)</f>
        <v>854.042805905916</v>
      </c>
    </row>
    <row r="128" spans="1:4" x14ac:dyDescent="0.25">
      <c r="A128" s="3">
        <v>203425</v>
      </c>
      <c r="B128" s="3" t="s">
        <v>627</v>
      </c>
      <c r="C128" s="3" t="s">
        <v>503</v>
      </c>
      <c r="D128" s="4">
        <f>(846.062951124688*(1+6.48%))*(1+2.6%)</f>
        <v>924.31091394686416</v>
      </c>
    </row>
    <row r="129" spans="1:4" x14ac:dyDescent="0.25">
      <c r="A129" s="3">
        <v>203432</v>
      </c>
      <c r="B129" s="3" t="s">
        <v>628</v>
      </c>
      <c r="C129" s="3" t="s">
        <v>503</v>
      </c>
      <c r="D129" s="4">
        <f>(1086.73055563119*(1+6.48%))*(1+2.6%)</f>
        <v>1187.236613722625</v>
      </c>
    </row>
    <row r="130" spans="1:4" x14ac:dyDescent="0.25">
      <c r="A130" s="3">
        <v>203440</v>
      </c>
      <c r="B130" s="3" t="s">
        <v>629</v>
      </c>
      <c r="C130" s="3" t="s">
        <v>503</v>
      </c>
      <c r="D130" s="4">
        <f>(2250.86156812467*(1+6.48%))*(1+2.6%)</f>
        <v>2459.0320500803618</v>
      </c>
    </row>
    <row r="131" spans="1:4" x14ac:dyDescent="0.25">
      <c r="A131" s="3">
        <v>203450</v>
      </c>
      <c r="B131" s="3" t="s">
        <v>630</v>
      </c>
      <c r="C131" s="3" t="s">
        <v>503</v>
      </c>
      <c r="D131" s="4">
        <f>(5134.97358489037*(1+6.48%))*(1+2.6%)</f>
        <v>5609.8805898942401</v>
      </c>
    </row>
    <row r="132" spans="1:4" x14ac:dyDescent="0.25">
      <c r="A132" s="3">
        <v>203463</v>
      </c>
      <c r="B132" s="3" t="s">
        <v>631</v>
      </c>
      <c r="C132" s="3" t="s">
        <v>503</v>
      </c>
      <c r="D132" s="4">
        <f>(4652.73213111978*(1+6.48%))*(1+2.6%)</f>
        <v>5083.0391317199692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6" sqref="C6"/>
    </sheetView>
  </sheetViews>
  <sheetFormatPr baseColWidth="10" defaultRowHeight="15" x14ac:dyDescent="0.25"/>
  <cols>
    <col min="1" max="1" width="39.7109375" bestFit="1" customWidth="1"/>
  </cols>
  <sheetData>
    <row r="1" spans="1:3" x14ac:dyDescent="0.25">
      <c r="A1" s="6" t="s">
        <v>1</v>
      </c>
      <c r="B1" s="6" t="s">
        <v>2</v>
      </c>
      <c r="C1" s="11" t="s">
        <v>3</v>
      </c>
    </row>
    <row r="2" spans="1:3" x14ac:dyDescent="0.25">
      <c r="A2" s="3" t="s">
        <v>632</v>
      </c>
      <c r="B2" s="3" t="s">
        <v>633</v>
      </c>
      <c r="C2" s="4">
        <v>2490.67</v>
      </c>
    </row>
    <row r="3" spans="1:3" x14ac:dyDescent="0.25">
      <c r="A3" s="3" t="s">
        <v>634</v>
      </c>
      <c r="B3" s="3" t="s">
        <v>633</v>
      </c>
      <c r="C3" s="4">
        <v>721.48</v>
      </c>
    </row>
    <row r="4" spans="1:3" x14ac:dyDescent="0.25">
      <c r="A4" s="3" t="s">
        <v>635</v>
      </c>
      <c r="B4" s="3" t="s">
        <v>633</v>
      </c>
      <c r="C4" s="4">
        <v>769.5</v>
      </c>
    </row>
    <row r="5" spans="1:3" x14ac:dyDescent="0.25">
      <c r="A5" s="3" t="s">
        <v>636</v>
      </c>
      <c r="B5" s="3" t="s">
        <v>633</v>
      </c>
      <c r="C5" s="4">
        <v>786.62</v>
      </c>
    </row>
    <row r="6" spans="1:3" x14ac:dyDescent="0.25">
      <c r="A6" s="3" t="s">
        <v>637</v>
      </c>
      <c r="B6" s="3" t="s">
        <v>633</v>
      </c>
      <c r="C6" s="4">
        <v>828.02</v>
      </c>
    </row>
    <row r="7" spans="1:3" x14ac:dyDescent="0.25">
      <c r="A7" s="3" t="s">
        <v>638</v>
      </c>
      <c r="B7" s="3" t="s">
        <v>633</v>
      </c>
      <c r="C7" s="4">
        <v>191.58</v>
      </c>
    </row>
    <row r="8" spans="1:3" x14ac:dyDescent="0.25">
      <c r="A8" s="3" t="s">
        <v>639</v>
      </c>
      <c r="B8" s="3" t="s">
        <v>633</v>
      </c>
      <c r="C8" s="4">
        <v>249.52</v>
      </c>
    </row>
    <row r="9" spans="1:3" x14ac:dyDescent="0.25">
      <c r="A9" s="3" t="s">
        <v>640</v>
      </c>
      <c r="B9" s="3" t="s">
        <v>633</v>
      </c>
      <c r="C9" s="4">
        <v>549.5</v>
      </c>
    </row>
    <row r="10" spans="1:3" x14ac:dyDescent="0.25">
      <c r="A10" s="3" t="s">
        <v>641</v>
      </c>
      <c r="B10" s="3" t="s">
        <v>633</v>
      </c>
      <c r="C10" s="4">
        <v>549.5</v>
      </c>
    </row>
    <row r="11" spans="1:3" x14ac:dyDescent="0.25">
      <c r="A11" s="3" t="s">
        <v>642</v>
      </c>
      <c r="B11" s="3" t="s">
        <v>633</v>
      </c>
      <c r="C11" s="4">
        <v>549.5</v>
      </c>
    </row>
    <row r="12" spans="1:3" x14ac:dyDescent="0.25">
      <c r="A12" s="3" t="s">
        <v>643</v>
      </c>
      <c r="B12" s="3" t="s">
        <v>633</v>
      </c>
      <c r="C12" s="4">
        <v>191.58</v>
      </c>
    </row>
    <row r="13" spans="1:3" x14ac:dyDescent="0.25">
      <c r="A13" s="3" t="s">
        <v>644</v>
      </c>
      <c r="B13" s="3" t="s">
        <v>633</v>
      </c>
      <c r="C13" s="4">
        <v>191.58</v>
      </c>
    </row>
    <row r="14" spans="1:3" x14ac:dyDescent="0.25">
      <c r="A14" s="3" t="s">
        <v>645</v>
      </c>
      <c r="B14" s="3" t="s">
        <v>633</v>
      </c>
      <c r="C14" s="4">
        <v>191.58</v>
      </c>
    </row>
    <row r="15" spans="1:3" x14ac:dyDescent="0.25">
      <c r="A15" s="3" t="s">
        <v>646</v>
      </c>
      <c r="B15" s="3" t="s">
        <v>633</v>
      </c>
      <c r="C15" s="4">
        <v>191.58</v>
      </c>
    </row>
    <row r="16" spans="1:3" x14ac:dyDescent="0.25">
      <c r="A16" s="3" t="s">
        <v>647</v>
      </c>
      <c r="B16" s="3" t="s">
        <v>633</v>
      </c>
      <c r="C16" s="4">
        <v>2739.7</v>
      </c>
    </row>
    <row r="17" spans="1:3" x14ac:dyDescent="0.25">
      <c r="A17" s="3" t="s">
        <v>648</v>
      </c>
      <c r="B17" s="3" t="s">
        <v>633</v>
      </c>
      <c r="C17" s="4">
        <v>913.26</v>
      </c>
    </row>
    <row r="18" spans="1:3" x14ac:dyDescent="0.25">
      <c r="A18" s="3" t="s">
        <v>649</v>
      </c>
      <c r="B18" s="3" t="s">
        <v>633</v>
      </c>
      <c r="C18" s="4">
        <v>269.79000000000002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G27" sqref="G27"/>
    </sheetView>
  </sheetViews>
  <sheetFormatPr baseColWidth="10" defaultRowHeight="15" x14ac:dyDescent="0.25"/>
  <cols>
    <col min="1" max="1" width="9.140625" bestFit="1" customWidth="1"/>
    <col min="2" max="2" width="53.7109375" bestFit="1" customWidth="1"/>
    <col min="4" max="4" width="14.28515625" bestFit="1" customWidth="1"/>
  </cols>
  <sheetData>
    <row r="1" spans="1:4" ht="24" thickBot="1" x14ac:dyDescent="0.4">
      <c r="A1" s="51" t="s">
        <v>650</v>
      </c>
      <c r="B1" s="52"/>
      <c r="C1" s="52"/>
      <c r="D1" s="53"/>
    </row>
    <row r="2" spans="1:4" x14ac:dyDescent="0.25">
      <c r="A2" s="12" t="s">
        <v>651</v>
      </c>
      <c r="B2" s="13" t="s">
        <v>652</v>
      </c>
      <c r="C2" s="14">
        <v>20</v>
      </c>
      <c r="D2" s="48">
        <v>1308.05</v>
      </c>
    </row>
    <row r="3" spans="1:4" x14ac:dyDescent="0.25">
      <c r="A3" s="15" t="s">
        <v>651</v>
      </c>
      <c r="B3" s="16" t="s">
        <v>653</v>
      </c>
      <c r="C3" s="17">
        <v>10</v>
      </c>
      <c r="D3" s="48">
        <v>2022.65</v>
      </c>
    </row>
    <row r="4" spans="1:4" x14ac:dyDescent="0.25">
      <c r="A4" s="15" t="s">
        <v>651</v>
      </c>
      <c r="B4" s="16" t="s">
        <v>654</v>
      </c>
      <c r="C4" s="17">
        <v>10</v>
      </c>
      <c r="D4" s="48">
        <v>3033.93</v>
      </c>
    </row>
    <row r="5" spans="1:4" x14ac:dyDescent="0.25">
      <c r="A5" s="15" t="s">
        <v>651</v>
      </c>
      <c r="B5" s="16" t="s">
        <v>655</v>
      </c>
      <c r="C5" s="17">
        <v>5</v>
      </c>
      <c r="D5" s="48">
        <v>4521.6099999999997</v>
      </c>
    </row>
    <row r="6" spans="1:4" x14ac:dyDescent="0.25">
      <c r="A6" s="15" t="s">
        <v>651</v>
      </c>
      <c r="B6" s="16" t="s">
        <v>656</v>
      </c>
      <c r="C6" s="17">
        <v>5</v>
      </c>
      <c r="D6" s="48">
        <v>5782.74</v>
      </c>
    </row>
    <row r="7" spans="1:4" x14ac:dyDescent="0.25">
      <c r="A7" s="15" t="s">
        <v>651</v>
      </c>
      <c r="B7" s="16" t="s">
        <v>657</v>
      </c>
      <c r="C7" s="17">
        <v>5</v>
      </c>
      <c r="D7" s="48">
        <v>8929.94</v>
      </c>
    </row>
    <row r="9" spans="1:4" x14ac:dyDescent="0.25">
      <c r="A9" s="6" t="s">
        <v>658</v>
      </c>
      <c r="B9" s="6" t="s">
        <v>659</v>
      </c>
      <c r="C9" s="6" t="s">
        <v>660</v>
      </c>
      <c r="D9" s="6" t="s">
        <v>661</v>
      </c>
    </row>
    <row r="10" spans="1:4" x14ac:dyDescent="0.25">
      <c r="A10" s="3">
        <v>74</v>
      </c>
      <c r="B10" s="3" t="s">
        <v>662</v>
      </c>
      <c r="C10" s="3">
        <v>24</v>
      </c>
      <c r="D10" s="48">
        <v>988.11</v>
      </c>
    </row>
    <row r="11" spans="1:4" x14ac:dyDescent="0.25">
      <c r="A11" s="3">
        <v>82</v>
      </c>
      <c r="B11" s="3" t="s">
        <v>663</v>
      </c>
      <c r="C11" s="3">
        <v>25</v>
      </c>
      <c r="D11" s="48">
        <v>354.23</v>
      </c>
    </row>
    <row r="12" spans="1:4" x14ac:dyDescent="0.25">
      <c r="A12" s="3">
        <v>85</v>
      </c>
      <c r="B12" s="3" t="s">
        <v>664</v>
      </c>
      <c r="C12" s="3">
        <v>24</v>
      </c>
      <c r="D12" s="48">
        <v>622.57000000000005</v>
      </c>
    </row>
    <row r="13" spans="1:4" x14ac:dyDescent="0.25">
      <c r="A13" s="3">
        <v>86</v>
      </c>
      <c r="B13" s="3" t="s">
        <v>665</v>
      </c>
      <c r="C13" s="3">
        <v>24</v>
      </c>
      <c r="D13" s="48">
        <v>1001.74</v>
      </c>
    </row>
    <row r="14" spans="1:4" x14ac:dyDescent="0.25">
      <c r="A14" s="18"/>
      <c r="B14" s="18"/>
      <c r="C14" s="18"/>
      <c r="D14" s="18"/>
    </row>
    <row r="15" spans="1:4" x14ac:dyDescent="0.25">
      <c r="A15" s="6" t="s">
        <v>658</v>
      </c>
      <c r="B15" s="6" t="s">
        <v>659</v>
      </c>
      <c r="C15" s="6" t="s">
        <v>660</v>
      </c>
      <c r="D15" s="6" t="s">
        <v>661</v>
      </c>
    </row>
    <row r="16" spans="1:4" x14ac:dyDescent="0.25">
      <c r="A16" s="19">
        <v>3201</v>
      </c>
      <c r="B16" s="16" t="s">
        <v>666</v>
      </c>
      <c r="C16" s="17">
        <v>30</v>
      </c>
      <c r="D16" s="48">
        <v>159.57</v>
      </c>
    </row>
    <row r="17" spans="1:4" x14ac:dyDescent="0.25">
      <c r="A17" s="20">
        <v>3202</v>
      </c>
      <c r="B17" s="16" t="s">
        <v>667</v>
      </c>
      <c r="C17" s="17">
        <v>25</v>
      </c>
      <c r="D17" s="48">
        <v>175.2</v>
      </c>
    </row>
    <row r="18" spans="1:4" x14ac:dyDescent="0.25">
      <c r="A18" s="21">
        <v>3203</v>
      </c>
      <c r="B18" s="16" t="s">
        <v>668</v>
      </c>
      <c r="C18" s="17">
        <v>20</v>
      </c>
      <c r="D18" s="48">
        <v>241.56</v>
      </c>
    </row>
    <row r="19" spans="1:4" x14ac:dyDescent="0.25">
      <c r="A19" s="20">
        <v>3401</v>
      </c>
      <c r="B19" s="16" t="s">
        <v>669</v>
      </c>
      <c r="C19" s="17">
        <v>45</v>
      </c>
      <c r="D19" s="48">
        <v>171.58</v>
      </c>
    </row>
    <row r="20" spans="1:4" x14ac:dyDescent="0.25">
      <c r="A20" s="20">
        <v>3402</v>
      </c>
      <c r="B20" s="16" t="s">
        <v>670</v>
      </c>
      <c r="C20" s="17">
        <v>30</v>
      </c>
      <c r="D20" s="48">
        <v>218.26</v>
      </c>
    </row>
    <row r="21" spans="1:4" x14ac:dyDescent="0.25">
      <c r="A21" s="22"/>
      <c r="B21" s="23"/>
      <c r="C21" s="24"/>
      <c r="D21" s="25"/>
    </row>
    <row r="22" spans="1:4" x14ac:dyDescent="0.25">
      <c r="A22" s="26" t="s">
        <v>671</v>
      </c>
      <c r="B22" s="26" t="s">
        <v>672</v>
      </c>
      <c r="C22" s="26" t="s">
        <v>673</v>
      </c>
      <c r="D22" s="26" t="s">
        <v>674</v>
      </c>
    </row>
    <row r="23" spans="1:4" ht="15.75" thickBot="1" x14ac:dyDescent="0.3">
      <c r="A23" s="27">
        <v>40004</v>
      </c>
      <c r="B23" s="28" t="s">
        <v>675</v>
      </c>
      <c r="C23" s="29">
        <v>10</v>
      </c>
      <c r="D23" s="4">
        <v>702.79</v>
      </c>
    </row>
    <row r="24" spans="1:4" ht="15.75" thickBot="1" x14ac:dyDescent="0.3">
      <c r="A24" s="30">
        <v>50005</v>
      </c>
      <c r="B24" s="31" t="s">
        <v>676</v>
      </c>
      <c r="C24" s="32">
        <v>10</v>
      </c>
      <c r="D24" s="4">
        <v>844.49</v>
      </c>
    </row>
    <row r="25" spans="1:4" ht="15.75" thickBot="1" x14ac:dyDescent="0.3">
      <c r="A25" s="33">
        <v>63004</v>
      </c>
      <c r="B25" s="31" t="s">
        <v>677</v>
      </c>
      <c r="C25" s="32">
        <v>5</v>
      </c>
      <c r="D25" s="4">
        <v>1368.56</v>
      </c>
    </row>
    <row r="26" spans="1:4" x14ac:dyDescent="0.25">
      <c r="A26" s="34">
        <v>100004</v>
      </c>
      <c r="B26" s="35" t="s">
        <v>678</v>
      </c>
      <c r="C26" s="36">
        <v>5</v>
      </c>
      <c r="D26" s="4">
        <v>1460.96</v>
      </c>
    </row>
    <row r="27" spans="1:4" x14ac:dyDescent="0.25">
      <c r="A27" s="37">
        <v>110104</v>
      </c>
      <c r="B27" s="38" t="s">
        <v>679</v>
      </c>
      <c r="C27" s="39">
        <v>3</v>
      </c>
      <c r="D27" s="4">
        <v>2013.24</v>
      </c>
    </row>
    <row r="28" spans="1:4" x14ac:dyDescent="0.25">
      <c r="A28" s="3"/>
      <c r="B28" s="3" t="s">
        <v>680</v>
      </c>
      <c r="C28" s="15">
        <v>1</v>
      </c>
      <c r="D28" s="4">
        <f>(4095*(1+5%))*(1+10%)</f>
        <v>4729.7250000000004</v>
      </c>
    </row>
    <row r="29" spans="1:4" ht="15.75" thickBot="1" x14ac:dyDescent="0.3">
      <c r="A29" s="40"/>
      <c r="B29" s="41"/>
      <c r="C29" s="41"/>
      <c r="D29" s="41"/>
    </row>
    <row r="30" spans="1:4" ht="39" thickBot="1" x14ac:dyDescent="0.3">
      <c r="A30" s="42" t="s">
        <v>658</v>
      </c>
      <c r="B30" s="43" t="s">
        <v>659</v>
      </c>
      <c r="C30" s="43" t="s">
        <v>681</v>
      </c>
      <c r="D30" s="43" t="s">
        <v>661</v>
      </c>
    </row>
    <row r="31" spans="1:4" ht="15.75" thickBot="1" x14ac:dyDescent="0.3">
      <c r="A31" s="33">
        <v>102</v>
      </c>
      <c r="B31" s="44" t="s">
        <v>682</v>
      </c>
      <c r="C31" s="32">
        <v>100</v>
      </c>
      <c r="D31" s="4">
        <v>41.09</v>
      </c>
    </row>
    <row r="32" spans="1:4" ht="16.5" thickTop="1" thickBot="1" x14ac:dyDescent="0.3">
      <c r="A32" s="33">
        <v>104</v>
      </c>
      <c r="B32" s="31" t="s">
        <v>683</v>
      </c>
      <c r="C32" s="32">
        <v>100</v>
      </c>
      <c r="D32" s="4">
        <v>78.02</v>
      </c>
    </row>
    <row r="33" spans="1:4" ht="15.75" thickBot="1" x14ac:dyDescent="0.3">
      <c r="A33" s="33">
        <v>106</v>
      </c>
      <c r="B33" s="44" t="s">
        <v>684</v>
      </c>
      <c r="C33" s="32">
        <v>100</v>
      </c>
      <c r="D33" s="4">
        <v>107.53</v>
      </c>
    </row>
    <row r="34" spans="1:4" ht="16.5" thickTop="1" thickBot="1" x14ac:dyDescent="0.3">
      <c r="A34" s="33">
        <v>107</v>
      </c>
      <c r="B34" s="45" t="s">
        <v>685</v>
      </c>
      <c r="C34" s="32">
        <v>100</v>
      </c>
      <c r="D34" s="4" t="s">
        <v>686</v>
      </c>
    </row>
    <row r="35" spans="1:4" ht="16.5" thickTop="1" thickBot="1" x14ac:dyDescent="0.3">
      <c r="A35" s="33">
        <v>108</v>
      </c>
      <c r="B35" s="45" t="s">
        <v>687</v>
      </c>
      <c r="C35" s="32">
        <v>100</v>
      </c>
      <c r="D35" s="4">
        <v>178.35</v>
      </c>
    </row>
    <row r="36" spans="1:4" ht="16.5" thickTop="1" thickBot="1" x14ac:dyDescent="0.3">
      <c r="A36" s="33">
        <v>109</v>
      </c>
      <c r="B36" s="46" t="s">
        <v>688</v>
      </c>
      <c r="C36" s="32">
        <v>100</v>
      </c>
      <c r="D36" s="4" t="s">
        <v>686</v>
      </c>
    </row>
    <row r="37" spans="1:4" ht="16.5" thickTop="1" thickBot="1" x14ac:dyDescent="0.3">
      <c r="A37" s="33">
        <v>110</v>
      </c>
      <c r="B37" s="46" t="s">
        <v>689</v>
      </c>
      <c r="C37" s="32">
        <v>100</v>
      </c>
      <c r="D37" s="4">
        <v>248.79</v>
      </c>
    </row>
    <row r="38" spans="1:4" ht="16.5" thickTop="1" thickBot="1" x14ac:dyDescent="0.3">
      <c r="A38" s="33">
        <v>111</v>
      </c>
      <c r="B38" s="47" t="s">
        <v>690</v>
      </c>
      <c r="C38" s="32">
        <v>100</v>
      </c>
      <c r="D38" s="4">
        <v>295.16000000000003</v>
      </c>
    </row>
    <row r="39" spans="1:4" ht="16.5" thickTop="1" thickBot="1" x14ac:dyDescent="0.3">
      <c r="A39" s="33">
        <v>112</v>
      </c>
      <c r="B39" s="47" t="s">
        <v>691</v>
      </c>
      <c r="C39" s="32">
        <v>100</v>
      </c>
      <c r="D39" s="4">
        <v>436.45</v>
      </c>
    </row>
    <row r="40" spans="1:4" ht="15.75" thickTop="1" x14ac:dyDescent="0.25"/>
  </sheetData>
  <mergeCells count="1">
    <mergeCell ref="A1:D1"/>
  </mergeCells>
  <conditionalFormatting sqref="A21">
    <cfRule type="expression" dxfId="6" priority="7">
      <formula>NOT(EXACT(L21,A21))</formula>
    </cfRule>
  </conditionalFormatting>
  <conditionalFormatting sqref="A16:A18">
    <cfRule type="expression" dxfId="5" priority="6">
      <formula>NOT(EXACT(J16,A16))</formula>
    </cfRule>
  </conditionalFormatting>
  <conditionalFormatting sqref="A19:A20">
    <cfRule type="expression" dxfId="4" priority="5">
      <formula>NOT(EXACT(K19,A19))</formula>
    </cfRule>
  </conditionalFormatting>
  <conditionalFormatting sqref="A25:A27">
    <cfRule type="expression" dxfId="3" priority="2">
      <formula>NOT(EXACT(J23,A25))</formula>
    </cfRule>
  </conditionalFormatting>
  <conditionalFormatting sqref="A23">
    <cfRule type="expression" dxfId="2" priority="3">
      <formula>NOT(EXACT(J21,A23))</formula>
    </cfRule>
  </conditionalFormatting>
  <conditionalFormatting sqref="A24">
    <cfRule type="expression" dxfId="1" priority="4">
      <formula>NOT(EXACT(#REF!,A24))</formula>
    </cfRule>
  </conditionalFormatting>
  <conditionalFormatting sqref="A31:A39">
    <cfRule type="expression" dxfId="0" priority="1">
      <formula>NOT(EXACT(I31,A31))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FERRUM</vt:lpstr>
      <vt:lpstr>TUBOFUSION</vt:lpstr>
      <vt:lpstr>AWADUCT TUBOS</vt:lpstr>
      <vt:lpstr>AWADUCT ACC</vt:lpstr>
      <vt:lpstr>FUSIOGAS</vt:lpstr>
      <vt:lpstr>CANALETAS</vt:lpstr>
      <vt:lpstr>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Laura</dc:creator>
  <cp:lastModifiedBy>usuario</cp:lastModifiedBy>
  <dcterms:created xsi:type="dcterms:W3CDTF">2023-02-27T17:15:45Z</dcterms:created>
  <dcterms:modified xsi:type="dcterms:W3CDTF">2023-03-10T14:03:37Z</dcterms:modified>
</cp:coreProperties>
</file>