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afit-my.sharepoint.com/personal/josoriom2_eafit_edu_co/Documents/Semestre_VI/Heuristica/practica_3_jerónimo_osorio_muñoz/codigos/resultados/"/>
    </mc:Choice>
  </mc:AlternateContent>
  <xr:revisionPtr revIDLastSave="491" documentId="11_212DEE1FF2DE5BA560A906E5CCF753AAC1D1007A" xr6:coauthVersionLast="47" xr6:coauthVersionMax="47" xr10:uidLastSave="{76A194CD-1FEF-4FB1-A452-E9FD73897C14}"/>
  <bookViews>
    <workbookView xWindow="-108" yWindow="-108" windowWidth="23256" windowHeight="131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6" i="1" l="1"/>
  <c r="T56" i="1"/>
  <c r="K29" i="1"/>
  <c r="L29" i="1"/>
  <c r="M29" i="1"/>
  <c r="N29" i="1"/>
  <c r="O29" i="1"/>
  <c r="P29" i="1"/>
  <c r="Q29" i="1" s="1"/>
  <c r="K30" i="1"/>
  <c r="Q30" i="1" s="1"/>
  <c r="L30" i="1"/>
  <c r="M30" i="1"/>
  <c r="N30" i="1"/>
  <c r="O30" i="1"/>
  <c r="P30" i="1"/>
  <c r="U54" i="1"/>
  <c r="U53" i="1" s="1"/>
  <c r="U55" i="1" s="1"/>
  <c r="U45" i="1" s="1"/>
  <c r="U46" i="1" s="1"/>
  <c r="U50" i="1" s="1"/>
  <c r="U47" i="1" s="1"/>
  <c r="U48" i="1" s="1"/>
  <c r="U49" i="1" s="1"/>
  <c r="U51" i="1" s="1"/>
  <c r="U44" i="1" s="1"/>
  <c r="S55" i="1"/>
  <c r="S54" i="1"/>
  <c r="S53" i="1"/>
  <c r="S52" i="1"/>
  <c r="S45" i="1"/>
  <c r="S44" i="1"/>
  <c r="S51" i="1"/>
  <c r="S50" i="1"/>
  <c r="S49" i="1"/>
  <c r="S48" i="1"/>
  <c r="S47" i="1"/>
  <c r="S46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43" i="1"/>
  <c r="AO22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K37" i="1"/>
  <c r="AJ37" i="1"/>
  <c r="AI37" i="1"/>
  <c r="AK36" i="1"/>
  <c r="AJ36" i="1"/>
  <c r="AI36" i="1"/>
  <c r="AK35" i="1"/>
  <c r="AJ35" i="1"/>
  <c r="AI35" i="1"/>
  <c r="AK34" i="1"/>
  <c r="AJ34" i="1"/>
  <c r="AI34" i="1"/>
  <c r="AK33" i="1"/>
  <c r="AJ33" i="1"/>
  <c r="AI33" i="1"/>
  <c r="AK32" i="1"/>
  <c r="AJ32" i="1"/>
  <c r="AI32" i="1"/>
  <c r="AK31" i="1"/>
  <c r="AJ31" i="1"/>
  <c r="AI31" i="1"/>
  <c r="AK30" i="1"/>
  <c r="AJ30" i="1"/>
  <c r="AI30" i="1"/>
  <c r="AK29" i="1"/>
  <c r="AJ29" i="1"/>
  <c r="AI29" i="1"/>
  <c r="AK28" i="1"/>
  <c r="AJ28" i="1"/>
  <c r="AI28" i="1"/>
  <c r="AK27" i="1"/>
  <c r="AJ27" i="1"/>
  <c r="AI27" i="1"/>
  <c r="AK26" i="1"/>
  <c r="AJ26" i="1"/>
  <c r="AI26" i="1"/>
  <c r="AK25" i="1"/>
  <c r="AJ25" i="1"/>
  <c r="AI25" i="1"/>
  <c r="AK24" i="1"/>
  <c r="AJ24" i="1"/>
  <c r="AI24" i="1"/>
  <c r="AK23" i="1"/>
  <c r="AJ23" i="1"/>
  <c r="AI23" i="1"/>
  <c r="AK22" i="1"/>
  <c r="AJ22" i="1"/>
  <c r="AI22" i="1"/>
  <c r="AD38" i="1"/>
  <c r="AC38" i="1"/>
  <c r="AB38" i="1"/>
  <c r="AA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T38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22" i="1"/>
  <c r="U38" i="1"/>
  <c r="K22" i="1"/>
  <c r="K23" i="1"/>
  <c r="K24" i="1"/>
  <c r="K25" i="1"/>
  <c r="K26" i="1"/>
  <c r="K27" i="1"/>
  <c r="K28" i="1"/>
  <c r="K31" i="1"/>
  <c r="K32" i="1"/>
  <c r="K33" i="1"/>
  <c r="K34" i="1"/>
  <c r="K35" i="1"/>
  <c r="K36" i="1"/>
  <c r="K37" i="1"/>
  <c r="Q46" i="1" l="1"/>
  <c r="AL25" i="1"/>
  <c r="AL33" i="1"/>
  <c r="M59" i="1"/>
  <c r="T48" i="1" s="1"/>
  <c r="AL26" i="1"/>
  <c r="AL34" i="1"/>
  <c r="Q48" i="1"/>
  <c r="Q55" i="1"/>
  <c r="Q47" i="1"/>
  <c r="AE38" i="1"/>
  <c r="Q58" i="1"/>
  <c r="AL22" i="1"/>
  <c r="AL27" i="1"/>
  <c r="AL30" i="1"/>
  <c r="AL35" i="1"/>
  <c r="K59" i="1"/>
  <c r="T46" i="1" s="1"/>
  <c r="O59" i="1"/>
  <c r="T50" i="1" s="1"/>
  <c r="Q43" i="1"/>
  <c r="Q51" i="1"/>
  <c r="Q54" i="1"/>
  <c r="Q50" i="1"/>
  <c r="N59" i="1"/>
  <c r="T49" i="1" s="1"/>
  <c r="Q56" i="1"/>
  <c r="P59" i="1"/>
  <c r="T51" i="1" s="1"/>
  <c r="Q45" i="1"/>
  <c r="L59" i="1"/>
  <c r="T47" i="1" s="1"/>
  <c r="Q57" i="1"/>
  <c r="Q53" i="1"/>
  <c r="Q49" i="1"/>
  <c r="Q52" i="1"/>
  <c r="Q44" i="1"/>
  <c r="AL24" i="1"/>
  <c r="AL32" i="1"/>
  <c r="AL37" i="1"/>
  <c r="AL23" i="1"/>
  <c r="AL28" i="1"/>
  <c r="AL31" i="1"/>
  <c r="AL36" i="1"/>
  <c r="AL29" i="1"/>
  <c r="AO38" i="1"/>
  <c r="AI38" i="1"/>
  <c r="AJ38" i="1"/>
  <c r="AK38" i="1"/>
  <c r="V38" i="1"/>
  <c r="K38" i="1"/>
  <c r="T44" i="1" s="1"/>
  <c r="W38" i="1"/>
  <c r="Q59" i="1" l="1"/>
  <c r="AL38" i="1"/>
  <c r="X38" i="1"/>
  <c r="O37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AQ29" i="1"/>
  <c r="AR29" i="1"/>
  <c r="AS29" i="1"/>
  <c r="L31" i="1"/>
  <c r="M31" i="1"/>
  <c r="AP29" i="1" s="1"/>
  <c r="AT29" i="1" s="1"/>
  <c r="N31" i="1"/>
  <c r="O31" i="1"/>
  <c r="P31" i="1"/>
  <c r="L32" i="1"/>
  <c r="M32" i="1"/>
  <c r="N32" i="1"/>
  <c r="O32" i="1"/>
  <c r="P32" i="1"/>
  <c r="L33" i="1"/>
  <c r="M33" i="1"/>
  <c r="N33" i="1"/>
  <c r="O33" i="1"/>
  <c r="P33" i="1"/>
  <c r="L34" i="1"/>
  <c r="M34" i="1"/>
  <c r="N34" i="1"/>
  <c r="O34" i="1"/>
  <c r="P34" i="1"/>
  <c r="L35" i="1"/>
  <c r="M35" i="1"/>
  <c r="N35" i="1"/>
  <c r="O35" i="1"/>
  <c r="P35" i="1"/>
  <c r="L36" i="1"/>
  <c r="M36" i="1"/>
  <c r="N36" i="1"/>
  <c r="O36" i="1"/>
  <c r="P36" i="1"/>
  <c r="L37" i="1"/>
  <c r="M37" i="1"/>
  <c r="N37" i="1"/>
  <c r="P37" i="1"/>
  <c r="L22" i="1"/>
  <c r="M22" i="1"/>
  <c r="N22" i="1"/>
  <c r="O22" i="1"/>
  <c r="P22" i="1"/>
  <c r="AS27" i="1" l="1"/>
  <c r="AP27" i="1"/>
  <c r="AQ27" i="1"/>
  <c r="AR27" i="1"/>
  <c r="AQ31" i="1"/>
  <c r="AR31" i="1"/>
  <c r="AS31" i="1"/>
  <c r="AP31" i="1"/>
  <c r="AP34" i="1"/>
  <c r="AQ34" i="1"/>
  <c r="AR34" i="1"/>
  <c r="AS34" i="1"/>
  <c r="AQ25" i="1"/>
  <c r="AP25" i="1"/>
  <c r="AR25" i="1"/>
  <c r="AS25" i="1"/>
  <c r="AP37" i="1"/>
  <c r="AQ28" i="1"/>
  <c r="AR28" i="1"/>
  <c r="AS28" i="1"/>
  <c r="AP28" i="1"/>
  <c r="AQ32" i="1"/>
  <c r="AR32" i="1"/>
  <c r="AS32" i="1"/>
  <c r="AP32" i="1"/>
  <c r="AQ23" i="1"/>
  <c r="AS23" i="1"/>
  <c r="AR23" i="1"/>
  <c r="AP23" i="1"/>
  <c r="AS35" i="1"/>
  <c r="AP35" i="1"/>
  <c r="AR35" i="1"/>
  <c r="AQ35" i="1"/>
  <c r="AP26" i="1"/>
  <c r="AQ26" i="1"/>
  <c r="AR26" i="1"/>
  <c r="AS26" i="1"/>
  <c r="AR30" i="1"/>
  <c r="AS30" i="1"/>
  <c r="AP30" i="1"/>
  <c r="AQ30" i="1"/>
  <c r="AQ22" i="1"/>
  <c r="AR22" i="1"/>
  <c r="AP22" i="1"/>
  <c r="AS22" i="1"/>
  <c r="AQ33" i="1"/>
  <c r="AP33" i="1"/>
  <c r="AR33" i="1"/>
  <c r="AS33" i="1"/>
  <c r="AQ24" i="1"/>
  <c r="AS24" i="1"/>
  <c r="AP24" i="1"/>
  <c r="AR24" i="1"/>
  <c r="Q27" i="1"/>
  <c r="N38" i="1"/>
  <c r="T53" i="1" s="1"/>
  <c r="M38" i="1"/>
  <c r="T52" i="1" s="1"/>
  <c r="Q25" i="1"/>
  <c r="Q23" i="1"/>
  <c r="L38" i="1"/>
  <c r="T45" i="1" s="1"/>
  <c r="Q22" i="1"/>
  <c r="P38" i="1"/>
  <c r="T55" i="1" s="1"/>
  <c r="O38" i="1"/>
  <c r="T54" i="1" s="1"/>
  <c r="Q24" i="1"/>
  <c r="Q26" i="1"/>
  <c r="AR38" i="1" l="1"/>
  <c r="AS37" i="1"/>
  <c r="AT27" i="1"/>
  <c r="AS36" i="1"/>
  <c r="AT35" i="1"/>
  <c r="AP36" i="1"/>
  <c r="AT25" i="1"/>
  <c r="AR36" i="1"/>
  <c r="AT33" i="1"/>
  <c r="AQ36" i="1"/>
  <c r="AT32" i="1"/>
  <c r="AT30" i="1"/>
  <c r="AR37" i="1"/>
  <c r="AS38" i="1"/>
  <c r="AP38" i="1"/>
  <c r="AT23" i="1"/>
  <c r="AT31" i="1"/>
  <c r="AQ37" i="1"/>
  <c r="AT34" i="1"/>
  <c r="AT28" i="1"/>
  <c r="AT24" i="1"/>
  <c r="AT22" i="1"/>
  <c r="AQ38" i="1"/>
  <c r="AT26" i="1"/>
  <c r="Q28" i="1"/>
  <c r="AT38" i="1" l="1"/>
  <c r="AT36" i="1"/>
  <c r="AT37" i="1"/>
  <c r="Q31" i="1"/>
  <c r="Q32" i="1"/>
  <c r="Q33" i="1" l="1"/>
  <c r="Q34" i="1" l="1"/>
  <c r="Q35" i="1" l="1"/>
  <c r="Q36" i="1" l="1"/>
  <c r="Q37" i="1" l="1"/>
  <c r="Q38" i="1" s="1"/>
</calcChain>
</file>

<file path=xl/sharedStrings.xml><?xml version="1.0" encoding="utf-8"?>
<sst xmlns="http://schemas.openxmlformats.org/spreadsheetml/2006/main" count="241" uniqueCount="55">
  <si>
    <t>Instancia</t>
  </si>
  <si>
    <t>MKGRASP</t>
  </si>
  <si>
    <t>MKVND</t>
  </si>
  <si>
    <t>MKMELS02</t>
  </si>
  <si>
    <t>MKMELS05</t>
  </si>
  <si>
    <t>MKMELS08</t>
  </si>
  <si>
    <t>tVND</t>
  </si>
  <si>
    <t>tMELS02</t>
  </si>
  <si>
    <t>tMELS05</t>
  </si>
  <si>
    <t>tMELS08</t>
  </si>
  <si>
    <t>itVND</t>
  </si>
  <si>
    <t>itMELS02</t>
  </si>
  <si>
    <t>itMELS05</t>
  </si>
  <si>
    <t>itMELS08</t>
  </si>
  <si>
    <t>JSSP1</t>
  </si>
  <si>
    <t>JSSP2</t>
  </si>
  <si>
    <t>JSSP3</t>
  </si>
  <si>
    <t>JSSP4</t>
  </si>
  <si>
    <t>JSSP5</t>
  </si>
  <si>
    <t>JSSP6</t>
  </si>
  <si>
    <t>JSSP7</t>
  </si>
  <si>
    <t>JSSP8</t>
  </si>
  <si>
    <t>JSSP9</t>
  </si>
  <si>
    <t>JSSP10</t>
  </si>
  <si>
    <t>JSSP11</t>
  </si>
  <si>
    <t>JSSP12</t>
  </si>
  <si>
    <t>JSSP13</t>
  </si>
  <si>
    <t>JSSP14</t>
  </si>
  <si>
    <t>JSSP15</t>
  </si>
  <si>
    <t>JSSP16</t>
  </si>
  <si>
    <t>Constructivo</t>
  </si>
  <si>
    <t>Grasp</t>
  </si>
  <si>
    <t>VND</t>
  </si>
  <si>
    <t>MELSP (p=0.2)</t>
  </si>
  <si>
    <t>MELSP (p=0.5)</t>
  </si>
  <si>
    <t>MELSP (p=0.8)</t>
  </si>
  <si>
    <t>Cotas</t>
  </si>
  <si>
    <t>Tabla de los makespan</t>
  </si>
  <si>
    <t>Tabla de las cotas</t>
  </si>
  <si>
    <t>Promedio</t>
  </si>
  <si>
    <t>Posición</t>
  </si>
  <si>
    <t>Tabla de tiempos</t>
  </si>
  <si>
    <t>Tabla de iteraciones</t>
  </si>
  <si>
    <t>Tabla de comparacion MELSP</t>
  </si>
  <si>
    <t>Intechange BI</t>
  </si>
  <si>
    <t>Insertion up BI</t>
  </si>
  <si>
    <t>Insertio down BI</t>
  </si>
  <si>
    <t>Interchange FI</t>
  </si>
  <si>
    <t>Insertion up FI</t>
  </si>
  <si>
    <t>Insertion down FI</t>
  </si>
  <si>
    <t>Lista de posiciones</t>
  </si>
  <si>
    <t>Método</t>
  </si>
  <si>
    <t>Promedio gap</t>
  </si>
  <si>
    <t>Tabla del porcentaje de mejora desde GRASP</t>
  </si>
  <si>
    <t>Genetico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</si>
</sst>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0"/>
      <color rgb="FF000000"/>
      <name val="Arial Unicode MS"/>
    </font>
    <font>
      <b/>
      <sz val="11"/>
      <color theme="1"/>
      <name val="Calibri"/>
      <family val="2"/>
    </font>
    <font>
      <b/>
      <sz val="16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0"/>
      <color rgb="FF000000"/>
      <name val="Arial Unicode MS"/>
    </font>
    <font>
      <b/>
      <sz val="14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10" fontId="0" fillId="0" borderId="0" xfId="2" applyNumberFormat="1" applyFont="1"/>
    <xf numFmtId="10" fontId="0" fillId="0" borderId="0" xfId="0" applyNumberFormat="1"/>
    <xf numFmtId="10" fontId="6" fillId="0" borderId="4" xfId="2" applyNumberFormat="1" applyFont="1" applyBorder="1"/>
    <xf numFmtId="10" fontId="6" fillId="0" borderId="5" xfId="2" applyNumberFormat="1" applyFont="1" applyBorder="1"/>
    <xf numFmtId="10" fontId="6" fillId="0" borderId="3" xfId="0" applyNumberFormat="1" applyFont="1" applyBorder="1"/>
    <xf numFmtId="0" fontId="0" fillId="0" borderId="0" xfId="1" applyNumberFormat="1" applyFont="1"/>
    <xf numFmtId="0" fontId="6" fillId="0" borderId="7" xfId="0" applyFont="1" applyBorder="1"/>
    <xf numFmtId="0" fontId="7" fillId="0" borderId="8" xfId="0" applyFont="1" applyBorder="1" applyAlignment="1">
      <alignment vertical="center"/>
    </xf>
    <xf numFmtId="10" fontId="6" fillId="0" borderId="8" xfId="0" applyNumberFormat="1" applyFont="1" applyBorder="1"/>
    <xf numFmtId="10" fontId="6" fillId="4" borderId="8" xfId="0" applyNumberFormat="1" applyFont="1" applyFill="1" applyBorder="1"/>
    <xf numFmtId="0" fontId="6" fillId="0" borderId="6" xfId="0" applyFont="1" applyBorder="1"/>
    <xf numFmtId="0" fontId="3" fillId="0" borderId="6" xfId="0" applyFont="1" applyBorder="1" applyAlignment="1">
      <alignment vertical="center"/>
    </xf>
    <xf numFmtId="0" fontId="8" fillId="0" borderId="6" xfId="1" applyNumberFormat="1" applyFont="1" applyBorder="1"/>
    <xf numFmtId="2" fontId="0" fillId="0" borderId="0" xfId="0" applyNumberFormat="1"/>
    <xf numFmtId="164" fontId="6" fillId="0" borderId="4" xfId="1" applyFont="1" applyBorder="1"/>
    <xf numFmtId="164" fontId="6" fillId="4" borderId="8" xfId="1" applyFont="1" applyFill="1" applyBorder="1"/>
    <xf numFmtId="164" fontId="6" fillId="0" borderId="8" xfId="1" applyFont="1" applyBorder="1"/>
    <xf numFmtId="0" fontId="0" fillId="0" borderId="9" xfId="1" applyNumberFormat="1" applyFont="1" applyBorder="1"/>
    <xf numFmtId="164" fontId="6" fillId="0" borderId="5" xfId="1" applyFont="1" applyBorder="1"/>
    <xf numFmtId="164" fontId="6" fillId="0" borderId="10" xfId="1" applyFont="1" applyBorder="1"/>
    <xf numFmtId="165" fontId="6" fillId="0" borderId="4" xfId="1" applyNumberFormat="1" applyFont="1" applyBorder="1"/>
    <xf numFmtId="165" fontId="6" fillId="0" borderId="5" xfId="1" applyNumberFormat="1" applyFont="1" applyBorder="1"/>
    <xf numFmtId="165" fontId="6" fillId="0" borderId="10" xfId="1" applyNumberFormat="1" applyFont="1" applyBorder="1"/>
    <xf numFmtId="165" fontId="6" fillId="4" borderId="8" xfId="1" applyNumberFormat="1" applyFont="1" applyFill="1" applyBorder="1"/>
    <xf numFmtId="165" fontId="6" fillId="0" borderId="8" xfId="1" applyNumberFormat="1" applyFont="1" applyBorder="1"/>
    <xf numFmtId="165" fontId="6" fillId="5" borderId="8" xfId="1" applyNumberFormat="1" applyFont="1" applyFill="1" applyBorder="1"/>
    <xf numFmtId="10" fontId="6" fillId="4" borderId="5" xfId="2" applyNumberFormat="1" applyFont="1" applyFill="1" applyBorder="1"/>
    <xf numFmtId="165" fontId="6" fillId="4" borderId="5" xfId="1" applyNumberFormat="1" applyFont="1" applyFill="1" applyBorder="1"/>
    <xf numFmtId="10" fontId="6" fillId="4" borderId="4" xfId="2" applyNumberFormat="1" applyFont="1" applyFill="1" applyBorder="1"/>
    <xf numFmtId="0" fontId="5" fillId="5" borderId="0" xfId="0" applyFont="1" applyFill="1"/>
    <xf numFmtId="0" fontId="4" fillId="2" borderId="1" xfId="0" applyFont="1" applyFill="1" applyBorder="1" applyAlignment="1">
      <alignment horizontal="center" vertical="center"/>
    </xf>
    <xf numFmtId="10" fontId="6" fillId="5" borderId="8" xfId="0" applyNumberFormat="1" applyFont="1" applyFill="1" applyBorder="1"/>
    <xf numFmtId="0" fontId="9" fillId="0" borderId="0" xfId="0" applyFont="1"/>
    <xf numFmtId="0" fontId="5" fillId="3" borderId="0" xfId="0" applyFont="1" applyFill="1" applyAlignment="1">
      <alignment horizontal="center"/>
    </xf>
    <xf numFmtId="0" fontId="10" fillId="0" borderId="0" xfId="0" applyFont="1"/>
  </cellXfs>
  <cellStyles count="3">
    <cellStyle name="Millares" xfId="1" builtinId="3"/>
    <cellStyle name="Normal" xfId="0" builtinId="0"/>
    <cellStyle name="Porcentaje" xfId="2" builtinId="5"/>
  </cellStyles>
  <dxfs count="20"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/>
        <i/>
        <family val="2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vertical/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/>
        <family val="2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/>
        <family val="2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/>
        <family val="2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/>
        <family val="2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/>
        <family val="2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vertical/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C6D78-16E3-46C1-8594-76F65498BC7D}" name="Tabla1" displayName="Tabla1" ref="A21:G37" totalsRowShown="0" headerRowDxfId="19">
  <tableColumns count="7">
    <tableColumn id="1" xr3:uid="{E23545B6-6E9C-449E-B22E-2C2B1E93536A}" name="Instancia"/>
    <tableColumn id="2" xr3:uid="{867B345A-002C-4592-AB75-023B303811BB}" name="Constructivo"/>
    <tableColumn id="3" xr3:uid="{93314F5E-49B1-40FA-BD12-201B6B6D839F}" name="Grasp"/>
    <tableColumn id="4" xr3:uid="{077528CB-62A1-4556-9CAD-9A70B08D38A0}" name="VND"/>
    <tableColumn id="5" xr3:uid="{0F92678E-6D0B-43A8-BFF1-5660BF698655}" name="MELSP (p=0.2)"/>
    <tableColumn id="6" xr3:uid="{9155E524-F20F-4D92-9766-6F0FDAFE51D5}" name="MELSP (p=0.5)"/>
    <tableColumn id="7" xr3:uid="{A85CEB06-BAB1-44CF-8257-57EC5DDDE930}" name="MELSP (p=0.8)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202D27-1B17-4991-8A68-CF8D3FE590DD}" name="Tabla13" displayName="Tabla13" ref="I21:Q39" totalsRowShown="0" headerRowDxfId="18">
  <tableColumns count="9">
    <tableColumn id="1" xr3:uid="{A96A76B3-4177-455D-BFAE-0F787D1E2723}" name="Instancia"/>
    <tableColumn id="8" xr3:uid="{A27E8715-8A64-4CDA-B706-AF7254C55BD8}" name="Cotas" dataDxfId="17"/>
    <tableColumn id="2" xr3:uid="{83BCA978-F014-43CE-A4F5-8358BCE03852}" name="Constructivo" dataDxfId="16">
      <calculatedColumnFormula>Tabla1[[#This Row],[Constructivo]]/$J22 -1</calculatedColumnFormula>
    </tableColumn>
    <tableColumn id="3" xr3:uid="{5B2E9F55-79A3-4D1C-A348-FF988815983F}" name="Grasp">
      <calculatedColumnFormula>Tabla1[[#This Row],[Grasp]]/$J22 -1</calculatedColumnFormula>
    </tableColumn>
    <tableColumn id="4" xr3:uid="{5EF1F889-0CEC-41D5-974F-85EA494939ED}" name="VND">
      <calculatedColumnFormula>Tabla1[[#This Row],[VND]]/$J22 -1</calculatedColumnFormula>
    </tableColumn>
    <tableColumn id="5" xr3:uid="{7E650EB2-5856-4E71-A12B-CBD3920E361A}" name="MELSP (p=0.2)">
      <calculatedColumnFormula>Tabla1[[#This Row],[MELSP (p=0.2)]]/$J22 -1</calculatedColumnFormula>
    </tableColumn>
    <tableColumn id="6" xr3:uid="{0FCA621A-6F7E-475D-9904-B9A2FAF04ABA}" name="MELSP (p=0.5)">
      <calculatedColumnFormula>Tabla1[[#This Row],[MELSP (p=0.5)]]/$J22 -1</calculatedColumnFormula>
    </tableColumn>
    <tableColumn id="7" xr3:uid="{12EB43A1-F3BA-4C85-972B-96531EE95365}" name="MELSP (p=0.8)">
      <calculatedColumnFormula>Tabla1[[#This Row],[MELSP (p=0.8)]]/$J22 -1</calculatedColumnFormula>
    </tableColumn>
    <tableColumn id="9" xr3:uid="{CFBE18C9-E937-481F-A489-82FEED695CAD}" name="Promedio" dataDxfId="15" dataCellStyle="Porcentaje">
      <calculatedColumnFormula>AVERAGE(Tabla13[[#This Row],[Constructivo]:[MELSP (p=0.8)]])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E4D95-B9F1-4029-8B47-36FD25EE9D05}" name="Tabla134" displayName="Tabla134" ref="S21:X39" totalsRowShown="0" headerRowDxfId="14">
  <tableColumns count="6">
    <tableColumn id="1" xr3:uid="{B74F1E04-B7DC-49A8-8D36-6AD85630B44A}" name="Instancia"/>
    <tableColumn id="4" xr3:uid="{1033BA7D-A85E-4DCC-A58F-E4EFE050A182}" name="VND">
      <calculatedColumnFormula>Tabla1[[#This Row],[VND]]/$J22 -1</calculatedColumnFormula>
    </tableColumn>
    <tableColumn id="5" xr3:uid="{9E991547-E1EA-4E07-9D96-E271ABEC307B}" name="MELSP (p=0.2)">
      <calculatedColumnFormula>Tabla1[[#This Row],[MELSP (p=0.2)]]/$J22 -1</calculatedColumnFormula>
    </tableColumn>
    <tableColumn id="6" xr3:uid="{8AAD48FB-29BF-482A-BDA5-1C0E1B65DCC6}" name="MELSP (p=0.5)">
      <calculatedColumnFormula>Tabla1[[#This Row],[MELSP (p=0.5)]]/$J22 -1</calculatedColumnFormula>
    </tableColumn>
    <tableColumn id="7" xr3:uid="{F861711B-6046-401C-A343-E8980478A7EF}" name="MELSP (p=0.8)">
      <calculatedColumnFormula>Tabla1[[#This Row],[MELSP (p=0.8)]]/$J22 -1</calculatedColumnFormula>
    </tableColumn>
    <tableColumn id="9" xr3:uid="{2C240F79-FB20-4863-A568-F77B2CB7ABC8}" name="Promedio" dataDxfId="13" dataCellStyle="Porcentaje">
      <calculatedColumnFormula>AVERAGE(#REF!)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F7A24C-BC90-4760-A2AA-FD59C862FD5A}" name="Tabla1345" displayName="Tabla1345" ref="Z21:AE39" totalsRowShown="0" headerRowDxfId="12">
  <tableColumns count="6">
    <tableColumn id="1" xr3:uid="{D1BA570D-54D2-42DB-9162-4AA9D5C11E6B}" name="Instancia"/>
    <tableColumn id="4" xr3:uid="{F42F0DF1-F89E-4D1B-A0C8-A73704747FC6}" name="VND">
      <calculatedColumnFormula>Tabla1[[#This Row],[VND]]/$J22 -1</calculatedColumnFormula>
    </tableColumn>
    <tableColumn id="5" xr3:uid="{D30F9EAE-5954-41DF-BAC9-492D0BDFB9C5}" name="MELSP (p=0.2)">
      <calculatedColumnFormula>Tabla1[[#This Row],[MELSP (p=0.2)]]/$J22 -1</calculatedColumnFormula>
    </tableColumn>
    <tableColumn id="6" xr3:uid="{1263BE7E-5E96-4575-B9A4-C573FB030A6B}" name="MELSP (p=0.5)">
      <calculatedColumnFormula>Tabla1[[#This Row],[MELSP (p=0.5)]]/$J22 -1</calculatedColumnFormula>
    </tableColumn>
    <tableColumn id="7" xr3:uid="{DA5CBAE6-5E33-4A82-A518-BC1315AA545B}" name="MELSP (p=0.8)">
      <calculatedColumnFormula>Tabla1[[#This Row],[MELSP (p=0.8)]]/$J22 -1</calculatedColumnFormula>
    </tableColumn>
    <tableColumn id="9" xr3:uid="{5FE19B83-5176-4943-A326-FA689F888A51}" name="Promedio" dataDxfId="11" dataCellStyle="Porcentaje">
      <calculatedColumnFormula>AVERAGE(#REF!)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2D64E-72B4-4D0E-A132-DB2FBCAEDD28}" name="Tabla136" displayName="Tabla136" ref="AG21:AL39" totalsRowShown="0" headerRowDxfId="10">
  <tableColumns count="6">
    <tableColumn id="1" xr3:uid="{00352B4A-1123-4149-95B6-ABB441184C52}" name="Instancia"/>
    <tableColumn id="8" xr3:uid="{2B5EBF0E-18E6-43E8-AF3F-3777A21E45B7}" name="Cotas" dataDxfId="9"/>
    <tableColumn id="5" xr3:uid="{DBCC496A-8EFE-4FB0-B814-F91930411350}" name="MELSP (p=0.2)">
      <calculatedColumnFormula>Tabla1[[#This Row],[MELSP (p=0.2)]]/$J22 -1</calculatedColumnFormula>
    </tableColumn>
    <tableColumn id="6" xr3:uid="{B4B7A5FC-837F-4313-98FF-5D048FFC84C0}" name="MELSP (p=0.5)">
      <calculatedColumnFormula>Tabla1[[#This Row],[MELSP (p=0.5)]]/$J22 -1</calculatedColumnFormula>
    </tableColumn>
    <tableColumn id="7" xr3:uid="{1022E7BD-47D8-4543-92D4-DA1D5FDB24DB}" name="MELSP (p=0.8)">
      <calculatedColumnFormula>Tabla1[[#This Row],[MELSP (p=0.8)]]/$J22 -1</calculatedColumnFormula>
    </tableColumn>
    <tableColumn id="9" xr3:uid="{D08A0498-D1E9-4757-9BDA-933FC8CCC95F}" name="Promedio" dataDxfId="8" dataCellStyle="Porcentaje">
      <calculatedColumnFormula>AVERAGE(#REF!)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7B5668-2FBC-42DA-8E48-CE3780C99D2E}" name="Tabla137" displayName="Tabla137" ref="AN21:AT39" totalsRowShown="0" headerRowDxfId="7">
  <tableColumns count="7">
    <tableColumn id="1" xr3:uid="{C6380457-DBB8-4321-8AA6-9FD090EDA17C}" name="Instancia"/>
    <tableColumn id="3" xr3:uid="{F3D0AABF-AC2A-4016-8860-C2A1274244EA}" name="Grasp">
      <calculatedColumnFormula>Tabla1[[#This Row],[Grasp]]/$J22 -1</calculatedColumnFormula>
    </tableColumn>
    <tableColumn id="4" xr3:uid="{22683FEA-87E5-44A0-95BD-F031CA8F7BF8}" name="VND">
      <calculatedColumnFormula>Tabla1[[#This Row],[VND]]/$J22 -1</calculatedColumnFormula>
    </tableColumn>
    <tableColumn id="5" xr3:uid="{4E9BE553-D889-4E3E-AE7A-3F0C26F101DE}" name="MELSP (p=0.2)">
      <calculatedColumnFormula>Tabla1[[#This Row],[MELSP (p=0.2)]]/$J22 -1</calculatedColumnFormula>
    </tableColumn>
    <tableColumn id="6" xr3:uid="{522FC4DF-4B75-40BD-BA32-F2E8E58B1455}" name="MELSP (p=0.5)">
      <calculatedColumnFormula>Tabla1[[#This Row],[MELSP (p=0.5)]]/$J22 -1</calculatedColumnFormula>
    </tableColumn>
    <tableColumn id="7" xr3:uid="{E55BE03A-B089-4B76-9554-C9DDE7FDEAEB}" name="MELSP (p=0.8)">
      <calculatedColumnFormula>Tabla1[[#This Row],[MELSP (p=0.8)]]/$J22 -1</calculatedColumnFormula>
    </tableColumn>
    <tableColumn id="9" xr3:uid="{856349E3-AA2C-4287-874A-D5A833235AD7}" name="Promedio" dataDxfId="6" dataCellStyle="Porcentaje">
      <calculatedColumnFormula>AVERAGE(#REF!)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930ADB-D01B-4681-B7CE-E92344170BD8}" name="Tabla138" displayName="Tabla138" ref="I42:Q60" totalsRowShown="0" headerRowDxfId="5">
  <tableColumns count="9">
    <tableColumn id="1" xr3:uid="{51E2D2C0-E328-4CAF-B449-F57BE8D7C046}" name="Instancia"/>
    <tableColumn id="8" xr3:uid="{C6E74AF8-F094-40FF-8687-D2F48FD48562}" name="Cotas" dataDxfId="4"/>
    <tableColumn id="2" xr3:uid="{F3908C37-3D18-40E3-ACB4-CDD6665B60E7}" name="Intechange BI" dataDxfId="3">
      <calculatedColumnFormula>Tabla1[[#This Row],[Constructivo]]/$J43 -1</calculatedColumnFormula>
    </tableColumn>
    <tableColumn id="3" xr3:uid="{E2D12F5F-8A4A-4166-9F62-F021AD1F41DC}" name="Insertion up BI">
      <calculatedColumnFormula>Tabla1[[#This Row],[Grasp]]/$J43 -1</calculatedColumnFormula>
    </tableColumn>
    <tableColumn id="4" xr3:uid="{20E4D5E2-585C-42DF-A0C5-A947DF1110D7}" name="Insertio down BI">
      <calculatedColumnFormula>Tabla1[[#This Row],[VND]]/$J43 -1</calculatedColumnFormula>
    </tableColumn>
    <tableColumn id="5" xr3:uid="{33B6458D-3B80-4A8F-887C-C89E90125350}" name="Interchange FI">
      <calculatedColumnFormula>Tabla1[[#This Row],[MELSP (p=0.2)]]/$J43 -1</calculatedColumnFormula>
    </tableColumn>
    <tableColumn id="6" xr3:uid="{EBD5F784-EAE1-432E-A408-2960CD04218C}" name="Insertion up FI">
      <calculatedColumnFormula>Tabla1[[#This Row],[MELSP (p=0.5)]]/$J43 -1</calculatedColumnFormula>
    </tableColumn>
    <tableColumn id="7" xr3:uid="{A4A63960-0124-4ECB-A99F-FE12B76083C8}" name="Insertion down FI">
      <calculatedColumnFormula>Tabla1[[#This Row],[MELSP (p=0.8)]]/$J43 -1</calculatedColumnFormula>
    </tableColumn>
    <tableColumn id="9" xr3:uid="{4A0EF2CD-5703-45F8-88F2-75404A0BD10B}" name="Promedio" dataDxfId="2" dataCellStyle="Porcentaje">
      <calculatedColumnFormula>AVERAGE(Tabla138[[#This Row],[Intechange BI]:[Insertion down FI]])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9F38F0-39AC-420E-BC94-10FDF5F2B505}" name="Tabla9" displayName="Tabla9" ref="S43:U56" totalsRowShown="0" headerRowDxfId="1">
  <tableColumns count="3">
    <tableColumn id="1" xr3:uid="{B226EE44-99D0-4E62-A3EE-F0ECFC96D3D2}" name="Método"/>
    <tableColumn id="2" xr3:uid="{74FEC03A-4E83-4622-925A-B8C20B5301D8}" name="Promedio gap" dataDxfId="0"/>
    <tableColumn id="3" xr3:uid="{32DAB930-9809-4377-81E7-17EE590D5593}" name="Posició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0"/>
  <sheetViews>
    <sheetView tabSelected="1" topLeftCell="I30" zoomScaleNormal="100" workbookViewId="0">
      <selection activeCell="U57" sqref="U57"/>
    </sheetView>
  </sheetViews>
  <sheetFormatPr baseColWidth="10" defaultColWidth="8.77734375" defaultRowHeight="14.4"/>
  <cols>
    <col min="1" max="1" width="12.109375" bestFit="1" customWidth="1"/>
    <col min="2" max="2" width="13" bestFit="1" customWidth="1"/>
    <col min="3" max="3" width="14.44140625" bestFit="1" customWidth="1"/>
    <col min="4" max="4" width="12.6640625" bestFit="1" customWidth="1"/>
    <col min="5" max="5" width="12.88671875" bestFit="1" customWidth="1"/>
    <col min="6" max="6" width="14.6640625" customWidth="1"/>
    <col min="7" max="7" width="15.6640625" bestFit="1" customWidth="1"/>
    <col min="9" max="10" width="11.77734375" bestFit="1" customWidth="1"/>
    <col min="11" max="11" width="12.44140625" bestFit="1" customWidth="1"/>
    <col min="12" max="12" width="13.21875" bestFit="1" customWidth="1"/>
    <col min="13" max="13" width="14.77734375" bestFit="1" customWidth="1"/>
    <col min="14" max="14" width="12.88671875" bestFit="1" customWidth="1"/>
    <col min="15" max="15" width="13" bestFit="1" customWidth="1"/>
    <col min="16" max="16" width="15.6640625" bestFit="1" customWidth="1"/>
    <col min="19" max="19" width="15.33203125" bestFit="1" customWidth="1"/>
    <col min="20" max="20" width="16.33203125" bestFit="1" customWidth="1"/>
    <col min="21" max="25" width="12.77734375" bestFit="1" customWidth="1"/>
    <col min="26" max="26" width="9.77734375" bestFit="1" customWidth="1"/>
    <col min="27" max="27" width="8.6640625" bestFit="1" customWidth="1"/>
    <col min="28" max="30" width="12.88671875" bestFit="1" customWidth="1"/>
    <col min="31" max="31" width="10.21875" bestFit="1" customWidth="1"/>
    <col min="33" max="33" width="9.77734375" bestFit="1" customWidth="1"/>
    <col min="34" max="34" width="5.5546875" bestFit="1" customWidth="1"/>
    <col min="35" max="40" width="12.88671875" bestFit="1" customWidth="1"/>
    <col min="41" max="41" width="7.77734375" bestFit="1" customWidth="1"/>
    <col min="42" max="42" width="11.44140625" bestFit="1" customWidth="1"/>
    <col min="43" max="47" width="12.88671875" bestFit="1" customWidth="1"/>
    <col min="48" max="48" width="9" bestFit="1" customWidth="1"/>
  </cols>
  <sheetData>
    <row r="1" spans="1:1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1662</v>
      </c>
      <c r="C2">
        <v>1486</v>
      </c>
      <c r="D2">
        <v>1469</v>
      </c>
      <c r="E2">
        <v>1469</v>
      </c>
      <c r="F2">
        <v>1486</v>
      </c>
      <c r="G2">
        <v>1486</v>
      </c>
      <c r="H2">
        <v>2.0001504421234002</v>
      </c>
      <c r="I2">
        <v>2.0057001113892001</v>
      </c>
      <c r="J2">
        <v>2.0269734859467001</v>
      </c>
      <c r="K2">
        <v>2.0159065723418998</v>
      </c>
      <c r="L2">
        <v>3</v>
      </c>
      <c r="M2">
        <v>6</v>
      </c>
      <c r="N2">
        <v>5</v>
      </c>
      <c r="O2">
        <v>6</v>
      </c>
    </row>
    <row r="3" spans="1:15">
      <c r="A3" t="s">
        <v>15</v>
      </c>
      <c r="B3">
        <v>1616</v>
      </c>
      <c r="C3">
        <v>1530</v>
      </c>
      <c r="D3">
        <v>1505</v>
      </c>
      <c r="E3">
        <v>1482</v>
      </c>
      <c r="F3">
        <v>1514</v>
      </c>
      <c r="G3">
        <v>1514</v>
      </c>
      <c r="H3">
        <v>2.0002341270446999</v>
      </c>
      <c r="I3">
        <v>2.0100896358489999</v>
      </c>
      <c r="J3">
        <v>2.0073266029357999</v>
      </c>
      <c r="K3">
        <v>2.0108201503754</v>
      </c>
      <c r="L3">
        <v>3</v>
      </c>
      <c r="M3">
        <v>6</v>
      </c>
      <c r="N3">
        <v>6</v>
      </c>
      <c r="O3">
        <v>6</v>
      </c>
    </row>
    <row r="4" spans="1:15">
      <c r="A4" t="s">
        <v>16</v>
      </c>
      <c r="B4">
        <v>2037</v>
      </c>
      <c r="C4">
        <v>1790</v>
      </c>
      <c r="D4">
        <v>1756</v>
      </c>
      <c r="E4">
        <v>1783</v>
      </c>
      <c r="F4">
        <v>1756</v>
      </c>
      <c r="G4">
        <v>1756</v>
      </c>
      <c r="H4">
        <v>2.0002138614654998</v>
      </c>
      <c r="I4">
        <v>2.0278985500336</v>
      </c>
      <c r="J4">
        <v>2.0126781463622998</v>
      </c>
      <c r="K4">
        <v>2.0136914253235001</v>
      </c>
      <c r="L4">
        <v>2</v>
      </c>
      <c r="M4">
        <v>5</v>
      </c>
      <c r="N4">
        <v>5</v>
      </c>
      <c r="O4">
        <v>5</v>
      </c>
    </row>
    <row r="5" spans="1:15">
      <c r="A5" t="s">
        <v>17</v>
      </c>
      <c r="B5">
        <v>2063</v>
      </c>
      <c r="C5">
        <v>1839</v>
      </c>
      <c r="D5">
        <v>1834</v>
      </c>
      <c r="E5">
        <v>1829</v>
      </c>
      <c r="F5">
        <v>1839</v>
      </c>
      <c r="G5">
        <v>1839</v>
      </c>
      <c r="H5">
        <v>2.0002150535582999</v>
      </c>
      <c r="I5">
        <v>2.0113506317139001</v>
      </c>
      <c r="J5">
        <v>2.0263388156890998</v>
      </c>
      <c r="K5">
        <v>2.0246860980988002</v>
      </c>
      <c r="L5">
        <v>2</v>
      </c>
      <c r="M5">
        <v>5</v>
      </c>
      <c r="N5">
        <v>5</v>
      </c>
      <c r="O5">
        <v>5</v>
      </c>
    </row>
    <row r="6" spans="1:15">
      <c r="A6" t="s">
        <v>18</v>
      </c>
      <c r="B6">
        <v>2377</v>
      </c>
      <c r="C6">
        <v>2215</v>
      </c>
      <c r="D6">
        <v>2121</v>
      </c>
      <c r="E6">
        <v>2114</v>
      </c>
      <c r="F6">
        <v>2117</v>
      </c>
      <c r="G6">
        <v>2140</v>
      </c>
      <c r="H6">
        <v>55.005908250809</v>
      </c>
      <c r="I6">
        <v>77.283766508102005</v>
      </c>
      <c r="J6">
        <v>81.934190511702994</v>
      </c>
      <c r="K6">
        <v>94.534839630126996</v>
      </c>
      <c r="L6">
        <v>11</v>
      </c>
      <c r="M6">
        <v>33</v>
      </c>
      <c r="N6">
        <v>34</v>
      </c>
      <c r="O6">
        <v>36</v>
      </c>
    </row>
    <row r="7" spans="1:15">
      <c r="A7" t="s">
        <v>19</v>
      </c>
      <c r="B7">
        <v>2387</v>
      </c>
      <c r="C7">
        <v>2081</v>
      </c>
      <c r="D7">
        <v>2012</v>
      </c>
      <c r="E7">
        <v>2040</v>
      </c>
      <c r="F7">
        <v>1983</v>
      </c>
      <c r="G7">
        <v>1998</v>
      </c>
      <c r="H7">
        <v>38.167309284209999</v>
      </c>
      <c r="I7">
        <v>87.165383338927995</v>
      </c>
      <c r="J7">
        <v>80.422424554825</v>
      </c>
      <c r="K7">
        <v>90.165754079818996</v>
      </c>
      <c r="L7">
        <v>8</v>
      </c>
      <c r="M7">
        <v>25</v>
      </c>
      <c r="N7">
        <v>33</v>
      </c>
      <c r="O7">
        <v>35</v>
      </c>
    </row>
    <row r="8" spans="1:15">
      <c r="A8" t="s">
        <v>20</v>
      </c>
      <c r="B8">
        <v>2475</v>
      </c>
      <c r="C8">
        <v>2373</v>
      </c>
      <c r="D8">
        <v>2259</v>
      </c>
      <c r="E8">
        <v>2230</v>
      </c>
      <c r="F8">
        <v>2251</v>
      </c>
      <c r="G8">
        <v>2259</v>
      </c>
      <c r="H8">
        <v>75.000322341919002</v>
      </c>
      <c r="I8">
        <v>90.887192249297996</v>
      </c>
      <c r="J8">
        <v>82.204901218413994</v>
      </c>
      <c r="K8">
        <v>75.050915718078997</v>
      </c>
      <c r="L8">
        <v>10</v>
      </c>
      <c r="M8">
        <v>22</v>
      </c>
      <c r="N8">
        <v>17</v>
      </c>
      <c r="O8">
        <v>13</v>
      </c>
    </row>
    <row r="9" spans="1:15">
      <c r="A9" t="s">
        <v>21</v>
      </c>
      <c r="B9">
        <v>2562</v>
      </c>
      <c r="C9">
        <v>2473</v>
      </c>
      <c r="D9">
        <v>2369</v>
      </c>
      <c r="E9">
        <v>2360</v>
      </c>
      <c r="F9">
        <v>2369</v>
      </c>
      <c r="G9">
        <v>2367</v>
      </c>
      <c r="H9">
        <v>82.294218540192006</v>
      </c>
      <c r="I9">
        <v>80.860202312468999</v>
      </c>
      <c r="J9">
        <v>97.648852348328006</v>
      </c>
      <c r="K9">
        <v>105.67101979256</v>
      </c>
      <c r="L9">
        <v>11</v>
      </c>
      <c r="M9">
        <v>17</v>
      </c>
      <c r="N9">
        <v>19</v>
      </c>
      <c r="O9">
        <v>20</v>
      </c>
    </row>
    <row r="10" spans="1:15">
      <c r="A10" t="s">
        <v>22</v>
      </c>
      <c r="B10">
        <v>2604</v>
      </c>
      <c r="C10">
        <v>2753</v>
      </c>
      <c r="D10">
        <v>2617</v>
      </c>
      <c r="E10">
        <v>2646</v>
      </c>
      <c r="F10">
        <v>2662</v>
      </c>
      <c r="G10">
        <v>2629</v>
      </c>
      <c r="H10">
        <v>75.000481367111007</v>
      </c>
      <c r="I10">
        <v>75.066624641418002</v>
      </c>
      <c r="J10">
        <v>84.470751285553007</v>
      </c>
      <c r="K10">
        <v>75.074615001677998</v>
      </c>
      <c r="L10">
        <v>5</v>
      </c>
      <c r="M10">
        <v>8</v>
      </c>
      <c r="N10">
        <v>12</v>
      </c>
      <c r="O10">
        <v>8</v>
      </c>
    </row>
    <row r="11" spans="1:15">
      <c r="A11" t="s">
        <v>23</v>
      </c>
      <c r="B11">
        <v>3101</v>
      </c>
      <c r="C11">
        <v>2803</v>
      </c>
      <c r="D11">
        <v>2628</v>
      </c>
      <c r="E11">
        <v>2630</v>
      </c>
      <c r="F11">
        <v>2583</v>
      </c>
      <c r="G11">
        <v>2628</v>
      </c>
      <c r="H11">
        <v>75.000378847121993</v>
      </c>
      <c r="I11">
        <v>75.043699979782005</v>
      </c>
      <c r="J11">
        <v>75.061927318572998</v>
      </c>
      <c r="K11">
        <v>75.037554979324</v>
      </c>
      <c r="L11">
        <v>5</v>
      </c>
      <c r="M11">
        <v>8</v>
      </c>
      <c r="N11">
        <v>8</v>
      </c>
      <c r="O11">
        <v>8</v>
      </c>
    </row>
    <row r="12" spans="1:15">
      <c r="A12" t="s">
        <v>24</v>
      </c>
      <c r="B12">
        <v>3581</v>
      </c>
      <c r="C12">
        <v>3494</v>
      </c>
      <c r="D12">
        <v>3356</v>
      </c>
      <c r="E12">
        <v>3307</v>
      </c>
      <c r="F12">
        <v>3356</v>
      </c>
      <c r="G12">
        <v>3356</v>
      </c>
      <c r="H12">
        <v>150.0008559227</v>
      </c>
      <c r="I12">
        <v>150.06923580169999</v>
      </c>
      <c r="J12">
        <v>150.08635306357999</v>
      </c>
      <c r="K12">
        <v>150.09556627274</v>
      </c>
      <c r="L12">
        <v>5</v>
      </c>
      <c r="M12">
        <v>8</v>
      </c>
      <c r="N12">
        <v>8</v>
      </c>
      <c r="O12">
        <v>8</v>
      </c>
    </row>
    <row r="13" spans="1:15">
      <c r="A13" t="s">
        <v>25</v>
      </c>
      <c r="B13">
        <v>4050</v>
      </c>
      <c r="C13">
        <v>3462</v>
      </c>
      <c r="D13">
        <v>3316</v>
      </c>
      <c r="E13">
        <v>3302</v>
      </c>
      <c r="F13">
        <v>3338</v>
      </c>
      <c r="G13">
        <v>3331</v>
      </c>
      <c r="H13">
        <v>150.00053358078</v>
      </c>
      <c r="I13">
        <v>150.07796907425001</v>
      </c>
      <c r="J13">
        <v>150.04519271851001</v>
      </c>
      <c r="K13">
        <v>150.12699770927</v>
      </c>
      <c r="L13">
        <v>5</v>
      </c>
      <c r="M13">
        <v>8</v>
      </c>
      <c r="N13">
        <v>8</v>
      </c>
      <c r="O13">
        <v>8</v>
      </c>
    </row>
    <row r="14" spans="1:15">
      <c r="A14" t="s">
        <v>26</v>
      </c>
      <c r="B14">
        <v>4044</v>
      </c>
      <c r="C14">
        <v>3804</v>
      </c>
      <c r="D14">
        <v>3606</v>
      </c>
      <c r="E14">
        <v>3660</v>
      </c>
      <c r="F14">
        <v>3675</v>
      </c>
      <c r="G14">
        <v>3585</v>
      </c>
      <c r="H14">
        <v>300.00054574013001</v>
      </c>
      <c r="I14">
        <v>300.26222825050002</v>
      </c>
      <c r="J14">
        <v>300.24266242981003</v>
      </c>
      <c r="K14">
        <v>300.14703941344999</v>
      </c>
      <c r="L14">
        <v>5</v>
      </c>
      <c r="M14">
        <v>8</v>
      </c>
      <c r="N14">
        <v>8</v>
      </c>
      <c r="O14">
        <v>8</v>
      </c>
    </row>
    <row r="15" spans="1:15">
      <c r="A15" t="s">
        <v>27</v>
      </c>
      <c r="B15">
        <v>3961</v>
      </c>
      <c r="C15">
        <v>3829</v>
      </c>
      <c r="D15">
        <v>3700</v>
      </c>
      <c r="E15">
        <v>3702</v>
      </c>
      <c r="F15">
        <v>3673</v>
      </c>
      <c r="G15">
        <v>3734</v>
      </c>
      <c r="H15">
        <v>300.00111508369002</v>
      </c>
      <c r="I15">
        <v>300.11725807189998</v>
      </c>
      <c r="J15">
        <v>300.16110515593999</v>
      </c>
      <c r="K15">
        <v>300.22624349594003</v>
      </c>
      <c r="L15">
        <v>5</v>
      </c>
      <c r="M15">
        <v>8</v>
      </c>
      <c r="N15">
        <v>8</v>
      </c>
      <c r="O15">
        <v>8</v>
      </c>
    </row>
    <row r="16" spans="1:15">
      <c r="A16" t="s">
        <v>28</v>
      </c>
      <c r="B16">
        <v>6955</v>
      </c>
      <c r="C16">
        <v>6544</v>
      </c>
      <c r="D16">
        <v>6314</v>
      </c>
      <c r="E16">
        <v>6293</v>
      </c>
      <c r="F16">
        <v>6292</v>
      </c>
      <c r="G16">
        <v>6374</v>
      </c>
      <c r="H16">
        <v>1800.0012354851001</v>
      </c>
      <c r="I16">
        <v>1800.7427518367999</v>
      </c>
      <c r="J16">
        <v>1800.9363839626001</v>
      </c>
      <c r="K16">
        <v>1800.8057668209001</v>
      </c>
      <c r="L16">
        <v>4</v>
      </c>
      <c r="M16">
        <v>7</v>
      </c>
      <c r="N16">
        <v>7</v>
      </c>
      <c r="O16">
        <v>7</v>
      </c>
    </row>
    <row r="17" spans="1:48">
      <c r="A17" t="s">
        <v>29</v>
      </c>
      <c r="B17">
        <v>6842</v>
      </c>
      <c r="C17">
        <v>6192</v>
      </c>
      <c r="D17">
        <v>6003</v>
      </c>
      <c r="E17">
        <v>6050</v>
      </c>
      <c r="F17">
        <v>5930</v>
      </c>
      <c r="G17">
        <v>5997</v>
      </c>
      <c r="H17">
        <v>1800.001445055</v>
      </c>
      <c r="I17">
        <v>1800.4220678806</v>
      </c>
      <c r="J17">
        <v>1800.5783977509</v>
      </c>
      <c r="K17">
        <v>1800.8252122402</v>
      </c>
      <c r="L17">
        <v>4</v>
      </c>
      <c r="M17">
        <v>7</v>
      </c>
      <c r="N17">
        <v>7</v>
      </c>
      <c r="O17">
        <v>7</v>
      </c>
    </row>
    <row r="20" spans="1:48" ht="21">
      <c r="A20" s="38" t="s">
        <v>37</v>
      </c>
      <c r="B20" s="38"/>
      <c r="C20" s="38"/>
      <c r="D20" s="38"/>
      <c r="E20" s="38"/>
      <c r="F20" s="38"/>
      <c r="G20" s="38"/>
      <c r="I20" s="38" t="s">
        <v>38</v>
      </c>
      <c r="J20" s="38"/>
      <c r="K20" s="38"/>
      <c r="L20" s="38"/>
      <c r="M20" s="38"/>
      <c r="N20" s="38"/>
      <c r="O20" s="38"/>
      <c r="P20" s="38"/>
      <c r="Q20" s="38"/>
      <c r="S20" s="38" t="s">
        <v>41</v>
      </c>
      <c r="T20" s="38"/>
      <c r="U20" s="38"/>
      <c r="V20" s="38"/>
      <c r="W20" s="38"/>
      <c r="X20" s="38"/>
      <c r="Z20" s="38" t="s">
        <v>42</v>
      </c>
      <c r="AA20" s="38"/>
      <c r="AB20" s="38"/>
      <c r="AC20" s="38"/>
      <c r="AD20" s="38"/>
      <c r="AE20" s="38"/>
      <c r="AG20" s="38" t="s">
        <v>43</v>
      </c>
      <c r="AH20" s="38"/>
      <c r="AI20" s="38"/>
      <c r="AJ20" s="38"/>
      <c r="AK20" s="38"/>
      <c r="AL20" s="38"/>
      <c r="AM20" s="34"/>
      <c r="AN20" s="38" t="s">
        <v>53</v>
      </c>
      <c r="AO20" s="38"/>
      <c r="AP20" s="38"/>
      <c r="AQ20" s="38"/>
      <c r="AR20" s="38"/>
      <c r="AS20" s="38"/>
      <c r="AT20" s="38"/>
      <c r="AU20" s="34"/>
      <c r="AV20" s="34"/>
    </row>
    <row r="21" spans="1:48" ht="15" thickBot="1">
      <c r="A21" s="4" t="s">
        <v>0</v>
      </c>
      <c r="B21" s="4" t="s">
        <v>30</v>
      </c>
      <c r="C21" s="4" t="s">
        <v>31</v>
      </c>
      <c r="D21" s="4" t="s">
        <v>32</v>
      </c>
      <c r="E21" s="4" t="s">
        <v>33</v>
      </c>
      <c r="F21" s="4" t="s">
        <v>34</v>
      </c>
      <c r="G21" s="4" t="s">
        <v>35</v>
      </c>
      <c r="I21" s="4" t="s">
        <v>0</v>
      </c>
      <c r="J21" s="4" t="s">
        <v>36</v>
      </c>
      <c r="K21" s="4" t="s">
        <v>30</v>
      </c>
      <c r="L21" s="4" t="s">
        <v>31</v>
      </c>
      <c r="M21" s="4" t="s">
        <v>32</v>
      </c>
      <c r="N21" s="4" t="s">
        <v>33</v>
      </c>
      <c r="O21" s="4" t="s">
        <v>34</v>
      </c>
      <c r="P21" s="4" t="s">
        <v>35</v>
      </c>
      <c r="Q21" s="4" t="s">
        <v>39</v>
      </c>
      <c r="S21" s="4" t="s">
        <v>0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39</v>
      </c>
      <c r="Z21" s="4" t="s">
        <v>0</v>
      </c>
      <c r="AA21" s="4" t="s">
        <v>32</v>
      </c>
      <c r="AB21" s="4" t="s">
        <v>33</v>
      </c>
      <c r="AC21" s="4" t="s">
        <v>34</v>
      </c>
      <c r="AD21" s="4" t="s">
        <v>35</v>
      </c>
      <c r="AE21" s="4" t="s">
        <v>39</v>
      </c>
      <c r="AG21" s="4" t="s">
        <v>0</v>
      </c>
      <c r="AH21" s="4" t="s">
        <v>36</v>
      </c>
      <c r="AI21" s="4" t="s">
        <v>33</v>
      </c>
      <c r="AJ21" s="4" t="s">
        <v>34</v>
      </c>
      <c r="AK21" s="4" t="s">
        <v>35</v>
      </c>
      <c r="AL21" s="4" t="s">
        <v>39</v>
      </c>
      <c r="AN21" s="4" t="s">
        <v>0</v>
      </c>
      <c r="AO21" s="4" t="s">
        <v>31</v>
      </c>
      <c r="AP21" s="4" t="s">
        <v>32</v>
      </c>
      <c r="AQ21" s="4" t="s">
        <v>33</v>
      </c>
      <c r="AR21" s="4" t="s">
        <v>34</v>
      </c>
      <c r="AS21" s="4" t="s">
        <v>35</v>
      </c>
      <c r="AT21" s="4" t="s">
        <v>39</v>
      </c>
    </row>
    <row r="22" spans="1:48" ht="15" thickBot="1">
      <c r="A22" t="s">
        <v>14</v>
      </c>
      <c r="B22">
        <v>1662</v>
      </c>
      <c r="C22">
        <v>1486</v>
      </c>
      <c r="D22">
        <v>1469</v>
      </c>
      <c r="E22">
        <v>1469</v>
      </c>
      <c r="F22">
        <v>1486</v>
      </c>
      <c r="G22">
        <v>1486</v>
      </c>
      <c r="I22" t="s">
        <v>14</v>
      </c>
      <c r="J22" s="1">
        <v>991</v>
      </c>
      <c r="K22" s="5">
        <f>Tabla1[[#This Row],[Constructivo]]/$J22 -1</f>
        <v>0.67709384460141275</v>
      </c>
      <c r="L22" s="5">
        <f>Tabla1[[#This Row],[Grasp]]/$J22 -1</f>
        <v>0.49949545913218962</v>
      </c>
      <c r="M22" s="5">
        <f>Tabla1[[#This Row],[VND]]/$J22 -1</f>
        <v>0.4823410696266397</v>
      </c>
      <c r="N22" s="5">
        <f>Tabla1[[#This Row],[MELSP (p=0.2)]]/$J22 -1</f>
        <v>0.4823410696266397</v>
      </c>
      <c r="O22" s="5">
        <f>Tabla1[[#This Row],[MELSP (p=0.5)]]/$J22 -1</f>
        <v>0.49949545913218962</v>
      </c>
      <c r="P22" s="5">
        <f>Tabla1[[#This Row],[MELSP (p=0.8)]]/$J22 -1</f>
        <v>0.49949545913218962</v>
      </c>
      <c r="Q22" s="7">
        <f>AVERAGE(Tabla13[[#This Row],[Constructivo]:[MELSP (p=0.8)]])</f>
        <v>0.52337706020854347</v>
      </c>
      <c r="S22" t="s">
        <v>14</v>
      </c>
      <c r="T22" s="18">
        <v>2.0001504421234002</v>
      </c>
      <c r="U22" s="18">
        <v>2.0057001113892001</v>
      </c>
      <c r="V22" s="18">
        <v>2.0269734859467001</v>
      </c>
      <c r="W22" s="18">
        <v>2.0159065723418998</v>
      </c>
      <c r="X22" s="19">
        <f>AVERAGE(Tabla134[[#This Row],[VND]:[MELSP (p=0.8)]])</f>
        <v>2.0121826529502997</v>
      </c>
      <c r="Z22" t="s">
        <v>14</v>
      </c>
      <c r="AA22">
        <v>3</v>
      </c>
      <c r="AB22">
        <v>6</v>
      </c>
      <c r="AC22">
        <v>5</v>
      </c>
      <c r="AD22">
        <v>6</v>
      </c>
      <c r="AE22" s="25">
        <f>AVERAGE(Tabla1345[[#This Row],[VND]:[MELSP (p=0.8)]])</f>
        <v>5</v>
      </c>
      <c r="AG22" t="s">
        <v>14</v>
      </c>
      <c r="AH22" s="1">
        <v>991</v>
      </c>
      <c r="AI22" s="5">
        <f>Tabla1[[#This Row],[MELSP (p=0.2)]]/$J22 -1</f>
        <v>0.4823410696266397</v>
      </c>
      <c r="AJ22" s="5">
        <f>Tabla1[[#This Row],[MELSP (p=0.5)]]/$J22 -1</f>
        <v>0.49949545913218962</v>
      </c>
      <c r="AK22" s="5">
        <f>Tabla1[[#This Row],[MELSP (p=0.8)]]/$J22 -1</f>
        <v>0.49949545913218962</v>
      </c>
      <c r="AL22" s="7">
        <f>AVERAGE(Tabla136[[#This Row],[MELSP (p=0.2)]:[MELSP (p=0.8)]])</f>
        <v>0.4937773292970063</v>
      </c>
      <c r="AN22" t="s">
        <v>14</v>
      </c>
      <c r="AO22" s="5">
        <f>Tabla1[[#This Row],[Grasp]]/$J22 -1</f>
        <v>0.49949545913218962</v>
      </c>
      <c r="AP22" s="5">
        <f>$L22/Tabla13[[#This Row],[VND]] -1</f>
        <v>3.5564853556485421E-2</v>
      </c>
      <c r="AQ22" s="5">
        <f>$L22/Tabla13[[#This Row],[MELSP (p=0.2)]] -1</f>
        <v>3.5564853556485421E-2</v>
      </c>
      <c r="AR22" s="5">
        <f>$L22/Tabla13[[#This Row],[MELSP (p=0.5)]] -1</f>
        <v>0</v>
      </c>
      <c r="AS22" s="5">
        <f>$L22/Tabla13[[#This Row],[MELSP (p=0.8)]] -1</f>
        <v>0</v>
      </c>
      <c r="AT22" s="7">
        <f>AVERAGE(Tabla137[[#This Row],[VND]:[MELSP (p=0.8)]])</f>
        <v>1.778242677824271E-2</v>
      </c>
    </row>
    <row r="23" spans="1:48" ht="15" thickBot="1">
      <c r="A23" t="s">
        <v>15</v>
      </c>
      <c r="B23">
        <v>1616</v>
      </c>
      <c r="C23">
        <v>1530</v>
      </c>
      <c r="D23">
        <v>1505</v>
      </c>
      <c r="E23">
        <v>1482</v>
      </c>
      <c r="F23">
        <v>1514</v>
      </c>
      <c r="G23">
        <v>1514</v>
      </c>
      <c r="I23" t="s">
        <v>15</v>
      </c>
      <c r="J23" s="1">
        <v>985</v>
      </c>
      <c r="K23" s="5">
        <f>Tabla1[[#This Row],[Constructivo]]/$J23 -1</f>
        <v>0.64060913705583755</v>
      </c>
      <c r="L23" s="5">
        <f>Tabla1[[#This Row],[Grasp]]/$J23 -1</f>
        <v>0.5532994923857868</v>
      </c>
      <c r="M23" s="5">
        <f>Tabla1[[#This Row],[VND]]/$J23 -1</f>
        <v>0.52791878172588835</v>
      </c>
      <c r="N23" s="5">
        <f>Tabla1[[#This Row],[MELSP (p=0.2)]]/$J23 -1</f>
        <v>0.50456852791878171</v>
      </c>
      <c r="O23" s="5">
        <f>Tabla1[[#This Row],[MELSP (p=0.5)]]/$J23 -1</f>
        <v>0.53705583756345177</v>
      </c>
      <c r="P23" s="5">
        <f>Tabla1[[#This Row],[MELSP (p=0.8)]]/$J23 -1</f>
        <v>0.53705583756345177</v>
      </c>
      <c r="Q23" s="8">
        <f>AVERAGE(Tabla13[[#This Row],[Constructivo]:[MELSP (p=0.8)]])</f>
        <v>0.55008460236886636</v>
      </c>
      <c r="S23" t="s">
        <v>15</v>
      </c>
      <c r="T23" s="18">
        <v>2.0002341270446999</v>
      </c>
      <c r="U23" s="18">
        <v>2.0100896358489999</v>
      </c>
      <c r="V23" s="18">
        <v>2.0073266029357999</v>
      </c>
      <c r="W23" s="18">
        <v>2.0108201503754</v>
      </c>
      <c r="X23" s="23">
        <f>AVERAGE(Tabla134[[#This Row],[VND]:[MELSP (p=0.8)]])</f>
        <v>2.0071176290512249</v>
      </c>
      <c r="Z23" t="s">
        <v>15</v>
      </c>
      <c r="AA23">
        <v>3</v>
      </c>
      <c r="AB23">
        <v>6</v>
      </c>
      <c r="AC23">
        <v>6</v>
      </c>
      <c r="AD23">
        <v>6</v>
      </c>
      <c r="AE23" s="26">
        <f>AVERAGE(Tabla1345[[#This Row],[VND]:[MELSP (p=0.8)]])</f>
        <v>5.25</v>
      </c>
      <c r="AG23" t="s">
        <v>15</v>
      </c>
      <c r="AH23" s="1">
        <v>985</v>
      </c>
      <c r="AI23" s="5">
        <f>Tabla1[[#This Row],[MELSP (p=0.2)]]/$J23 -1</f>
        <v>0.50456852791878171</v>
      </c>
      <c r="AJ23" s="5">
        <f>Tabla1[[#This Row],[MELSP (p=0.5)]]/$J23 -1</f>
        <v>0.53705583756345177</v>
      </c>
      <c r="AK23" s="5">
        <f>Tabla1[[#This Row],[MELSP (p=0.8)]]/$J23 -1</f>
        <v>0.53705583756345177</v>
      </c>
      <c r="AL23" s="7">
        <f>AVERAGE(Tabla136[[#This Row],[MELSP (p=0.2)]:[MELSP (p=0.8)]])</f>
        <v>0.52622673434856171</v>
      </c>
      <c r="AN23" t="s">
        <v>15</v>
      </c>
      <c r="AO23" s="5">
        <f>Tabla1[[#This Row],[Grasp]]/$J23 -1</f>
        <v>0.5532994923857868</v>
      </c>
      <c r="AP23" s="5">
        <f>$L23/Tabla13[[#This Row],[VND]] -1</f>
        <v>4.8076923076922906E-2</v>
      </c>
      <c r="AQ23" s="5">
        <f>$L23/Tabla13[[#This Row],[MELSP (p=0.2)]] -1</f>
        <v>9.6579476861166969E-2</v>
      </c>
      <c r="AR23" s="5">
        <f>$L23/Tabla13[[#This Row],[MELSP (p=0.5)]] -1</f>
        <v>3.0245746691871522E-2</v>
      </c>
      <c r="AS23" s="5">
        <f>$L23/Tabla13[[#This Row],[MELSP (p=0.8)]] -1</f>
        <v>3.0245746691871522E-2</v>
      </c>
      <c r="AT23" s="7">
        <f>AVERAGE(Tabla137[[#This Row],[VND]:[MELSP (p=0.8)]])</f>
        <v>5.128697333045823E-2</v>
      </c>
    </row>
    <row r="24" spans="1:48" ht="15" thickBot="1">
      <c r="A24" t="s">
        <v>16</v>
      </c>
      <c r="B24">
        <v>2037</v>
      </c>
      <c r="C24">
        <v>1790</v>
      </c>
      <c r="D24">
        <v>1756</v>
      </c>
      <c r="E24">
        <v>1783</v>
      </c>
      <c r="F24">
        <v>1756</v>
      </c>
      <c r="G24">
        <v>1756</v>
      </c>
      <c r="I24" t="s">
        <v>16</v>
      </c>
      <c r="J24" s="1">
        <v>1177</v>
      </c>
      <c r="K24" s="5">
        <f>Tabla1[[#This Row],[Constructivo]]/$J24 -1</f>
        <v>0.73067119796091751</v>
      </c>
      <c r="L24" s="5">
        <f>Tabla1[[#This Row],[Grasp]]/$J24 -1</f>
        <v>0.52081563296516564</v>
      </c>
      <c r="M24" s="5">
        <f>Tabla1[[#This Row],[VND]]/$J24 -1</f>
        <v>0.49192863211554805</v>
      </c>
      <c r="N24" s="5">
        <f>Tabla1[[#This Row],[MELSP (p=0.2)]]/$J24 -1</f>
        <v>0.5148683092608326</v>
      </c>
      <c r="O24" s="5">
        <f>Tabla1[[#This Row],[MELSP (p=0.5)]]/$J24 -1</f>
        <v>0.49192863211554805</v>
      </c>
      <c r="P24" s="5">
        <f>Tabla1[[#This Row],[MELSP (p=0.8)]]/$J24 -1</f>
        <v>0.49192863211554805</v>
      </c>
      <c r="Q24" s="8">
        <f>AVERAGE(Tabla13[[#This Row],[Constructivo]:[MELSP (p=0.8)]])</f>
        <v>0.54035683942225998</v>
      </c>
      <c r="S24" t="s">
        <v>16</v>
      </c>
      <c r="T24" s="18">
        <v>2.0002138614654998</v>
      </c>
      <c r="U24" s="18">
        <v>2.0278985500336</v>
      </c>
      <c r="V24" s="18">
        <v>2.0126781463622998</v>
      </c>
      <c r="W24" s="18">
        <v>2.0136914253235001</v>
      </c>
      <c r="X24" s="23">
        <f>AVERAGE(Tabla134[[#This Row],[VND]:[MELSP (p=0.8)]])</f>
        <v>2.0136204957962249</v>
      </c>
      <c r="Z24" t="s">
        <v>16</v>
      </c>
      <c r="AA24">
        <v>2</v>
      </c>
      <c r="AB24">
        <v>5</v>
      </c>
      <c r="AC24">
        <v>5</v>
      </c>
      <c r="AD24">
        <v>5</v>
      </c>
      <c r="AE24" s="26">
        <f>AVERAGE(Tabla1345[[#This Row],[VND]:[MELSP (p=0.8)]])</f>
        <v>4.25</v>
      </c>
      <c r="AG24" t="s">
        <v>16</v>
      </c>
      <c r="AH24" s="1">
        <v>1177</v>
      </c>
      <c r="AI24" s="5">
        <f>Tabla1[[#This Row],[MELSP (p=0.2)]]/$J24 -1</f>
        <v>0.5148683092608326</v>
      </c>
      <c r="AJ24" s="5">
        <f>Tabla1[[#This Row],[MELSP (p=0.5)]]/$J24 -1</f>
        <v>0.49192863211554805</v>
      </c>
      <c r="AK24" s="5">
        <f>Tabla1[[#This Row],[MELSP (p=0.8)]]/$J24 -1</f>
        <v>0.49192863211554805</v>
      </c>
      <c r="AL24" s="7">
        <f>AVERAGE(Tabla136[[#This Row],[MELSP (p=0.2)]:[MELSP (p=0.8)]])</f>
        <v>0.49957519116397625</v>
      </c>
      <c r="AN24" t="s">
        <v>16</v>
      </c>
      <c r="AO24" s="5">
        <f>Tabla1[[#This Row],[Grasp]]/$J24 -1</f>
        <v>0.52081563296516564</v>
      </c>
      <c r="AP24" s="5">
        <f>$L24/Tabla13[[#This Row],[VND]] -1</f>
        <v>5.8721934369602602E-2</v>
      </c>
      <c r="AQ24" s="5">
        <f>$L24/Tabla13[[#This Row],[MELSP (p=0.2)]] -1</f>
        <v>1.1551155115511635E-2</v>
      </c>
      <c r="AR24" s="5">
        <f>$L24/Tabla13[[#This Row],[MELSP (p=0.5)]] -1</f>
        <v>5.8721934369602602E-2</v>
      </c>
      <c r="AS24" s="5">
        <f>$L24/Tabla13[[#This Row],[MELSP (p=0.8)]] -1</f>
        <v>5.8721934369602602E-2</v>
      </c>
      <c r="AT24" s="7">
        <f>AVERAGE(Tabla137[[#This Row],[VND]:[MELSP (p=0.8)]])</f>
        <v>4.692923955607986E-2</v>
      </c>
    </row>
    <row r="25" spans="1:48" ht="15" thickBot="1">
      <c r="A25" t="s">
        <v>17</v>
      </c>
      <c r="B25">
        <v>2063</v>
      </c>
      <c r="C25">
        <v>1839</v>
      </c>
      <c r="D25">
        <v>1834</v>
      </c>
      <c r="E25">
        <v>1829</v>
      </c>
      <c r="F25">
        <v>1839</v>
      </c>
      <c r="G25">
        <v>1839</v>
      </c>
      <c r="I25" t="s">
        <v>17</v>
      </c>
      <c r="J25" s="1">
        <v>1218</v>
      </c>
      <c r="K25" s="5">
        <f>Tabla1[[#This Row],[Constructivo]]/$J25 -1</f>
        <v>0.69376026272577995</v>
      </c>
      <c r="L25" s="5">
        <f>Tabla1[[#This Row],[Grasp]]/$J25 -1</f>
        <v>0.50985221674876846</v>
      </c>
      <c r="M25" s="5">
        <f>Tabla1[[#This Row],[VND]]/$J25 -1</f>
        <v>0.50574712643678166</v>
      </c>
      <c r="N25" s="5">
        <f>Tabla1[[#This Row],[MELSP (p=0.2)]]/$J25 -1</f>
        <v>0.50164203612479485</v>
      </c>
      <c r="O25" s="5">
        <f>Tabla1[[#This Row],[MELSP (p=0.5)]]/$J25 -1</f>
        <v>0.50985221674876846</v>
      </c>
      <c r="P25" s="5">
        <f>Tabla1[[#This Row],[MELSP (p=0.8)]]/$J25 -1</f>
        <v>0.50985221674876846</v>
      </c>
      <c r="Q25" s="8">
        <f>AVERAGE(Tabla13[[#This Row],[Constructivo]:[MELSP (p=0.8)]])</f>
        <v>0.53845101258894379</v>
      </c>
      <c r="S25" t="s">
        <v>17</v>
      </c>
      <c r="T25" s="18">
        <v>2.0002150535582999</v>
      </c>
      <c r="U25" s="18">
        <v>2.0113506317139001</v>
      </c>
      <c r="V25" s="18">
        <v>2.0263388156890998</v>
      </c>
      <c r="W25" s="18">
        <v>2.0246860980988002</v>
      </c>
      <c r="X25" s="23">
        <f>AVERAGE(Tabla134[[#This Row],[VND]:[MELSP (p=0.8)]])</f>
        <v>2.0156476497650253</v>
      </c>
      <c r="Z25" t="s">
        <v>17</v>
      </c>
      <c r="AA25">
        <v>2</v>
      </c>
      <c r="AB25">
        <v>5</v>
      </c>
      <c r="AC25">
        <v>5</v>
      </c>
      <c r="AD25">
        <v>5</v>
      </c>
      <c r="AE25" s="26">
        <f>AVERAGE(Tabla1345[[#This Row],[VND]:[MELSP (p=0.8)]])</f>
        <v>4.25</v>
      </c>
      <c r="AG25" t="s">
        <v>17</v>
      </c>
      <c r="AH25" s="1">
        <v>1218</v>
      </c>
      <c r="AI25" s="5">
        <f>Tabla1[[#This Row],[MELSP (p=0.2)]]/$J25 -1</f>
        <v>0.50164203612479485</v>
      </c>
      <c r="AJ25" s="5">
        <f>Tabla1[[#This Row],[MELSP (p=0.5)]]/$J25 -1</f>
        <v>0.50985221674876846</v>
      </c>
      <c r="AK25" s="5">
        <f>Tabla1[[#This Row],[MELSP (p=0.8)]]/$J25 -1</f>
        <v>0.50985221674876846</v>
      </c>
      <c r="AL25" s="7">
        <f>AVERAGE(Tabla136[[#This Row],[MELSP (p=0.2)]:[MELSP (p=0.8)]])</f>
        <v>0.50711548987411059</v>
      </c>
      <c r="AN25" t="s">
        <v>17</v>
      </c>
      <c r="AO25" s="5">
        <f>Tabla1[[#This Row],[Grasp]]/$J25 -1</f>
        <v>0.50985221674876846</v>
      </c>
      <c r="AP25" s="5">
        <f>$L25/Tabla13[[#This Row],[VND]] -1</f>
        <v>8.1168831168829669E-3</v>
      </c>
      <c r="AQ25" s="5">
        <f>$L25/Tabla13[[#This Row],[MELSP (p=0.2)]] -1</f>
        <v>1.6366612111292644E-2</v>
      </c>
      <c r="AR25" s="5">
        <f>$L25/Tabla13[[#This Row],[MELSP (p=0.5)]] -1</f>
        <v>0</v>
      </c>
      <c r="AS25" s="5">
        <f>$L25/Tabla13[[#This Row],[MELSP (p=0.8)]] -1</f>
        <v>0</v>
      </c>
      <c r="AT25" s="7">
        <f>AVERAGE(Tabla137[[#This Row],[VND]:[MELSP (p=0.8)]])</f>
        <v>6.1208738070439028E-3</v>
      </c>
    </row>
    <row r="26" spans="1:48" ht="15" thickBot="1">
      <c r="A26" t="s">
        <v>18</v>
      </c>
      <c r="B26">
        <v>2377</v>
      </c>
      <c r="C26">
        <v>2215</v>
      </c>
      <c r="D26">
        <v>2121</v>
      </c>
      <c r="E26">
        <v>2114</v>
      </c>
      <c r="F26">
        <v>2117</v>
      </c>
      <c r="G26">
        <v>2140</v>
      </c>
      <c r="I26" t="s">
        <v>18</v>
      </c>
      <c r="J26" s="1">
        <v>1223</v>
      </c>
      <c r="K26" s="5">
        <f>Tabla1[[#This Row],[Constructivo]]/$J26 -1</f>
        <v>0.94358135731807025</v>
      </c>
      <c r="L26" s="5">
        <f>Tabla1[[#This Row],[Grasp]]/$J26 -1</f>
        <v>0.81112019623875709</v>
      </c>
      <c r="M26" s="5">
        <f>Tabla1[[#This Row],[VND]]/$J26 -1</f>
        <v>0.73426001635322979</v>
      </c>
      <c r="N26" s="5">
        <f>Tabla1[[#This Row],[MELSP (p=0.2)]]/$J26 -1</f>
        <v>0.72853638593622239</v>
      </c>
      <c r="O26" s="5">
        <f>Tabla1[[#This Row],[MELSP (p=0.5)]]/$J26 -1</f>
        <v>0.73098937040065404</v>
      </c>
      <c r="P26" s="5">
        <f>Tabla1[[#This Row],[MELSP (p=0.8)]]/$J26 -1</f>
        <v>0.74979558462796403</v>
      </c>
      <c r="Q26" s="8">
        <f>AVERAGE(Tabla13[[#This Row],[Constructivo]:[MELSP (p=0.8)]])</f>
        <v>0.78304715181248297</v>
      </c>
      <c r="S26" t="s">
        <v>18</v>
      </c>
      <c r="T26" s="18">
        <v>55.005908250809</v>
      </c>
      <c r="U26" s="18">
        <v>77.283766508102005</v>
      </c>
      <c r="V26" s="18">
        <v>81.934190511702994</v>
      </c>
      <c r="W26" s="18">
        <v>94.534839630126996</v>
      </c>
      <c r="X26" s="23">
        <f>AVERAGE(Tabla134[[#This Row],[VND]:[MELSP (p=0.8)]])</f>
        <v>77.189676225185252</v>
      </c>
      <c r="Z26" t="s">
        <v>18</v>
      </c>
      <c r="AA26">
        <v>11</v>
      </c>
      <c r="AB26">
        <v>33</v>
      </c>
      <c r="AC26">
        <v>34</v>
      </c>
      <c r="AD26">
        <v>36</v>
      </c>
      <c r="AE26" s="32">
        <f>AVERAGE(Tabla1345[[#This Row],[VND]:[MELSP (p=0.8)]])</f>
        <v>28.5</v>
      </c>
      <c r="AG26" t="s">
        <v>18</v>
      </c>
      <c r="AH26" s="1">
        <v>1223</v>
      </c>
      <c r="AI26" s="5">
        <f>Tabla1[[#This Row],[MELSP (p=0.2)]]/$J26 -1</f>
        <v>0.72853638593622239</v>
      </c>
      <c r="AJ26" s="5">
        <f>Tabla1[[#This Row],[MELSP (p=0.5)]]/$J26 -1</f>
        <v>0.73098937040065404</v>
      </c>
      <c r="AK26" s="5">
        <f>Tabla1[[#This Row],[MELSP (p=0.8)]]/$J26 -1</f>
        <v>0.74979558462796403</v>
      </c>
      <c r="AL26" s="7">
        <f>AVERAGE(Tabla136[[#This Row],[MELSP (p=0.2)]:[MELSP (p=0.8)]])</f>
        <v>0.73644044698828015</v>
      </c>
      <c r="AN26" t="s">
        <v>18</v>
      </c>
      <c r="AO26" s="5">
        <f>Tabla1[[#This Row],[Grasp]]/$J26 -1</f>
        <v>0.81112019623875709</v>
      </c>
      <c r="AP26" s="5">
        <f>$L26/Tabla13[[#This Row],[VND]] -1</f>
        <v>0.10467706013363021</v>
      </c>
      <c r="AQ26" s="5">
        <f>$L26/Tabla13[[#This Row],[MELSP (p=0.2)]] -1</f>
        <v>0.11335578002244673</v>
      </c>
      <c r="AR26" s="5">
        <f>$L26/Tabla13[[#This Row],[MELSP (p=0.5)]] -1</f>
        <v>0.10961968680089496</v>
      </c>
      <c r="AS26" s="5">
        <f>$L26/Tabla13[[#This Row],[MELSP (p=0.8)]] -1</f>
        <v>8.1788440567066356E-2</v>
      </c>
      <c r="AT26" s="7">
        <f>AVERAGE(Tabla137[[#This Row],[VND]:[MELSP (p=0.8)]])</f>
        <v>0.10236024188100956</v>
      </c>
    </row>
    <row r="27" spans="1:48" ht="15" thickBot="1">
      <c r="A27" t="s">
        <v>19</v>
      </c>
      <c r="B27">
        <v>2387</v>
      </c>
      <c r="C27">
        <v>2081</v>
      </c>
      <c r="D27">
        <v>2012</v>
      </c>
      <c r="E27">
        <v>2040</v>
      </c>
      <c r="F27">
        <v>1983</v>
      </c>
      <c r="G27">
        <v>1998</v>
      </c>
      <c r="I27" t="s">
        <v>19</v>
      </c>
      <c r="J27" s="1">
        <v>1270</v>
      </c>
      <c r="K27" s="5">
        <f>Tabla1[[#This Row],[Constructivo]]/$J27 -1</f>
        <v>0.87952755905511815</v>
      </c>
      <c r="L27" s="5">
        <f>Tabla1[[#This Row],[Grasp]]/$J27 -1</f>
        <v>0.63858267716535444</v>
      </c>
      <c r="M27" s="5">
        <f>Tabla1[[#This Row],[VND]]/$J27 -1</f>
        <v>0.5842519685039369</v>
      </c>
      <c r="N27" s="5">
        <f>Tabla1[[#This Row],[MELSP (p=0.2)]]/$J27 -1</f>
        <v>0.60629921259842523</v>
      </c>
      <c r="O27" s="5">
        <f>Tabla1[[#This Row],[MELSP (p=0.5)]]/$J27 -1</f>
        <v>0.56141732283464574</v>
      </c>
      <c r="P27" s="5">
        <f>Tabla1[[#This Row],[MELSP (p=0.8)]]/$J27 -1</f>
        <v>0.57322834645669296</v>
      </c>
      <c r="Q27" s="8">
        <f>AVERAGE(Tabla13[[#This Row],[Constructivo]:[MELSP (p=0.8)]])</f>
        <v>0.6405511811023622</v>
      </c>
      <c r="S27" t="s">
        <v>19</v>
      </c>
      <c r="T27" s="18">
        <v>38.167309284209999</v>
      </c>
      <c r="U27" s="18">
        <v>87.165383338927995</v>
      </c>
      <c r="V27" s="18">
        <v>80.422424554825</v>
      </c>
      <c r="W27" s="18">
        <v>90.165754079818996</v>
      </c>
      <c r="X27" s="23">
        <f>AVERAGE(Tabla134[[#This Row],[VND]:[MELSP (p=0.8)]])</f>
        <v>73.980217814445496</v>
      </c>
      <c r="Z27" t="s">
        <v>19</v>
      </c>
      <c r="AA27">
        <v>8</v>
      </c>
      <c r="AB27">
        <v>25</v>
      </c>
      <c r="AC27">
        <v>33</v>
      </c>
      <c r="AD27">
        <v>35</v>
      </c>
      <c r="AE27" s="26">
        <f>AVERAGE(Tabla1345[[#This Row],[VND]:[MELSP (p=0.8)]])</f>
        <v>25.25</v>
      </c>
      <c r="AG27" t="s">
        <v>19</v>
      </c>
      <c r="AH27" s="1">
        <v>1270</v>
      </c>
      <c r="AI27" s="5">
        <f>Tabla1[[#This Row],[MELSP (p=0.2)]]/$J27 -1</f>
        <v>0.60629921259842523</v>
      </c>
      <c r="AJ27" s="5">
        <f>Tabla1[[#This Row],[MELSP (p=0.5)]]/$J27 -1</f>
        <v>0.56141732283464574</v>
      </c>
      <c r="AK27" s="5">
        <f>Tabla1[[#This Row],[MELSP (p=0.8)]]/$J27 -1</f>
        <v>0.57322834645669296</v>
      </c>
      <c r="AL27" s="7">
        <f>AVERAGE(Tabla136[[#This Row],[MELSP (p=0.2)]:[MELSP (p=0.8)]])</f>
        <v>0.58031496062992127</v>
      </c>
      <c r="AN27" t="s">
        <v>19</v>
      </c>
      <c r="AO27" s="5">
        <f>Tabla1[[#This Row],[Grasp]]/$J27 -1</f>
        <v>0.63858267716535444</v>
      </c>
      <c r="AP27" s="5">
        <f>$L27/Tabla13[[#This Row],[VND]] -1</f>
        <v>9.2991913746631072E-2</v>
      </c>
      <c r="AQ27" s="5">
        <f>$L27/Tabla13[[#This Row],[MELSP (p=0.2)]] -1</f>
        <v>5.324675324675332E-2</v>
      </c>
      <c r="AR27" s="5">
        <f>$L27/Tabla13[[#This Row],[MELSP (p=0.5)]] -1</f>
        <v>0.13744740532959332</v>
      </c>
      <c r="AS27" s="5">
        <f>$L27/Tabla13[[#This Row],[MELSP (p=0.8)]] -1</f>
        <v>0.11401098901098905</v>
      </c>
      <c r="AT27" s="7">
        <f>AVERAGE(Tabla137[[#This Row],[VND]:[MELSP (p=0.8)]])</f>
        <v>9.942426533349169E-2</v>
      </c>
    </row>
    <row r="28" spans="1:48" ht="15" thickBot="1">
      <c r="A28" t="s">
        <v>20</v>
      </c>
      <c r="B28">
        <v>2475</v>
      </c>
      <c r="C28">
        <v>2373</v>
      </c>
      <c r="D28">
        <v>2259</v>
      </c>
      <c r="E28">
        <v>2230</v>
      </c>
      <c r="F28">
        <v>2251</v>
      </c>
      <c r="G28">
        <v>2259</v>
      </c>
      <c r="I28" t="s">
        <v>20</v>
      </c>
      <c r="J28" s="1">
        <v>1818</v>
      </c>
      <c r="K28" s="5">
        <f>Tabla1[[#This Row],[Constructivo]]/$J28 -1</f>
        <v>0.36138613861386149</v>
      </c>
      <c r="L28" s="5">
        <f>Tabla1[[#This Row],[Grasp]]/$J28 -1</f>
        <v>0.30528052805280526</v>
      </c>
      <c r="M28" s="5">
        <f>Tabla1[[#This Row],[VND]]/$J28 -1</f>
        <v>0.24257425742574257</v>
      </c>
      <c r="N28" s="5">
        <f>Tabla1[[#This Row],[MELSP (p=0.2)]]/$J28 -1</f>
        <v>0.22662266226622663</v>
      </c>
      <c r="O28" s="5">
        <f>Tabla1[[#This Row],[MELSP (p=0.5)]]/$J28 -1</f>
        <v>0.23817381738173826</v>
      </c>
      <c r="P28" s="5">
        <f>Tabla1[[#This Row],[MELSP (p=0.8)]]/$J28 -1</f>
        <v>0.24257425742574257</v>
      </c>
      <c r="Q28" s="8">
        <f>AVERAGE(Tabla13[[#This Row],[Constructivo]:[MELSP (p=0.8)]])</f>
        <v>0.26943527686101948</v>
      </c>
      <c r="S28" t="s">
        <v>20</v>
      </c>
      <c r="T28" s="18">
        <v>75.000322341919002</v>
      </c>
      <c r="U28" s="18">
        <v>90.887192249297996</v>
      </c>
      <c r="V28" s="18">
        <v>82.204901218413994</v>
      </c>
      <c r="W28" s="18">
        <v>75.050915718078997</v>
      </c>
      <c r="X28" s="23">
        <f>AVERAGE(Tabla134[[#This Row],[VND]:[MELSP (p=0.8)]])</f>
        <v>80.78583288192749</v>
      </c>
      <c r="Z28" t="s">
        <v>20</v>
      </c>
      <c r="AA28">
        <v>10</v>
      </c>
      <c r="AB28">
        <v>22</v>
      </c>
      <c r="AC28">
        <v>17</v>
      </c>
      <c r="AD28">
        <v>13</v>
      </c>
      <c r="AE28" s="26">
        <f>AVERAGE(Tabla1345[[#This Row],[VND]:[MELSP (p=0.8)]])</f>
        <v>15.5</v>
      </c>
      <c r="AG28" t="s">
        <v>20</v>
      </c>
      <c r="AH28" s="1">
        <v>1818</v>
      </c>
      <c r="AI28" s="5">
        <f>Tabla1[[#This Row],[MELSP (p=0.2)]]/$J28 -1</f>
        <v>0.22662266226622663</v>
      </c>
      <c r="AJ28" s="5">
        <f>Tabla1[[#This Row],[MELSP (p=0.5)]]/$J28 -1</f>
        <v>0.23817381738173826</v>
      </c>
      <c r="AK28" s="5">
        <f>Tabla1[[#This Row],[MELSP (p=0.8)]]/$J28 -1</f>
        <v>0.24257425742574257</v>
      </c>
      <c r="AL28" s="7">
        <f>AVERAGE(Tabla136[[#This Row],[MELSP (p=0.2)]:[MELSP (p=0.8)]])</f>
        <v>0.23579024569123583</v>
      </c>
      <c r="AN28" t="s">
        <v>20</v>
      </c>
      <c r="AO28" s="5">
        <f>Tabla1[[#This Row],[Grasp]]/$J28 -1</f>
        <v>0.30528052805280526</v>
      </c>
      <c r="AP28" s="5">
        <f>$L28/Tabla13[[#This Row],[VND]] -1</f>
        <v>0.25850340136054406</v>
      </c>
      <c r="AQ28" s="5">
        <f>$L28/Tabla13[[#This Row],[MELSP (p=0.2)]] -1</f>
        <v>0.34708737864077666</v>
      </c>
      <c r="AR28" s="5">
        <f>$L28/Tabla13[[#This Row],[MELSP (p=0.5)]] -1</f>
        <v>0.28175519630484924</v>
      </c>
      <c r="AS28" s="5">
        <f>$L28/Tabla13[[#This Row],[MELSP (p=0.8)]] -1</f>
        <v>0.25850340136054406</v>
      </c>
      <c r="AT28" s="7">
        <f>AVERAGE(Tabla137[[#This Row],[VND]:[MELSP (p=0.8)]])</f>
        <v>0.2864623444166785</v>
      </c>
    </row>
    <row r="29" spans="1:48" ht="15" thickBot="1">
      <c r="A29" t="s">
        <v>21</v>
      </c>
      <c r="B29">
        <v>2562</v>
      </c>
      <c r="C29">
        <v>2473</v>
      </c>
      <c r="D29">
        <v>2369</v>
      </c>
      <c r="E29">
        <v>2360</v>
      </c>
      <c r="F29">
        <v>2369</v>
      </c>
      <c r="G29">
        <v>2367</v>
      </c>
      <c r="I29" t="s">
        <v>21</v>
      </c>
      <c r="J29" s="1">
        <v>1838</v>
      </c>
      <c r="K29" s="5">
        <f>Tabla1[[#This Row],[Constructivo]]/$J29 -1</f>
        <v>0.39390642002176279</v>
      </c>
      <c r="L29" s="5">
        <f>Tabla1[[#This Row],[Grasp]]/$J29 -1</f>
        <v>0.34548422198041351</v>
      </c>
      <c r="M29" s="5">
        <f>Tabla1[[#This Row],[VND]]/$J29 -1</f>
        <v>0.28890097932535364</v>
      </c>
      <c r="N29" s="5">
        <f>Tabla1[[#This Row],[MELSP (p=0.2)]]/$J29 -1</f>
        <v>0.28400435255712742</v>
      </c>
      <c r="O29" s="5">
        <f>Tabla1[[#This Row],[MELSP (p=0.5)]]/$J29 -1</f>
        <v>0.28890097932535364</v>
      </c>
      <c r="P29" s="5">
        <f>Tabla1[[#This Row],[MELSP (p=0.8)]]/$J29 -1</f>
        <v>0.28781284004352559</v>
      </c>
      <c r="Q29" s="8">
        <f>AVERAGE(Tabla13[[#This Row],[Constructivo]:[MELSP (p=0.8)]])</f>
        <v>0.3148349655422561</v>
      </c>
      <c r="S29" t="s">
        <v>21</v>
      </c>
      <c r="T29" s="18">
        <v>82.294218540192006</v>
      </c>
      <c r="U29" s="18">
        <v>80.860202312468999</v>
      </c>
      <c r="V29" s="18">
        <v>97.648852348328006</v>
      </c>
      <c r="W29" s="18">
        <v>105.67101979256</v>
      </c>
      <c r="X29" s="23">
        <f>AVERAGE(Tabla134[[#This Row],[VND]:[MELSP (p=0.8)]])</f>
        <v>91.61857324838725</v>
      </c>
      <c r="Z29" t="s">
        <v>21</v>
      </c>
      <c r="AA29">
        <v>11</v>
      </c>
      <c r="AB29">
        <v>17</v>
      </c>
      <c r="AC29">
        <v>19</v>
      </c>
      <c r="AD29">
        <v>20</v>
      </c>
      <c r="AE29" s="26">
        <f>AVERAGE(Tabla1345[[#This Row],[VND]:[MELSP (p=0.8)]])</f>
        <v>16.75</v>
      </c>
      <c r="AG29" t="s">
        <v>21</v>
      </c>
      <c r="AH29" s="1">
        <v>1838</v>
      </c>
      <c r="AI29" s="5">
        <f>Tabla1[[#This Row],[MELSP (p=0.2)]]/$J29 -1</f>
        <v>0.28400435255712742</v>
      </c>
      <c r="AJ29" s="5">
        <f>Tabla1[[#This Row],[MELSP (p=0.5)]]/$J29 -1</f>
        <v>0.28890097932535364</v>
      </c>
      <c r="AK29" s="5">
        <f>Tabla1[[#This Row],[MELSP (p=0.8)]]/$J29 -1</f>
        <v>0.28781284004352559</v>
      </c>
      <c r="AL29" s="7">
        <f>AVERAGE(Tabla136[[#This Row],[MELSP (p=0.2)]:[MELSP (p=0.8)]])</f>
        <v>0.28690605730866886</v>
      </c>
      <c r="AN29" t="s">
        <v>21</v>
      </c>
      <c r="AO29" s="5">
        <f>Tabla1[[#This Row],[Grasp]]/$J29 -1</f>
        <v>0.34548422198041351</v>
      </c>
      <c r="AP29" s="5">
        <f>$L29/Tabla13[[#This Row],[VND]] -1</f>
        <v>0.19585687382297556</v>
      </c>
      <c r="AQ29" s="5">
        <f>$L29/Tabla13[[#This Row],[MELSP (p=0.2)]] -1</f>
        <v>0.21647509578544022</v>
      </c>
      <c r="AR29" s="5">
        <f>$L29/Tabla13[[#This Row],[MELSP (p=0.5)]] -1</f>
        <v>0.19585687382297556</v>
      </c>
      <c r="AS29" s="5">
        <f>$L29/Tabla13[[#This Row],[MELSP (p=0.8)]] -1</f>
        <v>0.20037807183364831</v>
      </c>
      <c r="AT29" s="7">
        <f>AVERAGE(Tabla137[[#This Row],[VND]:[MELSP (p=0.8)]])</f>
        <v>0.20214172881625991</v>
      </c>
    </row>
    <row r="30" spans="1:48" ht="15" thickBot="1">
      <c r="A30" t="s">
        <v>22</v>
      </c>
      <c r="B30">
        <v>2604</v>
      </c>
      <c r="C30">
        <v>2753</v>
      </c>
      <c r="D30">
        <v>2617</v>
      </c>
      <c r="E30">
        <v>2646</v>
      </c>
      <c r="F30">
        <v>2662</v>
      </c>
      <c r="G30">
        <v>2629</v>
      </c>
      <c r="I30" t="s">
        <v>22</v>
      </c>
      <c r="J30" s="1">
        <v>1876</v>
      </c>
      <c r="K30" s="5">
        <f>Tabla1[[#This Row],[Constructivo]]/$J30 -1</f>
        <v>0.38805970149253732</v>
      </c>
      <c r="L30" s="5">
        <f>Tabla1[[#This Row],[Grasp]]/$J30 -1</f>
        <v>0.46748400852878458</v>
      </c>
      <c r="M30" s="5">
        <f>Tabla1[[#This Row],[VND]]/$J30 -1</f>
        <v>0.39498933901918987</v>
      </c>
      <c r="N30" s="5">
        <f>Tabla1[[#This Row],[MELSP (p=0.2)]]/$J30 -1</f>
        <v>0.41044776119402981</v>
      </c>
      <c r="O30" s="5">
        <f>Tabla1[[#This Row],[MELSP (p=0.5)]]/$J30 -1</f>
        <v>0.41897654584221744</v>
      </c>
      <c r="P30" s="5">
        <f>Tabla1[[#This Row],[MELSP (p=0.8)]]/$J30 -1</f>
        <v>0.40138592750533042</v>
      </c>
      <c r="Q30" s="8">
        <f>AVERAGE(Tabla13[[#This Row],[Constructivo]:[MELSP (p=0.8)]])</f>
        <v>0.41355721393034822</v>
      </c>
      <c r="S30" t="s">
        <v>22</v>
      </c>
      <c r="T30" s="18">
        <v>75.000481367111007</v>
      </c>
      <c r="U30" s="18">
        <v>75.066624641418002</v>
      </c>
      <c r="V30" s="18">
        <v>84.470751285553007</v>
      </c>
      <c r="W30" s="18">
        <v>75.074615001677998</v>
      </c>
      <c r="X30" s="23">
        <f>AVERAGE(Tabla134[[#This Row],[VND]:[MELSP (p=0.8)]])</f>
        <v>77.403118073940007</v>
      </c>
      <c r="Z30" t="s">
        <v>22</v>
      </c>
      <c r="AA30">
        <v>5</v>
      </c>
      <c r="AB30">
        <v>8</v>
      </c>
      <c r="AC30">
        <v>12</v>
      </c>
      <c r="AD30">
        <v>8</v>
      </c>
      <c r="AE30" s="26">
        <f>AVERAGE(Tabla1345[[#This Row],[VND]:[MELSP (p=0.8)]])</f>
        <v>8.25</v>
      </c>
      <c r="AG30" t="s">
        <v>22</v>
      </c>
      <c r="AH30" s="1">
        <v>1876</v>
      </c>
      <c r="AI30" s="5">
        <f>Tabla1[[#This Row],[MELSP (p=0.2)]]/$J30 -1</f>
        <v>0.41044776119402981</v>
      </c>
      <c r="AJ30" s="5">
        <f>Tabla1[[#This Row],[MELSP (p=0.5)]]/$J30 -1</f>
        <v>0.41897654584221744</v>
      </c>
      <c r="AK30" s="5">
        <f>Tabla1[[#This Row],[MELSP (p=0.8)]]/$J30 -1</f>
        <v>0.40138592750533042</v>
      </c>
      <c r="AL30" s="7">
        <f>AVERAGE(Tabla136[[#This Row],[MELSP (p=0.2)]:[MELSP (p=0.8)]])</f>
        <v>0.41027007818052591</v>
      </c>
      <c r="AN30" t="s">
        <v>22</v>
      </c>
      <c r="AO30" s="5">
        <f>Tabla1[[#This Row],[Grasp]]/$J30 -1</f>
        <v>0.46748400852878458</v>
      </c>
      <c r="AP30" s="5">
        <f>$L30/Tabla13[[#This Row],[VND]] -1</f>
        <v>0.18353576248313042</v>
      </c>
      <c r="AQ30" s="5">
        <f>$L30/Tabla13[[#This Row],[MELSP (p=0.2)]] -1</f>
        <v>0.13896103896103895</v>
      </c>
      <c r="AR30" s="5">
        <f>$L30/Tabla13[[#This Row],[MELSP (p=0.5)]] -1</f>
        <v>0.11577608142493623</v>
      </c>
      <c r="AS30" s="5">
        <f>$L30/Tabla13[[#This Row],[MELSP (p=0.8)]] -1</f>
        <v>0.16467463479415678</v>
      </c>
      <c r="AT30" s="7">
        <f>AVERAGE(Tabla137[[#This Row],[VND]:[MELSP (p=0.8)]])</f>
        <v>0.15073687941581559</v>
      </c>
    </row>
    <row r="31" spans="1:48" ht="15" thickBot="1">
      <c r="A31" t="s">
        <v>23</v>
      </c>
      <c r="B31">
        <v>3101</v>
      </c>
      <c r="C31">
        <v>2803</v>
      </c>
      <c r="D31">
        <v>2628</v>
      </c>
      <c r="E31">
        <v>2630</v>
      </c>
      <c r="F31">
        <v>2583</v>
      </c>
      <c r="G31">
        <v>2628</v>
      </c>
      <c r="I31" t="s">
        <v>23</v>
      </c>
      <c r="J31" s="1">
        <v>1784</v>
      </c>
      <c r="K31" s="5">
        <f>Tabla1[[#This Row],[Constructivo]]/$J31 -1</f>
        <v>0.73822869955156944</v>
      </c>
      <c r="L31" s="5">
        <f>Tabla1[[#This Row],[Grasp]]/$J31 -1</f>
        <v>0.57118834080717495</v>
      </c>
      <c r="M31" s="5">
        <f>Tabla1[[#This Row],[VND]]/$J31 -1</f>
        <v>0.47309417040358737</v>
      </c>
      <c r="N31" s="5">
        <f>Tabla1[[#This Row],[MELSP (p=0.2)]]/$J31 -1</f>
        <v>0.47421524663677128</v>
      </c>
      <c r="O31" s="5">
        <f>Tabla1[[#This Row],[MELSP (p=0.5)]]/$J31 -1</f>
        <v>0.44786995515695072</v>
      </c>
      <c r="P31" s="5">
        <f>Tabla1[[#This Row],[MELSP (p=0.8)]]/$J31 -1</f>
        <v>0.47309417040358737</v>
      </c>
      <c r="Q31" s="8">
        <f>AVERAGE(Tabla13[[#This Row],[Constructivo]:[MELSP (p=0.8)]])</f>
        <v>0.52961509715994015</v>
      </c>
      <c r="S31" t="s">
        <v>23</v>
      </c>
      <c r="T31" s="18">
        <v>75.000378847121993</v>
      </c>
      <c r="U31" s="18">
        <v>75.043699979782005</v>
      </c>
      <c r="V31" s="18">
        <v>75.061927318572998</v>
      </c>
      <c r="W31" s="18">
        <v>75.037554979324</v>
      </c>
      <c r="X31" s="23">
        <f>AVERAGE(Tabla134[[#This Row],[VND]:[MELSP (p=0.8)]])</f>
        <v>75.035890281200253</v>
      </c>
      <c r="Z31" t="s">
        <v>23</v>
      </c>
      <c r="AA31">
        <v>5</v>
      </c>
      <c r="AB31">
        <v>8</v>
      </c>
      <c r="AC31">
        <v>8</v>
      </c>
      <c r="AD31">
        <v>8</v>
      </c>
      <c r="AE31" s="26">
        <f>AVERAGE(Tabla1345[[#This Row],[VND]:[MELSP (p=0.8)]])</f>
        <v>7.25</v>
      </c>
      <c r="AG31" t="s">
        <v>23</v>
      </c>
      <c r="AH31" s="1">
        <v>1784</v>
      </c>
      <c r="AI31" s="5">
        <f>Tabla1[[#This Row],[MELSP (p=0.2)]]/$J31 -1</f>
        <v>0.47421524663677128</v>
      </c>
      <c r="AJ31" s="5">
        <f>Tabla1[[#This Row],[MELSP (p=0.5)]]/$J31 -1</f>
        <v>0.44786995515695072</v>
      </c>
      <c r="AK31" s="5">
        <f>Tabla1[[#This Row],[MELSP (p=0.8)]]/$J31 -1</f>
        <v>0.47309417040358737</v>
      </c>
      <c r="AL31" s="7">
        <f>AVERAGE(Tabla136[[#This Row],[MELSP (p=0.2)]:[MELSP (p=0.8)]])</f>
        <v>0.46505979073243647</v>
      </c>
      <c r="AN31" t="s">
        <v>23</v>
      </c>
      <c r="AO31" s="5">
        <f>Tabla1[[#This Row],[Grasp]]/$J31 -1</f>
        <v>0.57118834080717495</v>
      </c>
      <c r="AP31" s="5">
        <f>$L31/Tabla13[[#This Row],[VND]] -1</f>
        <v>0.20734597156398138</v>
      </c>
      <c r="AQ31" s="5">
        <f>$L31/Tabla13[[#This Row],[MELSP (p=0.2)]] -1</f>
        <v>0.20449172576832164</v>
      </c>
      <c r="AR31" s="5">
        <f>$L31/Tabla13[[#This Row],[MELSP (p=0.5)]] -1</f>
        <v>0.27534418022528162</v>
      </c>
      <c r="AS31" s="5">
        <f>$L31/Tabla13[[#This Row],[MELSP (p=0.8)]] -1</f>
        <v>0.20734597156398138</v>
      </c>
      <c r="AT31" s="7">
        <f>AVERAGE(Tabla137[[#This Row],[VND]:[MELSP (p=0.8)]])</f>
        <v>0.22363196228039151</v>
      </c>
    </row>
    <row r="32" spans="1:48" ht="15" thickBot="1">
      <c r="A32" t="s">
        <v>24</v>
      </c>
      <c r="B32">
        <v>3581</v>
      </c>
      <c r="C32">
        <v>3494</v>
      </c>
      <c r="D32">
        <v>3356</v>
      </c>
      <c r="E32">
        <v>3307</v>
      </c>
      <c r="F32">
        <v>3356</v>
      </c>
      <c r="G32">
        <v>3356</v>
      </c>
      <c r="I32" t="s">
        <v>24</v>
      </c>
      <c r="J32" s="1">
        <v>2825</v>
      </c>
      <c r="K32" s="5">
        <f>Tabla1[[#This Row],[Constructivo]]/$J32 -1</f>
        <v>0.26761061946902664</v>
      </c>
      <c r="L32" s="5">
        <f>Tabla1[[#This Row],[Grasp]]/$J32 -1</f>
        <v>0.23681415929203542</v>
      </c>
      <c r="M32" s="5">
        <f>Tabla1[[#This Row],[VND]]/$J32 -1</f>
        <v>0.18796460176991148</v>
      </c>
      <c r="N32" s="5">
        <f>Tabla1[[#This Row],[MELSP (p=0.2)]]/$J32 -1</f>
        <v>0.17061946902654856</v>
      </c>
      <c r="O32" s="5">
        <f>Tabla1[[#This Row],[MELSP (p=0.5)]]/$J32 -1</f>
        <v>0.18796460176991148</v>
      </c>
      <c r="P32" s="5">
        <f>Tabla1[[#This Row],[MELSP (p=0.8)]]/$J32 -1</f>
        <v>0.18796460176991148</v>
      </c>
      <c r="Q32" s="8">
        <f>AVERAGE(Tabla13[[#This Row],[Constructivo]:[MELSP (p=0.8)]])</f>
        <v>0.20648967551622419</v>
      </c>
      <c r="S32" t="s">
        <v>24</v>
      </c>
      <c r="T32" s="18">
        <v>150.0008559227</v>
      </c>
      <c r="U32" s="18">
        <v>150.06923580169999</v>
      </c>
      <c r="V32" s="18">
        <v>150.08635306357999</v>
      </c>
      <c r="W32" s="18">
        <v>150.09556627274</v>
      </c>
      <c r="X32" s="23">
        <f>AVERAGE(Tabla134[[#This Row],[VND]:[MELSP (p=0.8)]])</f>
        <v>150.06300276517999</v>
      </c>
      <c r="Z32" t="s">
        <v>24</v>
      </c>
      <c r="AA32">
        <v>5</v>
      </c>
      <c r="AB32">
        <v>8</v>
      </c>
      <c r="AC32">
        <v>8</v>
      </c>
      <c r="AD32">
        <v>8</v>
      </c>
      <c r="AE32" s="26">
        <f>AVERAGE(Tabla1345[[#This Row],[VND]:[MELSP (p=0.8)]])</f>
        <v>7.25</v>
      </c>
      <c r="AG32" t="s">
        <v>24</v>
      </c>
      <c r="AH32" s="1">
        <v>2825</v>
      </c>
      <c r="AI32" s="5">
        <f>Tabla1[[#This Row],[MELSP (p=0.2)]]/$J32 -1</f>
        <v>0.17061946902654856</v>
      </c>
      <c r="AJ32" s="5">
        <f>Tabla1[[#This Row],[MELSP (p=0.5)]]/$J32 -1</f>
        <v>0.18796460176991148</v>
      </c>
      <c r="AK32" s="5">
        <f>Tabla1[[#This Row],[MELSP (p=0.8)]]/$J32 -1</f>
        <v>0.18796460176991148</v>
      </c>
      <c r="AL32" s="7">
        <f>AVERAGE(Tabla136[[#This Row],[MELSP (p=0.2)]:[MELSP (p=0.8)]])</f>
        <v>0.18218289085545716</v>
      </c>
      <c r="AN32" t="s">
        <v>24</v>
      </c>
      <c r="AO32" s="5">
        <f>Tabla1[[#This Row],[Grasp]]/$J32 -1</f>
        <v>0.23681415929203542</v>
      </c>
      <c r="AP32" s="5">
        <f>$L32/Tabla13[[#This Row],[VND]] -1</f>
        <v>0.25988700564971778</v>
      </c>
      <c r="AQ32" s="5">
        <f>$L32/Tabla13[[#This Row],[MELSP (p=0.2)]] -1</f>
        <v>0.38796680497925418</v>
      </c>
      <c r="AR32" s="5">
        <f>$L32/Tabla13[[#This Row],[MELSP (p=0.5)]] -1</f>
        <v>0.25988700564971778</v>
      </c>
      <c r="AS32" s="5">
        <f>$L32/Tabla13[[#This Row],[MELSP (p=0.8)]] -1</f>
        <v>0.25988700564971778</v>
      </c>
      <c r="AT32" s="7">
        <f>AVERAGE(Tabla137[[#This Row],[VND]:[MELSP (p=0.8)]])</f>
        <v>0.29190695548210188</v>
      </c>
    </row>
    <row r="33" spans="1:46" ht="15" thickBot="1">
      <c r="A33" t="s">
        <v>25</v>
      </c>
      <c r="B33">
        <v>4050</v>
      </c>
      <c r="C33">
        <v>3462</v>
      </c>
      <c r="D33">
        <v>3316</v>
      </c>
      <c r="E33">
        <v>3302</v>
      </c>
      <c r="F33">
        <v>3338</v>
      </c>
      <c r="G33">
        <v>3331</v>
      </c>
      <c r="I33" t="s">
        <v>25</v>
      </c>
      <c r="J33" s="1">
        <v>3001</v>
      </c>
      <c r="K33" s="5">
        <f>Tabla1[[#This Row],[Constructivo]]/$J33 -1</f>
        <v>0.34955014995001665</v>
      </c>
      <c r="L33" s="5">
        <f>Tabla1[[#This Row],[Grasp]]/$J33 -1</f>
        <v>0.15361546151282912</v>
      </c>
      <c r="M33" s="5">
        <f>Tabla1[[#This Row],[VND]]/$J33 -1</f>
        <v>0.10496501166277916</v>
      </c>
      <c r="N33" s="5">
        <f>Tabla1[[#This Row],[MELSP (p=0.2)]]/$J33 -1</f>
        <v>0.10029990003332223</v>
      </c>
      <c r="O33" s="5">
        <f>Tabla1[[#This Row],[MELSP (p=0.5)]]/$J33 -1</f>
        <v>0.11229590136621126</v>
      </c>
      <c r="P33" s="5">
        <f>Tabla1[[#This Row],[MELSP (p=0.8)]]/$J33 -1</f>
        <v>0.10996334555148279</v>
      </c>
      <c r="Q33" s="8">
        <f>AVERAGE(Tabla13[[#This Row],[Constructivo]:[MELSP (p=0.8)]])</f>
        <v>0.15511496167944019</v>
      </c>
      <c r="S33" t="s">
        <v>25</v>
      </c>
      <c r="T33" s="18">
        <v>150.00053358078</v>
      </c>
      <c r="U33" s="18">
        <v>150.07796907425001</v>
      </c>
      <c r="V33" s="18">
        <v>150.04519271851001</v>
      </c>
      <c r="W33" s="18">
        <v>150.12699770927</v>
      </c>
      <c r="X33" s="23">
        <f>AVERAGE(Tabla134[[#This Row],[VND]:[MELSP (p=0.8)]])</f>
        <v>150.0626732707025</v>
      </c>
      <c r="Z33" t="s">
        <v>25</v>
      </c>
      <c r="AA33">
        <v>5</v>
      </c>
      <c r="AB33">
        <v>8</v>
      </c>
      <c r="AC33">
        <v>8</v>
      </c>
      <c r="AD33">
        <v>8</v>
      </c>
      <c r="AE33" s="26">
        <f>AVERAGE(Tabla1345[[#This Row],[VND]:[MELSP (p=0.8)]])</f>
        <v>7.25</v>
      </c>
      <c r="AG33" t="s">
        <v>25</v>
      </c>
      <c r="AH33" s="1">
        <v>3001</v>
      </c>
      <c r="AI33" s="5">
        <f>Tabla1[[#This Row],[MELSP (p=0.2)]]/$J33 -1</f>
        <v>0.10029990003332223</v>
      </c>
      <c r="AJ33" s="5">
        <f>Tabla1[[#This Row],[MELSP (p=0.5)]]/$J33 -1</f>
        <v>0.11229590136621126</v>
      </c>
      <c r="AK33" s="5">
        <f>Tabla1[[#This Row],[MELSP (p=0.8)]]/$J33 -1</f>
        <v>0.10996334555148279</v>
      </c>
      <c r="AL33" s="7">
        <f>AVERAGE(Tabla136[[#This Row],[MELSP (p=0.2)]:[MELSP (p=0.8)]])</f>
        <v>0.10751971565033876</v>
      </c>
      <c r="AN33" t="s">
        <v>25</v>
      </c>
      <c r="AO33" s="5">
        <f>Tabla1[[#This Row],[Grasp]]/$J33 -1</f>
        <v>0.15361546151282912</v>
      </c>
      <c r="AP33" s="5">
        <f>$L33/Tabla13[[#This Row],[VND]] -1</f>
        <v>0.46349206349206296</v>
      </c>
      <c r="AQ33" s="5">
        <f>$L33/Tabla13[[#This Row],[MELSP (p=0.2)]] -1</f>
        <v>0.53156146179402053</v>
      </c>
      <c r="AR33" s="5">
        <f>$L33/Tabla13[[#This Row],[MELSP (p=0.5)]] -1</f>
        <v>0.36795252225519359</v>
      </c>
      <c r="AS33" s="5">
        <f>$L33/Tabla13[[#This Row],[MELSP (p=0.8)]] -1</f>
        <v>0.39696969696969808</v>
      </c>
      <c r="AT33" s="7">
        <f>AVERAGE(Tabla137[[#This Row],[VND]:[MELSP (p=0.8)]])</f>
        <v>0.43999393612774379</v>
      </c>
    </row>
    <row r="34" spans="1:46" ht="15" thickBot="1">
      <c r="A34" t="s">
        <v>26</v>
      </c>
      <c r="B34">
        <v>4044</v>
      </c>
      <c r="C34">
        <v>3804</v>
      </c>
      <c r="D34">
        <v>3606</v>
      </c>
      <c r="E34">
        <v>3660</v>
      </c>
      <c r="F34">
        <v>3675</v>
      </c>
      <c r="G34">
        <v>3585</v>
      </c>
      <c r="I34" t="s">
        <v>26</v>
      </c>
      <c r="J34" s="1">
        <v>2917</v>
      </c>
      <c r="K34" s="5">
        <f>Tabla1[[#This Row],[Constructivo]]/$J34 -1</f>
        <v>0.38635584504628051</v>
      </c>
      <c r="L34" s="5">
        <f>Tabla1[[#This Row],[Grasp]]/$J34 -1</f>
        <v>0.30407953376756947</v>
      </c>
      <c r="M34" s="5">
        <f>Tabla1[[#This Row],[VND]]/$J34 -1</f>
        <v>0.23620157696263289</v>
      </c>
      <c r="N34" s="5">
        <f>Tabla1[[#This Row],[MELSP (p=0.2)]]/$J34 -1</f>
        <v>0.25471374700034288</v>
      </c>
      <c r="O34" s="5">
        <f>Tabla1[[#This Row],[MELSP (p=0.5)]]/$J34 -1</f>
        <v>0.25985601645526235</v>
      </c>
      <c r="P34" s="5">
        <f>Tabla1[[#This Row],[MELSP (p=0.8)]]/$J34 -1</f>
        <v>0.22900239972574554</v>
      </c>
      <c r="Q34" s="8">
        <f>AVERAGE(Tabla13[[#This Row],[Constructivo]:[MELSP (p=0.8)]])</f>
        <v>0.27836818649297229</v>
      </c>
      <c r="S34" t="s">
        <v>26</v>
      </c>
      <c r="T34" s="18">
        <v>300.00054574013001</v>
      </c>
      <c r="U34" s="18">
        <v>300.26222825050002</v>
      </c>
      <c r="V34" s="18">
        <v>300.24266242981003</v>
      </c>
      <c r="W34" s="18">
        <v>300.14703941344999</v>
      </c>
      <c r="X34" s="23">
        <f>AVERAGE(Tabla134[[#This Row],[VND]:[MELSP (p=0.8)]])</f>
        <v>300.16311895847252</v>
      </c>
      <c r="Z34" t="s">
        <v>26</v>
      </c>
      <c r="AA34">
        <v>5</v>
      </c>
      <c r="AB34">
        <v>8</v>
      </c>
      <c r="AC34">
        <v>8</v>
      </c>
      <c r="AD34">
        <v>8</v>
      </c>
      <c r="AE34" s="26">
        <f>AVERAGE(Tabla1345[[#This Row],[VND]:[MELSP (p=0.8)]])</f>
        <v>7.25</v>
      </c>
      <c r="AG34" t="s">
        <v>26</v>
      </c>
      <c r="AH34" s="1">
        <v>2917</v>
      </c>
      <c r="AI34" s="5">
        <f>Tabla1[[#This Row],[MELSP (p=0.2)]]/$J34 -1</f>
        <v>0.25471374700034288</v>
      </c>
      <c r="AJ34" s="5">
        <f>Tabla1[[#This Row],[MELSP (p=0.5)]]/$J34 -1</f>
        <v>0.25985601645526235</v>
      </c>
      <c r="AK34" s="5">
        <f>Tabla1[[#This Row],[MELSP (p=0.8)]]/$J34 -1</f>
        <v>0.22900239972574554</v>
      </c>
      <c r="AL34" s="7">
        <f>AVERAGE(Tabla136[[#This Row],[MELSP (p=0.2)]:[MELSP (p=0.8)]])</f>
        <v>0.24785738772711693</v>
      </c>
      <c r="AN34" t="s">
        <v>26</v>
      </c>
      <c r="AO34" s="5">
        <f>Tabla1[[#This Row],[Grasp]]/$J34 -1</f>
        <v>0.30407953376756947</v>
      </c>
      <c r="AP34" s="5">
        <f>$L34/Tabla13[[#This Row],[VND]] -1</f>
        <v>0.28737300435413649</v>
      </c>
      <c r="AQ34" s="5">
        <f>$L34/Tabla13[[#This Row],[MELSP (p=0.2)]] -1</f>
        <v>0.19380888290713316</v>
      </c>
      <c r="AR34" s="5">
        <f>$L34/Tabla13[[#This Row],[MELSP (p=0.5)]] -1</f>
        <v>0.17018469656992052</v>
      </c>
      <c r="AS34" s="5">
        <f>$L34/Tabla13[[#This Row],[MELSP (p=0.8)]] -1</f>
        <v>0.32784431137724623</v>
      </c>
      <c r="AT34" s="7">
        <f>AVERAGE(Tabla137[[#This Row],[VND]:[MELSP (p=0.8)]])</f>
        <v>0.2448027238021091</v>
      </c>
    </row>
    <row r="35" spans="1:46" ht="15" thickBot="1">
      <c r="A35" t="s">
        <v>27</v>
      </c>
      <c r="B35">
        <v>3961</v>
      </c>
      <c r="C35">
        <v>3829</v>
      </c>
      <c r="D35">
        <v>3700</v>
      </c>
      <c r="E35">
        <v>3702</v>
      </c>
      <c r="F35">
        <v>3673</v>
      </c>
      <c r="G35">
        <v>3734</v>
      </c>
      <c r="I35" t="s">
        <v>27</v>
      </c>
      <c r="J35" s="1">
        <v>2950</v>
      </c>
      <c r="K35" s="5">
        <f>Tabla1[[#This Row],[Constructivo]]/$J35 -1</f>
        <v>0.3427118644067797</v>
      </c>
      <c r="L35" s="5">
        <f>Tabla1[[#This Row],[Grasp]]/$J35 -1</f>
        <v>0.29796610169491533</v>
      </c>
      <c r="M35" s="5">
        <f>Tabla1[[#This Row],[VND]]/$J35 -1</f>
        <v>0.25423728813559321</v>
      </c>
      <c r="N35" s="5">
        <f>Tabla1[[#This Row],[MELSP (p=0.2)]]/$J35 -1</f>
        <v>0.25491525423728811</v>
      </c>
      <c r="O35" s="5">
        <f>Tabla1[[#This Row],[MELSP (p=0.5)]]/$J35 -1</f>
        <v>0.24508474576271189</v>
      </c>
      <c r="P35" s="5">
        <f>Tabla1[[#This Row],[MELSP (p=0.8)]]/$J35 -1</f>
        <v>0.26576271186440681</v>
      </c>
      <c r="Q35" s="8">
        <f>AVERAGE(Tabla13[[#This Row],[Constructivo]:[MELSP (p=0.8)]])</f>
        <v>0.27677966101694917</v>
      </c>
      <c r="S35" t="s">
        <v>27</v>
      </c>
      <c r="T35" s="18">
        <v>300.00111508369002</v>
      </c>
      <c r="U35" s="18">
        <v>300.11725807189998</v>
      </c>
      <c r="V35" s="18">
        <v>300.16110515593999</v>
      </c>
      <c r="W35" s="18">
        <v>300.22624349594003</v>
      </c>
      <c r="X35" s="23">
        <f>AVERAGE(Tabla134[[#This Row],[VND]:[MELSP (p=0.8)]])</f>
        <v>300.12643045186752</v>
      </c>
      <c r="Z35" t="s">
        <v>27</v>
      </c>
      <c r="AA35">
        <v>5</v>
      </c>
      <c r="AB35">
        <v>8</v>
      </c>
      <c r="AC35">
        <v>8</v>
      </c>
      <c r="AD35">
        <v>8</v>
      </c>
      <c r="AE35" s="26">
        <f>AVERAGE(Tabla1345[[#This Row],[VND]:[MELSP (p=0.8)]])</f>
        <v>7.25</v>
      </c>
      <c r="AG35" t="s">
        <v>27</v>
      </c>
      <c r="AH35" s="1">
        <v>2950</v>
      </c>
      <c r="AI35" s="5">
        <f>Tabla1[[#This Row],[MELSP (p=0.2)]]/$J35 -1</f>
        <v>0.25491525423728811</v>
      </c>
      <c r="AJ35" s="5">
        <f>Tabla1[[#This Row],[MELSP (p=0.5)]]/$J35 -1</f>
        <v>0.24508474576271189</v>
      </c>
      <c r="AK35" s="5">
        <f>Tabla1[[#This Row],[MELSP (p=0.8)]]/$J35 -1</f>
        <v>0.26576271186440681</v>
      </c>
      <c r="AL35" s="7">
        <f>AVERAGE(Tabla136[[#This Row],[MELSP (p=0.2)]:[MELSP (p=0.8)]])</f>
        <v>0.25525423728813562</v>
      </c>
      <c r="AN35" t="s">
        <v>27</v>
      </c>
      <c r="AO35" s="5">
        <f>Tabla1[[#This Row],[Grasp]]/$J35 -1</f>
        <v>0.29796610169491533</v>
      </c>
      <c r="AP35" s="5">
        <f>$L35/Tabla13[[#This Row],[VND]] -1</f>
        <v>0.17200000000000037</v>
      </c>
      <c r="AQ35" s="5">
        <f>$L35/Tabla13[[#This Row],[MELSP (p=0.2)]] -1</f>
        <v>0.16888297872340474</v>
      </c>
      <c r="AR35" s="5">
        <f>$L35/Tabla13[[#This Row],[MELSP (p=0.5)]] -1</f>
        <v>0.21576763485477191</v>
      </c>
      <c r="AS35" s="5">
        <f>$L35/Tabla13[[#This Row],[MELSP (p=0.8)]] -1</f>
        <v>0.12117346938775531</v>
      </c>
      <c r="AT35" s="7">
        <f>AVERAGE(Tabla137[[#This Row],[VND]:[MELSP (p=0.8)]])</f>
        <v>0.16945602074148308</v>
      </c>
    </row>
    <row r="36" spans="1:46" ht="15" thickBot="1">
      <c r="A36" t="s">
        <v>28</v>
      </c>
      <c r="B36">
        <v>6955</v>
      </c>
      <c r="C36">
        <v>6544</v>
      </c>
      <c r="D36">
        <v>6314</v>
      </c>
      <c r="E36">
        <v>6293</v>
      </c>
      <c r="F36">
        <v>6292</v>
      </c>
      <c r="G36">
        <v>6374</v>
      </c>
      <c r="I36" t="s">
        <v>28</v>
      </c>
      <c r="J36" s="1">
        <v>5525</v>
      </c>
      <c r="K36" s="5">
        <f>Tabla1[[#This Row],[Constructivo]]/$J36 -1</f>
        <v>0.25882352941176467</v>
      </c>
      <c r="L36" s="5">
        <f>Tabla1[[#This Row],[Grasp]]/$J36 -1</f>
        <v>0.18443438914027155</v>
      </c>
      <c r="M36" s="5">
        <f>Tabla1[[#This Row],[VND]]/$J36 -1</f>
        <v>0.14280542986425337</v>
      </c>
      <c r="N36" s="5">
        <f>Tabla1[[#This Row],[MELSP (p=0.2)]]/$J36 -1</f>
        <v>0.13900452488687787</v>
      </c>
      <c r="O36" s="5">
        <f>Tabla1[[#This Row],[MELSP (p=0.5)]]/$J36 -1</f>
        <v>0.13882352941176479</v>
      </c>
      <c r="P36" s="5">
        <f>Tabla1[[#This Row],[MELSP (p=0.8)]]/$J36 -1</f>
        <v>0.15366515837104067</v>
      </c>
      <c r="Q36" s="8">
        <f>AVERAGE(Tabla13[[#This Row],[Constructivo]:[MELSP (p=0.8)]])</f>
        <v>0.16959276018099548</v>
      </c>
      <c r="S36" t="s">
        <v>28</v>
      </c>
      <c r="T36" s="18">
        <v>1800.0012354851001</v>
      </c>
      <c r="U36" s="18">
        <v>1800.7427518367999</v>
      </c>
      <c r="V36" s="18">
        <v>1800.9363839626001</v>
      </c>
      <c r="W36" s="18">
        <v>1800.8057668209001</v>
      </c>
      <c r="X36" s="23">
        <f>AVERAGE(Tabla134[[#This Row],[VND]:[MELSP (p=0.8)]])</f>
        <v>1800.6215345263502</v>
      </c>
      <c r="Z36" t="s">
        <v>28</v>
      </c>
      <c r="AA36">
        <v>4</v>
      </c>
      <c r="AB36">
        <v>7</v>
      </c>
      <c r="AC36">
        <v>7</v>
      </c>
      <c r="AD36">
        <v>7</v>
      </c>
      <c r="AE36" s="26">
        <f>AVERAGE(Tabla1345[[#This Row],[VND]:[MELSP (p=0.8)]])</f>
        <v>6.25</v>
      </c>
      <c r="AG36" t="s">
        <v>28</v>
      </c>
      <c r="AH36" s="1">
        <v>5525</v>
      </c>
      <c r="AI36" s="5">
        <f>Tabla1[[#This Row],[MELSP (p=0.2)]]/$J36 -1</f>
        <v>0.13900452488687787</v>
      </c>
      <c r="AJ36" s="5">
        <f>Tabla1[[#This Row],[MELSP (p=0.5)]]/$J36 -1</f>
        <v>0.13882352941176479</v>
      </c>
      <c r="AK36" s="5">
        <f>Tabla1[[#This Row],[MELSP (p=0.8)]]/$J36 -1</f>
        <v>0.15366515837104067</v>
      </c>
      <c r="AL36" s="7">
        <f>AVERAGE(Tabla136[[#This Row],[MELSP (p=0.2)]:[MELSP (p=0.8)]])</f>
        <v>0.14383107088989444</v>
      </c>
      <c r="AN36" t="s">
        <v>28</v>
      </c>
      <c r="AO36" s="5">
        <f>Tabla1[[#This Row],[Grasp]]/$J36 -1</f>
        <v>0.18443438914027155</v>
      </c>
      <c r="AP36" s="5">
        <f>$L36/Tabla13[[#This Row],[VND]] -1</f>
        <v>0.29150823827629968</v>
      </c>
      <c r="AQ36" s="5">
        <f>$L36/Tabla13[[#This Row],[MELSP (p=0.2)]] -1</f>
        <v>0.32682291666666674</v>
      </c>
      <c r="AR36" s="5">
        <f>$L36/Tabla13[[#This Row],[MELSP (p=0.5)]] -1</f>
        <v>0.32855280312907387</v>
      </c>
      <c r="AS36" s="5">
        <f>$L36/Tabla13[[#This Row],[MELSP (p=0.8)]] -1</f>
        <v>0.200235571260307</v>
      </c>
      <c r="AT36" s="7">
        <f>AVERAGE(Tabla137[[#This Row],[VND]:[MELSP (p=0.8)]])</f>
        <v>0.28677988233308682</v>
      </c>
    </row>
    <row r="37" spans="1:46" ht="15" thickBot="1">
      <c r="A37" t="s">
        <v>29</v>
      </c>
      <c r="B37">
        <v>6842</v>
      </c>
      <c r="C37">
        <v>6192</v>
      </c>
      <c r="D37">
        <v>6003</v>
      </c>
      <c r="E37">
        <v>6050</v>
      </c>
      <c r="F37">
        <v>5930</v>
      </c>
      <c r="G37">
        <v>5997</v>
      </c>
      <c r="I37" t="s">
        <v>29</v>
      </c>
      <c r="J37" s="1">
        <v>5676</v>
      </c>
      <c r="K37" s="5">
        <f>Tabla1[[#This Row],[Constructivo]]/$J37 -1</f>
        <v>0.20542635658914721</v>
      </c>
      <c r="L37" s="5">
        <f>Tabla1[[#This Row],[Grasp]]/$J37 -1</f>
        <v>9.0909090909090828E-2</v>
      </c>
      <c r="M37" s="5">
        <f>Tabla1[[#This Row],[VND]]/$J37 -1</f>
        <v>5.7610993657505327E-2</v>
      </c>
      <c r="N37" s="5">
        <f>Tabla1[[#This Row],[MELSP (p=0.2)]]/$J37 -1</f>
        <v>6.5891472868216949E-2</v>
      </c>
      <c r="O37" s="5">
        <f>Tabla1[[#This Row],[MELSP (p=0.5)]]/$J37 -1</f>
        <v>4.4749823819591361E-2</v>
      </c>
      <c r="P37" s="5">
        <f>Tabla1[[#This Row],[MELSP (p=0.8)]]/$J37 -1</f>
        <v>5.6553911205073915E-2</v>
      </c>
      <c r="Q37" s="31">
        <f>AVERAGE(Tabla13[[#This Row],[Constructivo]:[MELSP (p=0.8)]])</f>
        <v>8.685694150810426E-2</v>
      </c>
      <c r="S37" t="s">
        <v>29</v>
      </c>
      <c r="T37" s="18">
        <v>1800.001445055</v>
      </c>
      <c r="U37" s="18">
        <v>1800.4220678806</v>
      </c>
      <c r="V37" s="18">
        <v>1800.5783977509</v>
      </c>
      <c r="W37" s="18">
        <v>1800.8252122402</v>
      </c>
      <c r="X37" s="23">
        <f>AVERAGE(Tabla134[[#This Row],[VND]:[MELSP (p=0.8)]])</f>
        <v>1800.4567807316751</v>
      </c>
      <c r="Z37" t="s">
        <v>29</v>
      </c>
      <c r="AA37">
        <v>4</v>
      </c>
      <c r="AB37">
        <v>7</v>
      </c>
      <c r="AC37">
        <v>7</v>
      </c>
      <c r="AD37">
        <v>7</v>
      </c>
      <c r="AE37" s="26">
        <f>AVERAGE(Tabla1345[[#This Row],[VND]:[MELSP (p=0.8)]])</f>
        <v>6.25</v>
      </c>
      <c r="AG37" t="s">
        <v>29</v>
      </c>
      <c r="AH37" s="1">
        <v>5676</v>
      </c>
      <c r="AI37" s="5">
        <f>Tabla1[[#This Row],[MELSP (p=0.2)]]/$J37 -1</f>
        <v>6.5891472868216949E-2</v>
      </c>
      <c r="AJ37" s="5">
        <f>Tabla1[[#This Row],[MELSP (p=0.5)]]/$J37 -1</f>
        <v>4.4749823819591361E-2</v>
      </c>
      <c r="AK37" s="5">
        <f>Tabla1[[#This Row],[MELSP (p=0.8)]]/$J37 -1</f>
        <v>5.6553911205073915E-2</v>
      </c>
      <c r="AL37" s="33">
        <f>AVERAGE(Tabla136[[#This Row],[MELSP (p=0.2)]:[MELSP (p=0.8)]])</f>
        <v>5.5731735964294073E-2</v>
      </c>
      <c r="AN37" t="s">
        <v>29</v>
      </c>
      <c r="AO37" s="5">
        <f>Tabla1[[#This Row],[Grasp]]/$J37 -1</f>
        <v>9.0909090909090828E-2</v>
      </c>
      <c r="AP37" s="5">
        <f>$L37/Tabla13[[#This Row],[VND]] -1</f>
        <v>0.57798165137614421</v>
      </c>
      <c r="AQ37" s="5">
        <f>$L37/Tabla13[[#This Row],[MELSP (p=0.2)]] -1</f>
        <v>0.37967914438502781</v>
      </c>
      <c r="AR37" s="5">
        <f>$L37/Tabla13[[#This Row],[MELSP (p=0.5)]] -1</f>
        <v>1.0314960629921197</v>
      </c>
      <c r="AS37" s="5">
        <f>$L37/Tabla13[[#This Row],[MELSP (p=0.8)]] -1</f>
        <v>0.60747663551401954</v>
      </c>
      <c r="AT37" s="7">
        <f>AVERAGE(Tabla137[[#This Row],[VND]:[MELSP (p=0.8)]])</f>
        <v>0.64915837356682782</v>
      </c>
    </row>
    <row r="38" spans="1:46" ht="15" thickBot="1">
      <c r="I38" s="11" t="s">
        <v>39</v>
      </c>
      <c r="J38" s="12"/>
      <c r="K38" s="13">
        <f t="shared" ref="K38:Q38" si="0">AVERAGE(K22:K37)</f>
        <v>0.51608141770436766</v>
      </c>
      <c r="L38" s="13">
        <f t="shared" si="0"/>
        <v>0.40565134439511946</v>
      </c>
      <c r="M38" s="14">
        <f t="shared" si="0"/>
        <v>0.35686195268678583</v>
      </c>
      <c r="N38" s="13">
        <f t="shared" si="0"/>
        <v>0.35743687076077801</v>
      </c>
      <c r="O38" s="13">
        <f t="shared" si="0"/>
        <v>0.35708967219293564</v>
      </c>
      <c r="P38" s="13">
        <f t="shared" si="0"/>
        <v>0.3605709625319039</v>
      </c>
      <c r="Q38" s="9">
        <f t="shared" si="0"/>
        <v>0.39228203671198175</v>
      </c>
      <c r="S38" s="11" t="s">
        <v>39</v>
      </c>
      <c r="T38" s="20">
        <f>AVERAGE(T22:T37)</f>
        <v>306.7796976864347</v>
      </c>
      <c r="U38" s="21">
        <f t="shared" ref="U38" si="1">AVERAGE(U22:U37)</f>
        <v>312.25333867967078</v>
      </c>
      <c r="V38" s="21">
        <f t="shared" ref="V38" si="2">AVERAGE(V22:V37)</f>
        <v>313.2416537106044</v>
      </c>
      <c r="W38" s="21">
        <f t="shared" ref="W38" si="3">AVERAGE(W22:W37)</f>
        <v>314.11416433751418</v>
      </c>
      <c r="X38" s="24">
        <f>AVERAGE(Tabla134[[#This Row],[VND]:[MELSP (p=0.8)]])</f>
        <v>311.59721360355604</v>
      </c>
      <c r="Z38" s="11" t="s">
        <v>39</v>
      </c>
      <c r="AA38" s="30">
        <f>AVERAGE(AA22:AA37)</f>
        <v>5.5</v>
      </c>
      <c r="AB38" s="29">
        <f t="shared" ref="AB38" si="4">AVERAGE(AB22:AB37)</f>
        <v>11.3125</v>
      </c>
      <c r="AC38" s="28">
        <f t="shared" ref="AC38" si="5">AVERAGE(AC22:AC37)</f>
        <v>11.875</v>
      </c>
      <c r="AD38" s="28">
        <f t="shared" ref="AD38" si="6">AVERAGE(AD22:AD37)</f>
        <v>11.75</v>
      </c>
      <c r="AE38" s="27">
        <f>AVERAGE(Tabla1345[[#This Row],[VND]:[MELSP (p=0.8)]])</f>
        <v>10.109375</v>
      </c>
      <c r="AG38" s="11" t="s">
        <v>39</v>
      </c>
      <c r="AH38" s="12"/>
      <c r="AI38" s="13">
        <f t="shared" ref="AI38" si="7">AVERAGE(AI22:AI37)</f>
        <v>0.35743687076077801</v>
      </c>
      <c r="AJ38" s="14">
        <f t="shared" ref="AJ38" si="8">AVERAGE(AJ22:AJ37)</f>
        <v>0.35708967219293564</v>
      </c>
      <c r="AK38" s="13">
        <f t="shared" ref="AK38" si="9">AVERAGE(AK22:AK37)</f>
        <v>0.3605709625319039</v>
      </c>
      <c r="AL38" s="7">
        <f>AVERAGE(Tabla136[[#This Row],[MELSP (p=0.2)]:[MELSP (p=0.8)]])</f>
        <v>0.35836583516187254</v>
      </c>
      <c r="AN38" s="11" t="s">
        <v>39</v>
      </c>
      <c r="AO38" s="13">
        <f t="shared" ref="AO38" si="10">AVERAGE(AO22:AO37)</f>
        <v>0.40565134439511946</v>
      </c>
      <c r="AP38" s="14">
        <f t="shared" ref="AP38" si="11">AVERAGE(AP22:AP37)</f>
        <v>0.20285209627369677</v>
      </c>
      <c r="AQ38" s="13">
        <f t="shared" ref="AQ38" si="12">AVERAGE(AQ22:AQ37)</f>
        <v>0.20140012872029633</v>
      </c>
      <c r="AR38" s="13">
        <f t="shared" ref="AR38" si="13">AVERAGE(AR22:AR37)</f>
        <v>0.22366298940130014</v>
      </c>
      <c r="AS38" s="13">
        <f t="shared" ref="AS38" si="14">AVERAGE(AS22:AS37)</f>
        <v>0.18932849252191269</v>
      </c>
      <c r="AT38" s="7">
        <f>AVERAGE(Tabla137[[#This Row],[VND]:[MELSP (p=0.8)]])</f>
        <v>0.20431092672930151</v>
      </c>
    </row>
    <row r="39" spans="1:46" ht="18">
      <c r="I39" s="15" t="s">
        <v>40</v>
      </c>
      <c r="J39" s="16"/>
      <c r="K39" s="17">
        <v>6</v>
      </c>
      <c r="L39" s="17">
        <v>5</v>
      </c>
      <c r="M39" s="17">
        <v>1</v>
      </c>
      <c r="N39" s="17">
        <v>3</v>
      </c>
      <c r="O39" s="17">
        <v>2</v>
      </c>
      <c r="P39" s="17">
        <v>4</v>
      </c>
      <c r="Q39" s="10"/>
      <c r="S39" s="15" t="s">
        <v>40</v>
      </c>
      <c r="T39" s="17">
        <v>1</v>
      </c>
      <c r="U39" s="17">
        <v>2</v>
      </c>
      <c r="V39" s="17">
        <v>3</v>
      </c>
      <c r="W39" s="17">
        <v>4</v>
      </c>
      <c r="X39" s="22"/>
      <c r="Z39" s="15" t="s">
        <v>40</v>
      </c>
      <c r="AA39" s="17">
        <v>3</v>
      </c>
      <c r="AB39" s="17">
        <v>2</v>
      </c>
      <c r="AC39" s="17">
        <v>1</v>
      </c>
      <c r="AD39" s="17">
        <v>1</v>
      </c>
      <c r="AE39" s="22"/>
      <c r="AG39" s="15" t="s">
        <v>40</v>
      </c>
      <c r="AH39" s="16"/>
      <c r="AI39" s="17">
        <v>2</v>
      </c>
      <c r="AJ39" s="17">
        <v>1</v>
      </c>
      <c r="AK39" s="17">
        <v>3</v>
      </c>
      <c r="AL39" s="10"/>
      <c r="AN39" s="15" t="s">
        <v>40</v>
      </c>
      <c r="AO39" s="17">
        <v>5</v>
      </c>
      <c r="AP39" s="17">
        <v>1</v>
      </c>
      <c r="AQ39" s="17">
        <v>3</v>
      </c>
      <c r="AR39" s="17">
        <v>2</v>
      </c>
      <c r="AS39" s="17">
        <v>4</v>
      </c>
      <c r="AT39" s="10"/>
    </row>
    <row r="41" spans="1:46" ht="21">
      <c r="A41" s="38" t="s">
        <v>37</v>
      </c>
      <c r="B41" s="38"/>
      <c r="C41" s="38"/>
      <c r="D41" s="38"/>
      <c r="E41" s="38"/>
      <c r="F41" s="38"/>
      <c r="G41" s="38"/>
      <c r="I41" s="38" t="s">
        <v>38</v>
      </c>
      <c r="J41" s="38"/>
      <c r="K41" s="38"/>
      <c r="L41" s="38"/>
      <c r="M41" s="38"/>
      <c r="N41" s="38"/>
      <c r="O41" s="38"/>
      <c r="P41" s="38"/>
      <c r="Q41" s="38"/>
    </row>
    <row r="42" spans="1:46" ht="21.6" thickBot="1">
      <c r="A42" s="35" t="s">
        <v>0</v>
      </c>
      <c r="B42" s="35" t="s">
        <v>44</v>
      </c>
      <c r="C42" s="35" t="s">
        <v>45</v>
      </c>
      <c r="D42" s="35" t="s">
        <v>46</v>
      </c>
      <c r="E42" s="35" t="s">
        <v>47</v>
      </c>
      <c r="F42" s="35" t="s">
        <v>48</v>
      </c>
      <c r="G42" s="35" t="s">
        <v>49</v>
      </c>
      <c r="I42" s="4" t="s">
        <v>0</v>
      </c>
      <c r="J42" s="4" t="s">
        <v>36</v>
      </c>
      <c r="K42" s="35" t="s">
        <v>44</v>
      </c>
      <c r="L42" s="35" t="s">
        <v>45</v>
      </c>
      <c r="M42" s="35" t="s">
        <v>46</v>
      </c>
      <c r="N42" s="35" t="s">
        <v>47</v>
      </c>
      <c r="O42" s="35" t="s">
        <v>48</v>
      </c>
      <c r="P42" s="35" t="s">
        <v>49</v>
      </c>
      <c r="Q42" s="4" t="s">
        <v>39</v>
      </c>
      <c r="S42" s="38" t="s">
        <v>50</v>
      </c>
      <c r="T42" s="38"/>
      <c r="U42" s="38"/>
    </row>
    <row r="43" spans="1:46">
      <c r="A43" s="2" t="s">
        <v>14</v>
      </c>
      <c r="B43" s="2">
        <v>1541</v>
      </c>
      <c r="C43" s="2">
        <v>1611</v>
      </c>
      <c r="D43" s="2">
        <v>1605</v>
      </c>
      <c r="E43" s="2">
        <v>1619</v>
      </c>
      <c r="F43" s="2">
        <v>1611</v>
      </c>
      <c r="G43" s="2">
        <v>1605</v>
      </c>
      <c r="I43" t="s">
        <v>14</v>
      </c>
      <c r="J43" s="1">
        <v>991</v>
      </c>
      <c r="K43" s="5">
        <f t="shared" ref="K43:K58" si="15">B43/$J43 -1</f>
        <v>0.55499495459132198</v>
      </c>
      <c r="L43" s="5">
        <f t="shared" ref="L43:L58" si="16">C43/$J43 -1</f>
        <v>0.62563067608476297</v>
      </c>
      <c r="M43" s="5">
        <f t="shared" ref="M43:M58" si="17">D43/$J43 -1</f>
        <v>0.61957618567103934</v>
      </c>
      <c r="N43" s="5">
        <f t="shared" ref="N43:N58" si="18">E43/$J43 -1</f>
        <v>0.63370332996972745</v>
      </c>
      <c r="O43" s="5">
        <f t="shared" ref="O43:O58" si="19">F43/$J43 -1</f>
        <v>0.62563067608476297</v>
      </c>
      <c r="P43" s="5">
        <f t="shared" ref="P43:P58" si="20">G43/$J43 -1</f>
        <v>0.61957618567103934</v>
      </c>
      <c r="Q43" s="7">
        <f>AVERAGE(Tabla138[[#This Row],[Intechange BI]:[Insertion down FI]])</f>
        <v>0.61318533467877567</v>
      </c>
      <c r="S43" s="35" t="s">
        <v>51</v>
      </c>
      <c r="T43" s="35" t="s">
        <v>52</v>
      </c>
      <c r="U43" s="35" t="s">
        <v>40</v>
      </c>
    </row>
    <row r="44" spans="1:46">
      <c r="A44" s="2" t="s">
        <v>15</v>
      </c>
      <c r="B44" s="2">
        <v>1433</v>
      </c>
      <c r="C44" s="2">
        <v>1498</v>
      </c>
      <c r="D44" s="2">
        <v>1575</v>
      </c>
      <c r="E44" s="2">
        <v>1472</v>
      </c>
      <c r="F44" s="2">
        <v>1501</v>
      </c>
      <c r="G44" s="2">
        <v>1575</v>
      </c>
      <c r="I44" t="s">
        <v>15</v>
      </c>
      <c r="J44" s="1">
        <v>985</v>
      </c>
      <c r="K44" s="5">
        <f t="shared" si="15"/>
        <v>0.45482233502538061</v>
      </c>
      <c r="L44" s="5">
        <f t="shared" si="16"/>
        <v>0.52081218274111674</v>
      </c>
      <c r="M44" s="5">
        <f t="shared" si="17"/>
        <v>0.59898477157360408</v>
      </c>
      <c r="N44" s="5">
        <f t="shared" si="18"/>
        <v>0.49441624365482228</v>
      </c>
      <c r="O44" s="5">
        <f t="shared" si="19"/>
        <v>0.52385786802030454</v>
      </c>
      <c r="P44" s="5">
        <f t="shared" si="20"/>
        <v>0.59898477157360408</v>
      </c>
      <c r="Q44" s="8">
        <f>AVERAGE(Tabla138[[#This Row],[Intechange BI]:[Insertion down FI]])</f>
        <v>0.53197969543147205</v>
      </c>
      <c r="S44" t="str">
        <f>Tabla13[[#Headers],[Constructivo]]</f>
        <v>Constructivo</v>
      </c>
      <c r="T44" s="6">
        <f>K38</f>
        <v>0.51608141770436766</v>
      </c>
      <c r="U44">
        <f>U51+1</f>
        <v>12</v>
      </c>
      <c r="X44" s="37"/>
    </row>
    <row r="45" spans="1:46">
      <c r="A45" s="2" t="s">
        <v>16</v>
      </c>
      <c r="B45" s="2">
        <v>1973</v>
      </c>
      <c r="C45" s="2">
        <v>1959</v>
      </c>
      <c r="D45" s="2">
        <v>1956</v>
      </c>
      <c r="E45" s="2">
        <v>1973</v>
      </c>
      <c r="F45" s="2">
        <v>1917</v>
      </c>
      <c r="G45" s="2">
        <v>1956</v>
      </c>
      <c r="I45" t="s">
        <v>16</v>
      </c>
      <c r="J45" s="1">
        <v>1177</v>
      </c>
      <c r="K45" s="5">
        <f t="shared" si="15"/>
        <v>0.67629566694987253</v>
      </c>
      <c r="L45" s="5">
        <f t="shared" si="16"/>
        <v>0.66440101954120645</v>
      </c>
      <c r="M45" s="5">
        <f t="shared" si="17"/>
        <v>0.66185216652506362</v>
      </c>
      <c r="N45" s="5">
        <f t="shared" si="18"/>
        <v>0.67629566694987253</v>
      </c>
      <c r="O45" s="5">
        <f t="shared" si="19"/>
        <v>0.62871707731520821</v>
      </c>
      <c r="P45" s="5">
        <f t="shared" si="20"/>
        <v>0.66185216652506362</v>
      </c>
      <c r="Q45" s="8">
        <f>AVERAGE(Tabla138[[#This Row],[Intechange BI]:[Insertion down FI]])</f>
        <v>0.6615689606343812</v>
      </c>
      <c r="S45" t="str">
        <f>Tabla13[[#Headers],[Grasp]]</f>
        <v>Grasp</v>
      </c>
      <c r="T45" s="6">
        <f>L38</f>
        <v>0.40565134439511946</v>
      </c>
      <c r="U45">
        <f>U55+1</f>
        <v>5</v>
      </c>
    </row>
    <row r="46" spans="1:46">
      <c r="A46" s="2" t="s">
        <v>17</v>
      </c>
      <c r="B46" s="2">
        <v>1841</v>
      </c>
      <c r="C46" s="2">
        <v>1944</v>
      </c>
      <c r="D46" s="2">
        <v>1979</v>
      </c>
      <c r="E46" s="2">
        <v>1912</v>
      </c>
      <c r="F46" s="2">
        <v>1873</v>
      </c>
      <c r="G46" s="2">
        <v>1979</v>
      </c>
      <c r="I46" t="s">
        <v>17</v>
      </c>
      <c r="J46" s="1">
        <v>1218</v>
      </c>
      <c r="K46" s="5">
        <f t="shared" si="15"/>
        <v>0.51149425287356332</v>
      </c>
      <c r="L46" s="5">
        <f t="shared" si="16"/>
        <v>0.59605911330049266</v>
      </c>
      <c r="M46" s="5">
        <f t="shared" si="17"/>
        <v>0.62479474548440073</v>
      </c>
      <c r="N46" s="5">
        <f t="shared" si="18"/>
        <v>0.56978653530377676</v>
      </c>
      <c r="O46" s="5">
        <f t="shared" si="19"/>
        <v>0.53776683087027921</v>
      </c>
      <c r="P46" s="5">
        <f t="shared" si="20"/>
        <v>0.62479474548440073</v>
      </c>
      <c r="Q46" s="8">
        <f>AVERAGE(Tabla138[[#This Row],[Intechange BI]:[Insertion down FI]])</f>
        <v>0.57744937055281886</v>
      </c>
      <c r="S46" t="str">
        <f>Tabla138[[#Headers],[Intechange BI]]</f>
        <v>Intechange BI</v>
      </c>
      <c r="T46" s="6">
        <f>K59</f>
        <v>0.45905116808849067</v>
      </c>
      <c r="U46">
        <f>U45+1</f>
        <v>6</v>
      </c>
    </row>
    <row r="47" spans="1:46">
      <c r="A47" s="2" t="s">
        <v>18</v>
      </c>
      <c r="B47" s="2">
        <v>2331</v>
      </c>
      <c r="C47" s="2">
        <v>2331</v>
      </c>
      <c r="D47" s="2">
        <v>2276</v>
      </c>
      <c r="E47" s="2">
        <v>2331</v>
      </c>
      <c r="F47" s="2">
        <v>2331</v>
      </c>
      <c r="G47" s="2">
        <v>2276</v>
      </c>
      <c r="I47" t="s">
        <v>18</v>
      </c>
      <c r="J47" s="1">
        <v>1223</v>
      </c>
      <c r="K47" s="5">
        <f t="shared" si="15"/>
        <v>0.90596892886345048</v>
      </c>
      <c r="L47" s="5">
        <f t="shared" si="16"/>
        <v>0.90596892886345048</v>
      </c>
      <c r="M47" s="5">
        <f t="shared" si="17"/>
        <v>0.86099754701553555</v>
      </c>
      <c r="N47" s="5">
        <f t="shared" si="18"/>
        <v>0.90596892886345048</v>
      </c>
      <c r="O47" s="5">
        <f t="shared" si="19"/>
        <v>0.90596892886345048</v>
      </c>
      <c r="P47" s="5">
        <f t="shared" si="20"/>
        <v>0.86099754701553555</v>
      </c>
      <c r="Q47" s="8">
        <f>AVERAGE(Tabla138[[#This Row],[Intechange BI]:[Insertion down FI]])</f>
        <v>0.89097846824747895</v>
      </c>
      <c r="S47" t="str">
        <f>Tabla138[[#Headers],[Insertion up BI]]</f>
        <v>Insertion up BI</v>
      </c>
      <c r="T47" s="6">
        <f>L59</f>
        <v>0.477145016676986</v>
      </c>
      <c r="U47">
        <f>U50+1</f>
        <v>8</v>
      </c>
    </row>
    <row r="48" spans="1:46">
      <c r="A48" s="2" t="s">
        <v>19</v>
      </c>
      <c r="B48" s="2">
        <v>2342</v>
      </c>
      <c r="C48" s="2">
        <v>2375</v>
      </c>
      <c r="D48" s="2">
        <v>2362</v>
      </c>
      <c r="E48" s="2">
        <v>2374</v>
      </c>
      <c r="F48" s="2">
        <v>2374</v>
      </c>
      <c r="G48" s="2">
        <v>2362</v>
      </c>
      <c r="I48" t="s">
        <v>19</v>
      </c>
      <c r="J48" s="1">
        <v>1270</v>
      </c>
      <c r="K48" s="5">
        <f t="shared" si="15"/>
        <v>0.84409448818897648</v>
      </c>
      <c r="L48" s="5">
        <f t="shared" si="16"/>
        <v>0.87007874015748032</v>
      </c>
      <c r="M48" s="5">
        <f t="shared" si="17"/>
        <v>0.85984251968503944</v>
      </c>
      <c r="N48" s="5">
        <f t="shared" si="18"/>
        <v>0.86929133858267726</v>
      </c>
      <c r="O48" s="5">
        <f t="shared" si="19"/>
        <v>0.86929133858267726</v>
      </c>
      <c r="P48" s="5">
        <f t="shared" si="20"/>
        <v>0.85984251968503944</v>
      </c>
      <c r="Q48" s="8">
        <f>AVERAGE(Tabla138[[#This Row],[Intechange BI]:[Insertion down FI]])</f>
        <v>0.86207349081364837</v>
      </c>
      <c r="S48" t="str">
        <f>Tabla138[[#Headers],[Insertio down BI]]</f>
        <v>Insertio down BI</v>
      </c>
      <c r="T48" s="6">
        <f>M59</f>
        <v>0.47793288684373503</v>
      </c>
      <c r="U48">
        <f>U47+1</f>
        <v>9</v>
      </c>
    </row>
    <row r="49" spans="1:21">
      <c r="A49" s="2" t="s">
        <v>20</v>
      </c>
      <c r="B49" s="2">
        <v>2392</v>
      </c>
      <c r="C49" s="2">
        <v>2392</v>
      </c>
      <c r="D49" s="2">
        <v>2298</v>
      </c>
      <c r="E49" s="2">
        <v>2443</v>
      </c>
      <c r="F49" s="2">
        <v>2420</v>
      </c>
      <c r="G49" s="2">
        <v>2419</v>
      </c>
      <c r="I49" t="s">
        <v>20</v>
      </c>
      <c r="J49" s="1">
        <v>1818</v>
      </c>
      <c r="K49" s="5">
        <f t="shared" si="15"/>
        <v>0.31573157315731581</v>
      </c>
      <c r="L49" s="5">
        <f t="shared" si="16"/>
        <v>0.31573157315731581</v>
      </c>
      <c r="M49" s="5">
        <f t="shared" si="17"/>
        <v>0.26402640264026411</v>
      </c>
      <c r="N49" s="5">
        <f t="shared" si="18"/>
        <v>0.34378437843784382</v>
      </c>
      <c r="O49" s="5">
        <f t="shared" si="19"/>
        <v>0.33113311331133111</v>
      </c>
      <c r="P49" s="5">
        <f t="shared" si="20"/>
        <v>0.33058305830583068</v>
      </c>
      <c r="Q49" s="8">
        <f>AVERAGE(Tabla138[[#This Row],[Intechange BI]:[Insertion down FI]])</f>
        <v>0.31683168316831689</v>
      </c>
      <c r="S49" t="str">
        <f>Tabla138[[#Headers],[Interchange FI]]</f>
        <v>Interchange FI</v>
      </c>
      <c r="T49" s="6">
        <f>N59</f>
        <v>0.48020353889034595</v>
      </c>
      <c r="U49">
        <f>U48+1</f>
        <v>10</v>
      </c>
    </row>
    <row r="50" spans="1:21">
      <c r="A50" s="2" t="s">
        <v>21</v>
      </c>
      <c r="B50" s="2">
        <v>2518</v>
      </c>
      <c r="C50" s="2">
        <v>2521</v>
      </c>
      <c r="D50" s="2">
        <v>2512</v>
      </c>
      <c r="E50" s="2">
        <v>2507</v>
      </c>
      <c r="F50" s="2">
        <v>2539</v>
      </c>
      <c r="G50" s="2">
        <v>2549</v>
      </c>
      <c r="I50" t="s">
        <v>21</v>
      </c>
      <c r="J50" s="1">
        <v>1838</v>
      </c>
      <c r="K50" s="5">
        <f t="shared" si="15"/>
        <v>0.36996735582154505</v>
      </c>
      <c r="L50" s="5">
        <f t="shared" si="16"/>
        <v>0.37159956474428735</v>
      </c>
      <c r="M50" s="5">
        <f t="shared" si="17"/>
        <v>0.36670293797606091</v>
      </c>
      <c r="N50" s="5">
        <f t="shared" si="18"/>
        <v>0.36398258977149078</v>
      </c>
      <c r="O50" s="5">
        <f t="shared" si="19"/>
        <v>0.38139281828074001</v>
      </c>
      <c r="P50" s="5">
        <f t="shared" si="20"/>
        <v>0.38683351468988025</v>
      </c>
      <c r="Q50" s="8">
        <f>AVERAGE(Tabla138[[#This Row],[Intechange BI]:[Insertion down FI]])</f>
        <v>0.37341313021400069</v>
      </c>
      <c r="S50" t="str">
        <f>Tabla138[[#Headers],[Insertion up FI]]</f>
        <v>Insertion up FI</v>
      </c>
      <c r="T50" s="6">
        <f>O59</f>
        <v>0.47674243789819126</v>
      </c>
      <c r="U50">
        <f>U46+1</f>
        <v>7</v>
      </c>
    </row>
    <row r="51" spans="1:21">
      <c r="A51" s="2" t="s">
        <v>22</v>
      </c>
      <c r="B51" s="2">
        <v>2580</v>
      </c>
      <c r="C51" s="2">
        <v>2573</v>
      </c>
      <c r="D51" s="2">
        <v>2594</v>
      </c>
      <c r="E51" s="2">
        <v>2597</v>
      </c>
      <c r="F51" s="2">
        <v>2553</v>
      </c>
      <c r="G51" s="2">
        <v>2594</v>
      </c>
      <c r="I51" t="s">
        <v>22</v>
      </c>
      <c r="J51" s="1">
        <v>1876</v>
      </c>
      <c r="K51" s="5">
        <f t="shared" si="15"/>
        <v>0.37526652452025577</v>
      </c>
      <c r="L51" s="5">
        <f t="shared" si="16"/>
        <v>0.37153518123667384</v>
      </c>
      <c r="M51" s="5">
        <f t="shared" si="17"/>
        <v>0.38272921108742008</v>
      </c>
      <c r="N51" s="5">
        <f t="shared" si="18"/>
        <v>0.38432835820895517</v>
      </c>
      <c r="O51" s="5">
        <f t="shared" si="19"/>
        <v>0.36087420042643914</v>
      </c>
      <c r="P51" s="5">
        <f t="shared" si="20"/>
        <v>0.38272921108742008</v>
      </c>
      <c r="Q51" s="8">
        <f>AVERAGE(Tabla138[[#This Row],[Intechange BI]:[Insertion down FI]])</f>
        <v>0.37624378109452739</v>
      </c>
      <c r="S51" t="str">
        <f>Tabla138[[#Headers],[Insertion down FI]]</f>
        <v>Insertion down FI</v>
      </c>
      <c r="T51" s="6">
        <f>P59</f>
        <v>0.4851471276657624</v>
      </c>
      <c r="U51">
        <f>U49+1</f>
        <v>11</v>
      </c>
    </row>
    <row r="52" spans="1:21">
      <c r="A52" s="2" t="s">
        <v>23</v>
      </c>
      <c r="B52" s="2">
        <v>3038</v>
      </c>
      <c r="C52" s="2">
        <v>3045</v>
      </c>
      <c r="D52" s="2">
        <v>3035</v>
      </c>
      <c r="E52" s="2">
        <v>3038</v>
      </c>
      <c r="F52" s="2">
        <v>3046</v>
      </c>
      <c r="G52" s="2">
        <v>3035</v>
      </c>
      <c r="I52" t="s">
        <v>23</v>
      </c>
      <c r="J52" s="1">
        <v>1784</v>
      </c>
      <c r="K52" s="5">
        <f t="shared" si="15"/>
        <v>0.702914798206278</v>
      </c>
      <c r="L52" s="5">
        <f t="shared" si="16"/>
        <v>0.70683856502242159</v>
      </c>
      <c r="M52" s="5">
        <f t="shared" si="17"/>
        <v>0.70123318385650224</v>
      </c>
      <c r="N52" s="5">
        <f t="shared" si="18"/>
        <v>0.702914798206278</v>
      </c>
      <c r="O52" s="5">
        <f t="shared" si="19"/>
        <v>0.70739910313901344</v>
      </c>
      <c r="P52" s="5">
        <f t="shared" si="20"/>
        <v>0.70123318385650224</v>
      </c>
      <c r="Q52" s="8">
        <f>AVERAGE(Tabla138[[#This Row],[Intechange BI]:[Insertion down FI]])</f>
        <v>0.70375560538116577</v>
      </c>
      <c r="S52" t="str">
        <f>Tabla13[[#Headers],[VND]]</f>
        <v>VND</v>
      </c>
      <c r="T52" s="6">
        <f>M38</f>
        <v>0.35686195268678583</v>
      </c>
      <c r="U52">
        <v>1</v>
      </c>
    </row>
    <row r="53" spans="1:21">
      <c r="A53" s="2" t="s">
        <v>24</v>
      </c>
      <c r="B53" s="2">
        <v>3463</v>
      </c>
      <c r="C53" s="2">
        <v>3455</v>
      </c>
      <c r="D53" s="2">
        <v>3481</v>
      </c>
      <c r="E53" s="2">
        <v>3522</v>
      </c>
      <c r="F53" s="2">
        <v>3545</v>
      </c>
      <c r="G53" s="2">
        <v>3493</v>
      </c>
      <c r="I53" t="s">
        <v>24</v>
      </c>
      <c r="J53" s="1">
        <v>2825</v>
      </c>
      <c r="K53" s="5">
        <f t="shared" si="15"/>
        <v>0.22584070796460187</v>
      </c>
      <c r="L53" s="5">
        <f t="shared" si="16"/>
        <v>0.2230088495575222</v>
      </c>
      <c r="M53" s="5">
        <f t="shared" si="17"/>
        <v>0.23221238938053101</v>
      </c>
      <c r="N53" s="5">
        <f t="shared" si="18"/>
        <v>0.24672566371681426</v>
      </c>
      <c r="O53" s="5">
        <f t="shared" si="19"/>
        <v>0.25486725663716814</v>
      </c>
      <c r="P53" s="5">
        <f t="shared" si="20"/>
        <v>0.23646017699115052</v>
      </c>
      <c r="Q53" s="8">
        <f>AVERAGE(Tabla138[[#This Row],[Intechange BI]:[Insertion down FI]])</f>
        <v>0.23651917404129799</v>
      </c>
      <c r="S53" t="str">
        <f>Tabla13[[#Headers],[MELSP (p=0.2)]]</f>
        <v>MELSP (p=0.2)</v>
      </c>
      <c r="T53" s="6">
        <f>N38</f>
        <v>0.35743687076077801</v>
      </c>
      <c r="U53">
        <f>U54+1</f>
        <v>3</v>
      </c>
    </row>
    <row r="54" spans="1:21">
      <c r="A54" s="2" t="s">
        <v>25</v>
      </c>
      <c r="B54" s="2">
        <v>3768</v>
      </c>
      <c r="C54" s="2">
        <v>3926</v>
      </c>
      <c r="D54" s="2">
        <v>3952</v>
      </c>
      <c r="E54" s="2">
        <v>3974</v>
      </c>
      <c r="F54" s="2">
        <v>3966</v>
      </c>
      <c r="G54" s="2">
        <v>3969</v>
      </c>
      <c r="I54" t="s">
        <v>25</v>
      </c>
      <c r="J54" s="1">
        <v>3001</v>
      </c>
      <c r="K54" s="5">
        <f t="shared" si="15"/>
        <v>0.25558147284238597</v>
      </c>
      <c r="L54" s="5">
        <f t="shared" si="16"/>
        <v>0.30823058980339879</v>
      </c>
      <c r="M54" s="5">
        <f t="shared" si="17"/>
        <v>0.31689436854381881</v>
      </c>
      <c r="N54" s="5">
        <f t="shared" si="18"/>
        <v>0.3242252582472509</v>
      </c>
      <c r="O54" s="5">
        <f t="shared" si="19"/>
        <v>0.32155948017327551</v>
      </c>
      <c r="P54" s="5">
        <f t="shared" si="20"/>
        <v>0.32255914695101628</v>
      </c>
      <c r="Q54" s="8">
        <f>AVERAGE(Tabla138[[#This Row],[Intechange BI]:[Insertion down FI]])</f>
        <v>0.30817505276019103</v>
      </c>
      <c r="S54" t="str">
        <f>Tabla13[[#Headers],[MELSP (p=0.5)]]</f>
        <v>MELSP (p=0.5)</v>
      </c>
      <c r="T54" s="6">
        <f>O38</f>
        <v>0.35708967219293564</v>
      </c>
      <c r="U54">
        <f>U52+1</f>
        <v>2</v>
      </c>
    </row>
    <row r="55" spans="1:21">
      <c r="A55" s="2" t="s">
        <v>26</v>
      </c>
      <c r="B55" s="2">
        <v>3964</v>
      </c>
      <c r="C55" s="2">
        <v>3965</v>
      </c>
      <c r="D55" s="2">
        <v>3989</v>
      </c>
      <c r="E55" s="2">
        <v>4014</v>
      </c>
      <c r="F55" s="2">
        <v>4030</v>
      </c>
      <c r="G55" s="2">
        <v>4030</v>
      </c>
      <c r="I55" t="s">
        <v>26</v>
      </c>
      <c r="J55" s="1">
        <v>2917</v>
      </c>
      <c r="K55" s="5">
        <f t="shared" si="15"/>
        <v>0.35893040795337683</v>
      </c>
      <c r="L55" s="5">
        <f t="shared" si="16"/>
        <v>0.35927322591703814</v>
      </c>
      <c r="M55" s="5">
        <f t="shared" si="17"/>
        <v>0.3675008570449092</v>
      </c>
      <c r="N55" s="5">
        <f t="shared" si="18"/>
        <v>0.37607130613644157</v>
      </c>
      <c r="O55" s="5">
        <f t="shared" si="19"/>
        <v>0.38155639355502236</v>
      </c>
      <c r="P55" s="5">
        <f t="shared" si="20"/>
        <v>0.38155639355502236</v>
      </c>
      <c r="Q55" s="8">
        <f>AVERAGE(Tabla138[[#This Row],[Intechange BI]:[Insertion down FI]])</f>
        <v>0.37081476402696839</v>
      </c>
      <c r="S55" t="str">
        <f>Tabla13[[#Headers],[MELSP (p=0.8)]]</f>
        <v>MELSP (p=0.8)</v>
      </c>
      <c r="T55" s="6">
        <f>P38</f>
        <v>0.3605709625319039</v>
      </c>
      <c r="U55">
        <f>U53+1</f>
        <v>4</v>
      </c>
    </row>
    <row r="56" spans="1:21">
      <c r="A56" s="2" t="s">
        <v>27</v>
      </c>
      <c r="B56" s="2">
        <v>3930</v>
      </c>
      <c r="C56" s="2">
        <v>3934</v>
      </c>
      <c r="D56" s="2">
        <v>3916</v>
      </c>
      <c r="E56" s="2">
        <v>3924</v>
      </c>
      <c r="F56" s="2">
        <v>3942</v>
      </c>
      <c r="G56" s="2">
        <v>3928</v>
      </c>
      <c r="I56" t="s">
        <v>27</v>
      </c>
      <c r="J56" s="1">
        <v>2950</v>
      </c>
      <c r="K56" s="5">
        <f t="shared" si="15"/>
        <v>0.33220338983050857</v>
      </c>
      <c r="L56" s="5">
        <f t="shared" si="16"/>
        <v>0.33355932203389838</v>
      </c>
      <c r="M56" s="5">
        <f t="shared" si="17"/>
        <v>0.32745762711864401</v>
      </c>
      <c r="N56" s="5">
        <f t="shared" si="18"/>
        <v>0.33016949152542363</v>
      </c>
      <c r="O56" s="5">
        <f t="shared" si="19"/>
        <v>0.33627118644067799</v>
      </c>
      <c r="P56" s="5">
        <f t="shared" si="20"/>
        <v>0.33152542372881366</v>
      </c>
      <c r="Q56" s="8">
        <f>AVERAGE(Tabla138[[#This Row],[Intechange BI]:[Insertion down FI]])</f>
        <v>0.33186440677966106</v>
      </c>
      <c r="S56" s="39" t="s">
        <v>54</v>
      </c>
      <c r="T56" s="6">
        <f>T45</f>
        <v>0.40565134439511946</v>
      </c>
      <c r="U56">
        <f>U45</f>
        <v>5</v>
      </c>
    </row>
    <row r="57" spans="1:21">
      <c r="A57" s="2" t="s">
        <v>28</v>
      </c>
      <c r="B57" s="2">
        <v>6952</v>
      </c>
      <c r="C57" s="2">
        <v>6952</v>
      </c>
      <c r="D57" s="2">
        <v>6952</v>
      </c>
      <c r="E57" s="2">
        <v>6952</v>
      </c>
      <c r="F57" s="2">
        <v>6952</v>
      </c>
      <c r="G57" s="2">
        <v>6952</v>
      </c>
      <c r="I57" t="s">
        <v>28</v>
      </c>
      <c r="J57" s="1">
        <v>5525</v>
      </c>
      <c r="K57" s="5">
        <f t="shared" si="15"/>
        <v>0.25828054298642544</v>
      </c>
      <c r="L57" s="5">
        <f t="shared" si="16"/>
        <v>0.25828054298642544</v>
      </c>
      <c r="M57" s="5">
        <f t="shared" si="17"/>
        <v>0.25828054298642544</v>
      </c>
      <c r="N57" s="5">
        <f t="shared" si="18"/>
        <v>0.25828054298642544</v>
      </c>
      <c r="O57" s="5">
        <f t="shared" si="19"/>
        <v>0.25828054298642544</v>
      </c>
      <c r="P57" s="5">
        <f t="shared" si="20"/>
        <v>0.25828054298642544</v>
      </c>
      <c r="Q57" s="8">
        <f>AVERAGE(Tabla138[[#This Row],[Intechange BI]:[Insertion down FI]])</f>
        <v>0.25828054298642544</v>
      </c>
    </row>
    <row r="58" spans="1:21" ht="15" thickBot="1">
      <c r="A58" s="3" t="s">
        <v>29</v>
      </c>
      <c r="B58" s="3">
        <v>6825</v>
      </c>
      <c r="C58" s="3">
        <v>6830</v>
      </c>
      <c r="D58" s="3">
        <v>6833</v>
      </c>
      <c r="E58" s="3">
        <v>6830</v>
      </c>
      <c r="F58" s="3">
        <v>6830</v>
      </c>
      <c r="G58" s="3">
        <v>6837</v>
      </c>
      <c r="I58" t="s">
        <v>29</v>
      </c>
      <c r="J58" s="1">
        <v>5676</v>
      </c>
      <c r="K58" s="5">
        <f t="shared" si="15"/>
        <v>0.20243128964059198</v>
      </c>
      <c r="L58" s="5">
        <f t="shared" si="16"/>
        <v>0.2033121916842846</v>
      </c>
      <c r="M58" s="5">
        <f t="shared" si="17"/>
        <v>0.20384073291050031</v>
      </c>
      <c r="N58" s="5">
        <f t="shared" si="18"/>
        <v>0.2033121916842846</v>
      </c>
      <c r="O58" s="5">
        <f t="shared" si="19"/>
        <v>0.2033121916842846</v>
      </c>
      <c r="P58" s="5">
        <f t="shared" si="20"/>
        <v>0.20454545454545459</v>
      </c>
      <c r="Q58" s="31">
        <f>AVERAGE(Tabla138[[#This Row],[Intechange BI]:[Insertion down FI]])</f>
        <v>0.20345900869156677</v>
      </c>
    </row>
    <row r="59" spans="1:21" ht="15" thickBot="1">
      <c r="I59" s="11" t="s">
        <v>39</v>
      </c>
      <c r="J59" s="12"/>
      <c r="K59" s="14">
        <f>AVERAGE(K43:K58)</f>
        <v>0.45905116808849067</v>
      </c>
      <c r="L59" s="13">
        <f t="shared" ref="L59" si="21">AVERAGE(L43:L58)</f>
        <v>0.477145016676986</v>
      </c>
      <c r="M59" s="36">
        <f>AVERAGE(M43:M58)</f>
        <v>0.47793288684373503</v>
      </c>
      <c r="N59" s="13">
        <f t="shared" ref="N59" si="22">AVERAGE(N43:N58)</f>
        <v>0.48020353889034595</v>
      </c>
      <c r="O59" s="13">
        <f t="shared" ref="O59" si="23">AVERAGE(O43:O58)</f>
        <v>0.47674243789819126</v>
      </c>
      <c r="P59" s="13">
        <f t="shared" ref="P59" si="24">AVERAGE(P43:P58)</f>
        <v>0.4851471276657624</v>
      </c>
      <c r="Q59" s="9">
        <f t="shared" ref="Q59" si="25">AVERAGE(Q43:Q58)</f>
        <v>0.47603702934391856</v>
      </c>
    </row>
    <row r="60" spans="1:21" ht="18">
      <c r="I60" s="15" t="s">
        <v>40</v>
      </c>
      <c r="J60" s="16"/>
      <c r="K60" s="17">
        <v>6</v>
      </c>
      <c r="L60" s="17">
        <v>5</v>
      </c>
      <c r="M60" s="17">
        <v>1</v>
      </c>
      <c r="N60" s="17">
        <v>3</v>
      </c>
      <c r="O60" s="17">
        <v>2</v>
      </c>
      <c r="P60" s="17">
        <v>4</v>
      </c>
      <c r="Q60" s="10"/>
    </row>
  </sheetData>
  <sheetProtection formatCells="0" formatColumns="0" formatRows="0" insertColumns="0" insertRows="0" insertHyperlinks="0" deleteColumns="0" deleteRows="0" sort="0" autoFilter="0" pivotTables="0"/>
  <mergeCells count="9">
    <mergeCell ref="S42:U42"/>
    <mergeCell ref="AG20:AL20"/>
    <mergeCell ref="AN20:AT20"/>
    <mergeCell ref="A41:G41"/>
    <mergeCell ref="I41:Q41"/>
    <mergeCell ref="A20:G20"/>
    <mergeCell ref="I20:Q20"/>
    <mergeCell ref="S20:X20"/>
    <mergeCell ref="Z20:AE20"/>
  </mergeCells>
  <pageMargins left="0.7" right="0.7" top="0.75" bottom="0.75" header="0.3" footer="0.3"/>
  <ignoredErrors>
    <ignoredError sqref="K38 L38:Q38 K39:P39 L22:Q22 W39 U38:W38 T22:W37 T38 X22:X38 T39:V39 AA38:AE38 AE22:AE37 AA22:AD37 AE39 AB39 AA39 AC39:AD39 AL23 AI22:AL22 AI24:AL38 AI23:AK23 AI39:AK39 AP22:AT39 AO38:AO39 J44:P58 M43 K59:P60" calculatedColumn="1"/>
  </ignoredErrors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Jerónimo Osorio Muñoz</cp:lastModifiedBy>
  <dcterms:created xsi:type="dcterms:W3CDTF">2023-10-25T04:38:01Z</dcterms:created>
  <dcterms:modified xsi:type="dcterms:W3CDTF">2023-11-19T18:52:41Z</dcterms:modified>
  <cp:category/>
</cp:coreProperties>
</file>