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gestik0-my.sharepoint.com/personal/jcholewa_forgestik_com/Documents/Documents/Projects/"/>
    </mc:Choice>
  </mc:AlternateContent>
  <xr:revisionPtr revIDLastSave="857" documentId="13_ncr:40009_{E1EA40D9-8353-4A57-9899-E0EE1F2B4E26}" xr6:coauthVersionLast="47" xr6:coauthVersionMax="47" xr10:uidLastSave="{099324FA-FED8-4321-A5D2-0067E0791D22}"/>
  <bookViews>
    <workbookView xWindow="30135" yWindow="840" windowWidth="23190" windowHeight="13050" activeTab="2" xr2:uid="{00000000-000D-0000-FFFF-FFFF00000000}"/>
  </bookViews>
  <sheets>
    <sheet name="Projets Jerome" sheetId="1" r:id="rId1"/>
    <sheet name="import" sheetId="2" r:id="rId2"/>
    <sheet name="Projets Jerome_2" sheetId="3" r:id="rId3"/>
  </sheets>
  <definedNames>
    <definedName name="_xlnm._FilterDatabase" localSheetId="1" hidden="1">import!$A$1:$Q$22</definedName>
    <definedName name="_xlnm._FilterDatabase" localSheetId="0" hidden="1">'Projets Jerome'!#REF!</definedName>
    <definedName name="_xlnm._FilterDatabase" localSheetId="2" hidden="1">'Projets Jerome_2'!$A$1:$P$32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7" i="3" l="1"/>
  <c r="AF27" i="3" s="1" a="1"/>
  <c r="AF27" i="3" s="1"/>
  <c r="AE28" i="3"/>
  <c r="AI28" i="3" s="1" a="1"/>
  <c r="AI28" i="3" s="1"/>
  <c r="AD28" i="3"/>
  <c r="AH28" i="3" s="1" a="1"/>
  <c r="AH28" i="3" s="1"/>
  <c r="AC28" i="3"/>
  <c r="AG28" i="3" s="1" a="1"/>
  <c r="AG28" i="3" s="1"/>
  <c r="AB28" i="3"/>
  <c r="AF28" i="3" s="1" a="1"/>
  <c r="AF28" i="3" s="1"/>
  <c r="AE27" i="3"/>
  <c r="AI27" i="3" s="1" a="1"/>
  <c r="AI27" i="3" s="1"/>
  <c r="AD27" i="3"/>
  <c r="AM27" i="3" s="1" a="1"/>
  <c r="AM27" i="3" s="1"/>
  <c r="AC27" i="3"/>
  <c r="AG27" i="3" s="1" a="1"/>
  <c r="AG27" i="3" s="1"/>
  <c r="AF28" i="1" a="1"/>
  <c r="AF28" i="1" s="1"/>
  <c r="AE28" i="1" a="1"/>
  <c r="AE28" i="1" s="1"/>
  <c r="AF27" i="1" a="1"/>
  <c r="AF27" i="1" s="1"/>
  <c r="AE27" i="1" a="1"/>
  <c r="AE27" i="1" s="1"/>
  <c r="AB28" i="1"/>
  <c r="AB27" i="1"/>
  <c r="K27" i="1"/>
  <c r="K27" i="3"/>
  <c r="AJ28" i="3" l="1"/>
  <c r="AQ28" i="3" a="1"/>
  <c r="AQ28" i="3" s="1"/>
  <c r="AP28" i="3" s="1"/>
  <c r="AO28" i="3"/>
  <c r="AK28" i="3" a="1"/>
  <c r="AK28" i="3" s="1"/>
  <c r="AL27" i="3" a="1"/>
  <c r="AL27" i="3" s="1"/>
  <c r="AK27" i="3" a="1"/>
  <c r="AK27" i="3" s="1"/>
  <c r="AL28" i="3" a="1"/>
  <c r="AL28" i="3" s="1"/>
  <c r="AM28" i="3" a="1"/>
  <c r="AM28" i="3" s="1"/>
  <c r="AN27" i="3" a="1"/>
  <c r="AN27" i="3" s="1"/>
  <c r="AH27" i="3" a="1"/>
  <c r="AH27" i="3" s="1"/>
  <c r="AJ27" i="3" s="1"/>
  <c r="AN28" i="3" a="1"/>
  <c r="AN28" i="3" s="1"/>
  <c r="AT54" i="3"/>
  <c r="AT53" i="3"/>
  <c r="AT52" i="3"/>
  <c r="AT51" i="3"/>
  <c r="AT38" i="3"/>
  <c r="AT37" i="3"/>
  <c r="AT36" i="3"/>
  <c r="AT35" i="3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9" i="1"/>
  <c r="AB30" i="1"/>
  <c r="AB31" i="1"/>
  <c r="AB32" i="1"/>
  <c r="AB2" i="1"/>
  <c r="AO27" i="3" l="1"/>
  <c r="AQ27" i="3" a="1"/>
  <c r="AQ27" i="3" s="1"/>
  <c r="AP27" i="3" s="1"/>
  <c r="AE7" i="1" a="1"/>
  <c r="AE7" i="1" s="1"/>
  <c r="AE11" i="1" a="1"/>
  <c r="AE11" i="1" s="1"/>
  <c r="AF11" i="1" a="1"/>
  <c r="AF11" i="1" s="1"/>
  <c r="AE12" i="1" a="1"/>
  <c r="AE12" i="1" s="1"/>
  <c r="AF12" i="1" a="1"/>
  <c r="AF12" i="1" s="1"/>
  <c r="AE13" i="1" a="1"/>
  <c r="AE13" i="1" s="1"/>
  <c r="AF13" i="1" a="1"/>
  <c r="AF13" i="1" s="1"/>
  <c r="AE14" i="1" a="1"/>
  <c r="AE14" i="1" s="1"/>
  <c r="AE19" i="1" a="1"/>
  <c r="AE19" i="1" s="1"/>
  <c r="AE23" i="1" a="1"/>
  <c r="AE23" i="1" s="1"/>
  <c r="AF23" i="1" a="1"/>
  <c r="AF23" i="1" s="1"/>
  <c r="AE24" i="1" a="1"/>
  <c r="AE24" i="1" s="1"/>
  <c r="AF24" i="1" a="1"/>
  <c r="AF24" i="1" s="1"/>
  <c r="AE25" i="1" a="1"/>
  <c r="AE25" i="1" s="1"/>
  <c r="AF25" i="1" a="1"/>
  <c r="AF25" i="1" s="1"/>
  <c r="AE26" i="1" a="1"/>
  <c r="AE26" i="1" s="1"/>
  <c r="AF2" i="1" a="1"/>
  <c r="AF2" i="1" s="1"/>
  <c r="AE2" i="1" a="1"/>
  <c r="AE2" i="1" s="1"/>
  <c r="X30" i="3"/>
  <c r="Y30" i="3"/>
  <c r="X31" i="3"/>
  <c r="Y31" i="3"/>
  <c r="X32" i="3"/>
  <c r="Y32" i="3"/>
  <c r="Y29" i="3"/>
  <c r="X29" i="3"/>
  <c r="X3" i="3"/>
  <c r="Y3" i="3"/>
  <c r="X4" i="3"/>
  <c r="Y4" i="3"/>
  <c r="X5" i="3"/>
  <c r="Y5" i="3"/>
  <c r="X6" i="3"/>
  <c r="Y6" i="3"/>
  <c r="X7" i="3"/>
  <c r="Y7" i="3"/>
  <c r="X8" i="3"/>
  <c r="Y8" i="3"/>
  <c r="X9" i="3"/>
  <c r="Y9" i="3"/>
  <c r="X10" i="3"/>
  <c r="Y10" i="3"/>
  <c r="X11" i="3"/>
  <c r="Y11" i="3"/>
  <c r="X12" i="3"/>
  <c r="Y12" i="3"/>
  <c r="X13" i="3"/>
  <c r="Y13" i="3"/>
  <c r="X14" i="3"/>
  <c r="Y14" i="3"/>
  <c r="X15" i="3"/>
  <c r="Y15" i="3"/>
  <c r="X16" i="3"/>
  <c r="Y16" i="3"/>
  <c r="X17" i="3"/>
  <c r="Y17" i="3"/>
  <c r="X18" i="3"/>
  <c r="Y18" i="3"/>
  <c r="X19" i="3"/>
  <c r="Y19" i="3"/>
  <c r="X20" i="3"/>
  <c r="Y20" i="3"/>
  <c r="X21" i="3"/>
  <c r="Y21" i="3"/>
  <c r="X22" i="3"/>
  <c r="Y22" i="3"/>
  <c r="X23" i="3"/>
  <c r="Y23" i="3"/>
  <c r="X24" i="3"/>
  <c r="Y24" i="3"/>
  <c r="X25" i="3"/>
  <c r="Y25" i="3"/>
  <c r="X26" i="3"/>
  <c r="Y26" i="3"/>
  <c r="Y2" i="3"/>
  <c r="X2" i="3"/>
  <c r="AE32" i="1" a="1"/>
  <c r="AE32" i="1" s="1"/>
  <c r="AF31" i="1" a="1"/>
  <c r="AF31" i="1" s="1"/>
  <c r="AE30" i="1" a="1"/>
  <c r="AE30" i="1" s="1"/>
  <c r="AE29" i="1" a="1"/>
  <c r="AE29" i="1" s="1"/>
  <c r="AF26" i="1" a="1"/>
  <c r="AF26" i="1" s="1"/>
  <c r="AE22" i="1" a="1"/>
  <c r="AE22" i="1" s="1"/>
  <c r="AE21" i="1" a="1"/>
  <c r="AE21" i="1" s="1"/>
  <c r="AE20" i="1" a="1"/>
  <c r="AE20" i="1" s="1"/>
  <c r="AF19" i="1" a="1"/>
  <c r="AF19" i="1" s="1"/>
  <c r="AF18" i="1" a="1"/>
  <c r="AF18" i="1" s="1"/>
  <c r="AE17" i="1" a="1"/>
  <c r="AE17" i="1" s="1"/>
  <c r="AE16" i="1" a="1"/>
  <c r="AE16" i="1" s="1"/>
  <c r="AE15" i="1" a="1"/>
  <c r="AE15" i="1" s="1"/>
  <c r="AF14" i="1" a="1"/>
  <c r="AF14" i="1" s="1"/>
  <c r="AE10" i="1" a="1"/>
  <c r="AE10" i="1" s="1"/>
  <c r="AE9" i="1" a="1"/>
  <c r="AE9" i="1" s="1"/>
  <c r="AE8" i="1" a="1"/>
  <c r="AE8" i="1" s="1"/>
  <c r="AF7" i="1" a="1"/>
  <c r="AF7" i="1" s="1"/>
  <c r="AE6" i="1" a="1"/>
  <c r="AE6" i="1" s="1"/>
  <c r="AF5" i="1" a="1"/>
  <c r="AF5" i="1" s="1"/>
  <c r="AE4" i="1" a="1"/>
  <c r="AE4" i="1" s="1"/>
  <c r="AE3" i="1" a="1"/>
  <c r="AE3" i="1" s="1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9" i="3"/>
  <c r="K30" i="3"/>
  <c r="K31" i="3"/>
  <c r="K32" i="3"/>
  <c r="K22" i="1"/>
  <c r="K33" i="1"/>
  <c r="K34" i="1"/>
  <c r="K35" i="1"/>
  <c r="K36" i="1"/>
  <c r="K37" i="1"/>
  <c r="K38" i="1"/>
  <c r="K39" i="1"/>
  <c r="K40" i="1"/>
  <c r="K41" i="1"/>
  <c r="N33" i="1"/>
  <c r="N34" i="1"/>
  <c r="N35" i="1"/>
  <c r="N36" i="1"/>
  <c r="N37" i="1"/>
  <c r="N38" i="1"/>
  <c r="N39" i="1"/>
  <c r="N40" i="1"/>
  <c r="N41" i="1"/>
  <c r="AE4" i="3" l="1"/>
  <c r="AD4" i="3"/>
  <c r="AC4" i="3"/>
  <c r="AB4" i="3"/>
  <c r="AB2" i="3"/>
  <c r="AC2" i="3"/>
  <c r="AE2" i="3"/>
  <c r="AD2" i="3"/>
  <c r="AE21" i="3"/>
  <c r="AC21" i="3"/>
  <c r="AB21" i="3"/>
  <c r="AD21" i="3"/>
  <c r="AD15" i="3"/>
  <c r="AB15" i="3"/>
  <c r="AC15" i="3"/>
  <c r="AE15" i="3"/>
  <c r="AB9" i="3"/>
  <c r="AD9" i="3"/>
  <c r="AE9" i="3"/>
  <c r="AC9" i="3"/>
  <c r="AC3" i="3"/>
  <c r="AD3" i="3"/>
  <c r="AB3" i="3"/>
  <c r="AE3" i="3"/>
  <c r="AD29" i="3"/>
  <c r="AE29" i="3"/>
  <c r="AB29" i="3"/>
  <c r="AC29" i="3"/>
  <c r="AC26" i="3"/>
  <c r="AD26" i="3"/>
  <c r="AE26" i="3"/>
  <c r="AB26" i="3"/>
  <c r="AB20" i="3"/>
  <c r="AD20" i="3"/>
  <c r="AE20" i="3"/>
  <c r="AC20" i="3"/>
  <c r="AC14" i="3"/>
  <c r="AD14" i="3"/>
  <c r="AB14" i="3"/>
  <c r="AE14" i="3"/>
  <c r="AD8" i="3"/>
  <c r="AE8" i="3"/>
  <c r="AB8" i="3"/>
  <c r="AC8" i="3"/>
  <c r="AC10" i="3"/>
  <c r="AB10" i="3"/>
  <c r="AD10" i="3"/>
  <c r="AE10" i="3"/>
  <c r="AB16" i="3"/>
  <c r="AD16" i="3"/>
  <c r="AE16" i="3"/>
  <c r="AC16" i="3"/>
  <c r="AC25" i="3"/>
  <c r="AB25" i="3"/>
  <c r="AD25" i="3"/>
  <c r="AE25" i="3"/>
  <c r="AB19" i="3"/>
  <c r="AE19" i="3"/>
  <c r="AD19" i="3"/>
  <c r="AC19" i="3"/>
  <c r="AC13" i="3"/>
  <c r="AB13" i="3"/>
  <c r="AD13" i="3"/>
  <c r="AE13" i="3"/>
  <c r="AB7" i="3"/>
  <c r="AD7" i="3"/>
  <c r="AE7" i="3"/>
  <c r="AC7" i="3"/>
  <c r="AD32" i="3"/>
  <c r="AC32" i="3"/>
  <c r="AB32" i="3"/>
  <c r="AE32" i="3"/>
  <c r="AC22" i="3"/>
  <c r="AB22" i="3"/>
  <c r="AD22" i="3"/>
  <c r="AE22" i="3"/>
  <c r="AB24" i="3"/>
  <c r="AD24" i="3"/>
  <c r="AC24" i="3"/>
  <c r="AE24" i="3"/>
  <c r="AC18" i="3"/>
  <c r="AE18" i="3"/>
  <c r="AB18" i="3"/>
  <c r="AD18" i="3"/>
  <c r="AB12" i="3"/>
  <c r="AD12" i="3"/>
  <c r="AC12" i="3"/>
  <c r="AE12" i="3"/>
  <c r="AC6" i="3"/>
  <c r="AB6" i="3"/>
  <c r="AD6" i="3"/>
  <c r="AE6" i="3"/>
  <c r="AB31" i="3"/>
  <c r="AD31" i="3"/>
  <c r="AC31" i="3"/>
  <c r="AE31" i="3"/>
  <c r="AC23" i="3"/>
  <c r="AE23" i="3"/>
  <c r="AB23" i="3"/>
  <c r="AD23" i="3"/>
  <c r="AE17" i="3"/>
  <c r="AB17" i="3"/>
  <c r="AD17" i="3"/>
  <c r="AC17" i="3"/>
  <c r="AC11" i="3"/>
  <c r="AE11" i="3"/>
  <c r="AB11" i="3"/>
  <c r="AD11" i="3"/>
  <c r="AB5" i="3"/>
  <c r="AD5" i="3"/>
  <c r="AE5" i="3"/>
  <c r="AC5" i="3"/>
  <c r="AB30" i="3"/>
  <c r="AD30" i="3"/>
  <c r="AE30" i="3"/>
  <c r="AC30" i="3"/>
  <c r="AF32" i="1" a="1"/>
  <c r="AF32" i="1" s="1"/>
  <c r="AF6" i="1" a="1"/>
  <c r="AF6" i="1" s="1"/>
  <c r="AE18" i="1" a="1"/>
  <c r="AE18" i="1" s="1"/>
  <c r="AF20" i="1" a="1"/>
  <c r="AF20" i="1" s="1"/>
  <c r="AF8" i="1" a="1"/>
  <c r="AF8" i="1" s="1"/>
  <c r="AE31" i="1" a="1"/>
  <c r="AE31" i="1" s="1"/>
  <c r="AE5" i="1" a="1"/>
  <c r="AE5" i="1" s="1"/>
  <c r="AF30" i="1" a="1"/>
  <c r="AF30" i="1" s="1"/>
  <c r="AF22" i="1" a="1"/>
  <c r="AF22" i="1" s="1"/>
  <c r="AF16" i="1" a="1"/>
  <c r="AF16" i="1" s="1"/>
  <c r="AF10" i="1" a="1"/>
  <c r="AF10" i="1" s="1"/>
  <c r="AF4" i="1" a="1"/>
  <c r="AF4" i="1" s="1"/>
  <c r="AF17" i="1" a="1"/>
  <c r="AF17" i="1" s="1"/>
  <c r="AF29" i="1" a="1"/>
  <c r="AF29" i="1" s="1"/>
  <c r="AF21" i="1" a="1"/>
  <c r="AF21" i="1" s="1"/>
  <c r="AF15" i="1" a="1"/>
  <c r="AF15" i="1" s="1"/>
  <c r="AF9" i="1" a="1"/>
  <c r="AF9" i="1" s="1"/>
  <c r="AF3" i="1" a="1"/>
  <c r="AF3" i="1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3" i="1"/>
  <c r="N24" i="1"/>
  <c r="N2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3" i="1"/>
  <c r="K24" i="1"/>
  <c r="K25" i="1"/>
  <c r="K26" i="1"/>
  <c r="K29" i="1"/>
  <c r="K30" i="1"/>
  <c r="K31" i="1"/>
  <c r="K32" i="1"/>
  <c r="K2" i="1"/>
  <c r="Z3" i="1"/>
  <c r="AA3" i="1"/>
  <c r="Z4" i="1"/>
  <c r="AA4" i="1"/>
  <c r="Z5" i="1"/>
  <c r="AA5" i="1"/>
  <c r="Z6" i="1"/>
  <c r="AA6" i="1"/>
  <c r="Z7" i="1"/>
  <c r="AA7" i="1"/>
  <c r="Z8" i="1"/>
  <c r="AA8" i="1"/>
  <c r="Z9" i="1"/>
  <c r="AA9" i="1"/>
  <c r="Z10" i="1"/>
  <c r="AA10" i="1"/>
  <c r="Z11" i="1"/>
  <c r="AA11" i="1"/>
  <c r="Z12" i="1"/>
  <c r="AA12" i="1"/>
  <c r="Z13" i="1"/>
  <c r="AA13" i="1"/>
  <c r="Z14" i="1"/>
  <c r="AA14" i="1"/>
  <c r="Z15" i="1"/>
  <c r="AA15" i="1"/>
  <c r="Z16" i="1"/>
  <c r="AA16" i="1"/>
  <c r="Z17" i="1"/>
  <c r="AA17" i="1"/>
  <c r="Z18" i="1"/>
  <c r="AA18" i="1"/>
  <c r="Z19" i="1"/>
  <c r="AA19" i="1"/>
  <c r="Z21" i="1"/>
  <c r="AA21" i="1"/>
  <c r="Z20" i="1"/>
  <c r="AA20" i="1"/>
  <c r="Z23" i="1"/>
  <c r="AA23" i="1"/>
  <c r="Z24" i="1"/>
  <c r="AA24" i="1"/>
  <c r="Z25" i="1"/>
  <c r="AA25" i="1"/>
  <c r="Z26" i="1"/>
  <c r="AA26" i="1"/>
  <c r="Z29" i="1"/>
  <c r="AA29" i="1"/>
  <c r="Z30" i="1"/>
  <c r="AA30" i="1"/>
  <c r="Z31" i="1"/>
  <c r="AA31" i="1"/>
  <c r="Z32" i="1"/>
  <c r="AA32" i="1"/>
  <c r="AA2" i="1"/>
  <c r="Z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" i="2"/>
  <c r="AG5" i="3" l="1" a="1"/>
  <c r="AG5" i="3" s="1"/>
  <c r="AL5" i="3" a="1"/>
  <c r="AL5" i="3" s="1"/>
  <c r="AH11" i="3" a="1"/>
  <c r="AH11" i="3" s="1"/>
  <c r="AM11" i="3" a="1"/>
  <c r="AM11" i="3" s="1"/>
  <c r="AI31" i="3" a="1"/>
  <c r="AI31" i="3" s="1"/>
  <c r="AN31" i="3" a="1"/>
  <c r="AN31" i="3" s="1"/>
  <c r="AH18" i="3" a="1"/>
  <c r="AH18" i="3" s="1"/>
  <c r="AM18" i="3" a="1"/>
  <c r="AM18" i="3" s="1"/>
  <c r="AI32" i="3" a="1"/>
  <c r="AI32" i="3" s="1"/>
  <c r="AN32" i="3" a="1"/>
  <c r="AN32" i="3" s="1"/>
  <c r="AG19" i="3" a="1"/>
  <c r="AG19" i="3" s="1"/>
  <c r="AL19" i="3" a="1"/>
  <c r="AL19" i="3" s="1"/>
  <c r="AI10" i="3" a="1"/>
  <c r="AI10" i="3" s="1"/>
  <c r="AN10" i="3" a="1"/>
  <c r="AN10" i="3" s="1"/>
  <c r="AG20" i="3" a="1"/>
  <c r="AG20" i="3" s="1"/>
  <c r="AL20" i="3" a="1"/>
  <c r="AL20" i="3" s="1"/>
  <c r="AI3" i="3" a="1"/>
  <c r="AI3" i="3" s="1"/>
  <c r="AN3" i="3" a="1"/>
  <c r="AN3" i="3" s="1"/>
  <c r="AH21" i="3" a="1"/>
  <c r="AH21" i="3" s="1"/>
  <c r="AM21" i="3" a="1"/>
  <c r="AM21" i="3" s="1"/>
  <c r="AG30" i="3" a="1"/>
  <c r="AG30" i="3" s="1"/>
  <c r="AL30" i="3" a="1"/>
  <c r="AL30" i="3" s="1"/>
  <c r="AF6" i="3" a="1"/>
  <c r="AF6" i="3" s="1"/>
  <c r="AK6" i="3" a="1"/>
  <c r="AK6" i="3" s="1"/>
  <c r="AI23" i="3" a="1"/>
  <c r="AI23" i="3" s="1"/>
  <c r="AN23" i="3" a="1"/>
  <c r="AN23" i="3" s="1"/>
  <c r="AF5" i="3" a="1"/>
  <c r="AF5" i="3" s="1"/>
  <c r="AK5" i="3" a="1"/>
  <c r="AK5" i="3" s="1"/>
  <c r="AG31" i="3" a="1"/>
  <c r="AG31" i="3" s="1"/>
  <c r="AL31" i="3" a="1"/>
  <c r="AL31" i="3" s="1"/>
  <c r="AF3" i="3" a="1"/>
  <c r="AF3" i="3" s="1"/>
  <c r="AK3" i="3" a="1"/>
  <c r="AK3" i="3" s="1"/>
  <c r="AF21" i="3" a="1"/>
  <c r="AF21" i="3" s="1"/>
  <c r="AK21" i="3" a="1"/>
  <c r="AK21" i="3" s="1"/>
  <c r="AI30" i="3" a="1"/>
  <c r="AI30" i="3" s="1"/>
  <c r="AN30" i="3" a="1"/>
  <c r="AN30" i="3" s="1"/>
  <c r="AH23" i="3" a="1"/>
  <c r="AH23" i="3" s="1"/>
  <c r="AM23" i="3" a="1"/>
  <c r="AM23" i="3" s="1"/>
  <c r="AF22" i="3" a="1"/>
  <c r="AF22" i="3" s="1"/>
  <c r="AK22" i="3" a="1"/>
  <c r="AK22" i="3" s="1"/>
  <c r="AG23" i="3" a="1"/>
  <c r="AG23" i="3" s="1"/>
  <c r="AL23" i="3" a="1"/>
  <c r="AL23" i="3" s="1"/>
  <c r="AF18" i="3" a="1"/>
  <c r="AF18" i="3" s="1"/>
  <c r="AK18" i="3" a="1"/>
  <c r="AK18" i="3" s="1"/>
  <c r="AH19" i="3" a="1"/>
  <c r="AH19" i="3" s="1"/>
  <c r="AM19" i="3" a="1"/>
  <c r="AM19" i="3" s="1"/>
  <c r="AI20" i="3" a="1"/>
  <c r="AI20" i="3" s="1"/>
  <c r="AN20" i="3" a="1"/>
  <c r="AN20" i="3" s="1"/>
  <c r="AI11" i="3" a="1"/>
  <c r="AI11" i="3" s="1"/>
  <c r="AN11" i="3" a="1"/>
  <c r="AN11" i="3" s="1"/>
  <c r="AH31" i="3" a="1"/>
  <c r="AH31" i="3" s="1"/>
  <c r="AM31" i="3" a="1"/>
  <c r="AM31" i="3" s="1"/>
  <c r="AI18" i="3" a="1"/>
  <c r="AI18" i="3" s="1"/>
  <c r="AN18" i="3" a="1"/>
  <c r="AN18" i="3" s="1"/>
  <c r="AG32" i="3" a="1"/>
  <c r="AG32" i="3" s="1"/>
  <c r="AL32" i="3" a="1"/>
  <c r="AL32" i="3" s="1"/>
  <c r="AI19" i="3" a="1"/>
  <c r="AI19" i="3" s="1"/>
  <c r="AN19" i="3" a="1"/>
  <c r="AN19" i="3" s="1"/>
  <c r="AF10" i="3" a="1"/>
  <c r="AF10" i="3" s="1"/>
  <c r="AK10" i="3" a="1"/>
  <c r="AK10" i="3" s="1"/>
  <c r="AH20" i="3" a="1"/>
  <c r="AH20" i="3" s="1"/>
  <c r="AM20" i="3" a="1"/>
  <c r="AM20" i="3" s="1"/>
  <c r="AH3" i="3" a="1"/>
  <c r="AH3" i="3" s="1"/>
  <c r="AM3" i="3" a="1"/>
  <c r="AM3" i="3" s="1"/>
  <c r="AG21" i="3" a="1"/>
  <c r="AG21" i="3" s="1"/>
  <c r="AL21" i="3" a="1"/>
  <c r="AL21" i="3" s="1"/>
  <c r="AI7" i="3" a="1"/>
  <c r="AI7" i="3" s="1"/>
  <c r="AN7" i="3" a="1"/>
  <c r="AN7" i="3" s="1"/>
  <c r="AH5" i="3" a="1"/>
  <c r="AH5" i="3" s="1"/>
  <c r="AM5" i="3" a="1"/>
  <c r="AM5" i="3" s="1"/>
  <c r="AF13" i="3" a="1"/>
  <c r="AF13" i="3" s="1"/>
  <c r="AK13" i="3" a="1"/>
  <c r="AK13" i="3" s="1"/>
  <c r="AF11" i="3" a="1"/>
  <c r="AF11" i="3" s="1"/>
  <c r="AK11" i="3" a="1"/>
  <c r="AK11" i="3" s="1"/>
  <c r="AF32" i="3" a="1"/>
  <c r="AF32" i="3" s="1"/>
  <c r="AK32" i="3" a="1"/>
  <c r="AK32" i="3" s="1"/>
  <c r="AH10" i="3" a="1"/>
  <c r="AH10" i="3" s="1"/>
  <c r="AM10" i="3" a="1"/>
  <c r="AM10" i="3" s="1"/>
  <c r="AG11" i="3" a="1"/>
  <c r="AG11" i="3" s="1"/>
  <c r="AL11" i="3" a="1"/>
  <c r="AL11" i="3" s="1"/>
  <c r="AF31" i="3" a="1"/>
  <c r="AF31" i="3" s="1"/>
  <c r="AK31" i="3" a="1"/>
  <c r="AK31" i="3" s="1"/>
  <c r="AG18" i="3" a="1"/>
  <c r="AG18" i="3" s="1"/>
  <c r="AL18" i="3" a="1"/>
  <c r="AL18" i="3" s="1"/>
  <c r="AH32" i="3" a="1"/>
  <c r="AH32" i="3" s="1"/>
  <c r="AM32" i="3" a="1"/>
  <c r="AM32" i="3" s="1"/>
  <c r="AF19" i="3" a="1"/>
  <c r="AF19" i="3" s="1"/>
  <c r="AK19" i="3" a="1"/>
  <c r="AK19" i="3" s="1"/>
  <c r="AG10" i="3" a="1"/>
  <c r="AG10" i="3" s="1"/>
  <c r="AL10" i="3" a="1"/>
  <c r="AL10" i="3" s="1"/>
  <c r="AF20" i="3" a="1"/>
  <c r="AF20" i="3" s="1"/>
  <c r="AK20" i="3" a="1"/>
  <c r="AK20" i="3" s="1"/>
  <c r="AG3" i="3" a="1"/>
  <c r="AG3" i="3" s="1"/>
  <c r="AL3" i="3" a="1"/>
  <c r="AL3" i="3" s="1"/>
  <c r="AI21" i="3" a="1"/>
  <c r="AI21" i="3" s="1"/>
  <c r="AN21" i="3" a="1"/>
  <c r="AN21" i="3" s="1"/>
  <c r="AI24" i="3" a="1"/>
  <c r="AI24" i="3" s="1"/>
  <c r="AN24" i="3" a="1"/>
  <c r="AN24" i="3" s="1"/>
  <c r="AG7" i="3" a="1"/>
  <c r="AG7" i="3" s="1"/>
  <c r="AL7" i="3" a="1"/>
  <c r="AL7" i="3" s="1"/>
  <c r="AI25" i="3" a="1"/>
  <c r="AI25" i="3" s="1"/>
  <c r="AN25" i="3" a="1"/>
  <c r="AN25" i="3" s="1"/>
  <c r="AG8" i="3" a="1"/>
  <c r="AG8" i="3" s="1"/>
  <c r="AL8" i="3" a="1"/>
  <c r="AL8" i="3" s="1"/>
  <c r="AF26" i="3" a="1"/>
  <c r="AF26" i="3" s="1"/>
  <c r="AK26" i="3" a="1"/>
  <c r="AK26" i="3" s="1"/>
  <c r="AG9" i="3" a="1"/>
  <c r="AG9" i="3" s="1"/>
  <c r="AL9" i="3" a="1"/>
  <c r="AL9" i="3" s="1"/>
  <c r="AH2" i="3" a="1"/>
  <c r="AH2" i="3" s="1"/>
  <c r="AM2" i="3" a="1"/>
  <c r="AM2" i="3" s="1"/>
  <c r="AI6" i="3" a="1"/>
  <c r="AI6" i="3" s="1"/>
  <c r="AN6" i="3" a="1"/>
  <c r="AN6" i="3" s="1"/>
  <c r="AH25" i="3" a="1"/>
  <c r="AH25" i="3" s="1"/>
  <c r="AM25" i="3" a="1"/>
  <c r="AM25" i="3" s="1"/>
  <c r="AF8" i="3" a="1"/>
  <c r="AF8" i="3" s="1"/>
  <c r="AK8" i="3" a="1"/>
  <c r="AK8" i="3" s="1"/>
  <c r="AI26" i="3" a="1"/>
  <c r="AI26" i="3" s="1"/>
  <c r="AN26" i="3" a="1"/>
  <c r="AN26" i="3" s="1"/>
  <c r="AI9" i="3" a="1"/>
  <c r="AI9" i="3" s="1"/>
  <c r="AN9" i="3" a="1"/>
  <c r="AN9" i="3" s="1"/>
  <c r="AI2" i="3" a="1"/>
  <c r="AI2" i="3" s="1"/>
  <c r="AN2" i="3" a="1"/>
  <c r="AN2" i="3" s="1"/>
  <c r="AG17" i="3" a="1"/>
  <c r="AG17" i="3" s="1"/>
  <c r="AL17" i="3" a="1"/>
  <c r="AL17" i="3" s="1"/>
  <c r="AH24" i="3" a="1"/>
  <c r="AH24" i="3" s="1"/>
  <c r="AM24" i="3" a="1"/>
  <c r="AM24" i="3" s="1"/>
  <c r="AH7" i="3" a="1"/>
  <c r="AH7" i="3" s="1"/>
  <c r="AM7" i="3" a="1"/>
  <c r="AM7" i="3" s="1"/>
  <c r="AF25" i="3" a="1"/>
  <c r="AF25" i="3" s="1"/>
  <c r="AK25" i="3" a="1"/>
  <c r="AK25" i="3" s="1"/>
  <c r="AI8" i="3" a="1"/>
  <c r="AI8" i="3" s="1"/>
  <c r="AN8" i="3" a="1"/>
  <c r="AN8" i="3" s="1"/>
  <c r="AH26" i="3" a="1"/>
  <c r="AH26" i="3" s="1"/>
  <c r="AM26" i="3" a="1"/>
  <c r="AM26" i="3" s="1"/>
  <c r="AH9" i="3" a="1"/>
  <c r="AH9" i="3" s="1"/>
  <c r="AM9" i="3" a="1"/>
  <c r="AM9" i="3" s="1"/>
  <c r="AG2" i="3" a="1"/>
  <c r="AG2" i="3" s="1"/>
  <c r="AL2" i="3" a="1"/>
  <c r="AL2" i="3" s="1"/>
  <c r="AH6" i="3" a="1"/>
  <c r="AH6" i="3" s="1"/>
  <c r="AM6" i="3" a="1"/>
  <c r="AM6" i="3" s="1"/>
  <c r="AF30" i="3" a="1"/>
  <c r="AF30" i="3" s="1"/>
  <c r="AK30" i="3" a="1"/>
  <c r="AK30" i="3" s="1"/>
  <c r="AI17" i="3" a="1"/>
  <c r="AI17" i="3" s="1"/>
  <c r="AN17" i="3" a="1"/>
  <c r="AN17" i="3" s="1"/>
  <c r="AG6" i="3" a="1"/>
  <c r="AG6" i="3" s="1"/>
  <c r="AL6" i="3" a="1"/>
  <c r="AL6" i="3" s="1"/>
  <c r="AF24" i="3" a="1"/>
  <c r="AF24" i="3" s="1"/>
  <c r="AK24" i="3" a="1"/>
  <c r="AK24" i="3" s="1"/>
  <c r="AF7" i="3" a="1"/>
  <c r="AF7" i="3" s="1"/>
  <c r="AK7" i="3" a="1"/>
  <c r="AK7" i="3" s="1"/>
  <c r="AG25" i="3" a="1"/>
  <c r="AG25" i="3" s="1"/>
  <c r="AL25" i="3" a="1"/>
  <c r="AL25" i="3" s="1"/>
  <c r="AH8" i="3" a="1"/>
  <c r="AH8" i="3" s="1"/>
  <c r="AM8" i="3" a="1"/>
  <c r="AM8" i="3" s="1"/>
  <c r="AG26" i="3" a="1"/>
  <c r="AG26" i="3" s="1"/>
  <c r="AL26" i="3" a="1"/>
  <c r="AL26" i="3" s="1"/>
  <c r="AF9" i="3" a="1"/>
  <c r="AF9" i="3" s="1"/>
  <c r="AK9" i="3" a="1"/>
  <c r="AK9" i="3" s="1"/>
  <c r="AF2" i="3" a="1"/>
  <c r="AF2" i="3" s="1"/>
  <c r="AK2" i="3" a="1"/>
  <c r="AK2" i="3" s="1"/>
  <c r="AH30" i="3" a="1"/>
  <c r="AH30" i="3" s="1"/>
  <c r="AM30" i="3" a="1"/>
  <c r="AM30" i="3" s="1"/>
  <c r="AI12" i="3" a="1"/>
  <c r="AI12" i="3" s="1"/>
  <c r="AN12" i="3" a="1"/>
  <c r="AN12" i="3" s="1"/>
  <c r="AI22" i="3" a="1"/>
  <c r="AI22" i="3" s="1"/>
  <c r="AN22" i="3" a="1"/>
  <c r="AN22" i="3" s="1"/>
  <c r="AI13" i="3" a="1"/>
  <c r="AI13" i="3" s="1"/>
  <c r="AN13" i="3" a="1"/>
  <c r="AN13" i="3" s="1"/>
  <c r="AG16" i="3" a="1"/>
  <c r="AG16" i="3" s="1"/>
  <c r="AL16" i="3" a="1"/>
  <c r="AL16" i="3" s="1"/>
  <c r="AI14" i="3" a="1"/>
  <c r="AI14" i="3" s="1"/>
  <c r="AN14" i="3" a="1"/>
  <c r="AN14" i="3" s="1"/>
  <c r="AG29" i="3" a="1"/>
  <c r="AG29" i="3" s="1"/>
  <c r="AL29" i="3" a="1"/>
  <c r="AL29" i="3" s="1"/>
  <c r="AI15" i="3" a="1"/>
  <c r="AI15" i="3" s="1"/>
  <c r="AN15" i="3" a="1"/>
  <c r="AN15" i="3" s="1"/>
  <c r="AF4" i="3" a="1"/>
  <c r="AF4" i="3" s="1"/>
  <c r="AK4" i="3" a="1"/>
  <c r="AK4" i="3" s="1"/>
  <c r="AH17" i="3" a="1"/>
  <c r="AH17" i="3" s="1"/>
  <c r="AM17" i="3" a="1"/>
  <c r="AM17" i="3" s="1"/>
  <c r="AI5" i="3" a="1"/>
  <c r="AI5" i="3" s="1"/>
  <c r="AN5" i="3" a="1"/>
  <c r="AN5" i="3" s="1"/>
  <c r="AF23" i="3" a="1"/>
  <c r="AF23" i="3" s="1"/>
  <c r="AK23" i="3" a="1"/>
  <c r="AK23" i="3" s="1"/>
  <c r="AG12" i="3" a="1"/>
  <c r="AG12" i="3" s="1"/>
  <c r="AL12" i="3" a="1"/>
  <c r="AL12" i="3" s="1"/>
  <c r="AH22" i="3" a="1"/>
  <c r="AH22" i="3" s="1"/>
  <c r="AM22" i="3" a="1"/>
  <c r="AM22" i="3" s="1"/>
  <c r="AH13" i="3" a="1"/>
  <c r="AH13" i="3" s="1"/>
  <c r="AM13" i="3" a="1"/>
  <c r="AM13" i="3" s="1"/>
  <c r="AI16" i="3" a="1"/>
  <c r="AI16" i="3" s="1"/>
  <c r="AN16" i="3" a="1"/>
  <c r="AN16" i="3" s="1"/>
  <c r="AF14" i="3" a="1"/>
  <c r="AF14" i="3" s="1"/>
  <c r="AK14" i="3" a="1"/>
  <c r="AK14" i="3" s="1"/>
  <c r="AF29" i="3" a="1"/>
  <c r="AF29" i="3" s="1"/>
  <c r="AK29" i="3" a="1"/>
  <c r="AK29" i="3" s="1"/>
  <c r="AG15" i="3" a="1"/>
  <c r="AG15" i="3" s="1"/>
  <c r="AL15" i="3" a="1"/>
  <c r="AL15" i="3" s="1"/>
  <c r="AG4" i="3" a="1"/>
  <c r="AG4" i="3" s="1"/>
  <c r="AL4" i="3" a="1"/>
  <c r="AL4" i="3" s="1"/>
  <c r="AG24" i="3" a="1"/>
  <c r="AG24" i="3" s="1"/>
  <c r="AL24" i="3" a="1"/>
  <c r="AL24" i="3" s="1"/>
  <c r="AH16" i="3" a="1"/>
  <c r="AH16" i="3" s="1"/>
  <c r="AM16" i="3" a="1"/>
  <c r="AM16" i="3" s="1"/>
  <c r="AH14" i="3" a="1"/>
  <c r="AH14" i="3" s="1"/>
  <c r="AM14" i="3" a="1"/>
  <c r="AM14" i="3" s="1"/>
  <c r="AI29" i="3" a="1"/>
  <c r="AI29" i="3" s="1"/>
  <c r="AN29" i="3" a="1"/>
  <c r="AN29" i="3" s="1"/>
  <c r="AF15" i="3" a="1"/>
  <c r="AF15" i="3" s="1"/>
  <c r="AK15" i="3" a="1"/>
  <c r="AK15" i="3" s="1"/>
  <c r="AH4" i="3" a="1"/>
  <c r="AH4" i="3" s="1"/>
  <c r="AM4" i="3" a="1"/>
  <c r="AM4" i="3" s="1"/>
  <c r="AF17" i="3" a="1"/>
  <c r="AF17" i="3" s="1"/>
  <c r="AK17" i="3" a="1"/>
  <c r="AK17" i="3" s="1"/>
  <c r="AH12" i="3" a="1"/>
  <c r="AH12" i="3" s="1"/>
  <c r="AM12" i="3" a="1"/>
  <c r="AM12" i="3" s="1"/>
  <c r="AF12" i="3" a="1"/>
  <c r="AF12" i="3" s="1"/>
  <c r="AK12" i="3" a="1"/>
  <c r="AK12" i="3" s="1"/>
  <c r="AG22" i="3" a="1"/>
  <c r="AG22" i="3" s="1"/>
  <c r="AL22" i="3" a="1"/>
  <c r="AL22" i="3" s="1"/>
  <c r="AG13" i="3" a="1"/>
  <c r="AG13" i="3" s="1"/>
  <c r="AL13" i="3" a="1"/>
  <c r="AL13" i="3" s="1"/>
  <c r="AF16" i="3" a="1"/>
  <c r="AF16" i="3" s="1"/>
  <c r="AK16" i="3" a="1"/>
  <c r="AK16" i="3" s="1"/>
  <c r="AG14" i="3" a="1"/>
  <c r="AG14" i="3" s="1"/>
  <c r="AL14" i="3" a="1"/>
  <c r="AL14" i="3" s="1"/>
  <c r="AH29" i="3" a="1"/>
  <c r="AH29" i="3" s="1"/>
  <c r="AM29" i="3" a="1"/>
  <c r="AM29" i="3" s="1"/>
  <c r="AH15" i="3" a="1"/>
  <c r="AH15" i="3" s="1"/>
  <c r="AM15" i="3" a="1"/>
  <c r="AM15" i="3" s="1"/>
  <c r="AI4" i="3" a="1"/>
  <c r="AI4" i="3" s="1"/>
  <c r="AN4" i="3" a="1"/>
  <c r="AN4" i="3" s="1"/>
  <c r="H45" i="1"/>
  <c r="G45" i="1"/>
  <c r="AJ8" i="3" l="1"/>
  <c r="AO8" i="3" s="1"/>
  <c r="AJ13" i="3"/>
  <c r="AO13" i="3" s="1"/>
  <c r="AJ32" i="3"/>
  <c r="AO32" i="3" s="1"/>
  <c r="AJ3" i="3"/>
  <c r="AO3" i="3" s="1"/>
  <c r="AJ6" i="3"/>
  <c r="AO6" i="3" s="1"/>
  <c r="AJ25" i="3"/>
  <c r="AQ25" i="3" s="1" a="1"/>
  <c r="AQ25" i="3" s="1"/>
  <c r="AP25" i="3" s="1"/>
  <c r="AJ12" i="3"/>
  <c r="AQ12" i="3" s="1" a="1"/>
  <c r="AQ12" i="3" s="1"/>
  <c r="AP12" i="3" s="1"/>
  <c r="AJ5" i="3"/>
  <c r="AO5" i="3" s="1"/>
  <c r="AJ17" i="3"/>
  <c r="AO17" i="3" s="1"/>
  <c r="AJ23" i="3"/>
  <c r="AQ23" i="3" s="1" a="1"/>
  <c r="AQ23" i="3" s="1"/>
  <c r="AP23" i="3" s="1"/>
  <c r="AJ30" i="3"/>
  <c r="AQ30" i="3" s="1" a="1"/>
  <c r="AQ30" i="3" s="1"/>
  <c r="AP30" i="3" s="1"/>
  <c r="AJ11" i="3"/>
  <c r="AO11" i="3" s="1"/>
  <c r="AJ24" i="3"/>
  <c r="AQ24" i="3" s="1" a="1"/>
  <c r="AQ24" i="3" s="1"/>
  <c r="AP24" i="3" s="1"/>
  <c r="AJ7" i="3"/>
  <c r="AO7" i="3" s="1"/>
  <c r="AJ22" i="3"/>
  <c r="AQ22" i="3" s="1" a="1"/>
  <c r="AQ22" i="3" s="1"/>
  <c r="AP22" i="3" s="1"/>
  <c r="AJ31" i="3"/>
  <c r="AQ31" i="3" s="1" a="1"/>
  <c r="AQ31" i="3" s="1"/>
  <c r="AP31" i="3" s="1"/>
  <c r="AJ14" i="3"/>
  <c r="AO14" i="3" s="1"/>
  <c r="AJ26" i="3"/>
  <c r="AO26" i="3" s="1"/>
  <c r="AJ16" i="3"/>
  <c r="AO16" i="3" s="1"/>
  <c r="AJ10" i="3"/>
  <c r="AO10" i="3" s="1"/>
  <c r="AJ9" i="3"/>
  <c r="AQ9" i="3" s="1" a="1"/>
  <c r="AQ9" i="3" s="1"/>
  <c r="AP9" i="3" s="1"/>
  <c r="AJ29" i="3"/>
  <c r="AO29" i="3" s="1"/>
  <c r="AJ4" i="3"/>
  <c r="AO4" i="3" s="1"/>
  <c r="AJ15" i="3"/>
  <c r="AO15" i="3" s="1"/>
  <c r="AJ2" i="3"/>
  <c r="AQ2" i="3" s="1" a="1"/>
  <c r="AQ2" i="3" s="1"/>
  <c r="AP2" i="3" s="1"/>
  <c r="AJ20" i="3"/>
  <c r="AO20" i="3" s="1"/>
  <c r="AJ18" i="3"/>
  <c r="AO18" i="3" s="1"/>
  <c r="AJ19" i="3"/>
  <c r="AO19" i="3" s="1"/>
  <c r="AJ21" i="3"/>
  <c r="AO21" i="3" s="1"/>
  <c r="AQ32" i="3" a="1"/>
  <c r="AQ32" i="3" s="1"/>
  <c r="AP32" i="3" s="1"/>
  <c r="K45" i="1"/>
  <c r="AQ8" i="3" l="1" a="1"/>
  <c r="AQ8" i="3" s="1"/>
  <c r="AP8" i="3" s="1"/>
  <c r="AQ5" i="3" a="1"/>
  <c r="AQ5" i="3" s="1"/>
  <c r="AP5" i="3" s="1"/>
  <c r="AQ26" i="3" a="1"/>
  <c r="AQ26" i="3" s="1"/>
  <c r="AP26" i="3" s="1"/>
  <c r="AO12" i="3"/>
  <c r="AQ6" i="3" a="1"/>
  <c r="AQ6" i="3" s="1"/>
  <c r="AP6" i="3" s="1"/>
  <c r="AQ13" i="3" a="1"/>
  <c r="AQ13" i="3" s="1"/>
  <c r="AP13" i="3" s="1"/>
  <c r="AO23" i="3"/>
  <c r="AQ14" i="3" a="1"/>
  <c r="AQ14" i="3" s="1"/>
  <c r="AP14" i="3" s="1"/>
  <c r="AO25" i="3"/>
  <c r="AQ3" i="3" a="1"/>
  <c r="AQ3" i="3" s="1"/>
  <c r="AP3" i="3" s="1"/>
  <c r="AQ11" i="3" a="1"/>
  <c r="AQ11" i="3" s="1"/>
  <c r="AP11" i="3" s="1"/>
  <c r="AQ10" i="3" a="1"/>
  <c r="AQ10" i="3" s="1"/>
  <c r="AP10" i="3" s="1"/>
  <c r="AQ29" i="3" a="1"/>
  <c r="AQ29" i="3" s="1"/>
  <c r="AP29" i="3" s="1"/>
  <c r="AO31" i="3"/>
  <c r="AO2" i="3"/>
  <c r="AO9" i="3"/>
  <c r="AQ17" i="3" a="1"/>
  <c r="AQ17" i="3" s="1"/>
  <c r="AP17" i="3" s="1"/>
  <c r="AO30" i="3"/>
  <c r="AO24" i="3"/>
  <c r="AQ7" i="3" a="1"/>
  <c r="AQ7" i="3" s="1"/>
  <c r="AP7" i="3" s="1"/>
  <c r="AO22" i="3"/>
  <c r="AQ16" i="3" a="1"/>
  <c r="AQ16" i="3" s="1"/>
  <c r="AP16" i="3" s="1"/>
  <c r="AQ4" i="3" a="1"/>
  <c r="AQ4" i="3" s="1"/>
  <c r="AP4" i="3" s="1"/>
  <c r="AQ15" i="3" a="1"/>
  <c r="AQ15" i="3" s="1"/>
  <c r="AP15" i="3" s="1"/>
  <c r="AQ18" i="3" a="1"/>
  <c r="AQ18" i="3" s="1"/>
  <c r="AP18" i="3" s="1"/>
  <c r="AQ20" i="3" a="1"/>
  <c r="AQ20" i="3" s="1"/>
  <c r="AP20" i="3" s="1"/>
  <c r="AQ19" i="3" a="1"/>
  <c r="AQ19" i="3" s="1"/>
  <c r="AP19" i="3" s="1"/>
  <c r="AQ21" i="3" a="1"/>
  <c r="AQ21" i="3" s="1"/>
  <c r="AP2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<sst xmlns="http://schemas.openxmlformats.org/spreadsheetml/2006/main" count="1112" uniqueCount="391">
  <si>
    <t>Classification</t>
  </si>
  <si>
    <t>Project Name</t>
  </si>
  <si>
    <t>Company</t>
  </si>
  <si>
    <t>Start Date</t>
  </si>
  <si>
    <t>End Date</t>
  </si>
  <si>
    <t>Status</t>
  </si>
  <si>
    <t>Estimated Hours</t>
  </si>
  <si>
    <t>Total Hours Worked</t>
  </si>
  <si>
    <t>Hourly rate</t>
  </si>
  <si>
    <t>Currency</t>
  </si>
  <si>
    <t>Estimated Revenue</t>
  </si>
  <si>
    <t>Project Number</t>
  </si>
  <si>
    <t>Contract</t>
  </si>
  <si>
    <t>ContractID</t>
  </si>
  <si>
    <t>Create Date</t>
  </si>
  <si>
    <t>Account Manager</t>
  </si>
  <si>
    <t>Location</t>
  </si>
  <si>
    <t>Lat</t>
  </si>
  <si>
    <t>Long</t>
  </si>
  <si>
    <t>Adresse</t>
  </si>
  <si>
    <t>Autotask</t>
  </si>
  <si>
    <t>check comp</t>
  </si>
  <si>
    <t>check proj</t>
  </si>
  <si>
    <t>En implantation</t>
  </si>
  <si>
    <t>Implantation SAP HANA Azure + We Go Trade</t>
  </si>
  <si>
    <t>Distribution GVA</t>
  </si>
  <si>
    <t>New</t>
  </si>
  <si>
    <t>CAD</t>
  </si>
  <si>
    <t>P20201009.0001</t>
  </si>
  <si>
    <t>Distribution GVA implantation SAP</t>
  </si>
  <si>
    <t>Dufour, Daniel</t>
  </si>
  <si>
    <t xml:space="preserve">https://www.google.fr/maps/place/Distribution+GVA+Inc./@45.5853088,-73.7116445,17z/data=!4m13!1m7!3m6!1s0x4cc9219b39d4d33b:0x961f6a106a81006b!2s1950+Boulevard+des+Laurentides,+Laval,+QC+H7M+2Y9!3b1!8m2!3d45.5853088!4d-73.7094558!3m4!1s0x41aacc371c0c6853:0x7e5ed2e830a314af!8m2!3d45.5852879!4d-73.7094431!5m1!1e1?hl=fr </t>
  </si>
  <si>
    <r>
      <t xml:space="preserve">1950 </t>
    </r>
    <r>
      <rPr>
        <sz val="9"/>
        <color theme="1"/>
        <rFont val="Calibri"/>
        <family val="2"/>
        <scheme val="minor"/>
      </rPr>
      <t xml:space="preserve">BOUL. </t>
    </r>
    <r>
      <rPr>
        <sz val="11"/>
        <color theme="1"/>
        <rFont val="Calibri"/>
        <family val="2"/>
        <scheme val="minor"/>
      </rPr>
      <t xml:space="preserve">des Laurentides, Laval, QC, H7M </t>
    </r>
    <r>
      <rPr>
        <sz val="9"/>
        <color theme="1"/>
        <rFont val="Calibri"/>
        <family val="2"/>
        <scheme val="minor"/>
      </rPr>
      <t>2Y5</t>
    </r>
  </si>
  <si>
    <t>https://ww14.autotask.net/Mvc/Projects/ProjectDetail.mvc/ProjectDetail?gridConfiguration=Outline&amp;initialContentPage=Summary&amp;projectId=561</t>
  </si>
  <si>
    <t>Implantation SAP SQL Produmex</t>
  </si>
  <si>
    <t>SIT Mauricie</t>
  </si>
  <si>
    <t>In Progress</t>
  </si>
  <si>
    <t>P20210411.0002</t>
  </si>
  <si>
    <t>Projet Implantation SIT</t>
  </si>
  <si>
    <t>https://www.google.fr/maps/place/Sit+Mauricie/@46.3399901,-72.5556003,18.91z/data=!4m5!3m4!1s0x0:0xfecea68a17e43c36!8m2!3d46.3399946!4d-72.5550643!5m1!1e1?hl=fr</t>
  </si>
  <si>
    <t>1090 Rue de la Vérendrye, Trois-Rivières, QC G9A 2S8</t>
  </si>
  <si>
    <t>https://ww14.autotask.net/Mvc/Projects/ProjectDetail.mvc/ProjectDetail?gridConfiguration=Outline&amp;initialContentPage=Summary&amp;projectId=640</t>
  </si>
  <si>
    <t>ServicesPLUS</t>
  </si>
  <si>
    <t>Implantation Editions Chouette</t>
  </si>
  <si>
    <t>Éditions Chouette</t>
  </si>
  <si>
    <t>P20210714.0001</t>
  </si>
  <si>
    <t>Editions Chouette-Retainer</t>
  </si>
  <si>
    <t xml:space="preserve">https://www.google.fr/maps/place/LES+%C3%89DITIONS+CHOUETTE+(1987)+inc./@45.6108288,-73.8582806,17z/data=!4m12!1m6!3m5!1s0x4cc91142da3d61ff:0xb55087171593262f!2sLES+%C3%89DITIONS+CHOUETTE+(1987)+inc.!8m2!3d45.6110368!4d-73.8562293!3m4!1s0x4cc91142da3d61ff:0xb55087171593262f!8m2!3d45.6110368!4d-73.8562293!5m1!1e1?hl=fr </t>
  </si>
  <si>
    <t>2515 Av. de la Renaissance, Boisbriand, QC J7H 1T9</t>
  </si>
  <si>
    <t>https://ww14.autotask.net/Mvc/Projects/ProjectDetail.mvc/ProjectDetail?gridConfiguration=Outline&amp;initialContentPage=Summary&amp;projectId=679</t>
  </si>
  <si>
    <t>Implementation SAP HANA Versago</t>
  </si>
  <si>
    <t>O&amp;T Farms</t>
  </si>
  <si>
    <t>P20210715.0001</t>
  </si>
  <si>
    <t>O&amp;T Farms Implementation project</t>
  </si>
  <si>
    <t>https://www.google.fr/maps/place/O+%26+T+Farms+Ltd/@48.1142644,-97.5674125,5z/data=!4m5!3m4!1s0x0:0x8d1b22cb14efb697!8m2!3d50.4836299!4d-104.7133565!5m1!1e1?hl=fr</t>
  </si>
  <si>
    <t>Sherwood Drive and, Pinkie Rd, Regina, SK S4R 8R7</t>
  </si>
  <si>
    <t>https://ww14.autotask.net/Mvc/Projects/ProjectDetail.mvc/ProjectDetail?gridConfiguration=Outline&amp;initialContentPage=Summary&amp;projectId=680</t>
  </si>
  <si>
    <t>Implantation WMS</t>
  </si>
  <si>
    <t>Entreprise Tenzo inc.</t>
  </si>
  <si>
    <t>P20210804.0002</t>
  </si>
  <si>
    <t>Projet WMS</t>
  </si>
  <si>
    <t>Mcenaney, Tracy</t>
  </si>
  <si>
    <t>https://www.google.fr/maps/place/T%C3%ABnzo+Fine+Plomberie/@45.5975069,-73.2210645,17z/data=!3m1!4b1!4m5!3m4!1s0x4cc8555dfcbc8aeb:0xa5269fb26ea18829!8m2!3d45.5975032!4d-73.2165798!5m1!1e1?hl=fr</t>
  </si>
  <si>
    <t>1101 Rue Louis-Marchand, Beloeil, QC J3G 6S4</t>
  </si>
  <si>
    <t>https://ww14.autotask.net/Mvc/Projects/ProjectDetail.mvc/ProjectDetail?gridConfiguration=Outline&amp;initialContentPage=Summary&amp;projectId=686</t>
  </si>
  <si>
    <t>Tzanet</t>
  </si>
  <si>
    <t>P20210922.0001</t>
  </si>
  <si>
    <t>Retainer Tzanet- Projet Produmex WMS</t>
  </si>
  <si>
    <t>https://www.google.fr/maps/place/Les+Entreprises+Tzanet/@45.563041,-73.7008035,13z/data=!4m9!1m2!2m1!1stzanet!3m5!1s0x4cc918f3f22a80a9:0xc62c2032f37672a4!8m2!3d45.5332363!4d-73.6628473!15sCgZ0emFuZXQiA4gBAVoIIgZ0emFuZXSSARRraXRjaGVuX3N1cHBseV9zdG9yZeABAA!5m1!1e1?hl=fr</t>
  </si>
  <si>
    <t>1375 Rue de Louvain O, Montréal, QC H4N 1G6</t>
  </si>
  <si>
    <t>https://ww14.autotask.net/Mvc/Projects/ProjectDetail.mvc/ProjectDetail?gridConfiguration=Outline&amp;initialContentPage=Summary&amp;projectId=702</t>
  </si>
  <si>
    <t>CMBB SAP Implementation</t>
  </si>
  <si>
    <t>CMBB Bakeware Canada Inc.</t>
  </si>
  <si>
    <t>P20211119.0001</t>
  </si>
  <si>
    <t>Project SAP Implementation</t>
  </si>
  <si>
    <t>https://www.google.fr/maps/place/84+Easton+Rd,+Brantford,+ON+N3P+1J5/@43.1783099,-80.2439915,17z/data=!4m13!1m7!3m6!1s0x882c65a8c719a50d:0x6f23799d6a1e608!2s84+Easton+Rd,+Brantford,+ON+N3P+1J5!3b1!8m2!3d43.178306!4d-80.2418028!3m4!1s0x882c65a8c719a50d:0x6f23799d6a1e608!8m2!3d43.178306!4d-80.2418028!5m1!1e1?hl=fr</t>
  </si>
  <si>
    <t>84 Easton Road,Brantford Ontario N3P 1J5</t>
  </si>
  <si>
    <t>https://ww14.autotask.net/Mvc/Projects/ProjectDetail.mvc/ProjectDetail?gridConfiguration=Outline&amp;initialContentPage=Summary&amp;projectId=716</t>
  </si>
  <si>
    <t>Migration SAP V10</t>
  </si>
  <si>
    <t>Cowper Inc.</t>
  </si>
  <si>
    <t>P20211202.0001</t>
  </si>
  <si>
    <t>Champoux, Daniel</t>
  </si>
  <si>
    <t>https://www.google.fr/maps/place/Cowper+Inc./@45.5056385,-73.8453642,11.77z/data=!4m5!3m4!1s0x0:0x4c8bb1af0ea42de6!8m2!3d45.4413746!4d-73.670454!5m1!1e1?hl=fr</t>
  </si>
  <si>
    <t>677 7th avenue, Lachine, QC</t>
  </si>
  <si>
    <t>https://ww14.autotask.net/Mvc/Projects/ProjectDetail.mvc/ProjectDetail?gridConfiguration=Outline&amp;initialContentPage=Summary&amp;projectId=722</t>
  </si>
  <si>
    <t>Implantation Produmex Scan</t>
  </si>
  <si>
    <t>P20221128.0003</t>
  </si>
  <si>
    <t>Produmex Scan</t>
  </si>
  <si>
    <t>SAP HANA Implementation</t>
  </si>
  <si>
    <t>Coco Bakery Inc.</t>
  </si>
  <si>
    <t>P20211206.0001</t>
  </si>
  <si>
    <t>SAP implementation project</t>
  </si>
  <si>
    <t>https://www.google.fr/maps/place/6226+Danville+Rd,+Mississauga,+ON+L5T+2H7/@43.6421185,-79.6747931,18z/data=!4m13!1m7!3m6!1s0x882b3f69ec62ad99:0xe801a6135638fab9!2s6226+Danville+Rd,+Mississauga,+ON+L5T+2H7!3b1!8m2!3d43.6421169!4d-79.6738909!3m4!1s0x882b3f69ec62ad99:0xe801a6135638fab9!8m2!3d43.6421169!4d-79.6738909!5m1!1e1?hl=fr</t>
  </si>
  <si>
    <t>6226 Danville Road, Mississauga, ON L5T 2H7</t>
  </si>
  <si>
    <t>https://ww14.autotask.net/Mvc/Projects/ProjectDetail.mvc/ProjectDetail?gridConfiguration=Outline&amp;initialContentPage=Summary&amp;projectId=725</t>
  </si>
  <si>
    <t>Migration V10 SQL</t>
  </si>
  <si>
    <t>Les Aliments CDS inc.</t>
  </si>
  <si>
    <t>P20220104.0002</t>
  </si>
  <si>
    <t>Projet Migration V10 SQL</t>
  </si>
  <si>
    <t>https://www.google.fr/maps/place/Les+Aliments+CDS+Foods+Inc./@45.5275469,-73.6519625,14.4z/data=!4m5!3m4!1s0x0:0x9e5bd2d32605e06d!8m2!3d45.5284002!4d-73.6657747!5m1!1e1?hl=fr</t>
  </si>
  <si>
    <t>775 Bd Lebeau, Saint-Laurent, QC H4N 1S5</t>
  </si>
  <si>
    <t>https://ww14.autotask.net/Mvc/Projects/ProjectDetail.mvc/ProjectDetail?gridConfiguration=Outline&amp;initialContentPage=Summary&amp;projectId=740</t>
  </si>
  <si>
    <t>ServicesPLUS &amp; ServicesTECH</t>
  </si>
  <si>
    <t>Implantation SAP phase 1 et 2</t>
  </si>
  <si>
    <t>Gazebo Penguin Inc.</t>
  </si>
  <si>
    <t>P20220110.0002</t>
  </si>
  <si>
    <t>Projet implantation SAP</t>
  </si>
  <si>
    <t>https://www.google.fr/maps/place/Gazebo+Penguin+Inc/@45.4710799,-73.6971059,17z/data=!3m1!4b1!4m5!3m4!1s0x4cc917bb885b926d:0x4e4996129610b8c4!8m2!3d45.4710762!4d-73.6949172!5m1!1e1?hl=fr</t>
  </si>
  <si>
    <t>4660 Rue Hickmore, Saint-Laurent, QC H4T 1K2</t>
  </si>
  <si>
    <t>https://ww14.autotask.net/Mvc/Projects/ProjectDetail.mvc/ProjectDetail?gridConfiguration=Outline&amp;initialContentPage=Summary&amp;projectId=744</t>
  </si>
  <si>
    <t>Fixed assets implementation</t>
  </si>
  <si>
    <t>Walt's Wholesale Meats</t>
  </si>
  <si>
    <t>USD</t>
  </si>
  <si>
    <t>P20220215.0001</t>
  </si>
  <si>
    <t>2022 - Walt's Wholesale Meats (PLUS)</t>
  </si>
  <si>
    <t>Frandsen, Scott</t>
  </si>
  <si>
    <t xml:space="preserve">https://www.google.fr/maps/place/350+S+Pekin+Rd,+Woodland,+WA+98674,+%C3%89tats-Unis/@45.8913918,-122.7452506,17z/data=!3m1!4b1!4m5!3m4!1s0x54944f1f45f97411:0xfa635b6193402016!8m2!3d45.8913918!4d-122.7430619!5m1!1e1?hl=fr </t>
  </si>
  <si>
    <t>350 S Pekin Rd , Woodland WA 98674</t>
  </si>
  <si>
    <t>https://ww14.autotask.net/Mvc/Projects/ProjectDetail.mvc/ProjectDetail?gridConfiguration=Outline&amp;initialContentPage=Summary&amp;projectId=762</t>
  </si>
  <si>
    <t>Implementation SAP HANA</t>
  </si>
  <si>
    <t>Lovato Electric Inc. (USA)</t>
  </si>
  <si>
    <t>P20220515.0001</t>
  </si>
  <si>
    <t>Implementation PROJECT</t>
  </si>
  <si>
    <t>https://www.google.fr/maps/place/LOVATO+Electric/@36.7919655,-76.2459392,16.59z/data=!4m5!3m4!1s0x0:0x2d8afaab31ba084e!8m2!3d36.7918965!4d-76.2460442!5m1!1e1?hl=fr</t>
  </si>
  <si>
    <t>2017 Georgetown Blvd, Chesapeake, VA 23325, États-Unis</t>
  </si>
  <si>
    <t>https://ww14.autotask.net/Mvc/Projects/ProjectDetail.mvc/ProjectDetail?gridConfiguration=Outline&amp;initialContentPage=Summary&amp;projectId=791</t>
  </si>
  <si>
    <t>Implantation SAP</t>
  </si>
  <si>
    <t>Megastar Électroniques Inc.</t>
  </si>
  <si>
    <t>P20220916.0001</t>
  </si>
  <si>
    <t>Projet MegaStar</t>
  </si>
  <si>
    <t xml:space="preserve">https://www.google.fr/maps/place/Mega+Star+Electronics/@45.5959339,-73.6251983,17z/data=!4m13!1m7!3m6!1s0x4cc91f0eb603ccf1:0x98b53f098eaf6dc4!2s5061+Rue+d'Amiens,+Montr%C3%A9al-Nord,+QC+H1G+3G2!3b1!8m2!3d45.5959339!4d-73.6230096!3m4!1s0x4cc91f0eb6183d4d:0x160e294c414f78c1!8m2!3d45.5960346!4d-73.6228044!5m1!1e1?hl=fr </t>
  </si>
  <si>
    <t>5061 Rue d'Amiens, Montréal-Nord, QC H1G 3G2</t>
  </si>
  <si>
    <t>https://ww14.autotask.net/Mvc/Projects/ProjectDetail.mvc/ProjectDetail?gridConfiguration=Outline&amp;initialContentPage=Summary&amp;projectId=829</t>
  </si>
  <si>
    <t>Migration SAP V10 SQL</t>
  </si>
  <si>
    <t>Laiterie de Coaticook ltée</t>
  </si>
  <si>
    <t>P20220922.0001</t>
  </si>
  <si>
    <t>https://www.google.fr/maps/place/Laiterie+de+Coaticook+Lt%C3%A9e/@45.1569719,-71.8032584,17z/data=!3m1!4b1!4m5!3m4!1s0x4cb658f0bcef7741:0xb18492fd3db72d09!8m2!3d45.1569295!4d-71.8010503!5m1!1e1?hl=fr</t>
  </si>
  <si>
    <t>1000 Rue Child, Coaticook, QC J1A 2S5</t>
  </si>
  <si>
    <t>https://ww14.autotask.net/Mvc/Projects/ProjectDetail.mvc/ProjectDetail?gridConfiguration=Outline&amp;initialContentPage=Summary&amp;projectId=830&amp;restoreworkspacekey=</t>
  </si>
  <si>
    <t>SAP V10 Migration</t>
  </si>
  <si>
    <t>Federal Steel Equipment Ltd.</t>
  </si>
  <si>
    <t>P20221005.0002</t>
  </si>
  <si>
    <t>Projet migration</t>
  </si>
  <si>
    <t xml:space="preserve">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</t>
  </si>
  <si>
    <t>540 20e Avenue, Lachine, QC H8S 3T1</t>
  </si>
  <si>
    <t>https://ww14.autotask.net/Mvc/Projects/ProjectDetail.mvc/ProjectDetail?gridConfiguration=Outline&amp;initialContentPage=Summary&amp;projectId=835</t>
  </si>
  <si>
    <t>Installation serveur</t>
  </si>
  <si>
    <t>P20221124.0001</t>
  </si>
  <si>
    <t>Installation d'un nouveau serveur</t>
  </si>
  <si>
    <t>https://ww14.autotask.net/Mvc/Projects/ProjectDetail.mvc/ProjectDetail?gridConfiguration=Outline&amp;initialContentPage=Summary&amp;projectId=856</t>
  </si>
  <si>
    <t>Support pour questions</t>
  </si>
  <si>
    <t>P20220802.0001</t>
  </si>
  <si>
    <t>Formation générale 2022 - Support AdHoc</t>
  </si>
  <si>
    <t>https://ww14.autotask.net/Mvc/Projects/ProjectDetail.mvc/ProjectDetail?gridConfiguration=Outline&amp;initialContentPage=Summary&amp;projectId=810</t>
  </si>
  <si>
    <t>Groupe Pro-Fab</t>
  </si>
  <si>
    <t>P20221212.0001</t>
  </si>
  <si>
    <t>Migration SAP B1 V9.1 vers V10</t>
  </si>
  <si>
    <t>https://www.google.fr/maps/place/Groupe+Pro-Fab+-+Si%C3%A8ge+social/@46.6231521,-71.5027654,17z/data=!4m5!3m4!1s0x0:0x46eb83a9a3cadc17!8m2!3d46.6235537!4d-71.5004496!5m1!1e1?hl=fr</t>
  </si>
  <si>
    <t>294 Rue Laurier, Saint-Apollinaire, QC G0S 2E0</t>
  </si>
  <si>
    <t>https://ww14.autotask.net/Mvc/Projects/ProjectDetail.mvc/ProjectDetail?gridConfiguration=Outline&amp;initialContentPage=Summary&amp;projectId=864</t>
  </si>
  <si>
    <t>Produmex WMS</t>
  </si>
  <si>
    <t>P20221024.0001</t>
  </si>
  <si>
    <t>Implantation SAP B1 &amp; Process Force</t>
  </si>
  <si>
    <t>Fromagerie Polyethnique Inc</t>
  </si>
  <si>
    <t>P20221111.0001</t>
  </si>
  <si>
    <t>Projet implantation SAP B1</t>
  </si>
  <si>
    <t>https://www.google.fr/maps/place/Fromagerie+Polyethnique+Inc./@45.9439944,-73.0552781,12.05z/data=!4m5!3m4!1s0x0:0xef280bcfed15fb50!8m2!3d45.9290294!4d-73.0172073!5m1!1e1?hl=fr</t>
  </si>
  <si>
    <t>235 Chemin de St Robert, Saint-Robert, QC J0G 1S0</t>
  </si>
  <si>
    <t>https://ww14.autotask.net/Mvc/Projects/ProjectDetail.mvc/ProjectDetail?gridConfiguration=Outline&amp;initialContentPage=Summary&amp;projectId=852</t>
  </si>
  <si>
    <t>Projet implantation SAP et WMS</t>
  </si>
  <si>
    <t>Groupe Carreaux Céragrès Inc.</t>
  </si>
  <si>
    <t>P20221012.0001</t>
  </si>
  <si>
    <t>https://www.google.fr/maps/place/825+Rue+Deslauriers,+Saint-Laurent,+QC+H4N+1X3/@45.5292868,-73.667034,17z/data=!4m12!1m6!3m5!1s0x4cc9185f4cc42355:0xad548e4af066f4c6!2sGroupe+Carreaux+C%C3%A9ragr%C3%A8s+Inc.+(si%C3%A8ge+social)+-+Ceragres+Tile+Group+Inc.+(head+office)!8m2!3d45.5292868!4d-73.6648453!3m4!1s0x4cc9185f5a99d0af:0xb101086266c8cfcb!8m2!3d45.5292868!4d-73.6648453!5m1!1e1?hl=fr</t>
  </si>
  <si>
    <t>825 Deslaurier, Montreal QC H4N 1X3</t>
  </si>
  <si>
    <t>https://ww14.autotask.net/Mvc/Projects/ProjectDetail.mvc/ProjectDetail?gridConfiguration=Outline&amp;initialContentPage=Summary&amp;projectId=837</t>
  </si>
  <si>
    <t>Dubois Agrinovations - Archivage</t>
  </si>
  <si>
    <t>Dubois Agrinovation Inc.</t>
  </si>
  <si>
    <t>P20221121.0001</t>
  </si>
  <si>
    <t>2022 - Standard - Dubois Agrinovation (PLUS)</t>
  </si>
  <si>
    <t>https://www.google.fr/maps/place/Dubois+Agrinovation+-+%C3%89quipement+%26+Outils+d'Irrigation+et+Agricole/@45.2710103,-73.6095246,17z/data=!4m13!1m7!3m6!1s0x4cc97240123b9b5d:0x405a2402c5924169!2s478+Rue+Notre+Dame,+Saint-R%C3%A9mi,+QC+J0L+2L0!3b1!8m2!3d45.2710103!4d-73.6073359!3m4!1s0x4cc97240004f7b63:0xa00d36f88582c8ce!8m2!3d45.2708914!4d-73.607322!5m1!1e1?hl=fr</t>
  </si>
  <si>
    <t>478 Rue Notre Dame, Saint-Rémi, QC J0L 2L0</t>
  </si>
  <si>
    <t>Forgestik - Quebec</t>
  </si>
  <si>
    <t xml:space="preserve">https://www.google.fr/maps/place/Forgestik+Inc.+-+Qu%C3%A9bec/@46.7678083,-71.2910004,17z/data=!4m5!3m4!1s0x0:0x3410c520d6b20abc!8m2!3d46.7677269!4d-71.2887151!5m1!1e1?hl=fr </t>
  </si>
  <si>
    <t>2828 Bd Laurier #700, Québec, QC G1V 0B9</t>
  </si>
  <si>
    <t>Forgestik-Montreal</t>
  </si>
  <si>
    <t xml:space="preserve">https://www.google.fr/maps/place/Forgestik+Inc+-+Montreal+Head+Office/@45.5219334,-73.6152552,17z/data=!3m1!4b1!4m5!3m4!1s0x4cc9199df6b7f653:0x801060272b57c4f4!8m2!3d45.52193!4d-73.6130697!5m1!1e1?hl=fr </t>
  </si>
  <si>
    <t>797 Champagneur Avenue, Outremont, Quebec, H2V 3P9</t>
  </si>
  <si>
    <t>Forgestik - Vancouver</t>
  </si>
  <si>
    <t xml:space="preserve">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 </t>
  </si>
  <si>
    <t>885 W Georgia St #1500, Vancouver, BC V6C 3E8</t>
  </si>
  <si>
    <t>Forgestik - Toronto</t>
  </si>
  <si>
    <t xml:space="preserve">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 </t>
  </si>
  <si>
    <t>88 Queens Quay W #2500, Toronto, ON M5J 0B9</t>
  </si>
  <si>
    <t>TOTAL</t>
  </si>
  <si>
    <t>Contract ID</t>
  </si>
  <si>
    <t>check num proj</t>
  </si>
  <si>
    <t>19/11/2021</t>
  </si>
  <si>
    <t>30/12/2022</t>
  </si>
  <si>
    <t>19/11/2021 12:00 AM</t>
  </si>
  <si>
    <t>31/12/2022</t>
  </si>
  <si>
    <t>28/11/2022</t>
  </si>
  <si>
    <t>15/06/2023</t>
  </si>
  <si>
    <t>28/11/2022 12:00 AM</t>
  </si>
  <si>
    <t>En implantation / Implementation</t>
  </si>
  <si>
    <t>16/11/2022</t>
  </si>
  <si>
    <t>21/11/2022 12:00 AM</t>
  </si>
  <si>
    <t>28/06/2021</t>
  </si>
  <si>
    <t>14/07/2021 12:00 AM</t>
  </si>
  <si>
    <t>31/12/2023</t>
  </si>
  <si>
    <t>29/12/2023</t>
  </si>
  <si>
    <t>24/10/2022</t>
  </si>
  <si>
    <t>31/03/2023</t>
  </si>
  <si>
    <t>24/10/2022 12:00 AM</t>
  </si>
  <si>
    <t>16/09/2022</t>
  </si>
  <si>
    <t>22/09/2022 12:00 AM</t>
  </si>
  <si>
    <t>27/01/2023</t>
  </si>
  <si>
    <t>28/02/2023</t>
  </si>
  <si>
    <t>15/05/2022 12:00 AM</t>
  </si>
  <si>
    <t>28/04/2023</t>
  </si>
  <si>
    <t>16/09/2022 12:00 AM</t>
  </si>
  <si>
    <t>15/07/2021</t>
  </si>
  <si>
    <t>15/07/2021 12:00 AM</t>
  </si>
  <si>
    <t>22/09/2021 12:00 AM</t>
  </si>
  <si>
    <t>15/02/2022</t>
  </si>
  <si>
    <t>30/04/2022</t>
  </si>
  <si>
    <t>15/02/2022 12:00 AM</t>
  </si>
  <si>
    <t>Complete</t>
  </si>
  <si>
    <t>990 Rue Bergar
Laval QC H7L 5A1
CANADA</t>
  </si>
  <si>
    <t>Produit Electrolation</t>
  </si>
  <si>
    <t>https://www.google.fr/maps/place/Produits+Electrolation+Inc/@45.594032,-73.7443942,19z/data=!4m12!1m6!3m5!1s0x4cc92143ec29647d:0x9f89ab8988471bbd!2sProduits+Electrolation+Inc!8m2!3d45.5943373!4d-73.7441876!3m4!1s0x4cc92143ec29647d:0x9f89ab8988471bbd!8m2!3d45.5943373!4d-73.7441876!5m1!1e1?hl=fr</t>
  </si>
  <si>
    <t>Carriere, Daniel</t>
  </si>
  <si>
    <t>Migration SAP B1 V10 SQL</t>
  </si>
  <si>
    <t>P20221222.0001</t>
  </si>
  <si>
    <t>https://ww14.autotask.net/Mvc/Projects/ProjectDetail.mvc/ProjectDetail?gridConfiguration=Outline&amp;initialContentPage=Summary&amp;projectId=866</t>
  </si>
  <si>
    <t>https://ww14.autotask.net/Mvc/Projects/ProjectDetail.mvc/ProjectDetail?gridConfiguration=Outline&amp;initialContentPage=Summary&amp;projectId=840</t>
  </si>
  <si>
    <t>XML</t>
  </si>
  <si>
    <t>LAT</t>
  </si>
  <si>
    <t>LONG</t>
  </si>
  <si>
    <t>LAT2</t>
  </si>
  <si>
    <t>LONG2</t>
  </si>
  <si>
    <t>Distance_BC</t>
  </si>
  <si>
    <t>Distance_Quebec</t>
  </si>
  <si>
    <t>Distance_ON</t>
  </si>
  <si>
    <t>Min_distance</t>
  </si>
  <si>
    <t>Closest_office</t>
  </si>
  <si>
    <t>Tps_parcours</t>
  </si>
  <si>
    <t>QC</t>
  </si>
  <si>
    <t>MTL</t>
  </si>
  <si>
    <t>BC</t>
  </si>
  <si>
    <t>ON</t>
  </si>
  <si>
    <t>WS_Quebec</t>
  </si>
  <si>
    <t>WS_ Montreal</t>
  </si>
  <si>
    <t>WS_BC</t>
  </si>
  <si>
    <t>WS_ON</t>
  </si>
  <si>
    <t>https://maps.googleapis.com/maps/api/distancematrix/xml?destinations=40.659569%2C-73.933783&amp;origins=40.6655101%2C-73.89188969999998&amp;key=AIzaSyCHth-wrbaKBruFJQMWpdpeHAtAzdbcKh4</t>
  </si>
  <si>
    <t>https://maps.googleapis.com/maps/api/distancematrix/xml?destinations=40.659569%2C-73.933783&amp;origins=46.7677269%2C-71.2887151&amp;key=AIzaSyCHth-wrbaKBruFJQMWpdpeHAtAzdbcKh4</t>
  </si>
  <si>
    <t>https://maps.googleapis.com/maps/api/distancematrix/xml?destinations=40.659569%2C-73.933783&amp;origins=45.52193%2C-73.6130697&amp;key=AIzaSyCHth-wrbaKBruFJQMWpdpeHAtAzdbcKh4</t>
  </si>
  <si>
    <t>https://maps.googleapis.com/maps/api/distancematrix/xml?destinations=40.659569%2C-73.933783&amp;origins=49.2838546%2C-123.1196403&amp;key=AIzaSyCHth-wrbaKBruFJQMWpdpeHAtAzdbcKh4</t>
  </si>
  <si>
    <t>https://maps.googleapis.com/maps/api/distancematrix/xml?destinations=40.659569%2C-73.933783&amp;origins=43.6410825%2C-79.3787196&amp;key=AIzaSyCHth-wrbaKBruFJQMWpdpeHAtAzdbcKh4</t>
  </si>
  <si>
    <t>Tps_Quebec</t>
  </si>
  <si>
    <t>Tps_ Montreal</t>
  </si>
  <si>
    <t>Tps_BC</t>
  </si>
  <si>
    <t>Tps_ON</t>
  </si>
  <si>
    <t>Distance_Montreal</t>
  </si>
  <si>
    <t>Office_tps_plus_court</t>
  </si>
  <si>
    <t>https://ww14.autotask.net/Mvc/Projects/ProjectDetail.mvc/ProjectDetail?gridConfiguration=Outline&amp;initialContentPage=Summary&amp;projectId=855</t>
  </si>
  <si>
    <t>Dubois Agrinovation - archivage</t>
  </si>
  <si>
    <t>Migration SAP V10 Hana</t>
  </si>
  <si>
    <t>Drainvac International 2006 Inc.</t>
  </si>
  <si>
    <t>P20230118.0002</t>
  </si>
  <si>
    <t>Migration 9.3 a V10 Hana</t>
  </si>
  <si>
    <t>Beauchesne, Carl</t>
  </si>
  <si>
    <t>Implantation SAP Hana B1UP P&amp;D WMS</t>
  </si>
  <si>
    <t>RBF INTERNATIONAL LTÉE</t>
  </si>
  <si>
    <t>P20230110.0001</t>
  </si>
  <si>
    <t xml:space="preserve">780 rue Nobel, Saint-Jérôme QC J7Z 7A3 </t>
  </si>
  <si>
    <t>https://www.google.fr/maps/place/RBF+International+Ltd/@45.7559173,-73.994841,17z/data=!4m13!1m7!3m6!1s0x4cc8d4b4bc9a58ef:0x7b9413ab6bfc9b1b!2s780+Rue+Nobel,+Saint-J%C3%A9r%C3%B4me,+QC+J7Z+7A3!3b1!8m2!3d45.7559173!4d-73.9926523!3m4!1s0x4cc8d4b467ed8d71:0x977c628c9088c173!8m2!3d45.7561448!4d-73.9925594!5m1!1e1?hl=fr</t>
  </si>
  <si>
    <t>https://ww14.autotask.net/Mvc/Projects/ProjectDetail.mvc/ProjectDetail?gridConfiguration=Outline&amp;initialContentPage=Summary&amp;projectId=868</t>
  </si>
  <si>
    <t>https://ww14.autotask.net/Mvc/Projects/ProjectDetail.mvc/ProjectDetail?gridConfiguration=Outline&amp;initialContentPage=Schedule&amp;projectId=873</t>
  </si>
  <si>
    <t>150 rue Brunet,  Mont-Saint-Hilaire QC J3G 4S6</t>
  </si>
  <si>
    <t>https://www.google.fr/maps/place/Drainvac+international/@45.5942734,-73.1786002,16z/data=!4m13!1m7!3m6!1s0x4cc8551fdfd58667:0x233cef13ce226737!2s150+Rue+Brunet,+Mont-Saint-Hilaire,+QC+J3G+4S6!3b1!8m2!3d45.5936493!4d-73.1747351!3m4!1s0x4cc8551fdef27af3:0xb4752815aa13a6d0!8m2!3d45.5938434!4d-73.1749142!5m1!1e1?hl=fr</t>
  </si>
  <si>
    <t xml:space="preserve">&lt;?xml version="1.0" encoding="UTF-8"?&gt;
&lt;DistanceMatrixResponse&gt;
 &lt;status&gt;OK&lt;/status&gt;
 &lt;origin_address&gt;2828 Bd Laurier, Québec, QC G1V 0C1, Canada&lt;/origin_address&gt;
 &lt;destination_address&gt;1950 Boulevard des Laurentides, Laval, QC H7M 2Y9, Canada&lt;/destination_address&gt;
 &lt;row&gt;
  &lt;element&gt;
   &lt;status&gt;OK&lt;/status&gt;
   &lt;duration&gt;
    &lt;value&gt;9220&lt;/value&gt;
    &lt;text&gt;2 hours 34 mins&lt;/text&gt;
   &lt;/duration&gt;
   &lt;distance&gt;
    &lt;value&gt;255217&lt;/value&gt;
    &lt;text&gt;255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</si>
  <si>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&lt;destination_address&gt;1950 Boulevard des Laurentides, Laval, QC H7M 2Y9, Canada&lt;/destination_address&gt;
 &lt;row&gt;
  &lt;element&gt;
   &lt;status&gt;OK&lt;/status&gt;
   &lt;duration&gt;
    &lt;value&gt;1382&lt;/value&gt;
    &lt;text&gt;23 mins&lt;/text&gt;
   &lt;/duration&gt;
   &lt;distance&gt;
    &lt;value&gt;18954&lt;/value&gt;
    &lt;text&gt;19.0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</si>
  <si>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&lt;destination_address&gt;1950 Boulevard des Laurentides, Laval, QC H7M 2Y9, Canada&lt;/destination_address&gt;
 &lt;row&gt;
  &lt;element&gt;
   &lt;status&gt;OK&lt;/status&gt;
   &lt;duration&gt;
    &lt;value&gt;161398&lt;/value&gt;
    &lt;text&gt;1 day 21 hours&lt;/text&gt;
   &lt;/duration&gt;
   &lt;distance&gt;
    &lt;value&gt;4556985&lt;/value&gt;
    &lt;text&gt;4,557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</si>
  <si>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&lt;destination_address&gt;1950 Boulevard des Laurentides, Laval, QC H7M 2Y9, Canada&lt;/destination_address&gt;
 &lt;row&gt;
  &lt;element&gt;
   &lt;status&gt;OK&lt;/status&gt;
   &lt;duration&gt;
    &lt;value&gt;18770&lt;/value&gt;
    &lt;text&gt;5 hours 13 mins&lt;/text&gt;
   &lt;/duration&gt;
   &lt;distance&gt;
    &lt;value&gt;550347&lt;/value&gt;
    &lt;text&gt;550 km&lt;/text&gt;
   &lt;/distance&gt;
  &lt;/element&gt;
 &lt;/row&gt;
&lt;/DistanceMatrixResponse&gt;
</t>
  </si>
  <si>
    <t>Montreal</t>
  </si>
  <si>
    <t xml:space="preserve">&lt;?xml version="1.0" encoding="UTF-8"?&gt;
&lt;DistanceMatrixResponse&gt;
 &lt;status&gt;OK&lt;/status&gt;
 &lt;origin_address&gt;2828 Bd Laurier, Québec, QC G1V 0C1, Canada&lt;/origin_address&gt;
 &lt;destination_address&gt;1090 Rue de la Vérendrye, Trois-Rivières, QC G9A 2S8, Canada&lt;/destination_address&gt;
 &lt;row&gt;
  &lt;element&gt;
   &lt;status&gt;OK&lt;/status&gt;
   &lt;duration&gt;
    &lt;value&gt;4422&lt;/value&gt;
    &lt;text&gt;1 hour 14 mins&lt;/text&gt;
   &lt;/duration&gt;
   &lt;distance&gt;
    &lt;value&gt;123801&lt;/value&gt;
    &lt;text&gt;124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</si>
  <si>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&lt;destination_address&gt;1090 Rue de la Vérendrye, Trois-Rivières, QC G9A 2S8, Canada&lt;/destination_address&gt;
 &lt;row&gt;
  &lt;element&gt;
   &lt;status&gt;OK&lt;/status&gt;
   &lt;duration&gt;
    &lt;value&gt;5572&lt;/value&gt;
    &lt;text&gt;1 hour 33 mins&lt;/text&gt;
   &lt;/duration&gt;
   &lt;distance&gt;
    &lt;value&gt;139415&lt;/value&gt;
    &lt;text&gt;139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</si>
  <si>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&lt;destination_address&gt;1090 Rue de la Vérendrye, Trois-Rivières, QC G9A 2S8, Canada&lt;/destination_address&gt;
 &lt;row&gt;
  &lt;element&gt;
   &lt;status&gt;OK&lt;/status&gt;
   &lt;duration&gt;
    &lt;value&gt;165843&lt;/value&gt;
    &lt;text&gt;1 day 22 hours&lt;/text&gt;
   &lt;/duration&gt;
   &lt;distance&gt;
    &lt;value&gt;4682381&lt;/value&gt;
    &lt;text&gt;4,682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</si>
  <si>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&lt;destination_address&gt;1090 Rue de la Vérendrye, Trois-Rivières, QC G9A 2S8, Canada&lt;/destination_address&gt;
 &lt;row&gt;
  &lt;element&gt;
   &lt;status&gt;OK&lt;/status&gt;
   &lt;duration&gt;
    &lt;value&gt;23215&lt;/value&gt;
    &lt;text&gt;6 hours 27 mins&lt;/text&gt;
   &lt;/duration&gt;
   &lt;distance&gt;
    &lt;value&gt;675743&lt;/value&gt;
    &lt;text&gt;676 km&lt;/text&gt;
   &lt;/distance&gt;
  &lt;/element&gt;
 &lt;/row&gt;
&lt;/DistanceMatrixResponse&gt;
</t>
  </si>
  <si>
    <t>Quebec</t>
  </si>
  <si>
    <t xml:space="preserve">&lt;?xml version="1.0" encoding="UTF-8"?&gt;
&lt;DistanceMatrixResponse&gt;
 &lt;status&gt;OK&lt;/status&gt;
 &lt;origin_address&gt;2828 Bd Laurier, Québec, QC G1V 0C1, Canada&lt;/origin_address&gt;
 &lt;destination_address&gt;2515 Av. de la Renaissance, Boisbriand, QC J7H 1T9, Canada&lt;/destination_address&gt;
 &lt;row&gt;
  &lt;element&gt;
   &lt;status&gt;OK&lt;/status&gt;
   &lt;duration&gt;
    &lt;value&gt;9373&lt;/value&gt;
    &lt;text&gt;2 hours 36 mins&lt;/text&gt;
   &lt;/duration&gt;
   &lt;distance&gt;
    &lt;value&gt;266892&lt;/value&gt;
    &lt;text&gt;267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</si>
  <si>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&lt;destination_address&gt;2515 Av. de la Renaissance, Boisbriand, QC J7H 1T9, Canada&lt;/destination_address&gt;
 &lt;row&gt;
  &lt;element&gt;
   &lt;status&gt;OK&lt;/status&gt;
   &lt;duration&gt;
    &lt;value&gt;1827&lt;/value&gt;
    &lt;text&gt;30 mins&lt;/text&gt;
   &lt;/duration&gt;
   &lt;distance&gt;
    &lt;value&gt;27878&lt;/value&gt;
    &lt;text&gt;27.9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</si>
  <si>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&lt;destination_address&gt;2515 Av. de la Renaissance, Boisbriand, QC J7H 1T9, Canada&lt;/destination_address&gt;
 &lt;row&gt;
  &lt;element&gt;
   &lt;status&gt;OK&lt;/status&gt;
   &lt;duration&gt;
    &lt;value&gt;161252&lt;/value&gt;
    &lt;text&gt;1 day 21 hours&lt;/text&gt;
   &lt;/duration&gt;
   &lt;distance&gt;
    &lt;value&gt;4534697&lt;/value&gt;
    &lt;text&gt;4,535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</si>
  <si>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&lt;destination_address&gt;2515 Av. de la Renaissance, Boisbriand, QC J7H 1T9, Canada&lt;/destination_address&gt;
 &lt;row&gt;
  &lt;element&gt;
   &lt;status&gt;OK&lt;/status&gt;
   &lt;duration&gt;
    &lt;value&gt;18933&lt;/value&gt;
    &lt;text&gt;5 hours 16 mins&lt;/text&gt;
   &lt;/duration&gt;
   &lt;distance&gt;
    &lt;value&gt;552415&lt;/value&gt;
    &lt;text&gt;552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</si>
  <si>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&lt;destination_address&gt;18 Pinkie Rd, Pense, SK S0G 3W0, Canada&lt;/destination_address&gt;
 &lt;row&gt;
  &lt;element&gt;
   &lt;status&gt;OK&lt;/status&gt;
   &lt;duration&gt;
    &lt;value&gt;115198&lt;/value&gt;
    &lt;text&gt;1 day 8 hours&lt;/text&gt;
   &lt;/duration&gt;
   &lt;distance&gt;
    &lt;value&gt;3090790&lt;/value&gt;
    &lt;text&gt;3,091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</si>
  <si>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&lt;destination_address&gt;18 Pinkie Rd, Pense, SK S0G 3W0, Canada&lt;/destination_address&gt;
 &lt;row&gt;
  &lt;element&gt;
   &lt;status&gt;OK&lt;/status&gt;
   &lt;duration&gt;
    &lt;value&gt;107589&lt;/value&gt;
    &lt;text&gt;1 day 6 hours&lt;/text&gt;
   &lt;/duration&gt;
   &lt;distance&gt;
    &lt;value&gt;2851629&lt;/value&gt;
    &lt;text&gt;2,852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</si>
  <si>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&lt;destination_address&gt;18 Pinkie Rd, Pense, SK S0G 3W0, Canada&lt;/destination_address&gt;
 &lt;row&gt;
  &lt;element&gt;
   &lt;status&gt;OK&lt;/status&gt;
   &lt;duration&gt;
    &lt;value&gt;62908&lt;/value&gt;
    &lt;text&gt;17 hours 28 mins&lt;/text&gt;
   &lt;/duration&gt;
   &lt;distance&gt;
    &lt;value&gt;1722548&lt;/value&gt;
    &lt;text&gt;1,723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</si>
  <si>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&lt;destination_address&gt;18 Pinkie Rd, Pense, SK S0G 3W0, Canada&lt;/destination_address&gt;
 &lt;row&gt;
  &lt;element&gt;
   &lt;status&gt;OK&lt;/status&gt;
   &lt;duration&gt;
    &lt;value&gt;91340&lt;/value&gt;
    &lt;text&gt;1 day 1 hour&lt;/text&gt;
   &lt;/duration&gt;
   &lt;distance&gt;
    &lt;value&gt;2694415&lt;/value&gt;
    &lt;text&gt;2,694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</si>
  <si>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&lt;destination_address&gt;1101b Rue Joseph Parent, Beloeil, QC J3G 6S4, Canada&lt;/destination_address&gt;
 &lt;row&gt;
  &lt;element&gt;
   &lt;status&gt;OK&lt;/status&gt;
   &lt;duration&gt;
    &lt;value&gt;7324&lt;/value&gt;
    &lt;text&gt;2 hours 2 mins&lt;/text&gt;
   &lt;/duration&gt;
   &lt;distance&gt;
    &lt;value&gt;208306&lt;/value&gt;
    &lt;text&gt;208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</si>
  <si>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&lt;destination_address&gt;1101b Rue Joseph Parent, Beloeil, QC J3G 6S4, Canada&lt;/destination_address&gt;
 &lt;row&gt;
  &lt;element&gt;
   &lt;status&gt;OK&lt;/status&gt;
   &lt;duration&gt;
    &lt;value&gt;2715&lt;/value&gt;
    &lt;text&gt;45 mins&lt;/text&gt;
   &lt;/duration&gt;
   &lt;distance&gt;
    &lt;value&gt;40302&lt;/value&gt;
    &lt;text&gt;40.3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</si>
  <si>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&lt;destination_address&gt;1101b Rue Joseph Parent, Beloeil, QC J3G 6S4, Canada&lt;/destination_address&gt;
 &lt;row&gt;
  &lt;element&gt;
   &lt;status&gt;OK&lt;/status&gt;
   &lt;duration&gt;
    &lt;value&gt;162940&lt;/value&gt;
    &lt;text&gt;1 day 21 hours&lt;/text&gt;
   &lt;/duration&gt;
   &lt;distance&gt;
    &lt;value&gt;4588033&lt;/value&gt;
    &lt;text&gt;4,588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</si>
  <si>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&lt;destination_address&gt;1101b Rue Joseph Parent, Beloeil, QC J3G 6S4, Canada&lt;/destination_address&gt;
 &lt;row&gt;
  &lt;element&gt;
   &lt;status&gt;OK&lt;/status&gt;
   &lt;duration&gt;
    &lt;value&gt;20128&lt;/value&gt;
    &lt;text&gt;5 hours 35 mins&lt;/text&gt;
   &lt;/duration&gt;
   &lt;distance&gt;
    &lt;value&gt;590046&lt;/value&gt;
    &lt;text&gt;590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</si>
  <si>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&lt;destination_address&gt;1375 Rue de Louvain O, Montréal, QC H4N 1G6, Canada&lt;/destination_address&gt;
 &lt;row&gt;
  &lt;element&gt;
   &lt;status&gt;OK&lt;/status&gt;
   &lt;duration&gt;
    &lt;value&gt;9191&lt;/value&gt;
    &lt;text&gt;2 hours 33 mins&lt;/text&gt;
   &lt;/duration&gt;
   &lt;distance&gt;
    &lt;value&gt;248018&lt;/value&gt;
    &lt;text&gt;248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</si>
  <si>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&lt;destination_address&gt;1375 Rue de Louvain O, Montréal, QC H4N 1G6, Canada&lt;/destination_address&gt;
 &lt;row&gt;
  &lt;element&gt;
   &lt;status&gt;OK&lt;/status&gt;
   &lt;duration&gt;
    &lt;value&gt;1019&lt;/value&gt;
    &lt;text&gt;17 mins&lt;/text&gt;
   &lt;/duration&gt;
   &lt;distance&gt;
    &lt;value&gt;5666&lt;/value&gt;
    &lt;text&gt;5.7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</si>
  <si>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&lt;destination_address&gt;1375 Rue de Louvain O, Montréal, QC H4N 1G6, Canada&lt;/destination_address&gt;
 &lt;row&gt;
  &lt;element&gt;
   &lt;status&gt;OK&lt;/status&gt;
   &lt;duration&gt;
    &lt;value&gt;161285&lt;/value&gt;
    &lt;text&gt;1 day 21 hours&lt;/text&gt;
   &lt;/duration&gt;
   &lt;distance&gt;
    &lt;value&gt;4549979&lt;/value&gt;
    &lt;text&gt;4,550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</si>
  <si>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&lt;destination_address&gt;1375 Rue de Louvain O, Montréal, QC H4N 1G6, Canada&lt;/destination_address&gt;
 &lt;row&gt;
  &lt;element&gt;
   &lt;status&gt;OK&lt;/status&gt;
   &lt;duration&gt;
    &lt;value&gt;18657&lt;/value&gt;
    &lt;text&gt;5 hours 11 mins&lt;/text&gt;
   &lt;/duration&gt;
   &lt;distance&gt;
    &lt;value&gt;543341&lt;/value&gt;
    &lt;text&gt;543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</si>
  <si>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&lt;destination_address&gt;84 Easton Rd, Brantford, ON N3P 1J5, Canada&lt;/destination_address&gt;
 &lt;row&gt;
  &lt;element&gt;
   &lt;status&gt;OK&lt;/status&gt;
   &lt;duration&gt;
    &lt;value&gt;30514&lt;/value&gt;
    &lt;text&gt;8 hours 29 mins&lt;/text&gt;
   &lt;/duration&gt;
   &lt;distance&gt;
    &lt;value&gt;893513&lt;/value&gt;
    &lt;text&gt;894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</si>
  <si>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&lt;destination_address&gt;84 Easton Rd, Brantford, ON N3P 1J5, Canada&lt;/destination_address&gt;
 &lt;row&gt;
  &lt;element&gt;
   &lt;status&gt;OK&lt;/status&gt;
   &lt;duration&gt;
    &lt;value&gt;22410&lt;/value&gt;
    &lt;text&gt;6 hours 14 mins&lt;/text&gt;
   &lt;/duration&gt;
   &lt;distance&gt;
    &lt;value&gt;641493&lt;/value&gt;
    &lt;text&gt;641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</si>
  <si>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&lt;destination_address&gt;84 Easton Rd, Brantford, ON N3P 1J5, Canada&lt;/destination_address&gt;
 &lt;row&gt;
  &lt;element&gt;
   &lt;status&gt;OK&lt;/status&gt;
   &lt;duration&gt;
    &lt;value&gt;141045&lt;/value&gt;
    &lt;text&gt;1 day 15 hours&lt;/text&gt;
   &lt;/duration&gt;
   &lt;distance&gt;
    &lt;value&gt;4286307&lt;/value&gt;
    &lt;text&gt;4,286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</si>
  <si>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&lt;destination_address&gt;84 Easton Rd, Brantford, ON N3P 1J5, Canada&lt;/destination_address&gt;
 &lt;row&gt;
  &lt;element&gt;
   &lt;status&gt;OK&lt;/status&gt;
   &lt;duration&gt;
    &lt;value&gt;3747&lt;/value&gt;
    &lt;text&gt;1 hour 2 mins&lt;/text&gt;
   &lt;/duration&gt;
   &lt;distance&gt;
    &lt;value&gt;97995&lt;/value&gt;
    &lt;text&gt;98.0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</si>
  <si>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&lt;destination_address&gt;700 32e Avenue, Lachine, QC H8T 1Y5, Canada&lt;/destination_address&gt;
 &lt;row&gt;
  &lt;element&gt;
   &lt;status&gt;OK&lt;/status&gt;
   &lt;duration&gt;
    &lt;value&gt;9460&lt;/value&gt;
    &lt;text&gt;2 hours 38 mins&lt;/text&gt;
   &lt;/duration&gt;
   &lt;distance&gt;
    &lt;value&gt;260742&lt;/value&gt;
    &lt;text&gt;261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</si>
  <si>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&lt;destination_address&gt;700 32e Avenue, Lachine, QC H8T 1Y5, Canada&lt;/destination_address&gt;
 &lt;row&gt;
  &lt;element&gt;
   &lt;status&gt;OK&lt;/status&gt;
   &lt;duration&gt;
    &lt;value&gt;1705&lt;/value&gt;
    &lt;text&gt;28 mins&lt;/text&gt;
   &lt;/duration&gt;
   &lt;distance&gt;
    &lt;value&gt;17314&lt;/value&gt;
    &lt;text&gt;17.3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</si>
  <si>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&lt;destination_address&gt;700 32e Avenue, Lachine, QC H8T 1Y5, Canada&lt;/destination_address&gt;
 &lt;row&gt;
  &lt;element&gt;
   &lt;status&gt;OK&lt;/status&gt;
   &lt;duration&gt;
    &lt;value&gt;160945&lt;/value&gt;
    &lt;text&gt;1 day 21 hours&lt;/text&gt;
   &lt;/duration&gt;
   &lt;distance&gt;
    &lt;value&gt;4544873&lt;/value&gt;
    &lt;text&gt;4,545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</si>
  <si>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&lt;destination_address&gt;700 32e Avenue, Lachine, QC H8T 1Y5, Canada&lt;/destination_address&gt;
 &lt;row&gt;
  &lt;element&gt;
   &lt;status&gt;OK&lt;/status&gt;
   &lt;duration&gt;
    &lt;value&gt;18253&lt;/value&gt;
    &lt;text&gt;5 hours 4 mins&lt;/text&gt;
   &lt;/duration&gt;
   &lt;distance&gt;
    &lt;value&gt;529611&lt;/value&gt;
    &lt;text&gt;530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</si>
  <si>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&lt;destination_address&gt;6226 Danville Rd, Mississauga, ON L5T 2H7, Canada&lt;/destination_address&gt;
 &lt;row&gt;
  &lt;element&gt;
   &lt;status&gt;OK&lt;/status&gt;
   &lt;duration&gt;
    &lt;value&gt;27906&lt;/value&gt;
    &lt;text&gt;7 hours 45 mins&lt;/text&gt;
   &lt;/duration&gt;
   &lt;distance&gt;
    &lt;value&gt;813992&lt;/value&gt;
    &lt;text&gt;814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</si>
  <si>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&lt;destination_address&gt;6226 Danville Rd, Mississauga, ON L5T 2H7, Canada&lt;/destination_address&gt;
 &lt;row&gt;
  &lt;element&gt;
   &lt;status&gt;OK&lt;/status&gt;
   &lt;duration&gt;
    &lt;value&gt;19801&lt;/value&gt;
    &lt;text&gt;5 hours 30 mins&lt;/text&gt;
   &lt;/duration&gt;
   &lt;distance&gt;
    &lt;value&gt;561973&lt;/value&gt;
    &lt;text&gt;562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</si>
  <si>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&lt;destination_address&gt;6226 Danville Rd, Mississauga, ON L5T 2H7, Canada&lt;/destination_address&gt;
 &lt;row&gt;
  &lt;element&gt;
   &lt;status&gt;OK&lt;/status&gt;
   &lt;duration&gt;
    &lt;value&gt;143477&lt;/value&gt;
    &lt;text&gt;1 day 16 hours&lt;/text&gt;
   &lt;/duration&gt;
   &lt;distance&gt;
    &lt;value&gt;4355747&lt;/value&gt;
    &lt;text&gt;4,356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</si>
  <si>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&lt;destination_address&gt;6226 Danville Rd, Mississauga, ON L5T 2H7, Canada&lt;/destination_address&gt;
 &lt;row&gt;
  &lt;element&gt;
   &lt;status&gt;OK&lt;/status&gt;
   &lt;duration&gt;
    &lt;value&gt;1567&lt;/value&gt;
    &lt;text&gt;26 mins&lt;/text&gt;
   &lt;/duration&gt;
   &lt;distance&gt;
    &lt;value&gt;33376&lt;/value&gt;
    &lt;text&gt;33.4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</si>
  <si>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&lt;destination_address&gt;775 Bd Lebeau, Saint-Laurent, QC H4N 1S5, Canada&lt;/destination_address&gt;
 &lt;row&gt;
  &lt;element&gt;
   &lt;status&gt;OK&lt;/status&gt;
   &lt;duration&gt;
    &lt;value&gt;9140&lt;/value&gt;
    &lt;text&gt;2 hours 32 mins&lt;/text&gt;
   &lt;/duration&gt;
   &lt;distance&gt;
    &lt;value&gt;248997&lt;/value&gt;
    &lt;text&gt;249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</si>
  <si>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&lt;destination_address&gt;775 Bd Lebeau, Saint-Laurent, QC H4N 1S5, Canada&lt;/destination_address&gt;
 &lt;row&gt;
  &lt;element&gt;
   &lt;status&gt;OK&lt;/status&gt;
   &lt;duration&gt;
    &lt;value&gt;940&lt;/value&gt;
    &lt;text&gt;16 mins&lt;/text&gt;
   &lt;/duration&gt;
   &lt;distance&gt;
    &lt;value&gt;6759&lt;/value&gt;
    &lt;text&gt;6.8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</si>
  <si>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&lt;destination_address&gt;775 Bd Lebeau, Saint-Laurent, QC H4N 1S5, Canada&lt;/destination_address&gt;
 &lt;row&gt;
  &lt;element&gt;
   &lt;status&gt;OK&lt;/status&gt;
   &lt;duration&gt;
    &lt;value&gt;161278&lt;/value&gt;
    &lt;text&gt;1 day 21 hours&lt;/text&gt;
   &lt;/duration&gt;
   &lt;distance&gt;
    &lt;value&gt;4549728&lt;/value&gt;
    &lt;text&gt;4,550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</si>
  <si>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&lt;destination_address&gt;775 Bd Lebeau, Saint-Laurent, QC H4N 1S5, Canada&lt;/destination_address&gt;
 &lt;row&gt;
  &lt;element&gt;
   &lt;status&gt;OK&lt;/status&gt;
   &lt;duration&gt;
    &lt;value&gt;18650&lt;/value&gt;
    &lt;text&gt;5 hours 11 mins&lt;/text&gt;
   &lt;/duration&gt;
   &lt;distance&gt;
    &lt;value&gt;543090&lt;/value&gt;
    &lt;text&gt;543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</si>
  <si>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&lt;destination_address&gt;4660 Rue Hickmore, Saint-Laurent, QC H4T 1K2, Canada&lt;/destination_address&gt;
 &lt;row&gt;
  &lt;element&gt;
   &lt;status&gt;OK&lt;/status&gt;
   &lt;duration&gt;
    &lt;value&gt;9540&lt;/value&gt;
    &lt;text&gt;2 hours 39 mins&lt;/text&gt;
   &lt;/duration&gt;
   &lt;distance&gt;
    &lt;value&gt;262875&lt;/value&gt;
    &lt;text&gt;263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</si>
  <si>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&lt;destination_address&gt;4660 Rue Hickmore, Saint-Laurent, QC H4T 1K2, Canada&lt;/destination_address&gt;
 &lt;row&gt;
  &lt;element&gt;
   &lt;status&gt;OK&lt;/status&gt;
   &lt;duration&gt;
    &lt;value&gt;1403&lt;/value&gt;
    &lt;text&gt;23 mins&lt;/text&gt;
   &lt;/duration&gt;
   &lt;distance&gt;
    &lt;value&gt;10915&lt;/value&gt;
    &lt;text&gt;10.9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</si>
  <si>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&lt;destination_address&gt;4660 Rue Hickmore, Saint-Laurent, QC H4T 1K2, Canada&lt;/destination_address&gt;
 &lt;row&gt;
  &lt;element&gt;
   &lt;status&gt;OK&lt;/status&gt;
   &lt;duration&gt;
    &lt;value&gt;160971&lt;/value&gt;
    &lt;text&gt;1 day 21 hours&lt;/text&gt;
   &lt;/duration&gt;
   &lt;distance&gt;
    &lt;value&gt;4542592&lt;/value&gt;
    &lt;text&gt;4,543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</si>
  <si>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&lt;destination_address&gt;4660 Rue Hickmore, Saint-Laurent, QC H4T 1K2, Canada&lt;/destination_address&gt;
 &lt;row&gt;
  &lt;element&gt;
   &lt;status&gt;OK&lt;/status&gt;
   &lt;duration&gt;
    &lt;value&gt;18343&lt;/value&gt;
    &lt;text&gt;5 hours 6 mins&lt;/text&gt;
   &lt;/duration&gt;
   &lt;distance&gt;
    &lt;value&gt;535955&lt;/value&gt;
    &lt;text&gt;536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</si>
  <si>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&lt;destination_address&gt;350 S Pekin Rd, Woodland, WA 98674, USA&lt;/destination_address&gt;
 &lt;row&gt;
  &lt;element&gt;
   &lt;status&gt;OK&lt;/status&gt;
   &lt;duration&gt;
    &lt;value&gt;166789&lt;/value&gt;
    &lt;text&gt;1 day 22 hours&lt;/text&gt;
   &lt;/duration&gt;
   &lt;distance&gt;
    &lt;value&gt;4727153&lt;/value&gt;
    &lt;text&gt;4,727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</si>
  <si>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&lt;destination_address&gt;350 S Pekin Rd, Woodland, WA 98674, USA&lt;/destination_address&gt;
 &lt;row&gt;
  &lt;element&gt;
   &lt;status&gt;OK&lt;/status&gt;
   &lt;duration&gt;
    &lt;value&gt;158532&lt;/value&gt;
    &lt;text&gt;1 day 20 hours&lt;/text&gt;
   &lt;/duration&gt;
   &lt;distance&gt;
    &lt;value&gt;4484926&lt;/value&gt;
    &lt;text&gt;4,485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</si>
  <si>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&lt;destination_address&gt;350 S Pekin Rd, Woodland, WA 98674, USA&lt;/destination_address&gt;
 &lt;row&gt;
  &lt;element&gt;
   &lt;status&gt;OK&lt;/status&gt;
   &lt;duration&gt;
    &lt;value&gt;17505&lt;/value&gt;
    &lt;text&gt;4 hours 52 mins&lt;/text&gt;
   &lt;/duration&gt;
   &lt;distance&gt;
    &lt;value&gt;465057&lt;/value&gt;
    &lt;text&gt;465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</si>
  <si>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&lt;destination_address&gt;350 S Pekin Rd, Woodland, WA 98674, USA&lt;/destination_address&gt;
 &lt;row&gt;
  &lt;element&gt;
   &lt;status&gt;OK&lt;/status&gt;
   &lt;duration&gt;
    &lt;value&gt;141241&lt;/value&gt;
    &lt;text&gt;1 day 15 hours&lt;/text&gt;
   &lt;/duration&gt;
   &lt;distance&gt;
    &lt;value&gt;4307922&lt;/value&gt;
    &lt;text&gt;4,308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</si>
  <si>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&lt;destination_address&gt;2017 Georgetown Blvd, Chesapeake, VA 23325, USA&lt;/destination_address&gt;
 &lt;row&gt;
  &lt;element&gt;
   &lt;status&gt;OK&lt;/status&gt;
   &lt;duration&gt;
    &lt;value&gt;49691&lt;/value&gt;
    &lt;text&gt;13 hours 48 mins&lt;/text&gt;
   &lt;/duration&gt;
   &lt;distance&gt;
    &lt;value&gt;1390189&lt;/value&gt;
    &lt;text&gt;1,390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</si>
  <si>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&lt;destination_address&gt;2017 Georgetown Blvd, Chesapeake, VA 23325, USA&lt;/destination_address&gt;
 &lt;row&gt;
  &lt;element&gt;
   &lt;status&gt;OK&lt;/status&gt;
   &lt;duration&gt;
    &lt;value&gt;43011&lt;/value&gt;
    &lt;text&gt;11 hours 57 mins&lt;/text&gt;
   &lt;/duration&gt;
   &lt;distance&gt;
    &lt;value&gt;1170970&lt;/value&gt;
    &lt;text&gt;1,171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</si>
  <si>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&lt;destination_address&gt;2017 Georgetown Blvd, Chesapeake, VA 23325, USA&lt;/destination_address&gt;
 &lt;row&gt;
  &lt;element&gt;
   &lt;status&gt;OK&lt;/status&gt;
   &lt;duration&gt;
    &lt;value&gt;165327&lt;/value&gt;
    &lt;text&gt;1 day 22 hours&lt;/text&gt;
   &lt;/duration&gt;
   &lt;distance&gt;
    &lt;value&gt;4978382&lt;/value&gt;
    &lt;text&gt;4,978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</si>
  <si>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&lt;destination_address&gt;2017 Georgetown Blvd, Chesapeake, VA 23325, USA&lt;/destination_address&gt;
 &lt;row&gt;
  &lt;element&gt;
   &lt;status&gt;OK&lt;/status&gt;
   &lt;duration&gt;
    &lt;value&gt;40428&lt;/value&gt;
    &lt;text&gt;11 hours 14 mins&lt;/text&gt;
   &lt;/duration&gt;
   &lt;distance&gt;
    &lt;value&gt;1083687&lt;/value&gt;
    &lt;text&gt;1,084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</si>
  <si>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&lt;destination_address&gt;5061 Rue d'Amiens, Montréal-Nord, QC H1G 3G2, Canada&lt;/destination_address&gt;
 &lt;row&gt;
  &lt;element&gt;
   &lt;status&gt;OK&lt;/status&gt;
   &lt;duration&gt;
    &lt;value&gt;9080&lt;/value&gt;
    &lt;text&gt;2 hours 31 mins&lt;/text&gt;
   &lt;/duration&gt;
   &lt;distance&gt;
    &lt;value&gt;243283&lt;/value&gt;
    &lt;text&gt;243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</si>
  <si>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&lt;destination_address&gt;5061 Rue d'Amiens, Montréal-Nord, QC H1G 3G2, Canada&lt;/destination_address&gt;
 &lt;row&gt;
  &lt;element&gt;
   &lt;status&gt;OK&lt;/status&gt;
   &lt;duration&gt;
    &lt;value&gt;1688&lt;/value&gt;
    &lt;text&gt;28 mins&lt;/text&gt;
   &lt;/duration&gt;
   &lt;distance&gt;
    &lt;value&gt;16177&lt;/value&gt;
    &lt;text&gt;16.2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</si>
  <si>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&lt;destination_address&gt;5061 Rue d'Amiens, Montréal-Nord, QC H1G 3G2, Canada&lt;/destination_address&gt;
 &lt;row&gt;
  &lt;element&gt;
   &lt;status&gt;OK&lt;/status&gt;
   &lt;duration&gt;
    &lt;value&gt;161959&lt;/value&gt;
    &lt;text&gt;1 day 21 hours&lt;/text&gt;
   &lt;/duration&gt;
   &lt;distance&gt;
    &lt;value&gt;4559143&lt;/value&gt;
    &lt;text&gt;4,559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</si>
  <si>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&lt;destination_address&gt;5061 Rue d'Amiens, Montréal-Nord, QC H1G 3G2, Canada&lt;/destination_address&gt;
 &lt;row&gt;
  &lt;element&gt;
   &lt;status&gt;OK&lt;/status&gt;
   &lt;duration&gt;
    &lt;value&gt;19331&lt;/value&gt;
    &lt;text&gt;5 hours 22 mins&lt;/text&gt;
   &lt;/duration&gt;
   &lt;distance&gt;
    &lt;value&gt;552506&lt;/value&gt;
    &lt;text&gt;553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</si>
  <si>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&lt;destination_address&gt;1000 Rue Child, Coaticook, QC J1A 2S5, Canada&lt;/destination_address&gt;
 &lt;row&gt;
  &lt;element&gt;
   &lt;status&gt;OK&lt;/status&gt;
   &lt;duration&gt;
    &lt;value&gt;9185&lt;/value&gt;
    &lt;text&gt;2 hours 33 mins&lt;/text&gt;
   &lt;/duration&gt;
   &lt;distance&gt;
    &lt;value&gt;257374&lt;/value&gt;
    &lt;text&gt;257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</si>
  <si>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&lt;destination_address&gt;1000 Rue Child, Coaticook, QC J1A 2S5, Canada&lt;/destination_address&gt;
 &lt;row&gt;
  &lt;element&gt;
   &lt;status&gt;OK&lt;/status&gt;
   &lt;duration&gt;
    &lt;value&gt;7585&lt;/value&gt;
    &lt;text&gt;2 hours 6 mins&lt;/text&gt;
   &lt;/duration&gt;
   &lt;distance&gt;
    &lt;value&gt;174813&lt;/value&gt;
    &lt;text&gt;175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</si>
  <si>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&lt;destination_address&gt;1000 Rue Child, Coaticook, QC J1A 2S5, Canada&lt;/destination_address&gt;
 &lt;row&gt;
  &lt;element&gt;
   &lt;status&gt;OK&lt;/status&gt;
   &lt;duration&gt;
    &lt;value&gt;167532&lt;/value&gt;
    &lt;text&gt;1 day 23 hours&lt;/text&gt;
   &lt;/duration&gt;
   &lt;distance&gt;
    &lt;value&gt;4716670&lt;/value&gt;
    &lt;text&gt;4,717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</si>
  <si>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&lt;destination_address&gt;1000 Rue Child, Coaticook, QC J1A 2S5, Canada&lt;/destination_address&gt;
 &lt;row&gt;
  &lt;element&gt;
   &lt;status&gt;OK&lt;/status&gt;
   &lt;duration&gt;
    &lt;value&gt;24645&lt;/value&gt;
    &lt;text&gt;6 hours 51 mins&lt;/text&gt;
   &lt;/duration&gt;
   &lt;distance&gt;
    &lt;value&gt;711018&lt;/value&gt;
    &lt;text&gt;711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</si>
  <si>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&lt;destination_address&gt;540 20e Avenue, Lachine, QC H8S 3T1, Canada&lt;/destination_address&gt;
 &lt;row&gt;
  &lt;element&gt;
   &lt;status&gt;OK&lt;/status&gt;
   &lt;duration&gt;
    &lt;value&gt;9648&lt;/value&gt;
    &lt;text&gt;2 hours 41 mins&lt;/text&gt;
   &lt;/duration&gt;
   &lt;distance&gt;
    &lt;value&gt;261887&lt;/value&gt;
    &lt;text&gt;262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</si>
  <si>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&lt;destination_address&gt;540 20e Avenue, Lachine, QC H8S 3T1, Canada&lt;/destination_address&gt;
 &lt;row&gt;
  &lt;element&gt;
   &lt;status&gt;OK&lt;/status&gt;
   &lt;duration&gt;
    &lt;value&gt;1893&lt;/value&gt;
    &lt;text&gt;32 mins&lt;/text&gt;
   &lt;/duration&gt;
   &lt;distance&gt;
    &lt;value&gt;18459&lt;/value&gt;
    &lt;text&gt;18.5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</si>
  <si>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&lt;destination_address&gt;540 20e Avenue, Lachine, QC H8S 3T1, Canada&lt;/destination_address&gt;
 &lt;row&gt;
  &lt;element&gt;
   &lt;status&gt;OK&lt;/status&gt;
   &lt;duration&gt;
    &lt;value&gt;161133&lt;/value&gt;
    &lt;text&gt;1 day 21 hours&lt;/text&gt;
   &lt;/duration&gt;
   &lt;distance&gt;
    &lt;value&gt;4546018&lt;/value&gt;
    &lt;text&gt;4,546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</si>
  <si>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&lt;destination_address&gt;540 20e Avenue, Lachine, QC H8S 3T1, Canada&lt;/destination_address&gt;
 &lt;row&gt;
  &lt;element&gt;
   &lt;status&gt;OK&lt;/status&gt;
   &lt;duration&gt;
    &lt;value&gt;18441&lt;/value&gt;
    &lt;text&gt;5 hours 7 mins&lt;/text&gt;
   &lt;/duration&gt;
   &lt;distance&gt;
    &lt;value&gt;530756&lt;/value&gt;
    &lt;text&gt;531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</si>
  <si>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&lt;destination_address&gt;290 Rue Laurier, Saint-Apollinaire, QC G0S 2E0, Canada&lt;/destination_address&gt;
 &lt;row&gt;
  &lt;element&gt;
   &lt;status&gt;OK&lt;/status&gt;
   &lt;duration&gt;
    &lt;value&gt;1232&lt;/value&gt;
    &lt;text&gt;21 mins&lt;/text&gt;
   &lt;/duration&gt;
   &lt;distance&gt;
    &lt;value&gt;29159&lt;/value&gt;
    &lt;text&gt;29.2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</si>
  <si>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&lt;destination_address&gt;290 Rue Laurier, Saint-Apollinaire, QC G0S 2E0, Canada&lt;/destination_address&gt;
 &lt;row&gt;
  &lt;element&gt;
   &lt;status&gt;OK&lt;/status&gt;
   &lt;duration&gt;
    &lt;value&gt;8827&lt;/value&gt;
    &lt;text&gt;2 hours 27 mins&lt;/text&gt;
   &lt;/duration&gt;
   &lt;distance&gt;
    &lt;value&gt;220113&lt;/value&gt;
    &lt;text&gt;220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</si>
  <si>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&lt;destination_address&gt;290 Rue Laurier, Saint-Apollinaire, QC G0S 2E0, Canada&lt;/destination_address&gt;
 &lt;row&gt;
  &lt;element&gt;
   &lt;status&gt;OK&lt;/status&gt;
   &lt;duration&gt;
    &lt;value&gt;169052&lt;/value&gt;
    &lt;text&gt;1 day 23 hours&lt;/text&gt;
   &lt;/duration&gt;
   &lt;distance&gt;
    &lt;value&gt;4767844&lt;/value&gt;
    &lt;text&gt;4,768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</si>
  <si>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&lt;destination_address&gt;290 Rue Laurier, Saint-Apollinaire, QC G0S 2E0, Canada&lt;/destination_address&gt;
 &lt;row&gt;
  &lt;element&gt;
   &lt;status&gt;OK&lt;/status&gt;
   &lt;duration&gt;
    &lt;value&gt;26240&lt;/value&gt;
    &lt;text&gt;7 hours 17 mins&lt;/text&gt;
   &lt;/duration&gt;
   &lt;distance&gt;
    &lt;value&gt;769857&lt;/value&gt;
    &lt;text&gt;770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</si>
  <si>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&lt;destination_address&gt;990 Rue Bergar, Laval, QC H7L 5A1, Canada&lt;/destination_address&gt;
 &lt;row&gt;
  &lt;element&gt;
   &lt;status&gt;OK&lt;/status&gt;
   &lt;duration&gt;
    &lt;value&gt;9233&lt;/value&gt;
    &lt;text&gt;2 hours 34 mins&lt;/text&gt;
   &lt;/duration&gt;
   &lt;distance&gt;
    &lt;value&gt;256592&lt;/value&gt;
    &lt;text&gt;257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</si>
  <si>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&lt;destination_address&gt;990 Rue Bergar, Laval, QC H7L 5A1, Canada&lt;/destination_address&gt;
 &lt;row&gt;
  &lt;element&gt;
   &lt;status&gt;OK&lt;/status&gt;
   &lt;duration&gt;
    &lt;value&gt;1416&lt;/value&gt;
    &lt;text&gt;24 mins&lt;/text&gt;
   &lt;/duration&gt;
   &lt;distance&gt;
    &lt;value&gt;18004&lt;/value&gt;
    &lt;text&gt;18.0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</si>
  <si>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&lt;destination_address&gt;990 Rue Bergar, Laval, QC H7L 5A1, Canada&lt;/destination_address&gt;
 &lt;row&gt;
  &lt;element&gt;
   &lt;status&gt;OK&lt;/status&gt;
   &lt;duration&gt;
    &lt;value&gt;161450&lt;/value&gt;
    &lt;text&gt;1 day 21 hours&lt;/text&gt;
   &lt;/duration&gt;
   &lt;distance&gt;
    &lt;value&gt;4555925&lt;/value&gt;
    &lt;text&gt;4,556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</si>
  <si>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&lt;destination_address&gt;990 Rue Bergar, Laval, QC H7L 5A1, Canada&lt;/destination_address&gt;
 &lt;row&gt;
  &lt;element&gt;
   &lt;status&gt;OK&lt;/status&gt;
   &lt;duration&gt;
    &lt;value&gt;18822&lt;/value&gt;
    &lt;text&gt;5 hours 14 mins&lt;/text&gt;
   &lt;/duration&gt;
   &lt;distance&gt;
    &lt;value&gt;549287&lt;/value&gt;
    &lt;text&gt;549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</si>
  <si>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&lt;destination_address&gt;235 Chemin de St Robert, Saint-Robert, QC J0G 1S0, Canada&lt;/destination_address&gt;
 &lt;row&gt;
  &lt;element&gt;
   &lt;status&gt;OK&lt;/status&gt;
   &lt;duration&gt;
    &lt;value&gt;7383&lt;/value&gt;
    &lt;text&gt;2 hours 3 mins&lt;/text&gt;
   &lt;/duration&gt;
   &lt;distance&gt;
    &lt;value&gt;197815&lt;/value&gt;
    &lt;text&gt;198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</si>
  <si>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&lt;destination_address&gt;235 Chemin de St Robert, Saint-Robert, QC J0G 1S0, Canada&lt;/destination_address&gt;
 &lt;row&gt;
  &lt;element&gt;
   &lt;status&gt;OK&lt;/status&gt;
   &lt;duration&gt;
    &lt;value&gt;5007&lt;/value&gt;
    &lt;text&gt;1 hour 23 mins&lt;/text&gt;
   &lt;/duration&gt;
   &lt;distance&gt;
    &lt;value&gt;102671&lt;/value&gt;
    &lt;text&gt;103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</si>
  <si>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&lt;destination_address&gt;235 Chemin de St Robert, Saint-Robert, QC J0G 1S0, Canada&lt;/destination_address&gt;
 &lt;row&gt;
  &lt;element&gt;
   &lt;status&gt;OK&lt;/status&gt;
   &lt;duration&gt;
    &lt;value&gt;165232&lt;/value&gt;
    &lt;text&gt;1 day 22 hours&lt;/text&gt;
   &lt;/duration&gt;
   &lt;distance&gt;
    &lt;value&gt;4650402&lt;/value&gt;
    &lt;text&gt;4,650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</si>
  <si>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&lt;destination_address&gt;235 Chemin de St Robert, Saint-Robert, QC J0G 1S0, Canada&lt;/destination_address&gt;
 &lt;row&gt;
  &lt;element&gt;
   &lt;status&gt;OK&lt;/status&gt;
   &lt;duration&gt;
    &lt;value&gt;22356&lt;/value&gt;
    &lt;text&gt;6 hours 13 mins&lt;/text&gt;
   &lt;/duration&gt;
   &lt;distance&gt;
    &lt;value&gt;651958&lt;/value&gt;
    &lt;text&gt;652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</si>
  <si>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&lt;destination_address&gt;825 Rue Deslauriers, Saint-Laurent, QC H4N 1X3, Canada&lt;/destination_address&gt;
 &lt;row&gt;
  &lt;element&gt;
   &lt;status&gt;OK&lt;/status&gt;
   &lt;duration&gt;
    &lt;value&gt;9140&lt;/value&gt;
    &lt;text&gt;2 hours 32 mins&lt;/text&gt;
   &lt;/duration&gt;
   &lt;distance&gt;
    &lt;value&gt;249026&lt;/value&gt;
    &lt;text&gt;249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</si>
  <si>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&lt;destination_address&gt;825 Rue Deslauriers, Saint-Laurent, QC H4N 1X3, Canada&lt;/destination_address&gt;
 &lt;row&gt;
  &lt;element&gt;
   &lt;status&gt;OK&lt;/status&gt;
   &lt;duration&gt;
    &lt;value&gt;939&lt;/value&gt;
    &lt;text&gt;16 mins&lt;/text&gt;
   &lt;/duration&gt;
   &lt;distance&gt;
    &lt;value&gt;6788&lt;/value&gt;
    &lt;text&gt;6.8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</si>
  <si>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&lt;destination_address&gt;825 Rue Deslauriers, Saint-Laurent, QC H4N 1X3, Canada&lt;/destination_address&gt;
 &lt;row&gt;
  &lt;element&gt;
   &lt;status&gt;OK&lt;/status&gt;
   &lt;duration&gt;
    &lt;value&gt;161277&lt;/value&gt;
    &lt;text&gt;1 day 21 hours&lt;/text&gt;
   &lt;/duration&gt;
   &lt;distance&gt;
    &lt;value&gt;4549757&lt;/value&gt;
    &lt;text&gt;4,550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</si>
  <si>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&lt;destination_address&gt;825 Rue Deslauriers, Saint-Laurent, QC H4N 1X3, Canada&lt;/destination_address&gt;
 &lt;row&gt;
  &lt;element&gt;
   &lt;status&gt;OK&lt;/status&gt;
   &lt;duration&gt;
    &lt;value&gt;18650&lt;/value&gt;
    &lt;text&gt;5 hours 11 mins&lt;/text&gt;
   &lt;/duration&gt;
   &lt;distance&gt;
    &lt;value&gt;543119&lt;/value&gt;
    &lt;text&gt;543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</si>
  <si>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&lt;destination_address&gt;478 Rue Notre Dame, Saint-Rémi, QC J0L 2L0, Canada&lt;/destination_address&gt;
 &lt;row&gt;
  &lt;element&gt;
   &lt;status&gt;OK&lt;/status&gt;
   &lt;duration&gt;
    &lt;value&gt;9714&lt;/value&gt;
    &lt;text&gt;2 hours 42 mins&lt;/text&gt;
   &lt;/duration&gt;
   &lt;distance&gt;
    &lt;value&gt;271242&lt;/value&gt;
    &lt;text&gt;271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</si>
  <si>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&lt;destination_address&gt;478 Rue Notre Dame, Saint-Rémi, QC J0L 2L0, Canada&lt;/destination_address&gt;
 &lt;row&gt;
  &lt;element&gt;
   &lt;status&gt;OK&lt;/status&gt;
   &lt;duration&gt;
    &lt;value&gt;2588&lt;/value&gt;
    &lt;text&gt;43 mins&lt;/text&gt;
   &lt;/duration&gt;
   &lt;distance&gt;
    &lt;value&gt;35259&lt;/value&gt;
    &lt;text&gt;35.3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</si>
  <si>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&lt;destination_address&gt;478 Rue Notre Dame, Saint-Rémi, QC J0L 2L0, Canada&lt;/destination_address&gt;
 &lt;row&gt;
  &lt;element&gt;
   &lt;status&gt;OK&lt;/status&gt;
   &lt;duration&gt;
    &lt;value&gt;161640&lt;/value&gt;
    &lt;text&gt;1 day 21 hours&lt;/text&gt;
   &lt;/duration&gt;
   &lt;distance&gt;
    &lt;value&gt;4563946&lt;/value&gt;
    &lt;text&gt;4,564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</si>
  <si>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&lt;destination_address&gt;478 Rue Notre Dame, Saint-Rémi, QC J0L 2L0, Canada&lt;/destination_address&gt;
 &lt;row&gt;
  &lt;element&gt;
   &lt;status&gt;OK&lt;/status&gt;
   &lt;duration&gt;
    &lt;value&gt;18648&lt;/value&gt;
    &lt;text&gt;5 hours 11 mins&lt;/text&gt;
   &lt;/duration&gt;
   &lt;distance&gt;
    &lt;value&gt;547113&lt;/value&gt;
    &lt;text&gt;547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</si>
  <si>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&lt;destination_address&gt;150 Rue Brunet, Mont-Saint-Hilaire, QC J3G 4S6, Canada&lt;/destination_address&gt;
 &lt;row&gt;
  &lt;element&gt;
   &lt;status&gt;OK&lt;/status&gt;
   &lt;duration&gt;
    &lt;value&gt;7301&lt;/value&gt;
    &lt;text&gt;2 hours 2 mins&lt;/text&gt;
   &lt;/duration&gt;
   &lt;distance&gt;
    &lt;value&gt;206746&lt;/value&gt;
    &lt;text&gt;207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</si>
  <si>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&lt;destination_address&gt;150 Rue Brunet, Mont-Saint-Hilaire, QC J3G 4S6, Canada&lt;/destination_address&gt;
 &lt;row&gt;
  &lt;element&gt;
   &lt;status&gt;OK&lt;/status&gt;
   &lt;duration&gt;
    &lt;value&gt;2671&lt;/value&gt;
    &lt;text&gt;45 mins&lt;/text&gt;
   &lt;/duration&gt;
   &lt;distance&gt;
    &lt;value&gt;41739&lt;/value&gt;
    &lt;text&gt;41.7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</si>
  <si>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&lt;destination_address&gt;150 Rue Brunet, Mont-Saint-Hilaire, QC J3G 4S6, Canada&lt;/destination_address&gt;
 &lt;row&gt;
  &lt;element&gt;
   &lt;status&gt;OK&lt;/status&gt;
   &lt;duration&gt;
    &lt;value&gt;162896&lt;/value&gt;
    &lt;text&gt;1 day 21 hours&lt;/text&gt;
   &lt;/duration&gt;
   &lt;distance&gt;
    &lt;value&gt;4589470&lt;/value&gt;
    &lt;text&gt;4,589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</si>
  <si>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&lt;destination_address&gt;150 Rue Brunet, Mont-Saint-Hilaire, QC J3G 4S6, Canada&lt;/destination_address&gt;
 &lt;row&gt;
  &lt;element&gt;
   &lt;status&gt;OK&lt;/status&gt;
   &lt;duration&gt;
    &lt;value&gt;20084&lt;/value&gt;
    &lt;text&gt;5 hours 35 mins&lt;/text&gt;
   &lt;/duration&gt;
   &lt;distance&gt;
    &lt;value&gt;591484&lt;/value&gt;
    &lt;text&gt;591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</si>
  <si>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&lt;destination_address&gt;780 Rue Nobel, Saint-Jérôme, QC J7Z 7A3, Canada&lt;/destination_address&gt;
 &lt;row&gt;
  &lt;element&gt;
   &lt;status&gt;OK&lt;/status&gt;
   &lt;duration&gt;
    &lt;value&gt;9889&lt;/value&gt;
    &lt;text&gt;2 hours 45 mins&lt;/text&gt;
   &lt;/duration&gt;
   &lt;distance&gt;
    &lt;value&gt;284536&lt;/value&gt;
    &lt;text&gt;285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</si>
  <si>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&lt;destination_address&gt;780 Rue Nobel, Saint-Jérôme, QC J7Z 7A3, Canada&lt;/destination_address&gt;
 &lt;row&gt;
  &lt;element&gt;
   &lt;status&gt;OK&lt;/status&gt;
   &lt;duration&gt;
    &lt;value&gt;2280&lt;/value&gt;
    &lt;text&gt;38 mins&lt;/text&gt;
   &lt;/duration&gt;
   &lt;distance&gt;
    &lt;value&gt;45375&lt;/value&gt;
    &lt;text&gt;45.4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</si>
  <si>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&lt;destination_address&gt;780 Rue Nobel, Saint-Jérôme, QC J7Z 7A3, Canada&lt;/destination_address&gt;
 &lt;row&gt;
  &lt;element&gt;
   &lt;status&gt;OK&lt;/status&gt;
   &lt;duration&gt;
    &lt;value&gt;160925&lt;/value&gt;
    &lt;text&gt;1 day 21 hours&lt;/text&gt;
   &lt;/duration&gt;
   &lt;distance&gt;
    &lt;value&gt;4525402&lt;/value&gt;
    &lt;text&gt;4,525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</si>
  <si>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&lt;destination_address&gt;780 Rue Nobel, Saint-Jérôme, QC J7Z 7A3, Canada&lt;/destination_address&gt;
 &lt;row&gt;
  &lt;element&gt;
   &lt;status&gt;OK&lt;/status&gt;
   &lt;duration&gt;
    &lt;value&gt;19546&lt;/value&gt;
    &lt;text&gt;5 hours 26 mins&lt;/text&gt;
   &lt;/duration&gt;
   &lt;distance&gt;
    &lt;value&gt;572694&lt;/value&gt;
    &lt;text&gt;573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</si>
  <si>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&lt;destination_address&gt;2828 Bd Laurier, Québec, QC G1V 0B3, Canada&lt;/destination_address&gt;
 &lt;row&gt;
  &lt;element&gt;
   &lt;status&gt;OK&lt;/status&gt;
   &lt;duration&gt;
    &lt;value&gt;0&lt;/value&gt;
    &lt;text&gt;1 min&lt;/text&gt;
   &lt;/duration&gt;
   &lt;distance&gt;
    &lt;value&gt;0&lt;/value&gt;
    &lt;text&gt;1 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</si>
  <si>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&lt;destination_address&gt;2828 Bd Laurier, Québec, QC G1V 0B3, Canada&lt;/destination_address&gt;
 &lt;row&gt;
  &lt;element&gt;
   &lt;status&gt;OK&lt;/status&gt;
   &lt;duration&gt;
    &lt;value&gt;9823&lt;/value&gt;
    &lt;text&gt;2 hours 44 mins&lt;/text&gt;
   &lt;/duration&gt;
   &lt;distance&gt;
    &lt;value&gt;246276&lt;/value&gt;
    &lt;text&gt;246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</si>
  <si>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&lt;destination_address&gt;2828 Bd Laurier, Québec, QC G1V 0B3, Canada&lt;/destination_address&gt;
 &lt;row&gt;
  &lt;element&gt;
   &lt;status&gt;OK&lt;/status&gt;
   &lt;duration&gt;
    &lt;value&gt;170048&lt;/value&gt;
    &lt;text&gt;1 day 23 hours&lt;/text&gt;
   &lt;/duration&gt;
   &lt;distance&gt;
    &lt;value&gt;4794007&lt;/value&gt;
    &lt;text&gt;4,794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</si>
  <si>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&lt;destination_address&gt;2828 Bd Laurier, Québec, QC G1V 0B3, Canada&lt;/destination_address&gt;
 &lt;row&gt;
  &lt;element&gt;
   &lt;status&gt;OK&lt;/status&gt;
   &lt;duration&gt;
    &lt;value&gt;27236&lt;/value&gt;
    &lt;text&gt;7 hours 34 mins&lt;/text&gt;
   &lt;/duration&gt;
   &lt;distance&gt;
    &lt;value&gt;796021&lt;/value&gt;
    &lt;text&gt;796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</si>
  <si>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&lt;destination_address&gt;797 Av Champagneur, Outremont, QC H2V 3P9, Canada&lt;/destination_address&gt;
 &lt;row&gt;
  &lt;element&gt;
   &lt;status&gt;OK&lt;/status&gt;
   &lt;duration&gt;
    &lt;value&gt;9645&lt;/value&gt;
    &lt;text&gt;2 hours 41 mins&lt;/text&gt;
   &lt;/duration&gt;
   &lt;distance&gt;
    &lt;value&gt;250778&lt;/value&gt;
    &lt;text&gt;251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</si>
  <si>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&lt;destination_address&gt;797 Av Champagneur, Outremont, QC H2V 3P9, Canada&lt;/destination_address&gt;
 &lt;row&gt;
  &lt;element&gt;
   &lt;status&gt;OK&lt;/status&gt;
   &lt;duration&gt;
    &lt;value&gt;0&lt;/value&gt;
    &lt;text&gt;1 min&lt;/text&gt;
   &lt;/duration&gt;
   &lt;distance&gt;
    &lt;value&gt;0&lt;/value&gt;
    &lt;text&gt;1 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</si>
  <si>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&lt;destination_address&gt;797 Av Champagneur, Outremont, QC H2V 3P9, Canada&lt;/destination_address&gt;
 &lt;row&gt;
  &lt;element&gt;
   &lt;status&gt;OK&lt;/status&gt;
   &lt;duration&gt;
    &lt;value&gt;161555&lt;/value&gt;
    &lt;text&gt;1 day 21 hours&lt;/text&gt;
   &lt;/duration&gt;
   &lt;distance&gt;
    &lt;value&gt;4550142&lt;/value&gt;
    &lt;text&gt;4,550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</si>
  <si>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&lt;destination_address&gt;797 Av Champagneur, Outremont, QC H2V 3P9, Canada&lt;/destination_address&gt;
 &lt;row&gt;
  &lt;element&gt;
   &lt;status&gt;OK&lt;/status&gt;
   &lt;duration&gt;
    &lt;value&gt;18927&lt;/value&gt;
    &lt;text&gt;5 hours 15 mins&lt;/text&gt;
   &lt;/duration&gt;
   &lt;distance&gt;
    &lt;value&gt;543504&lt;/value&gt;
    &lt;text&gt;544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</si>
  <si>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&lt;destination_address&gt;1500-885 W Georgia St, Vancouver, BC V6C 3E8, Canada&lt;/destination_address&gt;
 &lt;row&gt;
  &lt;element&gt;
   &lt;status&gt;OK&lt;/status&gt;
   &lt;duration&gt;
    &lt;value&gt;169765&lt;/value&gt;
    &lt;text&gt;1 day 23 hours&lt;/text&gt;
   &lt;/duration&gt;
   &lt;distance&gt;
    &lt;value&gt;4793125&lt;/value&gt;
    &lt;text&gt;4,793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</si>
  <si>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&lt;destination_address&gt;1500-885 W Georgia St, Vancouver, BC V6C 3E8, Canada&lt;/destination_address&gt;
 &lt;row&gt;
  &lt;element&gt;
   &lt;status&gt;OK&lt;/status&gt;
   &lt;duration&gt;
    &lt;value&gt;161508&lt;/value&gt;
    &lt;text&gt;1 day 21 hours&lt;/text&gt;
   &lt;/duration&gt;
   &lt;distance&gt;
    &lt;value&gt;4550898&lt;/value&gt;
    &lt;text&gt;4,551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</si>
  <si>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&lt;destination_address&gt;1500-885 W Georgia St, Vancouver, BC V6C 3E8, Canada&lt;/destination_address&gt;
 &lt;row&gt;
  &lt;element&gt;
   &lt;status&gt;OK&lt;/status&gt;
   &lt;duration&gt;
    &lt;value&gt;0&lt;/value&gt;
    &lt;text&gt;1 min&lt;/text&gt;
   &lt;/duration&gt;
   &lt;distance&gt;
    &lt;value&gt;0&lt;/value&gt;
    &lt;text&gt;1 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</si>
  <si>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&lt;destination_address&gt;1500-885 W Georgia St, Vancouver, BC V6C 3E8, Canada&lt;/destination_address&gt;
 &lt;row&gt;
  &lt;element&gt;
   &lt;status&gt;OK&lt;/status&gt;
   &lt;duration&gt;
    &lt;value&gt;144218&lt;/value&gt;
    &lt;text&gt;1 day 16 hours&lt;/text&gt;
   &lt;/duration&gt;
   &lt;distance&gt;
    &lt;value&gt;4373894&lt;/value&gt;
    &lt;text&gt;4,374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</si>
  <si>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&lt;origin_address&gt;2828 Bd Laurier, Québec, QC G1V 0C1, Canada&lt;/origin_address&gt;
 &lt;destination_address&gt;2500-88 Queens Quay W, Toronto, ON M5J 0B8, Canada&lt;/destination_address&gt;
 &lt;row&gt;
  &lt;element&gt;
   &lt;status&gt;OK&lt;/status&gt;
   &lt;duration&gt;
    &lt;value&gt;27440&lt;/value&gt;
    &lt;text&gt;7 hours 37 mins&lt;/text&gt;
   &lt;/duration&gt;
   &lt;distance&gt;
    &lt;value&gt;797110&lt;/value&gt;
    &lt;text&gt;797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</si>
  <si>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&lt;origin_address&gt;797 Av Champagneur, Outremont, QC H2V 3P9, Canada&lt;/origin_address&gt;
 &lt;destination_address&gt;2500-88 Queens Quay W, Toronto, ON M5J 0B8, Canada&lt;/destination_address&gt;
 &lt;row&gt;
  &lt;element&gt;
   &lt;status&gt;OK&lt;/status&gt;
   &lt;duration&gt;
    &lt;value&gt;19335&lt;/value&gt;
    &lt;text&gt;5 hours 22 mins&lt;/text&gt;
   &lt;/duration&gt;
   &lt;distance&gt;
    &lt;value&gt;545090&lt;/value&gt;
    &lt;text&gt;545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</si>
  <si>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&lt;origin_address&gt;1500-885 W Georgia St, Vancouver, BC V6C 3E8, Canada&lt;/origin_address&gt;
 &lt;destination_address&gt;2500-88 Queens Quay W, Toronto, ON M5J 0B8, Canada&lt;/destination_address&gt;
 &lt;row&gt;
  &lt;element&gt;
   &lt;status&gt;OK&lt;/status&gt;
   &lt;duration&gt;
    &lt;value&gt;144451&lt;/value&gt;
    &lt;text&gt;1 day 16 hours&lt;/text&gt;
   &lt;/duration&gt;
   &lt;distance&gt;
    &lt;value&gt;4381317&lt;/value&gt;
    &lt;text&gt;4,381 km&lt;/text&gt;
   &lt;/distance&gt;
  &lt;/element&gt;
 &lt;/row&gt;
&lt;/DistanceMatrixResponse&gt;
</t>
  </si>
  <si>
    <t xml:space="preserve">&lt;?xml version="1.0" encoding="UTF-8"?&gt;
&lt;DistanceMatrixResponse&gt;
 &lt;status&gt;OK&lt;/status&gt;
 &lt;origin_address&gt;2500-88 Queens Quay W, Toronto, ON M5J 0B8, Canada&lt;/origin_address&gt;
 &lt;destination_address&gt;2500-88 Queens Quay W, Toronto, ON M5J 0B8, Canada&lt;/destination_address&gt;
 &lt;row&gt;
  &lt;element&gt;
   &lt;status&gt;OK&lt;/status&gt;
   &lt;duration&gt;
    &lt;value&gt;0&lt;/value&gt;
    &lt;text&gt;1 min&lt;/text&gt;
   &lt;/duration&gt;
   &lt;distance&gt;
    &lt;value&gt;0&lt;/value&gt;
    &lt;text&gt;1 m&lt;/text&gt;
   &lt;/distance&gt;
  &lt;/element&gt;
 &lt;/row&gt;
&lt;/DistanceMatrixResponse&gt;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</si>
</sst>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h&quot; hr &quot;mm&quot; min&quot;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1E1E1E"/>
      <name val="Arial"/>
      <family val="2"/>
    </font>
    <font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IDFont+F1"/>
    </font>
    <font>
      <sz val="12"/>
      <color rgb="FF355460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8" fontId="0" fillId="0" borderId="0" xfId="0" applyNumberFormat="1" applyAlignment="1">
      <alignment horizontal="center" vertical="top"/>
    </xf>
    <xf numFmtId="0" fontId="19" fillId="0" borderId="0" xfId="42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center" vertical="top"/>
    </xf>
    <xf numFmtId="8" fontId="20" fillId="0" borderId="10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8" fontId="0" fillId="0" borderId="0" xfId="0" applyNumberFormat="1" applyAlignment="1">
      <alignment horizontal="center" vertical="center"/>
    </xf>
    <xf numFmtId="0" fontId="19" fillId="0" borderId="0" xfId="42" applyAlignment="1">
      <alignment vertical="center"/>
    </xf>
    <xf numFmtId="0" fontId="0" fillId="0" borderId="0" xfId="0" applyAlignment="1">
      <alignment vertical="center" wrapText="1"/>
    </xf>
    <xf numFmtId="15" fontId="0" fillId="33" borderId="10" xfId="0" applyNumberFormat="1" applyFill="1" applyBorder="1" applyAlignment="1">
      <alignment vertical="center"/>
    </xf>
    <xf numFmtId="15" fontId="0" fillId="0" borderId="10" xfId="0" applyNumberFormat="1" applyBorder="1" applyAlignment="1">
      <alignment vertical="center"/>
    </xf>
    <xf numFmtId="0" fontId="21" fillId="0" borderId="0" xfId="0" applyFont="1"/>
    <xf numFmtId="0" fontId="19" fillId="0" borderId="0" xfId="42"/>
    <xf numFmtId="0" fontId="22" fillId="0" borderId="0" xfId="42" applyFont="1" applyFill="1"/>
    <xf numFmtId="0" fontId="24" fillId="0" borderId="0" xfId="0" applyFont="1"/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1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14" fontId="0" fillId="0" borderId="0" xfId="0" applyNumberFormat="1" applyAlignment="1">
      <alignment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vertical="top"/>
    </xf>
    <xf numFmtId="0" fontId="22" fillId="0" borderId="0" xfId="42" applyFont="1" applyFill="1" applyAlignment="1">
      <alignment vertical="top"/>
    </xf>
    <xf numFmtId="0" fontId="21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5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4" fontId="0" fillId="33" borderId="10" xfId="0" applyNumberFormat="1" applyFill="1" applyBorder="1" applyAlignment="1">
      <alignment vertical="top"/>
    </xf>
    <xf numFmtId="15" fontId="0" fillId="0" borderId="10" xfId="0" applyNumberFormat="1" applyBorder="1" applyAlignment="1">
      <alignment vertical="top"/>
    </xf>
    <xf numFmtId="16" fontId="0" fillId="0" borderId="0" xfId="0" applyNumberFormat="1" applyAlignment="1">
      <alignment horizontal="center" vertical="top"/>
    </xf>
    <xf numFmtId="0" fontId="0" fillId="0" borderId="10" xfId="0" applyBorder="1" applyAlignment="1">
      <alignment vertical="top"/>
    </xf>
    <xf numFmtId="0" fontId="0" fillId="33" borderId="10" xfId="0" applyFill="1" applyBorder="1" applyAlignment="1">
      <alignment vertical="top"/>
    </xf>
    <xf numFmtId="0" fontId="24" fillId="0" borderId="0" xfId="0" applyFon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9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numFmt numFmtId="19" formatCode="m/d/yyyy"/>
      <alignment horizontal="general" vertical="top" textRotation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numFmt numFmtId="12" formatCode="&quot;$&quot;#,##0.00_);[Red]\(&quot;$&quot;#,##0.00\)"/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20" formatCode="d\-mmm\-yy"/>
      <alignment horizontal="general" vertical="top" textRotation="0" indent="0" justifyLastLine="0" shrinkToFit="0" readingOrder="0"/>
    </dxf>
    <dxf>
      <numFmt numFmtId="20" formatCode="d\-mmm\-yy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numFmt numFmtId="20" formatCode="d\-mmm\-yy"/>
      <alignment horizontal="general" vertical="top" textRotation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numFmt numFmtId="12" formatCode="&quot;$&quot;#,##0.00_);[Red]\(&quot;$&quot;#,##0.00\)"/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20" formatCode="d\-mmm\-yy"/>
      <alignment horizontal="general" vertical="top" textRotation="0" indent="0" justifyLastLine="0" shrinkToFit="0" readingOrder="0"/>
    </dxf>
    <dxf>
      <numFmt numFmtId="20" formatCode="d\-mmm\-yy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41" totalsRowShown="0" headerRowDxfId="48" dataDxfId="47">
  <autoFilter ref="A1:U41" xr:uid="{00000000-0009-0000-0100-000001000000}"/>
  <tableColumns count="21">
    <tableColumn id="1" xr3:uid="{00000000-0010-0000-0000-000001000000}" name="Classification" dataDxfId="46"/>
    <tableColumn id="2" xr3:uid="{00000000-0010-0000-0000-000002000000}" name="Project Name" dataDxfId="45"/>
    <tableColumn id="3" xr3:uid="{00000000-0010-0000-0000-000003000000}" name="Company" dataDxfId="44"/>
    <tableColumn id="17" xr3:uid="{00000000-0010-0000-0000-000011000000}" name="Start Date" dataDxfId="43"/>
    <tableColumn id="18" xr3:uid="{00000000-0010-0000-0000-000012000000}" name="End Date" dataDxfId="42"/>
    <tableColumn id="7" xr3:uid="{00000000-0010-0000-0000-000007000000}" name="Status" dataDxfId="41"/>
    <tableColumn id="8" xr3:uid="{00000000-0010-0000-0000-000008000000}" name="Estimated Hours" dataDxfId="40"/>
    <tableColumn id="9" xr3:uid="{00000000-0010-0000-0000-000009000000}" name="Total Hours Worked" dataDxfId="39"/>
    <tableColumn id="15" xr3:uid="{00000000-0010-0000-0000-00000F000000}" name="Hourly rate" dataDxfId="38"/>
    <tableColumn id="16" xr3:uid="{00000000-0010-0000-0000-000010000000}" name="Currency" dataDxfId="37"/>
    <tableColumn id="10" xr3:uid="{00000000-0010-0000-0000-00000A000000}" name="Estimated Revenue" dataDxfId="36">
      <calculatedColumnFormula>Table1[[#This Row],[Estimated Hours]]*Table1[[#This Row],[Hourly rate]]*1.15</calculatedColumnFormula>
    </tableColumn>
    <tableColumn id="11" xr3:uid="{00000000-0010-0000-0000-00000B000000}" name="Project Number" dataDxfId="35"/>
    <tableColumn id="12" xr3:uid="{00000000-0010-0000-0000-00000C000000}" name="Contract" dataDxfId="34"/>
    <tableColumn id="5" xr3:uid="{613F60AC-EE2B-458E-ADE7-E7A9F767174A}" name="ContractID" dataDxfId="33">
      <calculatedColumnFormula>_xlfn.XLOOKUP(Table1[[#This Row],[Project Number]],import!$J$2:$J$22,import!$N$2:$N$22)</calculatedColumnFormula>
    </tableColumn>
    <tableColumn id="13" xr3:uid="{00000000-0010-0000-0000-00000D000000}" name="Create Date" dataDxfId="32"/>
    <tableColumn id="14" xr3:uid="{00000000-0010-0000-0000-00000E000000}" name="Account Manager" dataDxfId="31"/>
    <tableColumn id="26" xr3:uid="{00000000-0010-0000-0000-00001A000000}" name="Location" dataDxfId="30"/>
    <tableColumn id="19" xr3:uid="{00000000-0010-0000-0000-000013000000}" name="Lat" dataDxfId="29"/>
    <tableColumn id="20" xr3:uid="{00000000-0010-0000-0000-000014000000}" name="Long" dataDxfId="28"/>
    <tableColumn id="6" xr3:uid="{B77CAE30-2BB1-49B5-8B7F-3E75398BBCFB}" name="Adresse" dataDxfId="27"/>
    <tableColumn id="21" xr3:uid="{9AD595B6-6288-48F0-9D0A-003D16EFDD7B}" name="Autotask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4DCF5-DBBF-4CD9-A4E8-AF74721DBD26}" name="Table13" displayName="Table13" ref="A1:U32" totalsRowShown="0" headerRowDxfId="22" dataDxfId="21">
  <autoFilter ref="A1:U32" xr:uid="{00000000-0009-0000-0100-000001000000}"/>
  <tableColumns count="21">
    <tableColumn id="1" xr3:uid="{D75D14CE-364E-40CA-9505-1C49C0C3164A}" name="Classification" dataDxfId="20"/>
    <tableColumn id="2" xr3:uid="{65B4CF35-4BF2-4D32-BD4F-1AAD2CA88807}" name="Project Name" dataDxfId="19"/>
    <tableColumn id="3" xr3:uid="{363228B0-F877-48A1-B13C-21711EDFADDB}" name="Company" dataDxfId="18"/>
    <tableColumn id="17" xr3:uid="{071DBDD3-E248-49C7-B0B7-4FA34D1FDC70}" name="Start Date" dataDxfId="17"/>
    <tableColumn id="18" xr3:uid="{F530E060-0FF0-402D-86EA-EFF8019DC8DC}" name="End Date" dataDxfId="16"/>
    <tableColumn id="7" xr3:uid="{9BFC6DEA-16E2-483D-9ADC-EBF8AF5AE267}" name="Status" dataDxfId="15"/>
    <tableColumn id="8" xr3:uid="{B8FD629D-D93E-45D5-B3FC-79BB4C47D512}" name="Estimated Hours" dataDxfId="14"/>
    <tableColumn id="9" xr3:uid="{FFFB7FDF-B233-4A10-8E95-9E28D56516C4}" name="Total Hours Worked" dataDxfId="13"/>
    <tableColumn id="15" xr3:uid="{0B8C6651-7292-4436-AF09-519B7A18F0CE}" name="Hourly rate" dataDxfId="12"/>
    <tableColumn id="16" xr3:uid="{B4B5896D-7653-4E8E-987F-DF39A1A99ADB}" name="Currency" dataDxfId="11"/>
    <tableColumn id="10" xr3:uid="{4603F999-674A-4CEB-8FED-8845FE1510F9}" name="Estimated Revenue" dataDxfId="10">
      <calculatedColumnFormula>Table1[[#This Row],[Estimated Hours]]*Table1[[#This Row],[Hourly rate]]*1.15</calculatedColumnFormula>
    </tableColumn>
    <tableColumn id="11" xr3:uid="{7EC8EA46-BE08-4999-B2F1-17012169C257}" name="Project Number" dataDxfId="9"/>
    <tableColumn id="12" xr3:uid="{EEC9B2F6-7BF8-47E5-853D-BE16CD95295C}" name="Contract" dataDxfId="8"/>
    <tableColumn id="5" xr3:uid="{168F1290-19D5-4B2B-A00B-9E5E7A250B40}" name="ContractID" dataDxfId="7">
      <calculatedColumnFormula>_xlfn.XLOOKUP(Table13[[#This Row],[Project Number]],import!$J$2:$J$22,import!$N$2:$N$22)</calculatedColumnFormula>
    </tableColumn>
    <tableColumn id="13" xr3:uid="{E169E80C-9F1A-4091-96BB-DF0CAB8BDFDA}" name="Create Date" dataDxfId="6"/>
    <tableColumn id="14" xr3:uid="{3F2945AB-9DB4-424B-A969-8609F42AE8A8}" name="Account Manager" dataDxfId="5"/>
    <tableColumn id="26" xr3:uid="{0C4ECDE9-C18D-4E11-9CE7-B41EE22BF6D8}" name="Location" dataDxfId="4"/>
    <tableColumn id="19" xr3:uid="{B3FDF5BD-341D-4C3C-8CDD-E32B3544E203}" name="Lat" dataDxfId="3"/>
    <tableColumn id="20" xr3:uid="{A189BBEE-A000-4D5B-9C0B-1AC5A4423DD3}" name="Long" dataDxfId="2"/>
    <tableColumn id="4" xr3:uid="{11FC0B3C-D2D0-4B5C-9080-3BEE5E20C913}" name="Adresse" dataDxfId="1"/>
    <tableColumn id="6" xr3:uid="{086159E6-9399-4330-B9F6-C2F8702E6E71}" name="Autotas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fr/maps/place/Forgestik+Inc.+-+Qu%C3%A9bec/@46.7678083,-71.2910004,17z/data=!4m5!3m4!1s0x0:0x3410c520d6b20abc!8m2!3d46.7677269!4d-71.2887151!5m1!1e1?hl=fr" TargetMode="External"/><Relationship Id="rId18" Type="http://schemas.openxmlformats.org/officeDocument/2006/relationships/hyperlink" Target="https://www.google.fr/maps/place/Distribution+GVA+Inc./@45.5853088,-73.7116445,17z/data=!4m13!1m7!3m6!1s0x4cc9219b39d4d33b:0x961f6a106a81006b!2s1950+Boulevard+des+Laurentides,+Laval,+QC+H7M+2Y9!3b1!8m2!3d45.5853088!4d-73.7094558!3m4!1s0x41aacc371c0c6853:0x7e5ed2e830a314af!8m2!3d45.5852879!4d-73.7094431!5m1!1e1?hl=fr" TargetMode="External"/><Relationship Id="rId26" Type="http://schemas.openxmlformats.org/officeDocument/2006/relationships/hyperlink" Target="https://ww14.autotask.net/Mvc/Projects/ProjectDetail.mvc/ProjectDetail?gridConfiguration=Outline&amp;initialContentPage=Summary&amp;projectId=837" TargetMode="External"/><Relationship Id="rId39" Type="http://schemas.openxmlformats.org/officeDocument/2006/relationships/hyperlink" Target="https://ww14.autotask.net/Mvc/Projects/ProjectDetail.mvc/ProjectDetail?gridConfiguration=Outline&amp;initialContentPage=Summary&amp;projectId=744" TargetMode="External"/><Relationship Id="rId21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34" Type="http://schemas.openxmlformats.org/officeDocument/2006/relationships/hyperlink" Target="https://ww14.autotask.net/Mvc/Projects/ProjectDetail.mvc/ProjectDetail?gridConfiguration=Outline&amp;initialContentPage=Summary&amp;projectId=561" TargetMode="External"/><Relationship Id="rId42" Type="http://schemas.openxmlformats.org/officeDocument/2006/relationships/hyperlink" Target="https://ww14.autotask.net/Mvc/Projects/ProjectDetail.mvc/ProjectDetail?gridConfiguration=Outline&amp;initialContentPage=Summary&amp;projectId=829" TargetMode="External"/><Relationship Id="rId47" Type="http://schemas.openxmlformats.org/officeDocument/2006/relationships/hyperlink" Target="https://ww14.autotask.net/Mvc/Projects/ProjectDetail.mvc/ProjectDetail?gridConfiguration=Outline&amp;initialContentPage=Summary&amp;projectId=762" TargetMode="External"/><Relationship Id="rId50" Type="http://schemas.openxmlformats.org/officeDocument/2006/relationships/hyperlink" Target="https://ww14.autotask.net/Mvc/Projects/ProjectDetail.mvc/ProjectDetail?gridConfiguration=Outline&amp;initialContentPage=Summary&amp;projectId=868" TargetMode="External"/><Relationship Id="rId7" Type="http://schemas.openxmlformats.org/officeDocument/2006/relationships/hyperlink" Target="https://www.google.fr/maps/place/Les+Entreprises+Tzanet/@45.563041,-73.7008035,13z/data=!4m9!1m2!2m1!1stzanet!3m5!1s0x4cc918f3f22a80a9:0xc62c2032f37672a4!8m2!3d45.5332363!4d-73.6628473!15sCgZ0emFuZXQiA4gBAVoIIgZ0emFuZXSSARRraXRjaGVuX3N1cHBseV9zdG9yZeABAA!5m1!1e1?hl=fr" TargetMode="External"/><Relationship Id="rId2" Type="http://schemas.openxmlformats.org/officeDocument/2006/relationships/hyperlink" Target="https://www.google.fr/maps/place/O+%26+T+Farms+Ltd/@48.1142644,-97.5674125,5z/data=!4m5!3m4!1s0x0:0x8d1b22cb14efb697!8m2!3d50.4836299!4d-104.7133565!5m1!1e1?hl=fr" TargetMode="External"/><Relationship Id="rId16" Type="http://schemas.openxmlformats.org/officeDocument/2006/relationships/hyperlink" Target="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" TargetMode="External"/><Relationship Id="rId29" Type="http://schemas.openxmlformats.org/officeDocument/2006/relationships/hyperlink" Target="https://ww14.autotask.net/Mvc/Projects/ProjectDetail.mvc/ProjectDetail?gridConfiguration=Outline&amp;initialContentPage=Summary&amp;projectId=716" TargetMode="External"/><Relationship Id="rId11" Type="http://schemas.openxmlformats.org/officeDocument/2006/relationships/hyperlink" Target="https://www.google.fr/maps/place/84+Easton+Rd,+Brantford,+ON+N3P+1J5/@43.1783099,-80.2439915,17z/data=!4m13!1m7!3m6!1s0x882c65a8c719a50d:0x6f23799d6a1e608!2s84+Easton+Rd,+Brantford,+ON+N3P+1J5!3b1!8m2!3d43.178306!4d-80.2418028!3m4!1s0x882c65a8c719a50d:0x6f23799d6a1e608!8m2!3d43.178306!4d-80.2418028!5m1!1e1?hl=fr" TargetMode="External"/><Relationship Id="rId24" Type="http://schemas.openxmlformats.org/officeDocument/2006/relationships/hyperlink" Target="https://www.google.fr/maps/place/350+S+Pekin+Rd,+Woodland,+WA+98674,+%C3%89tats-Unis/@45.8913918,-122.7452506,17z/data=!3m1!4b1!4m5!3m4!1s0x54944f1f45f97411:0xfa635b6193402016!8m2!3d45.8913918!4d-122.7430619!5m1!1e1?hl=fr" TargetMode="External"/><Relationship Id="rId32" Type="http://schemas.openxmlformats.org/officeDocument/2006/relationships/hyperlink" Target="https://ww14.autotask.net/Mvc/Projects/ProjectDetail.mvc/ProjectDetail?gridConfiguration=Outline&amp;initialContentPage=Summary&amp;projectId=722" TargetMode="External"/><Relationship Id="rId37" Type="http://schemas.openxmlformats.org/officeDocument/2006/relationships/hyperlink" Target="https://ww14.autotask.net/Mvc/Projects/ProjectDetail.mvc/ProjectDetail?gridConfiguration=Outline&amp;initialContentPage=Summary&amp;projectId=835" TargetMode="External"/><Relationship Id="rId40" Type="http://schemas.openxmlformats.org/officeDocument/2006/relationships/hyperlink" Target="https://ww14.autotask.net/Mvc/Projects/ProjectDetail.mvc/ProjectDetail?gridConfiguration=Outline&amp;initialContentPage=Summary&amp;projectId=864" TargetMode="External"/><Relationship Id="rId45" Type="http://schemas.openxmlformats.org/officeDocument/2006/relationships/hyperlink" Target="https://ww14.autotask.net/Mvc/Projects/ProjectDetail.mvc/ProjectDetail?gridConfiguration=Outline&amp;initialContentPage=Summary&amp;projectId=686" TargetMode="External"/><Relationship Id="rId53" Type="http://schemas.openxmlformats.org/officeDocument/2006/relationships/table" Target="../tables/table1.xml"/><Relationship Id="rId5" Type="http://schemas.openxmlformats.org/officeDocument/2006/relationships/hyperlink" Target="https://www.google.fr/maps/place/Les+Aliments+CDS+Foods+Inc./@45.5275469,-73.6519625,14.4z/data=!4m5!3m4!1s0x0:0x9e5bd2d32605e06d!8m2!3d45.5284002!4d-73.6657747!5m1!1e1?hl=fr" TargetMode="External"/><Relationship Id="rId10" Type="http://schemas.openxmlformats.org/officeDocument/2006/relationships/hyperlink" Target="https://www.google.fr/maps/place/Laiterie+de+Coaticook+Lt%C3%A9e/@45.1569719,-71.8032584,17z/data=!3m1!4b1!4m5!3m4!1s0x4cb658f0bcef7741:0xb18492fd3db72d09!8m2!3d45.1569295!4d-71.8010503!5m1!1e1?hl=fr" TargetMode="External"/><Relationship Id="rId19" Type="http://schemas.openxmlformats.org/officeDocument/2006/relationships/hyperlink" Target="https://www.google.fr/maps/place/Cowper+Inc./@45.5056385,-73.8453642,11.77z/data=!4m5!3m4!1s0x0:0x4c8bb1af0ea42de6!8m2!3d45.4413746!4d-73.670454!5m1!1e1?hl=fr" TargetMode="External"/><Relationship Id="rId31" Type="http://schemas.openxmlformats.org/officeDocument/2006/relationships/hyperlink" Target="https://ww14.autotask.net/Mvc/Projects/ProjectDetail.mvc/ProjectDetail?gridConfiguration=Outline&amp;initialContentPage=Summary&amp;projectId=725" TargetMode="External"/><Relationship Id="rId44" Type="http://schemas.openxmlformats.org/officeDocument/2006/relationships/hyperlink" Target="https://ww14.autotask.net/Mvc/Projects/ProjectDetail.mvc/ProjectDetail?gridConfiguration=Outline&amp;initialContentPage=Summary&amp;projectId=640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google.fr/maps/place/Cowper+Inc./@45.5056385,-73.8453642,11.77z/data=!4m5!3m4!1s0x0:0x4c8bb1af0ea42de6!8m2!3d45.4413746!4d-73.670454!5m1!1e1?hl=fr" TargetMode="External"/><Relationship Id="rId9" Type="http://schemas.openxmlformats.org/officeDocument/2006/relationships/hyperlink" Target="https://www.google.fr/maps/place/Laiterie+de+Coaticook+Lt%C3%A9e/@45.1569719,-71.8032584,17z/data=!3m1!4b1!4m5!3m4!1s0x4cb658f0bcef7741:0xb18492fd3db72d09!8m2!3d45.1569295!4d-71.8010503!5m1!1e1?hl=fr" TargetMode="External"/><Relationship Id="rId14" Type="http://schemas.openxmlformats.org/officeDocument/2006/relationships/hyperlink" Target="https://www.google.fr/maps/place/Forgestik+Inc+-+Montreal+Head+Office/@45.5219334,-73.6152552,17z/data=!3m1!4b1!4m5!3m4!1s0x4cc9199df6b7f653:0x801060272b57c4f4!8m2!3d45.52193!4d-73.6130697!5m1!1e1?hl=fr" TargetMode="External"/><Relationship Id="rId22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27" Type="http://schemas.openxmlformats.org/officeDocument/2006/relationships/hyperlink" Target="https://ww14.autotask.net/Mvc/Projects/ProjectDetail.mvc/ProjectDetail?gridConfiguration=Outline&amp;initialContentPage=Summary&amp;projectId=852" TargetMode="External"/><Relationship Id="rId30" Type="http://schemas.openxmlformats.org/officeDocument/2006/relationships/hyperlink" Target="https://ww14.autotask.net/Mvc/Projects/ProjectDetail.mvc/ProjectDetail?gridConfiguration=Outline&amp;initialContentPage=Summary&amp;projectId=830&amp;restoreworkspacekey=" TargetMode="External"/><Relationship Id="rId35" Type="http://schemas.openxmlformats.org/officeDocument/2006/relationships/hyperlink" Target="https://ww14.autotask.net/Mvc/Projects/ProjectDetail.mvc/ProjectDetail?gridConfiguration=Outline&amp;initialContentPage=Summary&amp;projectId=679" TargetMode="External"/><Relationship Id="rId43" Type="http://schemas.openxmlformats.org/officeDocument/2006/relationships/hyperlink" Target="https://ww14.autotask.net/Mvc/Projects/ProjectDetail.mvc/ProjectDetail?gridConfiguration=Outline&amp;initialContentPage=Summary&amp;projectId=680" TargetMode="External"/><Relationship Id="rId48" Type="http://schemas.openxmlformats.org/officeDocument/2006/relationships/hyperlink" Target="https://www.google.fr/maps/place/Produits+Electrolation+Inc/@45.594032,-73.7443942,19z/data=!4m12!1m6!3m5!1s0x4cc92143ec29647d:0x9f89ab8988471bbd!2sProduits+Electrolation+Inc!8m2!3d45.5943373!4d-73.7441876!3m4!1s0x4cc92143ec29647d:0x9f89ab8988471bbd!8m2!3d45.5943373!4d-73.7441876!5m1!1e1?hl=fr" TargetMode="External"/><Relationship Id="rId8" Type="http://schemas.openxmlformats.org/officeDocument/2006/relationships/hyperlink" Target="https://www.google.fr/maps/place/T%C3%ABnzo+Fine+Plomberie/@45.5975069,-73.2210645,17z/data=!3m1!4b1!4m5!3m4!1s0x4cc8555dfcbc8aeb:0xa5269fb26ea18829!8m2!3d45.5975032!4d-73.2165798!5m1!1e1?hl=fr" TargetMode="External"/><Relationship Id="rId51" Type="http://schemas.openxmlformats.org/officeDocument/2006/relationships/hyperlink" Target="https://ww14.autotask.net/Mvc/Projects/ProjectDetail.mvc/ProjectDetail?gridConfiguration=Outline&amp;initialContentPage=Schedule&amp;projectId=873" TargetMode="External"/><Relationship Id="rId3" Type="http://schemas.openxmlformats.org/officeDocument/2006/relationships/hyperlink" Target="https://www.google.fr/maps/place/Fromagerie+Polyethnique+Inc./@45.9439944,-73.0552781,12.05z/data=!4m5!3m4!1s0x0:0xef280bcfed15fb50!8m2!3d45.9290294!4d-73.0172073!5m1!1e1?hl=fr" TargetMode="External"/><Relationship Id="rId12" Type="http://schemas.openxmlformats.org/officeDocument/2006/relationships/hyperlink" Target="https://www.google.fr/maps/place/Sit+Mauricie/@46.3399901,-72.5556003,18.91z/data=!4m5!3m4!1s0x0:0xfecea68a17e43c36!8m2!3d46.3399946!4d-72.5550643!5m1!1e1?hl=fr" TargetMode="External"/><Relationship Id="rId17" Type="http://schemas.openxmlformats.org/officeDocument/2006/relationships/hyperlink" Target="https://www.google.fr/maps/place/LES+%C3%89DITIONS+CHOUETTE+(1987)+inc./@45.6108288,-73.8582806,17z/data=!4m12!1m6!3m5!1s0x4cc91142da3d61ff:0xb55087171593262f!2sLES+%C3%89DITIONS+CHOUETTE+(1987)+inc.!8m2!3d45.6110368!4d-73.8562293!3m4!1s0x4cc91142da3d61ff:0xb55087171593262f!8m2!3d45.6110368!4d-73.8562293!5m1!1e1?hl=fr" TargetMode="External"/><Relationship Id="rId25" Type="http://schemas.openxmlformats.org/officeDocument/2006/relationships/hyperlink" Target="https://www.google.fr/maps/place/LOVATO+Electric/@36.7919655,-76.2459392,16.59z/data=!4m5!3m4!1s0x0:0x2d8afaab31ba084e!8m2!3d36.7918965!4d-76.2460442!5m1!1e1?hl=fr" TargetMode="External"/><Relationship Id="rId33" Type="http://schemas.openxmlformats.org/officeDocument/2006/relationships/hyperlink" Target="https://ww14.autotask.net/Mvc/Projects/ProjectDetail.mvc/ProjectDetail?gridConfiguration=Outline&amp;initialContentPage=Summary&amp;projectId=722" TargetMode="External"/><Relationship Id="rId38" Type="http://schemas.openxmlformats.org/officeDocument/2006/relationships/hyperlink" Target="https://ww14.autotask.net/Mvc/Projects/ProjectDetail.mvc/ProjectDetail?gridConfiguration=Outline&amp;initialContentPage=Summary&amp;projectId=856" TargetMode="External"/><Relationship Id="rId46" Type="http://schemas.openxmlformats.org/officeDocument/2006/relationships/hyperlink" Target="https://ww14.autotask.net/Mvc/Projects/ProjectDetail.mvc/ProjectDetail?gridConfiguration=Outline&amp;initialContentPage=Summary&amp;projectId=702" TargetMode="External"/><Relationship Id="rId20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41" Type="http://schemas.openxmlformats.org/officeDocument/2006/relationships/hyperlink" Target="https://ww14.autotask.net/Mvc/Projects/ProjectDetail.mvc/ProjectDetail?gridConfiguration=Outline&amp;initialContentPage=Summary&amp;projectId=791" TargetMode="External"/><Relationship Id="rId1" Type="http://schemas.openxmlformats.org/officeDocument/2006/relationships/hyperlink" Target="https://www.google.fr/maps/place/6226+Danville+Rd,+Mississauga,+ON+L5T+2H7/@43.6421185,-79.6747931,18z/data=!4m13!1m7!3m6!1s0x882b3f69ec62ad99:0xe801a6135638fab9!2s6226+Danville+Rd,+Mississauga,+ON+L5T+2H7!3b1!8m2!3d43.6421169!4d-79.6738909!3m4!1s0x882b3f69ec62ad99:0xe801a6135638fab9!8m2!3d43.6421169!4d-79.6738909!5m1!1e1?hl=fr" TargetMode="External"/><Relationship Id="rId6" Type="http://schemas.openxmlformats.org/officeDocument/2006/relationships/hyperlink" Target="https://www.google.fr/maps/place/Gazebo+Penguin+Inc/@45.4710799,-73.6971059,17z/data=!3m1!4b1!4m5!3m4!1s0x4cc917bb885b926d:0x4e4996129610b8c4!8m2!3d45.4710762!4d-73.6949172!5m1!1e1?hl=fr" TargetMode="External"/><Relationship Id="rId15" Type="http://schemas.openxmlformats.org/officeDocument/2006/relationships/hyperlink" Target="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" TargetMode="External"/><Relationship Id="rId23" Type="http://schemas.openxmlformats.org/officeDocument/2006/relationships/hyperlink" Target="https://www.google.fr/maps/place/Mega+Star+Electronics/@45.5959339,-73.6251983,17z/data=!4m13!1m7!3m6!1s0x4cc91f0eb603ccf1:0x98b53f098eaf6dc4!2s5061+Rue+d'Amiens,+Montr%C3%A9al-Nord,+QC+H1G+3G2!3b1!8m2!3d45.5959339!4d-73.6230096!3m4!1s0x4cc91f0eb6183d4d:0x160e294c414f78c1!8m2!3d45.5960346!4d-73.6228044!5m1!1e1?hl=fr" TargetMode="External"/><Relationship Id="rId28" Type="http://schemas.openxmlformats.org/officeDocument/2006/relationships/hyperlink" Target="https://ww14.autotask.net/Mvc/Projects/ProjectDetail.mvc/ProjectDetail?gridConfiguration=Outline&amp;initialContentPage=Summary&amp;projectId=740" TargetMode="External"/><Relationship Id="rId36" Type="http://schemas.openxmlformats.org/officeDocument/2006/relationships/hyperlink" Target="https://ww14.autotask.net/Mvc/Projects/ProjectDetail.mvc/ProjectDetail?gridConfiguration=Outline&amp;initialContentPage=Summary&amp;projectId=810" TargetMode="External"/><Relationship Id="rId49" Type="http://schemas.openxmlformats.org/officeDocument/2006/relationships/hyperlink" Target="https://ww14.autotask.net/Mvc/Projects/ProjectDetail.mvc/ProjectDetail?gridConfiguration=Outline&amp;initialContentPage=Summary&amp;projectId=84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fr/maps/place/Forgestik+Inc.+-+Qu%C3%A9bec/@46.7678083,-71.2910004,17z/data=!4m5!3m4!1s0x0:0x3410c520d6b20abc!8m2!3d46.7677269!4d-71.2887151!5m1!1e1?hl=fr" TargetMode="External"/><Relationship Id="rId18" Type="http://schemas.openxmlformats.org/officeDocument/2006/relationships/hyperlink" Target="https://www.google.fr/maps/place/Distribution+GVA+Inc./@45.5853088,-73.7116445,17z/data=!4m13!1m7!3m6!1s0x4cc9219b39d4d33b:0x961f6a106a81006b!2s1950+Boulevard+des+Laurentides,+Laval,+QC+H7M+2Y9!3b1!8m2!3d45.5853088!4d-73.7094558!3m4!1s0x41aacc371c0c6853:0x7e5ed2e830a314af!8m2!3d45.5852879!4d-73.7094431!5m1!1e1?hl=fr" TargetMode="External"/><Relationship Id="rId26" Type="http://schemas.openxmlformats.org/officeDocument/2006/relationships/hyperlink" Target="https://ww14.autotask.net/Mvc/Projects/ProjectDetail.mvc/ProjectDetail?gridConfiguration=Outline&amp;initialContentPage=Summary&amp;projectId=837" TargetMode="External"/><Relationship Id="rId39" Type="http://schemas.openxmlformats.org/officeDocument/2006/relationships/hyperlink" Target="https://ww14.autotask.net/Mvc/Projects/ProjectDetail.mvc/ProjectDetail?gridConfiguration=Outline&amp;initialContentPage=Summary&amp;projectId=744" TargetMode="External"/><Relationship Id="rId21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34" Type="http://schemas.openxmlformats.org/officeDocument/2006/relationships/hyperlink" Target="https://ww14.autotask.net/Mvc/Projects/ProjectDetail.mvc/ProjectDetail?gridConfiguration=Outline&amp;initialContentPage=Summary&amp;projectId=561" TargetMode="External"/><Relationship Id="rId42" Type="http://schemas.openxmlformats.org/officeDocument/2006/relationships/hyperlink" Target="https://ww14.autotask.net/Mvc/Projects/ProjectDetail.mvc/ProjectDetail?gridConfiguration=Outline&amp;initialContentPage=Summary&amp;projectId=829" TargetMode="External"/><Relationship Id="rId47" Type="http://schemas.openxmlformats.org/officeDocument/2006/relationships/hyperlink" Target="https://ww14.autotask.net/Mvc/Projects/ProjectDetail.mvc/ProjectDetail?gridConfiguration=Outline&amp;initialContentPage=Summary&amp;projectId=762" TargetMode="External"/><Relationship Id="rId50" Type="http://schemas.openxmlformats.org/officeDocument/2006/relationships/hyperlink" Target="https://ww14.autotask.net/Mvc/Projects/ProjectDetail.mvc/ProjectDetail?gridConfiguration=Outline&amp;initialContentPage=Summary&amp;projectId=868" TargetMode="External"/><Relationship Id="rId7" Type="http://schemas.openxmlformats.org/officeDocument/2006/relationships/hyperlink" Target="https://www.google.fr/maps/place/Les+Entreprises+Tzanet/@45.563041,-73.7008035,13z/data=!4m9!1m2!2m1!1stzanet!3m5!1s0x4cc918f3f22a80a9:0xc62c2032f37672a4!8m2!3d45.5332363!4d-73.6628473!15sCgZ0emFuZXQiA4gBAVoIIgZ0emFuZXSSARRraXRjaGVuX3N1cHBseV9zdG9yZeABAA!5m1!1e1?hl=fr" TargetMode="External"/><Relationship Id="rId2" Type="http://schemas.openxmlformats.org/officeDocument/2006/relationships/hyperlink" Target="https://www.google.fr/maps/place/O+%26+T+Farms+Ltd/@48.1142644,-97.5674125,5z/data=!4m5!3m4!1s0x0:0x8d1b22cb14efb697!8m2!3d50.4836299!4d-104.7133565!5m1!1e1?hl=fr" TargetMode="External"/><Relationship Id="rId16" Type="http://schemas.openxmlformats.org/officeDocument/2006/relationships/hyperlink" Target="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" TargetMode="External"/><Relationship Id="rId29" Type="http://schemas.openxmlformats.org/officeDocument/2006/relationships/hyperlink" Target="https://ww14.autotask.net/Mvc/Projects/ProjectDetail.mvc/ProjectDetail?gridConfiguration=Outline&amp;initialContentPage=Summary&amp;projectId=716" TargetMode="External"/><Relationship Id="rId11" Type="http://schemas.openxmlformats.org/officeDocument/2006/relationships/hyperlink" Target="https://www.google.fr/maps/place/84+Easton+Rd,+Brantford,+ON+N3P+1J5/@43.1783099,-80.2439915,17z/data=!4m13!1m7!3m6!1s0x882c65a8c719a50d:0x6f23799d6a1e608!2s84+Easton+Rd,+Brantford,+ON+N3P+1J5!3b1!8m2!3d43.178306!4d-80.2418028!3m4!1s0x882c65a8c719a50d:0x6f23799d6a1e608!8m2!3d43.178306!4d-80.2418028!5m1!1e1?hl=fr" TargetMode="External"/><Relationship Id="rId24" Type="http://schemas.openxmlformats.org/officeDocument/2006/relationships/hyperlink" Target="https://www.google.fr/maps/place/350+S+Pekin+Rd,+Woodland,+WA+98674,+%C3%89tats-Unis/@45.8913918,-122.7452506,17z/data=!3m1!4b1!4m5!3m4!1s0x54944f1f45f97411:0xfa635b6193402016!8m2!3d45.8913918!4d-122.7430619!5m1!1e1?hl=fr" TargetMode="External"/><Relationship Id="rId32" Type="http://schemas.openxmlformats.org/officeDocument/2006/relationships/hyperlink" Target="https://ww14.autotask.net/Mvc/Projects/ProjectDetail.mvc/ProjectDetail?gridConfiguration=Outline&amp;initialContentPage=Summary&amp;projectId=722" TargetMode="External"/><Relationship Id="rId37" Type="http://schemas.openxmlformats.org/officeDocument/2006/relationships/hyperlink" Target="https://ww14.autotask.net/Mvc/Projects/ProjectDetail.mvc/ProjectDetail?gridConfiguration=Outline&amp;initialContentPage=Summary&amp;projectId=835" TargetMode="External"/><Relationship Id="rId40" Type="http://schemas.openxmlformats.org/officeDocument/2006/relationships/hyperlink" Target="https://ww14.autotask.net/Mvc/Projects/ProjectDetail.mvc/ProjectDetail?gridConfiguration=Outline&amp;initialContentPage=Summary&amp;projectId=864" TargetMode="External"/><Relationship Id="rId45" Type="http://schemas.openxmlformats.org/officeDocument/2006/relationships/hyperlink" Target="https://ww14.autotask.net/Mvc/Projects/ProjectDetail.mvc/ProjectDetail?gridConfiguration=Outline&amp;initialContentPage=Summary&amp;projectId=686" TargetMode="External"/><Relationship Id="rId53" Type="http://schemas.openxmlformats.org/officeDocument/2006/relationships/table" Target="../tables/table2.xml"/><Relationship Id="rId5" Type="http://schemas.openxmlformats.org/officeDocument/2006/relationships/hyperlink" Target="https://www.google.fr/maps/place/Les+Aliments+CDS+Foods+Inc./@45.5275469,-73.6519625,14.4z/data=!4m5!3m4!1s0x0:0x9e5bd2d32605e06d!8m2!3d45.5284002!4d-73.6657747!5m1!1e1?hl=fr" TargetMode="External"/><Relationship Id="rId10" Type="http://schemas.openxmlformats.org/officeDocument/2006/relationships/hyperlink" Target="https://www.google.fr/maps/place/Laiterie+de+Coaticook+Lt%C3%A9e/@45.1569719,-71.8032584,17z/data=!3m1!4b1!4m5!3m4!1s0x4cb658f0bcef7741:0xb18492fd3db72d09!8m2!3d45.1569295!4d-71.8010503!5m1!1e1?hl=fr" TargetMode="External"/><Relationship Id="rId19" Type="http://schemas.openxmlformats.org/officeDocument/2006/relationships/hyperlink" Target="https://www.google.fr/maps/place/Cowper+Inc./@45.5056385,-73.8453642,11.77z/data=!4m5!3m4!1s0x0:0x4c8bb1af0ea42de6!8m2!3d45.4413746!4d-73.670454!5m1!1e1?hl=fr" TargetMode="External"/><Relationship Id="rId31" Type="http://schemas.openxmlformats.org/officeDocument/2006/relationships/hyperlink" Target="https://ww14.autotask.net/Mvc/Projects/ProjectDetail.mvc/ProjectDetail?gridConfiguration=Outline&amp;initialContentPage=Summary&amp;projectId=725" TargetMode="External"/><Relationship Id="rId44" Type="http://schemas.openxmlformats.org/officeDocument/2006/relationships/hyperlink" Target="https://ww14.autotask.net/Mvc/Projects/ProjectDetail.mvc/ProjectDetail?gridConfiguration=Outline&amp;initialContentPage=Summary&amp;projectId=640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google.fr/maps/place/Cowper+Inc./@45.5056385,-73.8453642,11.77z/data=!4m5!3m4!1s0x0:0x4c8bb1af0ea42de6!8m2!3d45.4413746!4d-73.670454!5m1!1e1?hl=fr" TargetMode="External"/><Relationship Id="rId9" Type="http://schemas.openxmlformats.org/officeDocument/2006/relationships/hyperlink" Target="https://www.google.fr/maps/place/Laiterie+de+Coaticook+Lt%C3%A9e/@45.1569719,-71.8032584,17z/data=!3m1!4b1!4m5!3m4!1s0x4cb658f0bcef7741:0xb18492fd3db72d09!8m2!3d45.1569295!4d-71.8010503!5m1!1e1?hl=fr" TargetMode="External"/><Relationship Id="rId14" Type="http://schemas.openxmlformats.org/officeDocument/2006/relationships/hyperlink" Target="https://www.google.fr/maps/place/Forgestik+Inc+-+Montreal+Head+Office/@45.5219334,-73.6152552,17z/data=!3m1!4b1!4m5!3m4!1s0x4cc9199df6b7f653:0x801060272b57c4f4!8m2!3d45.52193!4d-73.6130697!5m1!1e1?hl=fr" TargetMode="External"/><Relationship Id="rId22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27" Type="http://schemas.openxmlformats.org/officeDocument/2006/relationships/hyperlink" Target="https://ww14.autotask.net/Mvc/Projects/ProjectDetail.mvc/ProjectDetail?gridConfiguration=Outline&amp;initialContentPage=Summary&amp;projectId=852" TargetMode="External"/><Relationship Id="rId30" Type="http://schemas.openxmlformats.org/officeDocument/2006/relationships/hyperlink" Target="https://ww14.autotask.net/Mvc/Projects/ProjectDetail.mvc/ProjectDetail?gridConfiguration=Outline&amp;initialContentPage=Summary&amp;projectId=830&amp;restoreworkspacekey=" TargetMode="External"/><Relationship Id="rId35" Type="http://schemas.openxmlformats.org/officeDocument/2006/relationships/hyperlink" Target="https://ww14.autotask.net/Mvc/Projects/ProjectDetail.mvc/ProjectDetail?gridConfiguration=Outline&amp;initialContentPage=Summary&amp;projectId=679" TargetMode="External"/><Relationship Id="rId43" Type="http://schemas.openxmlformats.org/officeDocument/2006/relationships/hyperlink" Target="https://ww14.autotask.net/Mvc/Projects/ProjectDetail.mvc/ProjectDetail?gridConfiguration=Outline&amp;initialContentPage=Summary&amp;projectId=680" TargetMode="External"/><Relationship Id="rId48" Type="http://schemas.openxmlformats.org/officeDocument/2006/relationships/hyperlink" Target="https://www.google.fr/maps/place/Produits+Electrolation+Inc/@45.594032,-73.7443942,19z/data=!4m12!1m6!3m5!1s0x4cc92143ec29647d:0x9f89ab8988471bbd!2sProduits+Electrolation+Inc!8m2!3d45.5943373!4d-73.7441876!3m4!1s0x4cc92143ec29647d:0x9f89ab8988471bbd!8m2!3d45.5943373!4d-73.7441876!5m1!1e1?hl=fr" TargetMode="External"/><Relationship Id="rId8" Type="http://schemas.openxmlformats.org/officeDocument/2006/relationships/hyperlink" Target="https://www.google.fr/maps/place/T%C3%ABnzo+Fine+Plomberie/@45.5975069,-73.2210645,17z/data=!3m1!4b1!4m5!3m4!1s0x4cc8555dfcbc8aeb:0xa5269fb26ea18829!8m2!3d45.5975032!4d-73.2165798!5m1!1e1?hl=fr" TargetMode="External"/><Relationship Id="rId51" Type="http://schemas.openxmlformats.org/officeDocument/2006/relationships/hyperlink" Target="https://ww14.autotask.net/Mvc/Projects/ProjectDetail.mvc/ProjectDetail?gridConfiguration=Outline&amp;initialContentPage=Schedule&amp;projectId=873" TargetMode="External"/><Relationship Id="rId3" Type="http://schemas.openxmlformats.org/officeDocument/2006/relationships/hyperlink" Target="https://www.google.fr/maps/place/Fromagerie+Polyethnique+Inc./@45.9439944,-73.0552781,12.05z/data=!4m5!3m4!1s0x0:0xef280bcfed15fb50!8m2!3d45.9290294!4d-73.0172073!5m1!1e1?hl=fr" TargetMode="External"/><Relationship Id="rId12" Type="http://schemas.openxmlformats.org/officeDocument/2006/relationships/hyperlink" Target="https://www.google.fr/maps/place/Sit+Mauricie/@46.3399901,-72.5556003,18.91z/data=!4m5!3m4!1s0x0:0xfecea68a17e43c36!8m2!3d46.3399946!4d-72.5550643!5m1!1e1?hl=fr" TargetMode="External"/><Relationship Id="rId17" Type="http://schemas.openxmlformats.org/officeDocument/2006/relationships/hyperlink" Target="https://www.google.fr/maps/place/LES+%C3%89DITIONS+CHOUETTE+(1987)+inc./@45.6108288,-73.8582806,17z/data=!4m12!1m6!3m5!1s0x4cc91142da3d61ff:0xb55087171593262f!2sLES+%C3%89DITIONS+CHOUETTE+(1987)+inc.!8m2!3d45.6110368!4d-73.8562293!3m4!1s0x4cc91142da3d61ff:0xb55087171593262f!8m2!3d45.6110368!4d-73.8562293!5m1!1e1?hl=fr" TargetMode="External"/><Relationship Id="rId25" Type="http://schemas.openxmlformats.org/officeDocument/2006/relationships/hyperlink" Target="https://www.google.fr/maps/place/LOVATO+Electric/@37.3473706,-76.2287809,7z/data=!4m5!3m4!1s0x0:0x2d8afaab31ba084e!8m2!3d36.7918965!4d-76.2460442!5m1!1e1?hl=fr" TargetMode="External"/><Relationship Id="rId33" Type="http://schemas.openxmlformats.org/officeDocument/2006/relationships/hyperlink" Target="https://ww14.autotask.net/Mvc/Projects/ProjectDetail.mvc/ProjectDetail?gridConfiguration=Outline&amp;initialContentPage=Summary&amp;projectId=722" TargetMode="External"/><Relationship Id="rId38" Type="http://schemas.openxmlformats.org/officeDocument/2006/relationships/hyperlink" Target="https://ww14.autotask.net/Mvc/Projects/ProjectDetail.mvc/ProjectDetail?gridConfiguration=Outline&amp;initialContentPage=Summary&amp;projectId=856" TargetMode="External"/><Relationship Id="rId46" Type="http://schemas.openxmlformats.org/officeDocument/2006/relationships/hyperlink" Target="https://ww14.autotask.net/Mvc/Projects/ProjectDetail.mvc/ProjectDetail?gridConfiguration=Outline&amp;initialContentPage=Summary&amp;projectId=702" TargetMode="External"/><Relationship Id="rId20" Type="http://schemas.openxmlformats.org/officeDocument/2006/relationships/hyperlink" Target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" TargetMode="External"/><Relationship Id="rId41" Type="http://schemas.openxmlformats.org/officeDocument/2006/relationships/hyperlink" Target="https://ww14.autotask.net/Mvc/Projects/ProjectDetail.mvc/ProjectDetail?gridConfiguration=Outline&amp;initialContentPage=Summary&amp;projectId=791" TargetMode="External"/><Relationship Id="rId1" Type="http://schemas.openxmlformats.org/officeDocument/2006/relationships/hyperlink" Target="https://www.google.fr/maps/place/6226+Danville+Rd,+Mississauga,+ON+L5T+2H7/@43.6421185,-79.6747931,18z/data=!4m13!1m7!3m6!1s0x882b3f69ec62ad99:0xe801a6135638fab9!2s6226+Danville+Rd,+Mississauga,+ON+L5T+2H7!3b1!8m2!3d43.6421169!4d-79.6738909!3m4!1s0x882b3f69ec62ad99:0xe801a6135638fab9!8m2!3d43.6421169!4d-79.6738909!5m1!1e1?hl=fr" TargetMode="External"/><Relationship Id="rId6" Type="http://schemas.openxmlformats.org/officeDocument/2006/relationships/hyperlink" Target="https://www.google.fr/maps/place/Gazebo+Penguin+Inc/@45.4710799,-73.6971059,17z/data=!3m1!4b1!4m5!3m4!1s0x4cc917bb885b926d:0x4e4996129610b8c4!8m2!3d45.4710762!4d-73.6949172!5m1!1e1?hl=fr" TargetMode="External"/><Relationship Id="rId15" Type="http://schemas.openxmlformats.org/officeDocument/2006/relationships/hyperlink" Target="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" TargetMode="External"/><Relationship Id="rId23" Type="http://schemas.openxmlformats.org/officeDocument/2006/relationships/hyperlink" Target="https://www.google.fr/maps/place/Mega+Star+Electronics/@45.5959339,-73.6251983,17z/data=!4m13!1m7!3m6!1s0x4cc91f0eb603ccf1:0x98b53f098eaf6dc4!2s5061+Rue+d'Amiens,+Montr%C3%A9al-Nord,+QC+H1G+3G2!3b1!8m2!3d45.5959339!4d-73.6230096!3m4!1s0x4cc91f0eb6183d4d:0x160e294c414f78c1!8m2!3d45.5960346!4d-73.6228044!5m1!1e1?hl=fr" TargetMode="External"/><Relationship Id="rId28" Type="http://schemas.openxmlformats.org/officeDocument/2006/relationships/hyperlink" Target="https://ww14.autotask.net/Mvc/Projects/ProjectDetail.mvc/ProjectDetail?gridConfiguration=Outline&amp;initialContentPage=Summary&amp;projectId=740" TargetMode="External"/><Relationship Id="rId36" Type="http://schemas.openxmlformats.org/officeDocument/2006/relationships/hyperlink" Target="https://ww14.autotask.net/Mvc/Projects/ProjectDetail.mvc/ProjectDetail?gridConfiguration=Outline&amp;initialContentPage=Summary&amp;projectId=810" TargetMode="External"/><Relationship Id="rId49" Type="http://schemas.openxmlformats.org/officeDocument/2006/relationships/hyperlink" Target="https://ww14.autotask.net/Mvc/Projects/ProjectDetail.mvc/ProjectDetail?gridConfiguration=Outline&amp;initialContentPage=Summary&amp;projectId=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F45"/>
  <sheetViews>
    <sheetView zoomScale="66" zoomScaleNormal="85" workbookViewId="0">
      <pane xSplit="3" ySplit="1" topLeftCell="U13" activePane="bottomRight" state="frozen"/>
      <selection pane="topRight" activeCell="D1" sqref="D1"/>
      <selection pane="bottomLeft" activeCell="A2" sqref="A2"/>
      <selection pane="bottomRight" activeCell="AE27" sqref="AE27:AF28"/>
    </sheetView>
  </sheetViews>
  <sheetFormatPr defaultColWidth="8.88671875" defaultRowHeight="14.4" outlineLevelCol="1"/>
  <cols>
    <col min="1" max="1" width="17.33203125" style="1" customWidth="1"/>
    <col min="2" max="2" width="40.5546875" style="1" bestFit="1" customWidth="1"/>
    <col min="3" max="3" width="26.33203125" style="1" bestFit="1" customWidth="1"/>
    <col min="4" max="4" width="15.6640625" style="1" customWidth="1" outlineLevel="1"/>
    <col min="5" max="5" width="14.5546875" style="1" customWidth="1" outlineLevel="1"/>
    <col min="6" max="6" width="16" style="1" customWidth="1" outlineLevel="1"/>
    <col min="7" max="7" width="9.6640625" style="4" customWidth="1" outlineLevel="1"/>
    <col min="8" max="8" width="11" style="4" customWidth="1" outlineLevel="1"/>
    <col min="9" max="9" width="13.33203125" style="4" bestFit="1" customWidth="1" outlineLevel="1"/>
    <col min="10" max="10" width="16.88671875" style="4" bestFit="1" customWidth="1" outlineLevel="1"/>
    <col min="11" max="11" width="30.6640625" style="4" customWidth="1" outlineLevel="1"/>
    <col min="12" max="12" width="21.6640625" style="4" bestFit="1" customWidth="1" outlineLevel="1"/>
    <col min="13" max="13" width="35.6640625" style="1" customWidth="1" outlineLevel="1"/>
    <col min="14" max="14" width="16.88671875" style="4" customWidth="1" outlineLevel="1"/>
    <col min="15" max="15" width="19" style="1" customWidth="1" outlineLevel="1"/>
    <col min="16" max="16" width="17.88671875" style="1" customWidth="1" outlineLevel="1"/>
    <col min="17" max="17" width="97.5546875" style="1" customWidth="1" outlineLevel="1"/>
    <col min="18" max="18" width="8.88671875" style="1" customWidth="1" outlineLevel="1"/>
    <col min="19" max="19" width="13" style="1" customWidth="1" outlineLevel="1"/>
    <col min="20" max="20" width="29.44140625" style="12" customWidth="1" outlineLevel="1"/>
    <col min="21" max="21" width="13" style="15" customWidth="1" outlineLevel="1"/>
    <col min="22" max="23" width="13" style="1" customWidth="1" outlineLevel="1"/>
    <col min="24" max="24" width="8.88671875" style="1" customWidth="1" outlineLevel="1"/>
    <col min="25" max="25" width="8.88671875" style="1"/>
    <col min="26" max="26" width="29" style="1" bestFit="1" customWidth="1"/>
    <col min="27" max="27" width="41.6640625" style="1" bestFit="1" customWidth="1"/>
    <col min="28" max="28" width="8.88671875" style="1" customWidth="1"/>
    <col min="29" max="29" width="15.88671875" style="1" customWidth="1"/>
    <col min="30" max="30" width="12.6640625" style="1" customWidth="1"/>
    <col min="31" max="31" width="13.44140625" style="1" bestFit="1" customWidth="1"/>
    <col min="32" max="32" width="13.77734375" style="1" bestFit="1" customWidth="1"/>
    <col min="33" max="16384" width="8.88671875" style="1"/>
  </cols>
  <sheetData>
    <row r="1" spans="1:32" s="13" customFormat="1" ht="28.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4" t="s">
        <v>20</v>
      </c>
      <c r="Z1" s="13" t="s">
        <v>21</v>
      </c>
      <c r="AA1" s="13" t="s">
        <v>22</v>
      </c>
      <c r="AB1" s="13" t="s">
        <v>235</v>
      </c>
      <c r="AC1" s="13" t="s">
        <v>236</v>
      </c>
      <c r="AD1" s="13" t="s">
        <v>237</v>
      </c>
      <c r="AE1" s="13" t="s">
        <v>236</v>
      </c>
      <c r="AF1" s="13" t="s">
        <v>237</v>
      </c>
    </row>
    <row r="2" spans="1:32" s="15" customFormat="1">
      <c r="A2" s="15" t="s">
        <v>23</v>
      </c>
      <c r="B2" s="15" t="s">
        <v>24</v>
      </c>
      <c r="C2" s="15" t="s">
        <v>25</v>
      </c>
      <c r="D2" s="16">
        <v>44105</v>
      </c>
      <c r="E2" s="16">
        <v>44925</v>
      </c>
      <c r="F2" s="15" t="s">
        <v>26</v>
      </c>
      <c r="G2" s="14">
        <v>456</v>
      </c>
      <c r="H2" s="14">
        <v>605.75</v>
      </c>
      <c r="I2" s="14">
        <v>165</v>
      </c>
      <c r="J2" s="14" t="s">
        <v>27</v>
      </c>
      <c r="K2" s="17">
        <f>Table1[[#This Row],[Estimated Hours]]*Table1[[#This Row],[Hourly rate]]*1.15</f>
        <v>86526</v>
      </c>
      <c r="L2" s="14" t="s">
        <v>28</v>
      </c>
      <c r="M2" s="15" t="s">
        <v>29</v>
      </c>
      <c r="N2" s="14">
        <f>_xlfn.XLOOKUP(Table1[[#This Row],[Project Number]],import!$J$2:$J$22,import!$N$2:$N$22)</f>
        <v>29684478</v>
      </c>
      <c r="O2" s="16">
        <v>44113</v>
      </c>
      <c r="P2" s="15" t="s">
        <v>30</v>
      </c>
      <c r="Q2" s="18" t="s">
        <v>31</v>
      </c>
      <c r="R2" s="15">
        <v>45.5853088</v>
      </c>
      <c r="S2" s="15">
        <v>-73.709455800000001</v>
      </c>
      <c r="T2" t="s">
        <v>32</v>
      </c>
      <c r="U2" s="18" t="s">
        <v>33</v>
      </c>
      <c r="Z2" s="15" t="str">
        <f>_xlfn.XLOOKUP(Table1[[#This Row],[Project Number]],import!$J$2:$J$24,import!$C$2:$C$24)</f>
        <v>Distribution GVA</v>
      </c>
      <c r="AA2" s="15" t="str">
        <f>_xlfn.XLOOKUP(Table1[[#This Row],[Project Number]],import!$J$2:$J$24,import!$B$2:$B$24)</f>
        <v>Implantation SAP HANA Azure + We Go Trade</v>
      </c>
      <c r="AB2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&lt;type&gt;street_address&lt;/type&gt;
  &lt;formatted_address&gt;1950 Boulevard des Laurentides, Laval, QC H7M 2Y9, Canada&lt;/formatted_address&gt;
  &lt;address_component&gt;
   &lt;long_name&gt;1950&lt;/long_name&gt;
   &lt;short_name&gt;1950&lt;/short_name&gt;
   &lt;type&gt;street_number&lt;/type&gt;
  &lt;/address_component&gt;
  &lt;address_component&gt;
   &lt;long_name&gt;Boulevard des Laurentides&lt;/long_name&gt;
   &lt;short_name&gt;Boulevard des Laurentides&lt;/short_name&gt;
   &lt;type&gt;route&lt;/type&gt;
  &lt;/address_component&gt;
  &lt;address_component&gt;
   &lt;long_name&gt;Laval&lt;/long_name&gt;
   &lt;short_name&gt;Laval&lt;/short_name&gt;
   &lt;type&gt;locality&lt;/type&gt;
   &lt;type&gt;political&lt;/type&gt;
  &lt;/address_component&gt;
  &lt;address_component&gt;
   &lt;long_name&gt;Laval&lt;/long_name&gt;
   &lt;short_name&gt;Laval&lt;/short_name&gt;
   &lt;type&gt;administrative_area_level_3&lt;/type&gt;
   &lt;type&gt;political&lt;/type&gt;
  &lt;/address_component&gt;
  &lt;address_component&gt;
   &lt;long_name&gt;Laval&lt;/long_name&gt;
   &lt;short_name&gt;Laval&lt;/short_name&gt;
   &lt;type&gt;administrative_area_level_2&lt;/type&gt;
   &lt;type&gt;political&lt;/type&gt;
  &lt;/address_component&gt;
  &lt;address_component&gt;
   &lt;long_name&gt;Quebec&lt;/long_name&gt;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&lt;long_name&gt;H7M 2Y9&lt;/long_name&gt;
   &lt;short_name&gt;H7M 2Y9&lt;/short_name&gt;
   &lt;type&gt;postal_code&lt;/type&gt;
  &lt;/address_component&gt;
  &lt;geometry&gt;
   &lt;location&gt;
    &lt;lat&gt;45.5853088&lt;/lat&gt;
    &lt;lng&gt;-73.7094558&lt;/lng&gt;
   &lt;/location&gt;
   &lt;location_type&gt;ROOFTOP&lt;/location_type&gt;
   &lt;viewport&gt;
    &lt;southwest&gt;
     &lt;lat&gt;45.5840079&lt;/lat&gt;
     &lt;lng&gt;-73.7107165&lt;/lng&gt;
    &lt;/southwest&gt;
    &lt;northeast&gt;
     &lt;lat&gt;45.5867059&lt;/lat&gt;
     &lt;lng&gt;-73.7080185&lt;/lng&gt;
    &lt;/northeast&gt;
   &lt;/viewport&gt;
  &lt;/geometry&gt;
  &lt;place_id&gt;ChIJO9PUOZshyUwRawCBahBqH5Y&lt;/place_id&gt;
  &lt;plus_code&gt;
   &lt;global_code&gt;87Q8H7PR+46&lt;/global_code&gt;
   &lt;compound_code&gt;H7PR+46 Laval, QC, Canada&lt;/compound_code&gt;
  &lt;/plus_code&gt;
 &lt;/result&gt;
&lt;/GeocodeResponse&gt;
</v>
      </c>
      <c r="AC2" s="15">
        <v>45.5853088</v>
      </c>
      <c r="AD2" s="15">
        <v>-73.709455800000001</v>
      </c>
      <c r="AE2" s="15" cm="1">
        <f t="array" ref="AE2">_xlfn.FILTERXML(AB2,"//location/lat")</f>
        <v>45.5853088</v>
      </c>
      <c r="AF2" s="15" cm="1">
        <f t="array" ref="AF2">_xlfn.FILTERXML(AB2,"//location/lng")</f>
        <v>-73.709455800000001</v>
      </c>
    </row>
    <row r="3" spans="1:32" s="15" customFormat="1" ht="28.8">
      <c r="A3" s="15" t="s">
        <v>23</v>
      </c>
      <c r="B3" s="15" t="s">
        <v>34</v>
      </c>
      <c r="C3" s="15" t="s">
        <v>35</v>
      </c>
      <c r="D3" s="16">
        <v>44297</v>
      </c>
      <c r="E3" s="16">
        <v>44925</v>
      </c>
      <c r="F3" s="15" t="s">
        <v>36</v>
      </c>
      <c r="G3" s="14">
        <v>207</v>
      </c>
      <c r="H3" s="14">
        <v>159.75</v>
      </c>
      <c r="I3" s="14">
        <v>155</v>
      </c>
      <c r="J3" s="14" t="s">
        <v>27</v>
      </c>
      <c r="K3" s="17">
        <f>Table1[[#This Row],[Estimated Hours]]*Table1[[#This Row],[Hourly rate]]*1.15</f>
        <v>36897.75</v>
      </c>
      <c r="L3" s="14" t="s">
        <v>37</v>
      </c>
      <c r="M3" s="15" t="s">
        <v>38</v>
      </c>
      <c r="N3" s="14">
        <f>_xlfn.XLOOKUP(Table1[[#This Row],[Project Number]],import!$J$2:$J$22,import!$N$2:$N$22)</f>
        <v>29684754</v>
      </c>
      <c r="O3" s="16">
        <v>44297</v>
      </c>
      <c r="P3" s="15" t="s">
        <v>30</v>
      </c>
      <c r="Q3" s="18" t="s">
        <v>39</v>
      </c>
      <c r="R3" s="15">
        <v>46.339994599999997</v>
      </c>
      <c r="S3" s="15">
        <v>-72.555064299999998</v>
      </c>
      <c r="T3" s="19" t="s">
        <v>40</v>
      </c>
      <c r="U3" s="23" t="s">
        <v>41</v>
      </c>
      <c r="Z3" s="15" t="str">
        <f>_xlfn.XLOOKUP(Table1[[#This Row],[Project Number]],import!$J$2:$J$24,import!$C$2:$C$24)</f>
        <v>SIT Mauricie</v>
      </c>
      <c r="AA3" s="15" t="str">
        <f>_xlfn.XLOOKUP(Table1[[#This Row],[Project Number]],import!$J$2:$J$24,import!$B$2:$B$24)</f>
        <v>Implantation SAP SQL Produmex</v>
      </c>
      <c r="AB3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&lt;type&gt;premise&lt;/type&gt;
  &lt;formatted_address&gt;1090 Rue de la Vérendrye, Trois-Rivières, QC G9A 2S8, Canada&lt;/formatted_address&gt;
  &lt;address_component&gt;
   &lt;long_name&gt;1090&lt;/long_name&gt;
   &lt;short_name&gt;1090&lt;/short_name&gt;
   &lt;type&gt;street_number&lt;/type&gt;
  &lt;/address_component&gt;
  &lt;address_component&gt;
   &lt;long_name&gt;Rue de la Vérendrye&lt;/long_name&gt;
   &lt;short_name&gt;Rue de la Vérendrye&lt;/short_name&gt;
   &lt;type&gt;route&lt;/type&gt;
  &lt;/address_component&gt;
  &lt;address_component&gt;
   &lt;long_name&gt;Trois-Rivières&lt;/long_name&gt;
   &lt;short_name&gt;Trois-Rivières&lt;/short_name&gt;
   &lt;type&gt;locality&lt;/type&gt;
   &lt;type&gt;political&lt;/type&gt;
  &lt;/address_component&gt;
  &lt;address_component&gt;
   &lt;long_name&gt;Francheville&lt;/long_name&gt;
   &lt;short_name&gt;Francheville&lt;/short_name&gt;
   &lt;type&gt;administrative_area_level_3&lt;/type&gt;
   &lt;type&gt;political&lt;/type&gt;
  &lt;/address_component&gt;
  &lt;address_component&gt;
   &lt;long_name&gt;Mauricie&lt;/long_name&gt;
   &lt;short_name&gt;Mauricie&lt;/short_name&gt;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&lt;long_name&gt;G9A 2S8&lt;/long_name&gt;
   &lt;short_name&gt;G9A 2S8&lt;/short_name&gt;
   &lt;type&gt;postal_code&lt;/type&gt;
  &lt;/address_component&gt;
  &lt;geometry&gt;
   &lt;location&gt;
    &lt;lat&gt;46.3400890&lt;/lat&gt;
    &lt;lng&gt;-72.5549294&lt;/lng&gt;
   &lt;/location&gt;
   &lt;location_type&gt;ROOFTOP&lt;/location_type&gt;
   &lt;viewport&gt;
    &lt;southwest&gt;
     &lt;lat&gt;46.3387407&lt;/lat&gt;
     &lt;lng&gt;-72.5565440&lt;/lng&gt;
    &lt;/southwest&gt;
    &lt;northeast&gt;
     &lt;lat&gt;46.3414386&lt;/lat&gt;
     &lt;lng&gt;-72.5538461&lt;/lng&gt;
    &lt;/northeast&gt;
   &lt;/viewport&gt;
   &lt;bounds&gt;
    &lt;southwest&gt;
     &lt;lat&gt;46.3399522&lt;/lat&gt;
     &lt;lng&gt;-72.5551086&lt;/lng&gt;
    &lt;/southwest&gt;
    &lt;northeast&gt;
     &lt;lat&gt;46.3402271&lt;/lat&gt;
     &lt;lng&gt;-72.5547767&lt;/lng&gt;
    &lt;/northeast&gt;
   &lt;/bounds&gt;
  &lt;/geometry&gt;
  &lt;place_id&gt;ChIJHdaERavIx0wRZdvjCTT0kxA&lt;/place_id&gt;
 &lt;/result&gt;
&lt;/GeocodeResponse&gt;
</v>
      </c>
      <c r="AC3" s="15">
        <v>46.340088999999999</v>
      </c>
      <c r="AD3" s="15">
        <v>-72.554929400000006</v>
      </c>
      <c r="AE3" s="15" cm="1">
        <f t="array" ref="AE3">_xlfn.FILTERXML(AB3,"//location/lat")</f>
        <v>46.340088999999999</v>
      </c>
      <c r="AF3" s="15" cm="1">
        <f t="array" ref="AF3">_xlfn.FILTERXML(AB3,"//location/lng")</f>
        <v>-72.554929400000006</v>
      </c>
    </row>
    <row r="4" spans="1:32" s="15" customFormat="1" ht="28.8">
      <c r="A4" s="15" t="s">
        <v>42</v>
      </c>
      <c r="B4" s="15" t="s">
        <v>43</v>
      </c>
      <c r="C4" s="15" t="s">
        <v>44</v>
      </c>
      <c r="D4" s="16">
        <v>44375</v>
      </c>
      <c r="E4" s="16">
        <v>44925</v>
      </c>
      <c r="F4" s="15" t="s">
        <v>36</v>
      </c>
      <c r="G4" s="14">
        <v>401</v>
      </c>
      <c r="H4" s="14">
        <v>274</v>
      </c>
      <c r="I4" s="14">
        <v>165</v>
      </c>
      <c r="J4" s="14" t="s">
        <v>27</v>
      </c>
      <c r="K4" s="17">
        <f>Table1[[#This Row],[Estimated Hours]]*Table1[[#This Row],[Hourly rate]]*1.15</f>
        <v>76089.75</v>
      </c>
      <c r="L4" s="14" t="s">
        <v>45</v>
      </c>
      <c r="M4" s="15" t="s">
        <v>46</v>
      </c>
      <c r="N4" s="14">
        <f>_xlfn.XLOOKUP(Table1[[#This Row],[Project Number]],import!$J$2:$J$22,import!$N$2:$N$22)</f>
        <v>29685238</v>
      </c>
      <c r="O4" s="16">
        <v>44391</v>
      </c>
      <c r="P4" s="15" t="s">
        <v>30</v>
      </c>
      <c r="Q4" s="18" t="s">
        <v>47</v>
      </c>
      <c r="R4" s="15">
        <v>45.611036800000001</v>
      </c>
      <c r="S4" s="15">
        <v>-73.856229299999995</v>
      </c>
      <c r="T4" s="19" t="s">
        <v>48</v>
      </c>
      <c r="U4" s="18" t="s">
        <v>49</v>
      </c>
      <c r="Z4" s="15" t="str">
        <f>_xlfn.XLOOKUP(Table1[[#This Row],[Project Number]],import!$J$2:$J$24,import!$C$2:$C$24)</f>
        <v>Éditions Chouette</v>
      </c>
      <c r="AA4" s="15" t="str">
        <f>_xlfn.XLOOKUP(Table1[[#This Row],[Project Number]],import!$J$2:$J$24,import!$B$2:$B$24)</f>
        <v>Implantation Editions Chouette</v>
      </c>
      <c r="AB4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&lt;type&gt;premise&lt;/type&gt;
  &lt;formatted_address&gt;2515 Av. de la Renaissance, Boisbriand, QC J7H 1T9, Canada&lt;/formatted_address&gt;
  &lt;address_component&gt;
   &lt;long_name&gt;2515&lt;/long_name&gt;
   &lt;short_name&gt;2515&lt;/short_name&gt;
   &lt;type&gt;street_number&lt;/type&gt;
  &lt;/address_component&gt;
  &lt;address_component&gt;
   &lt;long_name&gt;Avenue de la Renaissance&lt;/long_name&gt;
   &lt;short_name&gt;Av. de la Renaissance&lt;/short_name&gt;
   &lt;type&gt;route&lt;/type&gt;
  &lt;/address_component&gt;
  &lt;address_component&gt;
   &lt;long_name&gt;Boisbriand&lt;/long_name&gt;
   &lt;short_name&gt;Boisbriand&lt;/short_name&gt;
   &lt;type&gt;locality&lt;/type&gt;
   &lt;type&gt;political&lt;/type&gt;
  &lt;/address_component&gt;
  &lt;address_component&gt;
   &lt;long_name&gt;Thérèse-De Blainville&lt;/long_name&gt;
   &lt;short_name&gt;Thérèse-De Blainville&lt;/short_name&gt;
   &lt;type&gt;administrative_area_level_3&lt;/type&gt;
   &lt;type&gt;political&lt;/type&gt;
  &lt;/address_component&gt;
  &lt;address_component&gt;
   &lt;long_name&gt;Laurentides&lt;/long_name&gt;
   &lt;short_name&gt;Laurentides&lt;/short_name&gt;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&lt;long_name&gt;J7H 1T9&lt;/long_name&gt;
   &lt;short_name&gt;J7H 1T9&lt;/short_name&gt;
   &lt;type&gt;postal_code&lt;/type&gt;
  &lt;/address_component&gt;
  &lt;geometry&gt;
   &lt;location&gt;
    &lt;lat&gt;45.6108305&lt;/lat&gt;
    &lt;lng&gt;-73.8565307&lt;/lng&gt;
   &lt;/location&gt;
   &lt;location_type&gt;ROOFTOP&lt;/location_type&gt;
   &lt;viewport&gt;
    &lt;southwest&gt;
     &lt;lat&gt;45.6095587&lt;/lat&gt;
     &lt;lng&gt;-73.8578684&lt;/lng&gt;
    &lt;/southwest&gt;
    &lt;northeast&gt;
     &lt;lat&gt;45.6122567&lt;/lat&gt;
     &lt;lng&gt;-73.8551704&lt;/lng&gt;
    &lt;/northeast&gt;
   &lt;/viewport&gt;
   &lt;bounds&gt;
    &lt;southwest&gt;
     &lt;lat&gt;45.6105332&lt;/lat&gt;
     &lt;lng&gt;-73.8571507&lt;/lng&gt;
    &lt;/southwest&gt;
    &lt;northeast&gt;
     &lt;lat&gt;45.6112822&lt;/lat&gt;
     &lt;lng&gt;-73.8559985&lt;/lng&gt;
    &lt;/northeast&gt;
   &lt;/bounds&gt;
  &lt;/geometry&gt;
  &lt;place_id&gt;ChIJJ0D9_RsmyUwR1fZvQsNu9gM&lt;/place_id&gt;
 &lt;/result&gt;
&lt;/GeocodeResponse&gt;
</v>
      </c>
      <c r="AC4" s="15">
        <v>45.610830499999999</v>
      </c>
      <c r="AD4" s="15">
        <v>-73.856530699999993</v>
      </c>
      <c r="AE4" s="15" cm="1">
        <f t="array" ref="AE4">_xlfn.FILTERXML(AB4,"//location/lat")</f>
        <v>45.610830499999999</v>
      </c>
      <c r="AF4" s="15" cm="1">
        <f t="array" ref="AF4">_xlfn.FILTERXML(AB4,"//location/lng")</f>
        <v>-73.856530699999993</v>
      </c>
    </row>
    <row r="5" spans="1:32" s="15" customFormat="1" ht="28.8">
      <c r="A5" s="15" t="s">
        <v>42</v>
      </c>
      <c r="B5" s="15" t="s">
        <v>50</v>
      </c>
      <c r="C5" s="15" t="s">
        <v>51</v>
      </c>
      <c r="D5" s="16">
        <v>44392</v>
      </c>
      <c r="E5" s="16">
        <v>44925</v>
      </c>
      <c r="F5" s="15" t="s">
        <v>36</v>
      </c>
      <c r="G5" s="14">
        <v>781</v>
      </c>
      <c r="H5" s="14">
        <v>759.25</v>
      </c>
      <c r="I5" s="14">
        <v>165</v>
      </c>
      <c r="J5" s="14" t="s">
        <v>27</v>
      </c>
      <c r="K5" s="17">
        <f>Table1[[#This Row],[Estimated Hours]]*Table1[[#This Row],[Hourly rate]]*1.15</f>
        <v>148194.75</v>
      </c>
      <c r="L5" s="14" t="s">
        <v>52</v>
      </c>
      <c r="M5" s="15" t="s">
        <v>53</v>
      </c>
      <c r="N5" s="14">
        <f>_xlfn.XLOOKUP(Table1[[#This Row],[Project Number]],import!$J$2:$J$22,import!$N$2:$N$22)</f>
        <v>29684798</v>
      </c>
      <c r="O5" s="16">
        <v>44392</v>
      </c>
      <c r="P5" s="15" t="s">
        <v>30</v>
      </c>
      <c r="Q5" s="18" t="s">
        <v>54</v>
      </c>
      <c r="R5" s="15">
        <v>50.483629899999997</v>
      </c>
      <c r="S5" s="15">
        <v>-104.7133565</v>
      </c>
      <c r="T5" s="19" t="s">
        <v>55</v>
      </c>
      <c r="U5" s="23" t="s">
        <v>56</v>
      </c>
      <c r="Z5" s="15" t="str">
        <f>_xlfn.XLOOKUP(Table1[[#This Row],[Project Number]],import!$J$2:$J$24,import!$C$2:$C$24)</f>
        <v>O&amp;T Farms</v>
      </c>
      <c r="AA5" s="15" t="str">
        <f>_xlfn.XLOOKUP(Table1[[#This Row],[Project Number]],import!$J$2:$J$24,import!$B$2:$B$24)</f>
        <v>Implementation SAP HANA Versago</v>
      </c>
      <c r="AB5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&lt;type&gt;intersection&lt;/type&gt;
  &lt;formatted_address&gt;Pinkie Rd &amp;amp; Sherwood Dr, Regina, SK S0G 3W0, Canada&lt;/formatted_address&gt;
  &lt;address_component&gt;
   &lt;long_name&gt;Pinkie Road &amp;amp; Sherwood Drive&lt;/long_name&gt;
   &lt;short_name&gt;Pinkie Rd &amp;amp; Sherwood Dr&lt;/short_name&gt;
   &lt;type&gt;intersection&lt;/type&gt;
  &lt;/address_component&gt;
  &lt;address_component&gt;
   &lt;long_name&gt;Regina&lt;/long_name&gt;
   &lt;short_name&gt;Regina&lt;/short_name&gt;
   &lt;type&gt;locality&lt;/type&gt;
   &lt;type&gt;political&lt;/type&gt;
  &lt;/address_component&gt;
  &lt;address_component&gt;
   &lt;long_name&gt;Sherwood No. 159&lt;/long_name&gt;
   &lt;short_name&gt;Sherwood No. 159&lt;/short_name&gt;
   &lt;type&gt;administrative_area_level_2&lt;/type&gt;
   &lt;type&gt;political&lt;/type&gt;
  &lt;/address_component&gt;
  &lt;address_component&gt;
   &lt;long_name&gt;Saskatchewan&lt;/long_name&gt;
   &lt;short_name&gt;SK&lt;/short_name&gt;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&lt;long_name&gt;S0G 3W0&lt;/long_name&gt;
   &lt;short_name&gt;S0G 3W0&lt;/short_name&gt;
   &lt;type&gt;postal_code&lt;/type&gt;
  &lt;/address_component&gt;
  &lt;geometry&gt;
   &lt;location&gt;
    &lt;lat&gt;50.4810906&lt;/lat&gt;
    &lt;lng&gt;-104.7098067&lt;/lng&gt;
   &lt;/location&gt;
   &lt;location_type&gt;GEOMETRIC_CENTER&lt;/location_type&gt;
   &lt;viewport&gt;
    &lt;southwest&gt;
     &lt;lat&gt;50.4797416&lt;/lat&gt;
     &lt;lng&gt;-104.7111557&lt;/lng&gt;
    &lt;/southwest&gt;
    &lt;northeast&gt;
     &lt;lat&gt;50.4824396&lt;/lat&gt;
     &lt;lng&gt;-104.7084577&lt;/lng&gt;
    &lt;/northeast&gt;
   &lt;/viewport&gt;
  &lt;/geometry&gt;
  &lt;place_id&gt;EjNQaW5raWUgUmQgJiBTaGVyd29vZCBEciwgUmVnaW5hLCBTSyBTMEcgM1cwLCBDYW5hZGEiZiJkChQKEgmJzLUybxwcUxHhZuVxdekflxIUChIJicy1Mm8cHFMR4WblcXXpH5caFAoSCSl7GW6Opx5TEQ3vbph6M3NbGhQKEgnRRpFZIBwcUxEzpR0fpY7g1CIKDZrNFh4VLY2WwQ&lt;/place_id&gt;
 &lt;/result&gt;
&lt;/GeocodeResponse&gt;
</v>
      </c>
      <c r="AC5" s="15">
        <v>50.473944199999998</v>
      </c>
      <c r="AD5" s="15">
        <v>-104.70972999999999</v>
      </c>
      <c r="AE5" s="15" cm="1">
        <f t="array" ref="AE5">_xlfn.FILTERXML(AB5,"//location/lat")</f>
        <v>50.481090600000002</v>
      </c>
      <c r="AF5" s="15" cm="1">
        <f t="array" ref="AF5">_xlfn.FILTERXML(AB5,"//location/lng")</f>
        <v>-104.7098067</v>
      </c>
    </row>
    <row r="6" spans="1:32" s="15" customFormat="1" ht="28.8">
      <c r="A6" s="15" t="s">
        <v>42</v>
      </c>
      <c r="B6" s="15" t="s">
        <v>57</v>
      </c>
      <c r="C6" s="15" t="s">
        <v>58</v>
      </c>
      <c r="D6" s="16">
        <v>44409</v>
      </c>
      <c r="E6" s="16">
        <v>44926</v>
      </c>
      <c r="F6" s="15" t="s">
        <v>36</v>
      </c>
      <c r="G6" s="14">
        <v>202</v>
      </c>
      <c r="H6" s="14">
        <v>76.75</v>
      </c>
      <c r="I6" s="14">
        <v>150</v>
      </c>
      <c r="J6" s="14" t="s">
        <v>27</v>
      </c>
      <c r="K6" s="17">
        <f>Table1[[#This Row],[Estimated Hours]]*Table1[[#This Row],[Hourly rate]]*1.15</f>
        <v>34845</v>
      </c>
      <c r="L6" s="14" t="s">
        <v>59</v>
      </c>
      <c r="M6" s="15" t="s">
        <v>60</v>
      </c>
      <c r="N6" s="14">
        <f>_xlfn.XLOOKUP(Table1[[#This Row],[Project Number]],import!$J$2:$J$22,import!$N$2:$N$22)</f>
        <v>29684804</v>
      </c>
      <c r="O6" s="16">
        <v>44412</v>
      </c>
      <c r="P6" s="15" t="s">
        <v>61</v>
      </c>
      <c r="Q6" s="18" t="s">
        <v>62</v>
      </c>
      <c r="R6" s="15">
        <v>45.597503199999998</v>
      </c>
      <c r="S6" s="15">
        <v>-73.216579800000005</v>
      </c>
      <c r="T6" s="19" t="s">
        <v>63</v>
      </c>
      <c r="U6" s="23" t="s">
        <v>64</v>
      </c>
      <c r="Z6" s="15" t="str">
        <f>_xlfn.XLOOKUP(Table1[[#This Row],[Project Number]],import!$J$2:$J$24,import!$C$2:$C$24)</f>
        <v>Entreprise Tenzo inc.</v>
      </c>
      <c r="AA6" s="15" t="str">
        <f>_xlfn.XLOOKUP(Table1[[#This Row],[Project Number]],import!$J$2:$J$24,import!$B$2:$B$24)</f>
        <v>Implantation WMS</v>
      </c>
      <c r="AB6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&lt;type&gt;street_address&lt;/type&gt;
  &lt;formatted_address&gt;1101 Rue Louis-Marchand, Beloeil, QC J3G 6S4, Canada&lt;/formatted_address&gt;
  &lt;address_component&gt;
   &lt;long_name&gt;1101&lt;/long_name&gt;
   &lt;short_name&gt;1101&lt;/short_name&gt;
   &lt;type&gt;street_number&lt;/type&gt;
  &lt;/address_component&gt;
  &lt;address_component&gt;
   &lt;long_name&gt;Rue Louis-Marchand&lt;/long_name&gt;
   &lt;short_name&gt;Rue Louis-Marchand&lt;/short_name&gt;
   &lt;type&gt;route&lt;/type&gt;
  &lt;/address_component&gt;
  &lt;address_component&gt;
   &lt;long_name&gt;Beloeil&lt;/long_name&gt;
   &lt;short_name&gt;Beloeil&lt;/short_name&gt;
   &lt;type&gt;locality&lt;/type&gt;
   &lt;type&gt;political&lt;/type&gt;
  &lt;/address_component&gt;
  &lt;address_component&gt;
   &lt;long_name&gt;La Vallée-du-Richelieu&lt;/long_name&gt;
   &lt;short_name&gt;La Vallée-du-Richelieu&lt;/short_name&gt;
   &lt;type&gt;administrative_area_level_3&lt;/type&gt;
   &lt;type&gt;political&lt;/type&gt;
  &lt;/address_component&gt;
  &lt;address_component&gt;
   &lt;long_name&gt;Montérégie&lt;/long_name&gt;
   &lt;short_name&gt;Montérégie&lt;/short_name&gt;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&lt;long_name&gt;J3G 6S4&lt;/long_name&gt;
   &lt;short_name&gt;J3G 6S4&lt;/short_name&gt;
   &lt;type&gt;postal_code&lt;/type&gt;
  &lt;/address_component&gt;
  &lt;geometry&gt;
   &lt;location&gt;
    &lt;lat&gt;45.5975032&lt;/lat&gt;
    &lt;lng&gt;-73.2165798&lt;/lng&gt;
   &lt;/location&gt;
   &lt;location_type&gt;ROOFTOP&lt;/location_type&gt;
   &lt;viewport&gt;
    &lt;southwest&gt;
     &lt;lat&gt;45.5960680&lt;/lat&gt;
     &lt;lng&gt;-73.2180755&lt;/lng&gt;
    &lt;/southwest&gt;
    &lt;northeast&gt;
     &lt;lat&gt;45.5987660&lt;/lat&gt;
     &lt;lng&gt;-73.2153775&lt;/lng&gt;
    &lt;/northeast&gt;
   &lt;/viewport&gt;
  &lt;/geometry&gt;
  &lt;place_id&gt;ChIJR-4Gnl1VyEwRk3z1qrJXnhs&lt;/place_id&gt;
  &lt;plus_code&gt;
   &lt;global_code&gt;87Q8HQXM+29&lt;/global_code&gt;
   &lt;compound_code&gt;HQXM+29 Beloeil, QC, Canada&lt;/compound_code&gt;
  &lt;/plus_code&gt;
 &lt;/result&gt;
&lt;/GeocodeResponse&gt;
</v>
      </c>
      <c r="AC6" s="15">
        <v>45.597503199999998</v>
      </c>
      <c r="AD6" s="15">
        <v>-73.216579800000005</v>
      </c>
      <c r="AE6" s="15" cm="1">
        <f t="array" ref="AE6">_xlfn.FILTERXML(AB6,"//location/lat")</f>
        <v>45.597503199999998</v>
      </c>
      <c r="AF6" s="15" cm="1">
        <f t="array" ref="AF6">_xlfn.FILTERXML(AB6,"//location/lng")</f>
        <v>-73.216579800000005</v>
      </c>
    </row>
    <row r="7" spans="1:32" s="15" customFormat="1" ht="28.8">
      <c r="A7" s="15" t="s">
        <v>42</v>
      </c>
      <c r="B7" s="15" t="s">
        <v>57</v>
      </c>
      <c r="C7" s="15" t="s">
        <v>65</v>
      </c>
      <c r="D7" s="16">
        <v>44440</v>
      </c>
      <c r="E7" s="16">
        <v>44925</v>
      </c>
      <c r="F7" s="15" t="s">
        <v>26</v>
      </c>
      <c r="G7" s="14">
        <v>200</v>
      </c>
      <c r="H7" s="14">
        <v>103.25</v>
      </c>
      <c r="I7" s="14">
        <v>155</v>
      </c>
      <c r="J7" s="14" t="s">
        <v>27</v>
      </c>
      <c r="K7" s="17">
        <f>Table1[[#This Row],[Estimated Hours]]*Table1[[#This Row],[Hourly rate]]*1.15</f>
        <v>35650</v>
      </c>
      <c r="L7" s="14" t="s">
        <v>66</v>
      </c>
      <c r="M7" s="15" t="s">
        <v>67</v>
      </c>
      <c r="N7" s="14">
        <f>_xlfn.XLOOKUP(Table1[[#This Row],[Project Number]],import!$J$2:$J$22,import!$N$2:$N$22)</f>
        <v>29684829</v>
      </c>
      <c r="O7" s="16">
        <v>44461</v>
      </c>
      <c r="P7" s="15" t="s">
        <v>61</v>
      </c>
      <c r="Q7" s="18" t="s">
        <v>68</v>
      </c>
      <c r="R7" s="15">
        <v>45.533236299999999</v>
      </c>
      <c r="S7" s="15">
        <v>-73.662847299999996</v>
      </c>
      <c r="T7" s="19" t="s">
        <v>69</v>
      </c>
      <c r="U7" s="23" t="s">
        <v>70</v>
      </c>
      <c r="Z7" s="15" t="str">
        <f>_xlfn.XLOOKUP(Table1[[#This Row],[Project Number]],import!$J$2:$J$24,import!$C$2:$C$24)</f>
        <v>Tzanet</v>
      </c>
      <c r="AA7" s="15" t="str">
        <f>_xlfn.XLOOKUP(Table1[[#This Row],[Project Number]],import!$J$2:$J$24,import!$B$2:$B$24)</f>
        <v>Implantation WMS</v>
      </c>
      <c r="AB7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&lt;type&gt;street_address&lt;/type&gt;
  &lt;formatted_address&gt;1375 Rue de Louvain O, Montréal, QC H4N 1G6, Canada&lt;/formatted_address&gt;
  &lt;address_component&gt;
   &lt;long_name&gt;1375&lt;/long_name&gt;
   &lt;short_name&gt;1375&lt;/short_name&gt;
   &lt;type&gt;street_number&lt;/type&gt;
  &lt;/address_component&gt;
  &lt;address_component&gt;
   &lt;long_name&gt;Rue de Louvain Ouest&lt;/long_name&gt;
   &lt;short_name&gt;Rue de Louvain O&lt;/short_name&gt;
   &lt;type&gt;route&lt;/type&gt;
  &lt;/address_component&gt;
  &lt;address_component&gt;
   &lt;long_name&gt;Ahuntsic-Cartierville&lt;/long_name&gt;
   &lt;short_name&gt;Ahuntsic-Cartierville&lt;/short_name&gt;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&lt;long_name&gt;H4N 1G6&lt;/long_name&gt;
   &lt;short_name&gt;H4N 1G6&lt;/short_name&gt;
   &lt;type&gt;postal_code&lt;/type&gt;
  &lt;/address_component&gt;
  &lt;geometry&gt;
   &lt;location&gt;
    &lt;lat&gt;45.5333564&lt;/lat&gt;
    &lt;lng&gt;-73.6629457&lt;/lng&gt;
   &lt;/location&gt;
   &lt;location_type&gt;ROOFTOP&lt;/location_type&gt;
   &lt;viewport&gt;
    &lt;southwest&gt;
     &lt;lat&gt;45.5320544&lt;/lat&gt;
     &lt;lng&gt;-73.6644763&lt;/lng&gt;
    &lt;/southwest&gt;
    &lt;northeast&gt;
     &lt;lat&gt;45.5347523&lt;/lat&gt;
     &lt;lng&gt;-73.6617783&lt;/lng&gt;
    &lt;/northeast&gt;
   &lt;/viewport&gt;
  &lt;/geometry&gt;
  &lt;place_id&gt;ChIJa5dKHvQYyUwRN3gqy0X5LBA&lt;/place_id&gt;
  &lt;plus_code&gt;
   &lt;global_code&gt;87Q8G8MP+8R&lt;/global_code&gt;
   &lt;compound_code&gt;G8MP+8R Montreal, QC, Canada&lt;/compound_code&gt;
  &lt;/plus_code&gt;
 &lt;/result&gt;
&lt;/GeocodeResponse&gt;
</v>
      </c>
      <c r="AC7" s="15">
        <v>45.533356400000002</v>
      </c>
      <c r="AD7" s="15">
        <v>-73.662945699999995</v>
      </c>
      <c r="AE7" s="15" cm="1">
        <f t="array" ref="AE7">_xlfn.FILTERXML(AB7,"//location/lat")</f>
        <v>45.533356400000002</v>
      </c>
      <c r="AF7" s="15" cm="1">
        <f t="array" ref="AF7">_xlfn.FILTERXML(AB7,"//location/lng")</f>
        <v>-73.662945699999995</v>
      </c>
    </row>
    <row r="8" spans="1:32" s="15" customFormat="1">
      <c r="A8" s="15" t="s">
        <v>42</v>
      </c>
      <c r="B8" s="15" t="s">
        <v>71</v>
      </c>
      <c r="C8" s="15" t="s">
        <v>72</v>
      </c>
      <c r="D8" s="16">
        <v>44519</v>
      </c>
      <c r="E8" s="16">
        <v>44925</v>
      </c>
      <c r="F8" s="15" t="s">
        <v>36</v>
      </c>
      <c r="G8" s="14">
        <v>212</v>
      </c>
      <c r="H8" s="14">
        <v>214.75</v>
      </c>
      <c r="I8" s="14">
        <v>195</v>
      </c>
      <c r="J8" s="14" t="s">
        <v>27</v>
      </c>
      <c r="K8" s="17">
        <f>Table1[[#This Row],[Estimated Hours]]*Table1[[#This Row],[Hourly rate]]*1.15</f>
        <v>47540.999999999993</v>
      </c>
      <c r="L8" s="14" t="s">
        <v>73</v>
      </c>
      <c r="M8" s="15" t="s">
        <v>74</v>
      </c>
      <c r="N8" s="14">
        <f>_xlfn.XLOOKUP(Table1[[#This Row],[Project Number]],import!$J$2:$J$22,import!$N$2:$N$22)</f>
        <v>29684853</v>
      </c>
      <c r="O8" s="16">
        <v>44519</v>
      </c>
      <c r="P8" s="15" t="s">
        <v>30</v>
      </c>
      <c r="Q8" s="18" t="s">
        <v>75</v>
      </c>
      <c r="R8" s="15">
        <v>43.178305999999999</v>
      </c>
      <c r="S8" s="15">
        <v>-80.241802800000002</v>
      </c>
      <c r="T8" t="s">
        <v>76</v>
      </c>
      <c r="U8" s="18" t="s">
        <v>77</v>
      </c>
      <c r="Z8" s="15" t="str">
        <f>_xlfn.XLOOKUP(Table1[[#This Row],[Project Number]],import!$J$2:$J$24,import!$C$2:$C$24)</f>
        <v>CMBB Bakeware Canada Inc.</v>
      </c>
      <c r="AA8" s="15" t="str">
        <f>_xlfn.XLOOKUP(Table1[[#This Row],[Project Number]],import!$J$2:$J$24,import!$B$2:$B$24)</f>
        <v>CMBB SAP Implementation</v>
      </c>
      <c r="AB8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&lt;type&gt;premise&lt;/type&gt;
  &lt;formatted_address&gt;84 Easton Rd, Brantford, ON N3P 1J5, Canada&lt;/formatted_address&gt;
  &lt;address_component&gt;
   &lt;long_name&gt;84&lt;/long_name&gt;
   &lt;short_name&gt;84&lt;/short_name&gt;
   &lt;type&gt;street_number&lt;/type&gt;
  &lt;/address_component&gt;
  &lt;address_component&gt;
   &lt;long_name&gt;Easton Road&lt;/long_name&gt;
   &lt;short_name&gt;Easton Rd&lt;/short_name&gt;
   &lt;type&gt;route&lt;/type&gt;
  &lt;/address_component&gt;
  &lt;address_component&gt;
   &lt;long_name&gt;Brantford&lt;/long_name&gt;
   &lt;short_name&gt;Brantford&lt;/short_name&gt;
   &lt;type&gt;locality&lt;/type&gt;
   &lt;type&gt;political&lt;/type&gt;
  &lt;/address_component&gt;
  &lt;address_component&gt;
   &lt;long_name&gt;Brantford&lt;/long_name&gt;
   &lt;short_name&gt;Brantford&lt;/short_name&gt;
   &lt;type&gt;administrative_area_level_3&lt;/type&gt;
   &lt;type&gt;political&lt;/type&gt;
  &lt;/address_component&gt;
  &lt;address_component&gt;
   &lt;long_name&gt;Brant County&lt;/long_name&gt;
   &lt;short_name&gt;Brant County&lt;/short_name&gt;
   &lt;type&gt;administrative_area_level_2&lt;/type&gt;
   &lt;type&gt;political&lt;/type&gt;
  &lt;/address_component&gt;
  &lt;address_component&gt;
   &lt;long_name&gt;Ontario&lt;/long_name&gt;
   &lt;short_name&gt;ON&lt;/short_name&gt;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&lt;long_name&gt;N3P 1J5&lt;/long_name&gt;
   &lt;short_name&gt;N3P 1J5&lt;/short_name&gt;
   &lt;type&gt;postal_code&lt;/type&gt;
  &lt;/address_component&gt;
  &lt;geometry&gt;
   &lt;location&gt;
    &lt;lat&gt;43.1783010&lt;/lat&gt;
    &lt;lng&gt;-80.2418278&lt;/lng&gt;
   &lt;/location&gt;
   &lt;location_type&gt;ROOFTOP&lt;/location_type&gt;
   &lt;viewport&gt;
    &lt;southwest&gt;
     &lt;lat&gt;43.1767280&lt;/lat&gt;
     &lt;lng&gt;-80.2429527&lt;/lng&gt;
    &lt;/southwest&gt;
    &lt;northeast&gt;
     &lt;lat&gt;43.1794259&lt;/lat&gt;
     &lt;lng&gt;-80.2402548&lt;/lng&gt;
    &lt;/northeast&gt;
   &lt;/viewport&gt;
   &lt;bounds&gt;
    &lt;southwest&gt;
     &lt;lat&gt;43.1779257&lt;/lat&gt;
     &lt;lng&gt;-80.2421689&lt;/lng&gt;
    &lt;/southwest&gt;
    &lt;northeast&gt;
     &lt;lat&gt;43.1786943&lt;/lat&gt;
     &lt;lng&gt;-80.2410386&lt;/lng&gt;
    &lt;/northeast&gt;
   &lt;/bounds&gt;
  &lt;/geometry&gt;
  &lt;place_id&gt;ChIJDaUZx6hlLIgRCOah1pk38gY&lt;/place_id&gt;
 &lt;/result&gt;
&lt;/GeocodeResponse&gt;
</v>
      </c>
      <c r="AC8" s="15">
        <v>43.178300999999998</v>
      </c>
      <c r="AD8" s="15">
        <v>-80.241827799999996</v>
      </c>
      <c r="AE8" s="15" cm="1">
        <f t="array" ref="AE8">_xlfn.FILTERXML(AB8,"//location/lat")</f>
        <v>43.178300999999998</v>
      </c>
      <c r="AF8" s="15" cm="1">
        <f t="array" ref="AF8">_xlfn.FILTERXML(AB8,"//location/lng")</f>
        <v>-80.241827799999996</v>
      </c>
    </row>
    <row r="9" spans="1:32" s="15" customFormat="1">
      <c r="A9" s="15" t="s">
        <v>42</v>
      </c>
      <c r="B9" s="15" t="s">
        <v>78</v>
      </c>
      <c r="C9" s="15" t="s">
        <v>79</v>
      </c>
      <c r="D9" s="16">
        <v>44531</v>
      </c>
      <c r="E9" s="16">
        <v>44926</v>
      </c>
      <c r="F9" s="15" t="s">
        <v>226</v>
      </c>
      <c r="G9" s="14">
        <v>40</v>
      </c>
      <c r="H9" s="14">
        <v>46.5</v>
      </c>
      <c r="I9" s="14">
        <v>160</v>
      </c>
      <c r="J9" s="14" t="s">
        <v>27</v>
      </c>
      <c r="K9" s="17">
        <f>Table1[[#This Row],[Estimated Hours]]*Table1[[#This Row],[Hourly rate]]*1.15</f>
        <v>7359.9999999999991</v>
      </c>
      <c r="L9" s="14" t="s">
        <v>80</v>
      </c>
      <c r="M9" s="15" t="s">
        <v>78</v>
      </c>
      <c r="N9" s="14">
        <f>_xlfn.XLOOKUP(Table1[[#This Row],[Project Number]],import!$J$2:$J$22,import!$N$2:$N$22)</f>
        <v>29684859</v>
      </c>
      <c r="O9" s="16">
        <v>44532</v>
      </c>
      <c r="P9" s="15" t="s">
        <v>81</v>
      </c>
      <c r="Q9" s="18" t="s">
        <v>82</v>
      </c>
      <c r="R9" s="15">
        <v>45.441374600000003</v>
      </c>
      <c r="S9" s="15">
        <v>-73.670454000000007</v>
      </c>
      <c r="T9" t="s">
        <v>83</v>
      </c>
      <c r="U9" s="18" t="s">
        <v>84</v>
      </c>
      <c r="Z9" s="15" t="str">
        <f>_xlfn.XLOOKUP(Table1[[#This Row],[Project Number]],import!$J$2:$J$24,import!$C$2:$C$24)</f>
        <v>Cowper Inc.</v>
      </c>
      <c r="AA9" s="15" t="str">
        <f>_xlfn.XLOOKUP(Table1[[#This Row],[Project Number]],import!$J$2:$J$24,import!$B$2:$B$24)</f>
        <v>Migration SAP V10</v>
      </c>
      <c r="AB9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&lt;type&gt;political&lt;/type&gt;
  &lt;type&gt;sublocality&lt;/type&gt;
  &lt;type&gt;sublocality_level_1&lt;/type&gt;
  &lt;formatted_address&gt;Lachine, Montreal, QC, Canada&lt;/formatted_address&gt;
  &lt;address_component&gt;
   &lt;long_name&gt;Lachine&lt;/long_name&gt;
   &lt;short_name&gt;Lachine&lt;/short_name&gt;
   &lt;type&gt;political&lt;/type&gt;
   &lt;type&gt;sublocality&lt;/type&gt;
   &lt;type&gt;sublocality_level_1&lt;/type&gt;
  &lt;/address_component&gt;
  &lt;address_component&gt;
   &lt;long_name&gt;Montreal&lt;/long_name&gt;
   &lt;short_name&gt;Montreal&lt;/short_name&gt;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&lt;long_name&gt;Montreal&lt;/long_name&gt;
   &lt;short_name&gt;Montreal&lt;/short_name&gt;
   &lt;type&gt;administrative_area_level_2&lt;/type&gt;
   &lt;type&gt;political&lt;/type&gt;
  &lt;/address_component&gt;
  &lt;address_component&gt;
   &lt;long_name&gt;Quebec&lt;/long_name&gt;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&lt;geometry&gt;
   &lt;location&gt;
    &lt;lat&gt;45.4418914&lt;/lat&gt;
    &lt;lng&gt;-73.6925307&lt;/lng&gt;
   &lt;/location&gt;
   &lt;location_type&gt;APPROXIMATE&lt;/location_type&gt;
   &lt;viewport&gt;
    &lt;southwest&gt;
     &lt;lat&gt;45.4276543&lt;/lat&gt;
     &lt;lng&gt;-73.7247893&lt;/lng&gt;
    &lt;/southwest&gt;
    &lt;northeast&gt;
     &lt;lat&gt;45.4733666&lt;/lat&gt;
     &lt;lng&gt;-73.6291450&lt;/lng&gt;
    &lt;/northeast&gt;
   &lt;/viewport&gt;
   &lt;bounds&gt;
    &lt;southwest&gt;
     &lt;lat&gt;45.4276543&lt;/lat&gt;
     &lt;lng&gt;-73.7247893&lt;/lng&gt;
    &lt;/southwest&gt;
    &lt;northeast&gt;
     &lt;lat&gt;45.4733666&lt;/lat&gt;
     &lt;lng&gt;-73.6291450&lt;/lng&gt;
    &lt;/northeast&gt;
   &lt;/bounds&gt;
  &lt;/geometry&gt;
  &lt;partial_match&gt;true&lt;/partial_match&gt;
  &lt;place_id&gt;ChIJz6tk6_wWyUwRRPQTIXql5-0&lt;/place_id&gt;
 &lt;/result&gt;
&lt;/GeocodeResponse&gt;
</v>
      </c>
      <c r="AC9" s="15">
        <v>45.441891400000003</v>
      </c>
      <c r="AD9" s="15">
        <v>-73.692530700000006</v>
      </c>
      <c r="AE9" s="15" cm="1">
        <f t="array" ref="AE9">_xlfn.FILTERXML(AB9,"//location/lat")</f>
        <v>45.441891400000003</v>
      </c>
      <c r="AF9" s="15" cm="1">
        <f t="array" ref="AF9">_xlfn.FILTERXML(AB9,"//location/lng")</f>
        <v>-73.692530700000006</v>
      </c>
    </row>
    <row r="10" spans="1:32" s="15" customFormat="1">
      <c r="A10" s="15" t="s">
        <v>42</v>
      </c>
      <c r="B10" s="15" t="s">
        <v>85</v>
      </c>
      <c r="C10" s="15" t="s">
        <v>79</v>
      </c>
      <c r="D10" s="16">
        <v>44893</v>
      </c>
      <c r="E10" s="16">
        <v>45092</v>
      </c>
      <c r="F10" s="15" t="s">
        <v>26</v>
      </c>
      <c r="G10" s="14">
        <v>30</v>
      </c>
      <c r="H10" s="14"/>
      <c r="I10" s="14">
        <v>160</v>
      </c>
      <c r="J10" s="14" t="s">
        <v>27</v>
      </c>
      <c r="K10" s="17">
        <f>Table1[[#This Row],[Estimated Hours]]*Table1[[#This Row],[Hourly rate]]*1.15</f>
        <v>5520</v>
      </c>
      <c r="L10" s="14" t="s">
        <v>86</v>
      </c>
      <c r="M10" s="15" t="s">
        <v>87</v>
      </c>
      <c r="N10" s="14">
        <f>_xlfn.XLOOKUP(Table1[[#This Row],[Project Number]],import!$J$2:$J$22,import!$N$2:$N$22)</f>
        <v>29685279</v>
      </c>
      <c r="O10" s="16">
        <v>44893</v>
      </c>
      <c r="P10" s="15" t="s">
        <v>81</v>
      </c>
      <c r="Q10" s="18" t="s">
        <v>82</v>
      </c>
      <c r="R10" s="15">
        <v>45.441374600000003</v>
      </c>
      <c r="S10" s="15">
        <v>-73.670454000000007</v>
      </c>
      <c r="T10" t="s">
        <v>83</v>
      </c>
      <c r="U10" s="18" t="s">
        <v>84</v>
      </c>
      <c r="Z10" s="15" t="str">
        <f>_xlfn.XLOOKUP(Table1[[#This Row],[Project Number]],import!$J$2:$J$24,import!$C$2:$C$24)</f>
        <v>Cowper Inc.</v>
      </c>
      <c r="AA10" s="15" t="str">
        <f>_xlfn.XLOOKUP(Table1[[#This Row],[Project Number]],import!$J$2:$J$24,import!$B$2:$B$24)</f>
        <v>Implantation Produmex Scan</v>
      </c>
      <c r="AB10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&lt;type&gt;political&lt;/type&gt;
  &lt;type&gt;sublocality&lt;/type&gt;
  &lt;type&gt;sublocality_level_1&lt;/type&gt;
  &lt;formatted_address&gt;Lachine, Montreal, QC, Canada&lt;/formatted_address&gt;
  &lt;address_component&gt;
   &lt;long_name&gt;Lachine&lt;/long_name&gt;
   &lt;short_name&gt;Lachine&lt;/short_name&gt;
   &lt;type&gt;political&lt;/type&gt;
   &lt;type&gt;sublocality&lt;/type&gt;
   &lt;type&gt;sublocality_level_1&lt;/type&gt;
  &lt;/address_component&gt;
  &lt;address_component&gt;
   &lt;long_name&gt;Montreal&lt;/long_name&gt;
   &lt;short_name&gt;Montreal&lt;/short_name&gt;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&lt;long_name&gt;Montreal&lt;/long_name&gt;
   &lt;short_name&gt;Montreal&lt;/short_name&gt;
   &lt;type&gt;administrative_area_level_2&lt;/type&gt;
   &lt;type&gt;political&lt;/type&gt;
  &lt;/address_component&gt;
  &lt;address_component&gt;
   &lt;long_name&gt;Quebec&lt;/long_name&gt;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&lt;geometry&gt;
   &lt;location&gt;
    &lt;lat&gt;45.4418914&lt;/lat&gt;
    &lt;lng&gt;-73.6925307&lt;/lng&gt;
   &lt;/location&gt;
   &lt;location_type&gt;APPROXIMATE&lt;/location_type&gt;
   &lt;viewport&gt;
    &lt;southwest&gt;
     &lt;lat&gt;45.4276543&lt;/lat&gt;
     &lt;lng&gt;-73.7247893&lt;/lng&gt;
    &lt;/southwest&gt;
    &lt;northeast&gt;
     &lt;lat&gt;45.4733666&lt;/lat&gt;
     &lt;lng&gt;-73.6291450&lt;/lng&gt;
    &lt;/northeast&gt;
   &lt;/viewport&gt;
   &lt;bounds&gt;
    &lt;southwest&gt;
     &lt;lat&gt;45.4276543&lt;/lat&gt;
     &lt;lng&gt;-73.7247893&lt;/lng&gt;
    &lt;/southwest&gt;
    &lt;northeast&gt;
     &lt;lat&gt;45.4733666&lt;/lat&gt;
     &lt;lng&gt;-73.6291450&lt;/lng&gt;
    &lt;/northeast&gt;
   &lt;/bounds&gt;
  &lt;/geometry&gt;
  &lt;partial_match&gt;true&lt;/partial_match&gt;
  &lt;place_id&gt;ChIJz6tk6_wWyUwRRPQTIXql5-0&lt;/place_id&gt;
 &lt;/result&gt;
&lt;/GeocodeResponse&gt;
</v>
      </c>
      <c r="AC10" s="15">
        <v>45.441891400000003</v>
      </c>
      <c r="AD10" s="15">
        <v>-73.692530700000006</v>
      </c>
      <c r="AE10" s="15" cm="1">
        <f t="array" ref="AE10">_xlfn.FILTERXML(AB10,"//location/lat")</f>
        <v>45.441891400000003</v>
      </c>
      <c r="AF10" s="15" cm="1">
        <f t="array" ref="AF10">_xlfn.FILTERXML(AB10,"//location/lng")</f>
        <v>-73.692530700000006</v>
      </c>
    </row>
    <row r="11" spans="1:32" s="15" customFormat="1" ht="28.8">
      <c r="A11" s="15" t="s">
        <v>42</v>
      </c>
      <c r="B11" s="15" t="s">
        <v>88</v>
      </c>
      <c r="C11" s="15" t="s">
        <v>89</v>
      </c>
      <c r="D11" s="16">
        <v>44536</v>
      </c>
      <c r="E11" s="16">
        <v>44925</v>
      </c>
      <c r="F11" s="15" t="s">
        <v>36</v>
      </c>
      <c r="G11" s="14">
        <v>579</v>
      </c>
      <c r="H11" s="14">
        <v>468.25</v>
      </c>
      <c r="I11" s="14">
        <v>165</v>
      </c>
      <c r="J11" s="14" t="s">
        <v>27</v>
      </c>
      <c r="K11" s="17">
        <f>Table1[[#This Row],[Estimated Hours]]*Table1[[#This Row],[Hourly rate]]*1.15</f>
        <v>109865.24999999999</v>
      </c>
      <c r="L11" s="14" t="s">
        <v>90</v>
      </c>
      <c r="M11" s="15" t="s">
        <v>91</v>
      </c>
      <c r="N11" s="14">
        <f>_xlfn.XLOOKUP(Table1[[#This Row],[Project Number]],import!$J$2:$J$22,import!$N$2:$N$22)</f>
        <v>29684857</v>
      </c>
      <c r="O11" s="16">
        <v>44536</v>
      </c>
      <c r="P11" s="15" t="s">
        <v>30</v>
      </c>
      <c r="Q11" s="18" t="s">
        <v>92</v>
      </c>
      <c r="R11" s="15">
        <v>43.642116899999998</v>
      </c>
      <c r="S11" s="15">
        <v>-79.673890900000004</v>
      </c>
      <c r="T11" s="19" t="s">
        <v>93</v>
      </c>
      <c r="U11" s="18" t="s">
        <v>94</v>
      </c>
      <c r="Z11" s="15" t="str">
        <f>_xlfn.XLOOKUP(Table1[[#This Row],[Project Number]],import!$J$2:$J$24,import!$C$2:$C$24)</f>
        <v>Coco Bakery Inc.</v>
      </c>
      <c r="AA11" s="15" t="str">
        <f>_xlfn.XLOOKUP(Table1[[#This Row],[Project Number]],import!$J$2:$J$24,import!$B$2:$B$24)</f>
        <v>SAP HANA Implementation</v>
      </c>
      <c r="AB11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&lt;type&gt;premise&lt;/type&gt;
  &lt;formatted_address&gt;6226 Danville Rd, Mississauga, ON L5T 2H7, Canada&lt;/formatted_address&gt;
  &lt;address_component&gt;
   &lt;long_name&gt;6226&lt;/long_name&gt;
   &lt;short_name&gt;6226&lt;/short_name&gt;
   &lt;type&gt;street_number&lt;/type&gt;
  &lt;/address_component&gt;
  &lt;address_component&gt;
   &lt;long_name&gt;Danville Road&lt;/long_name&gt;
   &lt;short_name&gt;Danville Rd&lt;/short_name&gt;
   &lt;type&gt;route&lt;/type&gt;
  &lt;/address_component&gt;
  &lt;address_component&gt;
   &lt;long_name&gt;Mississauga&lt;/long_name&gt;
   &lt;short_name&gt;Mississauga&lt;/short_name&gt;
   &lt;type&gt;locality&lt;/type&gt;
   &lt;type&gt;political&lt;/type&gt;
  &lt;/address_component&gt;
  &lt;address_component&gt;
   &lt;long_name&gt;Regional Municipality of Peel&lt;/long_name&gt;
   &lt;short_name&gt;Regional Municipality of Peel&lt;/short_name&gt;
   &lt;type&gt;administrative_area_level_2&lt;/type&gt;
   &lt;type&gt;political&lt;/type&gt;
  &lt;/address_component&gt;
  &lt;address_component&gt;
   &lt;long_name&gt;Ontario&lt;/long_name&gt;
   &lt;short_name&gt;ON&lt;/short_name&gt;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&lt;long_name&gt;L5T 2H7&lt;/long_name&gt;
   &lt;short_name&gt;L5T 2H7&lt;/short_name&gt;
   &lt;type&gt;postal_code&lt;/type&gt;
  &lt;/address_component&gt;
  &lt;geometry&gt;
   &lt;location&gt;
    &lt;lat&gt;43.6421273&lt;/lat&gt;
    &lt;lng&gt;-79.6739060&lt;/lng&gt;
   &lt;/location&gt;
   &lt;location_type&gt;ROOFTOP&lt;/location_type&gt;
   &lt;viewport&gt;
    &lt;southwest&gt;
     &lt;lat&gt;43.6407395&lt;/lat&gt;
     &lt;lng&gt;-79.6752526&lt;/lng&gt;
    &lt;/southwest&gt;
    &lt;northeast&gt;
     &lt;lat&gt;43.6434374&lt;/lat&gt;
     &lt;lng&gt;-79.6725546&lt;/lng&gt;
    &lt;/northeast&gt;
   &lt;/viewport&gt;
   &lt;bounds&gt;
    &lt;southwest&gt;
     &lt;lat&gt;43.6416214&lt;/lat&gt;
     &lt;lng&gt;-79.6744091&lt;/lng&gt;
    &lt;/southwest&gt;
    &lt;northeast&gt;
     &lt;lat&gt;43.6424114&lt;/lat&gt;
     &lt;lng&gt;-79.6733981&lt;/lng&gt;
    &lt;/northeast&gt;
   &lt;/bounds&gt;
  &lt;/geometry&gt;
  &lt;place_id&gt;ChIJma1i7Gk_K4gRufo4VhOmAeg&lt;/place_id&gt;
 &lt;/result&gt;
&lt;/GeocodeResponse&gt;
</v>
      </c>
      <c r="AC11" s="15">
        <v>43.642127299999999</v>
      </c>
      <c r="AD11" s="15">
        <v>-79.673906000000002</v>
      </c>
      <c r="AE11" s="15" cm="1">
        <f t="array" ref="AE11">_xlfn.FILTERXML(AB11,"//location/lat")</f>
        <v>43.642127299999999</v>
      </c>
      <c r="AF11" s="15" cm="1">
        <f t="array" ref="AF11">_xlfn.FILTERXML(AB11,"//location/lng")</f>
        <v>-79.673906000000002</v>
      </c>
    </row>
    <row r="12" spans="1:32" s="15" customFormat="1">
      <c r="A12" s="15" t="s">
        <v>42</v>
      </c>
      <c r="B12" s="15" t="s">
        <v>95</v>
      </c>
      <c r="C12" s="15" t="s">
        <v>96</v>
      </c>
      <c r="D12" s="16">
        <v>44564</v>
      </c>
      <c r="E12" s="16">
        <v>44953</v>
      </c>
      <c r="F12" s="15" t="s">
        <v>36</v>
      </c>
      <c r="G12" s="14">
        <v>38</v>
      </c>
      <c r="H12" s="14">
        <v>18.25</v>
      </c>
      <c r="I12" s="14">
        <v>160</v>
      </c>
      <c r="J12" s="14" t="s">
        <v>27</v>
      </c>
      <c r="K12" s="17">
        <f>Table1[[#This Row],[Estimated Hours]]*Table1[[#This Row],[Hourly rate]]*1.15</f>
        <v>6991.9999999999991</v>
      </c>
      <c r="L12" s="14" t="s">
        <v>97</v>
      </c>
      <c r="M12" s="15" t="s">
        <v>98</v>
      </c>
      <c r="N12" s="14">
        <f>_xlfn.XLOOKUP(Table1[[#This Row],[Project Number]],import!$J$2:$J$22,import!$N$2:$N$22)</f>
        <v>29685098</v>
      </c>
      <c r="O12" s="16">
        <v>44565</v>
      </c>
      <c r="P12" s="15" t="s">
        <v>61</v>
      </c>
      <c r="Q12" s="18" t="s">
        <v>99</v>
      </c>
      <c r="R12" s="15">
        <v>45.5284002</v>
      </c>
      <c r="S12" s="15">
        <v>-73.6657747</v>
      </c>
      <c r="T12" s="24" t="s">
        <v>100</v>
      </c>
      <c r="U12" s="18" t="s">
        <v>101</v>
      </c>
      <c r="Z12" s="15" t="str">
        <f>_xlfn.XLOOKUP(Table1[[#This Row],[Project Number]],import!$J$2:$J$24,import!$C$2:$C$24)</f>
        <v>Les Aliments CDS inc.</v>
      </c>
      <c r="AA12" s="15" t="str">
        <f>_xlfn.XLOOKUP(Table1[[#This Row],[Project Number]],import!$J$2:$J$24,import!$B$2:$B$24)</f>
        <v>Migration V10 SQL</v>
      </c>
      <c r="AB12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&lt;type&gt;street_address&lt;/type&gt;
  &lt;formatted_address&gt;775 Bd Lebeau, Saint-Laurent, QC H4N 1S5, Canada&lt;/formatted_address&gt;
  &lt;address_component&gt;
   &lt;long_name&gt;775&lt;/long_name&gt;
   &lt;short_name&gt;775&lt;/short_name&gt;
   &lt;type&gt;street_number&lt;/type&gt;
  &lt;/address_component&gt;
  &lt;address_component&gt;
   &lt;long_name&gt;Boulevard Lebeau&lt;/long_name&gt;
   &lt;short_name&gt;Bd Lebeau&lt;/short_name&gt;
   &lt;type&gt;route&lt;/type&gt;
  &lt;/address_component&gt;
  &lt;address_component&gt;
   &lt;long_name&gt;Saint-Laurent&lt;/long_name&gt;
   &lt;short_name&gt;Saint-Laurent&lt;/short_name&gt;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&lt;long_name&gt;H4N 1S5&lt;/long_name&gt;
   &lt;short_name&gt;H4N 1S5&lt;/short_name&gt;
   &lt;type&gt;postal_code&lt;/type&gt;
  &lt;/address_component&gt;
  &lt;geometry&gt;
   &lt;location&gt;
    &lt;lat&gt;45.5282305&lt;/lat&gt;
    &lt;lng&gt;-73.6657220&lt;/lng&gt;
   &lt;/location&gt;
   &lt;location_type&gt;ROOFTOP&lt;/location_type&gt;
   &lt;viewport&gt;
    &lt;southwest&gt;
     &lt;lat&gt;45.5268906&lt;/lat&gt;
     &lt;lng&gt;-73.6670515&lt;/lng&gt;
    &lt;/southwest&gt;
    &lt;northeast&gt;
     &lt;lat&gt;45.5295885&lt;/lat&gt;
     &lt;lng&gt;-73.6643536&lt;/lng&gt;
    &lt;/northeast&gt;
   &lt;/viewport&gt;
  &lt;/geometry&gt;
  &lt;place_id&gt;ChIJx--RPF8YyUwRbcyx1L1m9hQ&lt;/place_id&gt;
  &lt;plus_code&gt;
   &lt;global_code&gt;87Q8G8HM+7P&lt;/global_code&gt;
   &lt;compound_code&gt;G8HM+7P Saint-Laurent, Montreal, QC, Canada&lt;/compound_code&gt;
  &lt;/plus_code&gt;
 &lt;/result&gt;
&lt;/GeocodeResponse&gt;
</v>
      </c>
      <c r="AC12" s="15">
        <v>45.528230499999999</v>
      </c>
      <c r="AD12" s="15">
        <v>-73.665722000000002</v>
      </c>
      <c r="AE12" s="15" cm="1">
        <f t="array" ref="AE12">_xlfn.FILTERXML(AB12,"//location/lat")</f>
        <v>45.528230499999999</v>
      </c>
      <c r="AF12" s="15" cm="1">
        <f t="array" ref="AF12">_xlfn.FILTERXML(AB12,"//location/lng")</f>
        <v>-73.665722000000002</v>
      </c>
    </row>
    <row r="13" spans="1:32" s="15" customFormat="1" ht="28.8">
      <c r="A13" s="15" t="s">
        <v>102</v>
      </c>
      <c r="B13" s="15" t="s">
        <v>103</v>
      </c>
      <c r="C13" s="15" t="s">
        <v>104</v>
      </c>
      <c r="D13" s="16">
        <v>44562</v>
      </c>
      <c r="E13" s="16">
        <v>44962</v>
      </c>
      <c r="F13" s="15" t="s">
        <v>36</v>
      </c>
      <c r="G13" s="14">
        <v>200</v>
      </c>
      <c r="H13" s="14">
        <v>5</v>
      </c>
      <c r="I13" s="14">
        <v>170</v>
      </c>
      <c r="J13" s="14" t="s">
        <v>27</v>
      </c>
      <c r="K13" s="17">
        <f>Table1[[#This Row],[Estimated Hours]]*Table1[[#This Row],[Hourly rate]]*1.15</f>
        <v>39100</v>
      </c>
      <c r="L13" s="14" t="s">
        <v>105</v>
      </c>
      <c r="M13" s="15" t="s">
        <v>106</v>
      </c>
      <c r="N13" s="14">
        <f>_xlfn.XLOOKUP(Table1[[#This Row],[Project Number]],import!$J$2:$J$22,import!$N$2:$N$22)</f>
        <v>29685103</v>
      </c>
      <c r="O13" s="16">
        <v>44571</v>
      </c>
      <c r="P13" s="15" t="s">
        <v>30</v>
      </c>
      <c r="Q13" s="18" t="s">
        <v>107</v>
      </c>
      <c r="R13" s="15">
        <v>45.471076199999999</v>
      </c>
      <c r="S13" s="15">
        <v>-73.694917200000006</v>
      </c>
      <c r="T13" s="19" t="s">
        <v>108</v>
      </c>
      <c r="U13" s="23" t="s">
        <v>109</v>
      </c>
      <c r="Z13" s="15" t="str">
        <f>_xlfn.XLOOKUP(Table1[[#This Row],[Project Number]],import!$J$2:$J$24,import!$C$2:$C$24)</f>
        <v>Gazebo Penguin Inc.</v>
      </c>
      <c r="AA13" s="15" t="str">
        <f>_xlfn.XLOOKUP(Table1[[#This Row],[Project Number]],import!$J$2:$J$24,import!$B$2:$B$24)</f>
        <v>Implantation SAP phase 1 et 2</v>
      </c>
      <c r="AB13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&lt;type&gt;premise&lt;/type&gt;
  &lt;formatted_address&gt;4660 Rue Hickmore, Saint-Laurent, QC H4T 1K2, Canada&lt;/formatted_address&gt;
  &lt;address_component&gt;
   &lt;long_name&gt;4660&lt;/long_name&gt;
   &lt;short_name&gt;4660&lt;/short_name&gt;
   &lt;type&gt;street_number&lt;/type&gt;
  &lt;/address_component&gt;
  &lt;address_component&gt;
   &lt;long_name&gt;Rue Hickmore&lt;/long_name&gt;
   &lt;short_name&gt;Rue Hickmore&lt;/short_name&gt;
   &lt;type&gt;route&lt;/type&gt;
  &lt;/address_component&gt;
  &lt;address_component&gt;
   &lt;long_name&gt;Saint-Laurent&lt;/long_name&gt;
   &lt;short_name&gt;Saint-Laurent&lt;/short_name&gt;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&lt;long_name&gt;H4T 1K2&lt;/long_name&gt;
   &lt;short_name&gt;H4T 1K2&lt;/short_name&gt;
   &lt;type&gt;postal_code&lt;/type&gt;
  &lt;/address_component&gt;
  &lt;geometry&gt;
   &lt;location&gt;
    &lt;lat&gt;45.4710837&lt;/lat&gt;
    &lt;lng&gt;-73.6949281&lt;/lng&gt;
   &lt;/location&gt;
   &lt;location_type&gt;ROOFTOP&lt;/location_type&gt;
   &lt;viewport&gt;
    &lt;southwest&gt;
     &lt;lat&gt;45.4697358&lt;/lat&gt;
     &lt;lng&gt;-73.6963186&lt;/lng&gt;
    &lt;/southwest&gt;
    &lt;northeast&gt;
     &lt;lat&gt;45.4724337&lt;/lat&gt;
     &lt;lng&gt;-73.6936207&lt;/lng&gt;
    &lt;/northeast&gt;
   &lt;/viewport&gt;
   &lt;bounds&gt;
    &lt;southwest&gt;
     &lt;lat&gt;45.4708390&lt;/lat&gt;
     &lt;lng&gt;-73.6951461&lt;/lng&gt;
    &lt;/southwest&gt;
    &lt;northeast&gt;
     &lt;lat&gt;45.4713305&lt;/lat&gt;
     &lt;lng&gt;-73.6944360&lt;/lng&gt;
    &lt;/northeast&gt;
   &lt;/bounds&gt;
  &lt;/geometry&gt;
  &lt;place_id&gt;ChIJl6EIgbsXyUwRHbEZG2l6yGA&lt;/place_id&gt;
 &lt;/result&gt;
&lt;/GeocodeResponse&gt;
</v>
      </c>
      <c r="AC13" s="15">
        <v>45.471083700000001</v>
      </c>
      <c r="AD13" s="15">
        <v>-73.694928099999998</v>
      </c>
      <c r="AE13" s="15" cm="1">
        <f t="array" ref="AE13">_xlfn.FILTERXML(AB13,"//location/lat")</f>
        <v>45.471083700000001</v>
      </c>
      <c r="AF13" s="15" cm="1">
        <f t="array" ref="AF13">_xlfn.FILTERXML(AB13,"//location/lng")</f>
        <v>-73.694928099999998</v>
      </c>
    </row>
    <row r="14" spans="1:32" s="15" customFormat="1">
      <c r="A14" s="15" t="s">
        <v>42</v>
      </c>
      <c r="B14" s="15" t="s">
        <v>110</v>
      </c>
      <c r="C14" s="15" t="s">
        <v>111</v>
      </c>
      <c r="D14" s="16">
        <v>44607</v>
      </c>
      <c r="E14" s="16">
        <v>44681</v>
      </c>
      <c r="F14" s="15" t="s">
        <v>26</v>
      </c>
      <c r="G14" s="14">
        <v>21</v>
      </c>
      <c r="H14" s="14">
        <v>5.25</v>
      </c>
      <c r="I14" s="14">
        <v>185</v>
      </c>
      <c r="J14" s="14" t="s">
        <v>112</v>
      </c>
      <c r="K14" s="17">
        <f>Table1[[#This Row],[Estimated Hours]]*Table1[[#This Row],[Hourly rate]]*1.15</f>
        <v>4467.75</v>
      </c>
      <c r="L14" s="14" t="s">
        <v>113</v>
      </c>
      <c r="M14" s="15" t="s">
        <v>114</v>
      </c>
      <c r="N14" s="14">
        <f>_xlfn.XLOOKUP(Table1[[#This Row],[Project Number]],import!$J$2:$J$22,import!$N$2:$N$22)</f>
        <v>29685081</v>
      </c>
      <c r="O14" s="16">
        <v>44607</v>
      </c>
      <c r="P14" s="15" t="s">
        <v>115</v>
      </c>
      <c r="Q14" s="18" t="s">
        <v>116</v>
      </c>
      <c r="R14" s="15">
        <v>45.891391800000001</v>
      </c>
      <c r="S14" s="15">
        <v>-122.7430619</v>
      </c>
      <c r="T14" s="22" t="s">
        <v>117</v>
      </c>
      <c r="U14" s="23" t="s">
        <v>118</v>
      </c>
      <c r="Z14" s="15" t="str">
        <f>_xlfn.XLOOKUP(Table1[[#This Row],[Project Number]],import!$J$2:$J$24,import!$C$2:$C$24)</f>
        <v>Walt's Wholesale Meats</v>
      </c>
      <c r="AA14" s="15" t="str">
        <f>_xlfn.XLOOKUP(Table1[[#This Row],[Project Number]],import!$J$2:$J$24,import!$B$2:$B$24)</f>
        <v>Fixed assets implementation</v>
      </c>
      <c r="AB14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&lt;type&gt;premise&lt;/type&gt;
  &lt;formatted_address&gt;350 S Pekin Rd, Woodland, WA 98674, USA&lt;/formatted_address&gt;
  &lt;address_component&gt;
   &lt;long_name&gt;350&lt;/long_name&gt;
   &lt;short_name&gt;350&lt;/short_name&gt;
   &lt;type&gt;street_number&lt;/type&gt;
  &lt;/address_component&gt;
  &lt;address_component&gt;
   &lt;long_name&gt;South Pekin Road&lt;/long_name&gt;
   &lt;short_name&gt;S Pekin Rd&lt;/short_name&gt;
   &lt;type&gt;route&lt;/type&gt;
  &lt;/address_component&gt;
  &lt;address_component&gt;
   &lt;long_name&gt;Woodland&lt;/long_name&gt;
   &lt;short_name&gt;Woodland&lt;/short_name&gt;
   &lt;type&gt;locality&lt;/type&gt;
   &lt;type&gt;political&lt;/type&gt;
  &lt;/address_component&gt;
  &lt;address_component&gt;
   &lt;long_name&gt;Cowlitz County&lt;/long_name&gt;
   &lt;short_name&gt;Cowlitz County&lt;/short_name&gt;
   &lt;type&gt;administrative_area_level_2&lt;/type&gt;
   &lt;type&gt;political&lt;/type&gt;
  &lt;/address_component&gt;
  &lt;address_component&gt;
   &lt;long_name&gt;Washington&lt;/long_name&gt;
   &lt;short_name&gt;WA&lt;/short_name&gt;
   &lt;type&gt;administrative_area_level_1&lt;/type&gt;
   &lt;type&gt;political&lt;/type&gt;
  &lt;/address_component&gt;
  &lt;address_component&gt;
   &lt;long_name&gt;United States&lt;/long_name&gt;
   &lt;short_name&gt;US&lt;/short_name&gt;
   &lt;type&gt;country&lt;/type&gt;
   &lt;type&gt;political&lt;/type&gt;
  &lt;/address_component&gt;
  &lt;address_component&gt;
   &lt;long_name&gt;98674&lt;/long_name&gt;
   &lt;short_name&gt;98674&lt;/short_name&gt;
   &lt;type&gt;postal_code&lt;/type&gt;
  &lt;/address_component&gt;
  &lt;address_component&gt;
   &lt;long_name&gt;9534&lt;/long_name&gt;
   &lt;short_name&gt;9534&lt;/short_name&gt;
   &lt;type&gt;postal_code_suffix&lt;/type&gt;
  &lt;/address_component&gt;
  &lt;geometry&gt;
   &lt;location&gt;
    &lt;lat&gt;45.8913918&lt;/lat&gt;
    &lt;lng&gt;-122.7430619&lt;/lng&gt;
   &lt;/location&gt;
   &lt;location_type&gt;ROOFTOP&lt;/location_type&gt;
   &lt;viewport&gt;
    &lt;southwest&gt;
     &lt;lat&gt;45.8900572&lt;/lat&gt;
     &lt;lng&gt;-122.7445122&lt;/lng&gt;
    &lt;/southwest&gt;
    &lt;northeast&gt;
     &lt;lat&gt;45.8927551&lt;/lat&gt;
     &lt;lng&gt;-122.7418143&lt;/lng&gt;
    &lt;/northeast&gt;
   &lt;/viewport&gt;
   &lt;bounds&gt;
    &lt;southwest&gt;
     &lt;lat&gt;45.8912324&lt;/lat&gt;
     &lt;lng&gt;-122.7434714&lt;/lng&gt;
    &lt;/southwest&gt;
    &lt;northeast&gt;
     &lt;lat&gt;45.8915799&lt;/lat&gt;
     &lt;lng&gt;-122.7428551&lt;/lng&gt;
    &lt;/northeast&gt;
   &lt;/bounds&gt;
  &lt;/geometry&gt;
  &lt;place_id&gt;ChIJEXT5RR9PlFQRFiBAk2FbY_o&lt;/place_id&gt;
 &lt;/result&gt;
&lt;/GeocodeResponse&gt;
</v>
      </c>
      <c r="AC14" s="15">
        <v>45.891391800000001</v>
      </c>
      <c r="AD14" s="15">
        <v>-122.7430619</v>
      </c>
      <c r="AE14" s="15" cm="1">
        <f t="array" ref="AE14">_xlfn.FILTERXML(AB14,"//location/lat")</f>
        <v>45.891391800000001</v>
      </c>
      <c r="AF14" s="15" cm="1">
        <f t="array" ref="AF14">_xlfn.FILTERXML(AB14,"//location/lng")</f>
        <v>-122.7430619</v>
      </c>
    </row>
    <row r="15" spans="1:32" s="15" customFormat="1" ht="28.8">
      <c r="A15" s="15" t="s">
        <v>23</v>
      </c>
      <c r="B15" s="15" t="s">
        <v>119</v>
      </c>
      <c r="C15" s="15" t="s">
        <v>120</v>
      </c>
      <c r="D15" s="16">
        <v>44690</v>
      </c>
      <c r="E15" s="16">
        <v>44985</v>
      </c>
      <c r="F15" s="15" t="s">
        <v>36</v>
      </c>
      <c r="G15" s="14">
        <v>230</v>
      </c>
      <c r="H15" s="14">
        <v>87.75</v>
      </c>
      <c r="I15" s="14">
        <v>150</v>
      </c>
      <c r="J15" s="14" t="s">
        <v>112</v>
      </c>
      <c r="K15" s="17">
        <f>Table1[[#This Row],[Estimated Hours]]*Table1[[#This Row],[Hourly rate]]*1.15</f>
        <v>39675</v>
      </c>
      <c r="L15" s="14" t="s">
        <v>121</v>
      </c>
      <c r="M15" s="15" t="s">
        <v>122</v>
      </c>
      <c r="N15" s="14">
        <f>_xlfn.XLOOKUP(Table1[[#This Row],[Project Number]],import!$J$2:$J$22,import!$N$2:$N$22)</f>
        <v>29685185</v>
      </c>
      <c r="O15" s="16">
        <v>44696</v>
      </c>
      <c r="P15" s="15" t="s">
        <v>30</v>
      </c>
      <c r="Q15" s="18" t="s">
        <v>123</v>
      </c>
      <c r="R15" s="15">
        <v>36.7918965</v>
      </c>
      <c r="S15" s="15">
        <v>-76.2460442</v>
      </c>
      <c r="T15" s="19" t="s">
        <v>124</v>
      </c>
      <c r="U15" s="23" t="s">
        <v>125</v>
      </c>
      <c r="Z15" s="15" t="str">
        <f>_xlfn.XLOOKUP(Table1[[#This Row],[Project Number]],import!$J$2:$J$24,import!$C$2:$C$24)</f>
        <v>Lovato Electric Inc. (USA)</v>
      </c>
      <c r="AA15" s="15" t="str">
        <f>_xlfn.XLOOKUP(Table1[[#This Row],[Project Number]],import!$J$2:$J$24,import!$B$2:$B$24)</f>
        <v>Implementation SAP HANA</v>
      </c>
      <c r="AB15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&lt;type&gt;premise&lt;/type&gt;
  &lt;formatted_address&gt;2017 Georgetown Blvd, Chesapeake, VA 23325, USA&lt;/formatted_address&gt;
  &lt;address_component&gt;
   &lt;long_name&gt;2017&lt;/long_name&gt;
   &lt;short_name&gt;2017&lt;/short_name&gt;
   &lt;type&gt;street_number&lt;/type&gt;
  &lt;/address_component&gt;
  &lt;address_component&gt;
   &lt;long_name&gt;Georgetown Boulevard&lt;/long_name&gt;
   &lt;short_name&gt;Georgetown Blvd&lt;/short_name&gt;
   &lt;type&gt;route&lt;/type&gt;
  &lt;/address_component&gt;
  &lt;address_component&gt;
   &lt;long_name&gt;Indian River&lt;/long_name&gt;
   &lt;short_name&gt;Indian River&lt;/short_name&gt;
   &lt;type&gt;neighborhood&lt;/type&gt;
   &lt;type&gt;political&lt;/type&gt;
  &lt;/address_component&gt;
  &lt;address_component&gt;
   &lt;long_name&gt;Chesapeake&lt;/long_name&gt;
   &lt;short_name&gt;Chesapeake&lt;/short_name&gt;
   &lt;type&gt;locality&lt;/type&gt;
   &lt;type&gt;political&lt;/type&gt;
  &lt;/address_component&gt;
  &lt;address_component&gt;
   &lt;long_name&gt;Virginia&lt;/long_name&gt;
   &lt;short_name&gt;VA&lt;/short_name&gt;
   &lt;type&gt;administrative_area_level_1&lt;/type&gt;
   &lt;type&gt;political&lt;/type&gt;
  &lt;/address_component&gt;
  &lt;address_component&gt;
   &lt;long_name&gt;United States&lt;/long_name&gt;
   &lt;short_name&gt;US&lt;/short_name&gt;
   &lt;type&gt;country&lt;/type&gt;
   &lt;type&gt;political&lt;/type&gt;
  &lt;/address_component&gt;
  &lt;address_component&gt;
   &lt;long_name&gt;23325&lt;/long_name&gt;
   &lt;short_name&gt;23325&lt;/short_name&gt;
   &lt;type&gt;postal_code&lt;/type&gt;
  &lt;/address_component&gt;
  &lt;address_component&gt;
   &lt;long_name&gt;4721&lt;/long_name&gt;
   &lt;short_name&gt;4721&lt;/short_name&gt;
   &lt;type&gt;postal_code_suffix&lt;/type&gt;
  &lt;/address_component&gt;
  &lt;geometry&gt;
   &lt;location&gt;
    &lt;lat&gt;36.7919632&lt;/lat&gt;
    &lt;lng&gt;-76.2460860&lt;/lng&gt;
   &lt;/location&gt;
   &lt;location_type&gt;ROOFTOP&lt;/location_type&gt;
   &lt;viewport&gt;
    &lt;southwest&gt;
     &lt;lat&gt;36.7905942&lt;/lat&gt;
     &lt;lng&gt;-76.2474358&lt;/lng&gt;
    &lt;/southwest&gt;
    &lt;northeast&gt;
     &lt;lat&gt;36.7932922&lt;/lat&gt;
     &lt;lng&gt;-76.2447379&lt;/lng&gt;
    &lt;/northeast&gt;
   &lt;/viewport&gt;
   &lt;bounds&gt;
    &lt;southwest&gt;
     &lt;lat&gt;36.7917956&lt;/lat&gt;
     &lt;lng&gt;-76.2463062&lt;/lng&gt;
    &lt;/southwest&gt;
    &lt;northeast&gt;
     &lt;lat&gt;36.7920989&lt;/lat&gt;
     &lt;lng&gt;-76.2458675&lt;/lng&gt;
    &lt;/northeast&gt;
   &lt;/bounds&gt;
  &lt;/geometry&gt;
  &lt;place_id&gt;ChIJmw0yR-C8uokRwoOAGjxGpQc&lt;/place_id&gt;
 &lt;/result&gt;
&lt;/GeocodeResponse&gt;
</v>
      </c>
      <c r="AC15" s="15">
        <v>36.791963199999998</v>
      </c>
      <c r="AD15" s="15">
        <v>-76.246086000000005</v>
      </c>
      <c r="AE15" s="15" cm="1">
        <f t="array" ref="AE15">_xlfn.FILTERXML(AB15,"//location/lat")</f>
        <v>36.791963199999998</v>
      </c>
      <c r="AF15" s="15" cm="1">
        <f t="array" ref="AF15">_xlfn.FILTERXML(AB15,"//location/lng")</f>
        <v>-76.246086000000005</v>
      </c>
    </row>
    <row r="16" spans="1:32" s="15" customFormat="1" ht="28.8">
      <c r="A16" s="15" t="s">
        <v>42</v>
      </c>
      <c r="B16" s="15" t="s">
        <v>126</v>
      </c>
      <c r="C16" s="15" t="s">
        <v>127</v>
      </c>
      <c r="D16" s="16">
        <v>44820</v>
      </c>
      <c r="E16" s="16">
        <v>45044</v>
      </c>
      <c r="F16" s="15" t="s">
        <v>36</v>
      </c>
      <c r="G16" s="14">
        <v>407</v>
      </c>
      <c r="H16" s="14">
        <v>9</v>
      </c>
      <c r="I16" s="14">
        <v>185</v>
      </c>
      <c r="J16" s="14" t="s">
        <v>27</v>
      </c>
      <c r="K16" s="17">
        <f>Table1[[#This Row],[Estimated Hours]]*Table1[[#This Row],[Hourly rate]]*1.15</f>
        <v>86589.25</v>
      </c>
      <c r="L16" s="14" t="s">
        <v>128</v>
      </c>
      <c r="M16" s="15" t="s">
        <v>129</v>
      </c>
      <c r="N16" s="14">
        <f>_xlfn.XLOOKUP(Table1[[#This Row],[Project Number]],import!$J$2:$J$22,import!$N$2:$N$22)</f>
        <v>29685237</v>
      </c>
      <c r="O16" s="16">
        <v>44820</v>
      </c>
      <c r="P16" s="15" t="s">
        <v>30</v>
      </c>
      <c r="Q16" s="18" t="s">
        <v>130</v>
      </c>
      <c r="R16" s="15">
        <v>45.595933899999999</v>
      </c>
      <c r="S16" s="15">
        <v>-73.623009600000003</v>
      </c>
      <c r="T16" s="19" t="s">
        <v>131</v>
      </c>
      <c r="U16" s="23" t="s">
        <v>132</v>
      </c>
      <c r="Z16" s="15" t="str">
        <f>_xlfn.XLOOKUP(Table1[[#This Row],[Project Number]],import!$J$2:$J$24,import!$C$2:$C$24)</f>
        <v>Megastar Électroniques Inc.</v>
      </c>
      <c r="AA16" s="15" t="str">
        <f>_xlfn.XLOOKUP(Table1[[#This Row],[Project Number]],import!$J$2:$J$24,import!$B$2:$B$24)</f>
        <v>Implantation SAP</v>
      </c>
      <c r="AB16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&lt;type&gt;street_address&lt;/type&gt;
  &lt;formatted_address&gt;5061 Rue d'Amiens, Montréal-Nord, QC H1G 3G2, Canada&lt;/formatted_address&gt;
  &lt;address_component&gt;
   &lt;long_name&gt;5061&lt;/long_name&gt;
   &lt;short_name&gt;5061&lt;/short_name&gt;
   &lt;type&gt;street_number&lt;/type&gt;
  &lt;/address_component&gt;
  &lt;address_component&gt;
   &lt;long_name&gt;Rue d'Amiens&lt;/long_name&gt;
   &lt;short_name&gt;Rue d'Amiens&lt;/short_name&gt;
   &lt;type&gt;route&lt;/type&gt;
  &lt;/address_component&gt;
  &lt;address_component&gt;
   &lt;long_name&gt;Montréal-Nord&lt;/long_name&gt;
   &lt;short_name&gt;Montréal-Nord&lt;/short_name&gt;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&lt;long_name&gt;H1G 3G2&lt;/long_name&gt;
   &lt;short_name&gt;H1G 3G2&lt;/short_name&gt;
   &lt;type&gt;postal_code&lt;/type&gt;
  &lt;/address_component&gt;
  &lt;geometry&gt;
   &lt;location&gt;
    &lt;lat&gt;45.5959339&lt;/lat&gt;
    &lt;lng&gt;-73.6230096&lt;/lng&gt;
   &lt;/location&gt;
   &lt;location_type&gt;ROOFTOP&lt;/location_type&gt;
   &lt;viewport&gt;
    &lt;southwest&gt;
     &lt;lat&gt;45.5945287&lt;/lat&gt;
     &lt;lng&gt;-73.6242947&lt;/lng&gt;
    &lt;/southwest&gt;
    &lt;northeast&gt;
     &lt;lat&gt;45.5972267&lt;/lat&gt;
     &lt;lng&gt;-73.6215967&lt;/lng&gt;
    &lt;/northeast&gt;
   &lt;/viewport&gt;
  &lt;/geometry&gt;
  &lt;place_id&gt;ChIJ8cwDtg4fyUwRxG2vjgk_tZg&lt;/place_id&gt;
  &lt;plus_code&gt;
   &lt;global_code&gt;87Q8H9WG+9Q&lt;/global_code&gt;
   &lt;compound_code&gt;H9WG+9Q Montréal-Nord, Montreal, QC, Canada&lt;/compound_code&gt;
  &lt;/plus_code&gt;
 &lt;/result&gt;
&lt;/GeocodeResponse&gt;
</v>
      </c>
      <c r="AC16" s="15">
        <v>45.595933899999999</v>
      </c>
      <c r="AD16" s="15">
        <v>-73.623009600000003</v>
      </c>
      <c r="AE16" s="15" cm="1">
        <f t="array" ref="AE16">_xlfn.FILTERXML(AB16,"//location/lat")</f>
        <v>45.595933899999999</v>
      </c>
      <c r="AF16" s="15" cm="1">
        <f t="array" ref="AF16">_xlfn.FILTERXML(AB16,"//location/lng")</f>
        <v>-73.623009600000003</v>
      </c>
    </row>
    <row r="17" spans="1:32" s="15" customFormat="1" ht="28.8">
      <c r="A17" s="15" t="s">
        <v>42</v>
      </c>
      <c r="B17" s="15" t="s">
        <v>133</v>
      </c>
      <c r="C17" s="15" t="s">
        <v>134</v>
      </c>
      <c r="D17" s="16">
        <v>44820</v>
      </c>
      <c r="E17" s="16">
        <v>44925</v>
      </c>
      <c r="F17" s="15" t="s">
        <v>226</v>
      </c>
      <c r="G17" s="14">
        <v>56</v>
      </c>
      <c r="H17" s="14">
        <v>31.75</v>
      </c>
      <c r="I17" s="14">
        <v>165</v>
      </c>
      <c r="J17" s="14" t="s">
        <v>27</v>
      </c>
      <c r="K17" s="17">
        <f>Table1[[#This Row],[Estimated Hours]]*Table1[[#This Row],[Hourly rate]]*1.15</f>
        <v>10626</v>
      </c>
      <c r="L17" s="14" t="s">
        <v>135</v>
      </c>
      <c r="M17" s="15" t="s">
        <v>133</v>
      </c>
      <c r="N17" s="14">
        <f>_xlfn.XLOOKUP(Table1[[#This Row],[Project Number]],import!$J$2:$J$22,import!$N$2:$N$22)</f>
        <v>29685240</v>
      </c>
      <c r="O17" s="16">
        <v>44826</v>
      </c>
      <c r="P17" s="15" t="s">
        <v>81</v>
      </c>
      <c r="Q17" s="18" t="s">
        <v>136</v>
      </c>
      <c r="R17" s="15">
        <v>45.156929499999997</v>
      </c>
      <c r="S17" s="15">
        <v>-71.8010503</v>
      </c>
      <c r="T17" s="19" t="s">
        <v>137</v>
      </c>
      <c r="U17" s="18" t="s">
        <v>138</v>
      </c>
      <c r="Z17" s="15" t="str">
        <f>_xlfn.XLOOKUP(Table1[[#This Row],[Project Number]],import!$J$2:$J$24,import!$C$2:$C$24)</f>
        <v>Laiterie de Coaticook ltée</v>
      </c>
      <c r="AA17" s="15" t="str">
        <f>_xlfn.XLOOKUP(Table1[[#This Row],[Project Number]],import!$J$2:$J$24,import!$B$2:$B$24)</f>
        <v>Migration SAP V10 SQL</v>
      </c>
      <c r="AB17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&lt;type&gt;premise&lt;/type&gt;
  &lt;formatted_address&gt;1000 Rue Child, Coaticook, QC J1A 2S5, Canada&lt;/formatted_address&gt;
  &lt;address_component&gt;
   &lt;long_name&gt;1000&lt;/long_name&gt;
   &lt;short_name&gt;1000&lt;/short_name&gt;
   &lt;type&gt;street_number&lt;/type&gt;
  &lt;/address_component&gt;
  &lt;address_component&gt;
   &lt;long_name&gt;Rue Child&lt;/long_name&gt;
   &lt;short_name&gt;Rue Child&lt;/short_name&gt;
   &lt;type&gt;route&lt;/type&gt;
  &lt;/address_component&gt;
  &lt;address_component&gt;
   &lt;long_name&gt;Coaticook&lt;/long_name&gt;
   &lt;short_name&gt;Coaticook&lt;/short_name&gt;
   &lt;type&gt;locality&lt;/type&gt;
   &lt;type&gt;political&lt;/type&gt;
  &lt;/address_component&gt;
  &lt;address_component&gt;
   &lt;long_name&gt;Coaticook&lt;/long_name&gt;
   &lt;short_name&gt;Coaticook&lt;/short_name&gt;
   &lt;type&gt;administrative_area_level_3&lt;/type&gt;
   &lt;type&gt;political&lt;/type&gt;
  &lt;/address_component&gt;
  &lt;address_component&gt;
   &lt;long_name&gt;Estrie&lt;/long_name&gt;
   &lt;short_name&gt;Estrie&lt;/short_name&gt;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&lt;long_name&gt;J1A 2S5&lt;/long_name&gt;
   &lt;short_name&gt;J1A 2S5&lt;/short_name&gt;
   &lt;type&gt;postal_code&lt;/type&gt;
  &lt;/address_component&gt;
  &lt;geometry&gt;
   &lt;location&gt;
    &lt;lat&gt;45.1570668&lt;/lat&gt;
    &lt;lng&gt;-71.8012981&lt;/lng&gt;
   &lt;/location&gt;
   &lt;location_type&gt;ROOFTOP&lt;/location_type&gt;
   &lt;viewport&gt;
    &lt;southwest&gt;
     &lt;lat&gt;45.1556833&lt;/lat&gt;
     &lt;lng&gt;-71.8025943&lt;/lng&gt;
    &lt;/southwest&gt;
    &lt;northeast&gt;
     &lt;lat&gt;45.1583813&lt;/lat&gt;
     &lt;lng&gt;-71.7998963&lt;/lng&gt;
    &lt;/northeast&gt;
   &lt;/viewport&gt;
   &lt;bounds&gt;
    &lt;southwest&gt;
     &lt;lat&gt;45.1565689&lt;/lat&gt;
     &lt;lng&gt;-71.8017509&lt;/lng&gt;
    &lt;/southwest&gt;
    &lt;northeast&gt;
     &lt;lat&gt;45.1574957&lt;/lat&gt;
     &lt;lng&gt;-71.8007397&lt;/lng&gt;
    &lt;/northeast&gt;
   &lt;/bounds&gt;
  &lt;/geometry&gt;
  &lt;place_id&gt;ChIJ_W0RofBYtkwRaq689MWaDeY&lt;/place_id&gt;
 &lt;/result&gt;
&lt;/GeocodeResponse&gt;
</v>
      </c>
      <c r="AC17" s="15">
        <v>45.157066800000003</v>
      </c>
      <c r="AD17" s="15">
        <v>-71.801298099999997</v>
      </c>
      <c r="AE17" s="15" cm="1">
        <f t="array" ref="AE17">_xlfn.FILTERXML(AB17,"//location/lat")</f>
        <v>45.157066800000003</v>
      </c>
      <c r="AF17" s="15" cm="1">
        <f t="array" ref="AF17">_xlfn.FILTERXML(AB17,"//location/lng")</f>
        <v>-71.801298099999997</v>
      </c>
    </row>
    <row r="18" spans="1:32" s="15" customFormat="1" ht="28.8">
      <c r="A18" s="15" t="s">
        <v>102</v>
      </c>
      <c r="B18" s="15" t="s">
        <v>139</v>
      </c>
      <c r="C18" s="15" t="s">
        <v>140</v>
      </c>
      <c r="D18" s="16">
        <v>44839</v>
      </c>
      <c r="E18" s="16">
        <v>45015</v>
      </c>
      <c r="F18" s="15" t="s">
        <v>26</v>
      </c>
      <c r="G18" s="14">
        <v>16</v>
      </c>
      <c r="H18" s="14">
        <v>11</v>
      </c>
      <c r="I18" s="14">
        <v>165</v>
      </c>
      <c r="J18" s="14" t="s">
        <v>27</v>
      </c>
      <c r="K18" s="17">
        <f>Table1[[#This Row],[Estimated Hours]]*Table1[[#This Row],[Hourly rate]]*1.15</f>
        <v>3035.9999999999995</v>
      </c>
      <c r="L18" s="14" t="s">
        <v>141</v>
      </c>
      <c r="M18" s="15" t="s">
        <v>142</v>
      </c>
      <c r="N18" s="14">
        <f>_xlfn.XLOOKUP(Table1[[#This Row],[Project Number]],import!$J$2:$J$22,import!$N$2:$N$22)</f>
        <v>29685243</v>
      </c>
      <c r="O18" s="16">
        <v>44839</v>
      </c>
      <c r="P18" s="15" t="s">
        <v>81</v>
      </c>
      <c r="Q18" s="18" t="s">
        <v>143</v>
      </c>
      <c r="R18" s="15">
        <v>45.438668100000001</v>
      </c>
      <c r="S18" s="15">
        <v>-73.682237499999999</v>
      </c>
      <c r="T18" s="19" t="s">
        <v>144</v>
      </c>
      <c r="U18" s="18" t="s">
        <v>145</v>
      </c>
      <c r="Z18" s="15" t="str">
        <f>_xlfn.XLOOKUP(Table1[[#This Row],[Project Number]],import!$J$2:$J$24,import!$C$2:$C$24)</f>
        <v>Federal Steel Equipment Ltd.</v>
      </c>
      <c r="AA18" s="15" t="str">
        <f>_xlfn.XLOOKUP(Table1[[#This Row],[Project Number]],import!$J$2:$J$24,import!$B$2:$B$24)</f>
        <v>SAP V10 Migration</v>
      </c>
      <c r="AB18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&lt;type&gt;premise&lt;/type&gt;
  &lt;formatted_address&gt;540 20e Avenue, Lachine, QC H8S 3T1, Canada&lt;/formatted_address&gt;
  &lt;address_component&gt;
   &lt;long_name&gt;540&lt;/long_name&gt;
   &lt;short_name&gt;540&lt;/short_name&gt;
   &lt;type&gt;street_number&lt;/type&gt;
  &lt;/address_component&gt;
  &lt;address_component&gt;
   &lt;long_name&gt;20e Avenue&lt;/long_name&gt;
   &lt;short_name&gt;20e Avenue&lt;/short_name&gt;
   &lt;type&gt;route&lt;/type&gt;
  &lt;/address_component&gt;
  &lt;address_component&gt;
   &lt;long_name&gt;Lachine&lt;/long_name&gt;
   &lt;short_name&gt;Lachine&lt;/short_name&gt;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&lt;long_name&gt;H8S 3T1&lt;/long_name&gt;
   &lt;short_name&gt;H8S 3T1&lt;/short_name&gt;
   &lt;type&gt;postal_code&lt;/type&gt;
  &lt;/address_component&gt;
  &lt;geometry&gt;
   &lt;location&gt;
    &lt;lat&gt;45.4386678&lt;/lat&gt;
    &lt;lng&gt;-73.6820476&lt;/lng&gt;
   &lt;/location&gt;
   &lt;location_type&gt;ROOFTOP&lt;/location_type&gt;
   &lt;viewport&gt;
    &lt;southwest&gt;
     &lt;lat&gt;45.4372957&lt;/lat&gt;
     &lt;lng&gt;-73.6835165&lt;/lng&gt;
    &lt;/southwest&gt;
    &lt;northeast&gt;
     &lt;lat&gt;45.4399936&lt;/lat&gt;
     &lt;lng&gt;-73.6808186&lt;/lng&gt;
    &lt;/northeast&gt;
   &lt;/viewport&gt;
   &lt;bounds&gt;
    &lt;southwest&gt;
     &lt;lat&gt;45.4385562&lt;/lat&gt;
     &lt;lng&gt;-73.6822743&lt;/lng&gt;
    &lt;/southwest&gt;
    &lt;northeast&gt;
     &lt;lat&gt;45.4387331&lt;/lat&gt;
     &lt;lng&gt;-73.6818877&lt;/lng&gt;
    &lt;/northeast&gt;
   &lt;/bounds&gt;
  &lt;/geometry&gt;
  &lt;place_id&gt;ChIJYbqil-0WyUwRmyrH_Ln3GOQ&lt;/place_id&gt;
 &lt;/result&gt;
&lt;/GeocodeResponse&gt;
</v>
      </c>
      <c r="AC18" s="15">
        <v>45.438667799999997</v>
      </c>
      <c r="AD18" s="15">
        <v>-73.682047600000004</v>
      </c>
      <c r="AE18" s="15" cm="1">
        <f t="array" ref="AE18">_xlfn.FILTERXML(AB18,"//location/lat")</f>
        <v>45.438667799999997</v>
      </c>
      <c r="AF18" s="15" cm="1">
        <f t="array" ref="AF18">_xlfn.FILTERXML(AB18,"//location/lng")</f>
        <v>-73.682047600000004</v>
      </c>
    </row>
    <row r="19" spans="1:32" s="15" customFormat="1" ht="28.8">
      <c r="A19" s="15" t="s">
        <v>102</v>
      </c>
      <c r="B19" s="15" t="s">
        <v>146</v>
      </c>
      <c r="C19" s="15" t="s">
        <v>140</v>
      </c>
      <c r="D19" s="16">
        <v>44839</v>
      </c>
      <c r="E19" s="16">
        <v>45015</v>
      </c>
      <c r="F19" s="15" t="s">
        <v>26</v>
      </c>
      <c r="G19" s="14">
        <v>40</v>
      </c>
      <c r="H19" s="14">
        <v>0</v>
      </c>
      <c r="I19" s="14">
        <v>135</v>
      </c>
      <c r="J19" s="14" t="s">
        <v>27</v>
      </c>
      <c r="K19" s="17">
        <f>Table1[[#This Row],[Estimated Hours]]*Table1[[#This Row],[Hourly rate]]*1.15</f>
        <v>6209.9999999999991</v>
      </c>
      <c r="L19" s="14" t="s">
        <v>147</v>
      </c>
      <c r="M19" s="15" t="s">
        <v>148</v>
      </c>
      <c r="N19" s="14">
        <v>29685276</v>
      </c>
      <c r="O19" s="16">
        <v>44893</v>
      </c>
      <c r="P19" s="15" t="s">
        <v>81</v>
      </c>
      <c r="Q19" s="18" t="s">
        <v>143</v>
      </c>
      <c r="R19" s="15">
        <v>45.438668100000001</v>
      </c>
      <c r="S19" s="15">
        <v>-73.682237499999999</v>
      </c>
      <c r="T19" s="19" t="s">
        <v>144</v>
      </c>
      <c r="U19" s="18" t="s">
        <v>149</v>
      </c>
      <c r="Z19" s="15" t="e">
        <f>_xlfn.XLOOKUP(Table1[[#This Row],[Project Number]],import!$J$2:$J$24,import!$C$2:$C$24)</f>
        <v>#N/A</v>
      </c>
      <c r="AA19" s="15" t="e">
        <f>_xlfn.XLOOKUP(Table1[[#This Row],[Project Number]],import!$J$2:$J$24,import!$B$2:$B$24)</f>
        <v>#N/A</v>
      </c>
      <c r="AB19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&lt;type&gt;premise&lt;/type&gt;
  &lt;formatted_address&gt;540 20e Avenue, Lachine, QC H8S 3T1, Canada&lt;/formatted_address&gt;
  &lt;address_component&gt;
   &lt;long_name&gt;540&lt;/long_name&gt;
   &lt;short_name&gt;540&lt;/short_name&gt;
   &lt;type&gt;street_number&lt;/type&gt;
  &lt;/address_component&gt;
  &lt;address_component&gt;
   &lt;long_name&gt;20e Avenue&lt;/long_name&gt;
   &lt;short_name&gt;20e Avenue&lt;/short_name&gt;
   &lt;type&gt;route&lt;/type&gt;
  &lt;/address_component&gt;
  &lt;address_component&gt;
   &lt;long_name&gt;Lachine&lt;/long_name&gt;
   &lt;short_name&gt;Lachine&lt;/short_name&gt;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&lt;long_name&gt;H8S 3T1&lt;/long_name&gt;
   &lt;short_name&gt;H8S 3T1&lt;/short_name&gt;
   &lt;type&gt;postal_code&lt;/type&gt;
  &lt;/address_component&gt;
  &lt;geometry&gt;
   &lt;location&gt;
    &lt;lat&gt;45.4386678&lt;/lat&gt;
    &lt;lng&gt;-73.6820476&lt;/lng&gt;
   &lt;/location&gt;
   &lt;location_type&gt;ROOFTOP&lt;/location_type&gt;
   &lt;viewport&gt;
    &lt;southwest&gt;
     &lt;lat&gt;45.4372957&lt;/lat&gt;
     &lt;lng&gt;-73.6835165&lt;/lng&gt;
    &lt;/southwest&gt;
    &lt;northeast&gt;
     &lt;lat&gt;45.4399936&lt;/lat&gt;
     &lt;lng&gt;-73.6808186&lt;/lng&gt;
    &lt;/northeast&gt;
   &lt;/viewport&gt;
   &lt;bounds&gt;
    &lt;southwest&gt;
     &lt;lat&gt;45.4385562&lt;/lat&gt;
     &lt;lng&gt;-73.6822743&lt;/lng&gt;
    &lt;/southwest&gt;
    &lt;northeast&gt;
     &lt;lat&gt;45.4387331&lt;/lat&gt;
     &lt;lng&gt;-73.6818877&lt;/lng&gt;
    &lt;/northeast&gt;
   &lt;/bounds&gt;
  &lt;/geometry&gt;
  &lt;place_id&gt;ChIJYbqil-0WyUwRmyrH_Ln3GOQ&lt;/place_id&gt;
 &lt;/result&gt;
&lt;/GeocodeResponse&gt;
</v>
      </c>
      <c r="AC19" s="15">
        <v>45.438667799999997</v>
      </c>
      <c r="AD19" s="15">
        <v>-73.682047600000004</v>
      </c>
      <c r="AE19" s="15" cm="1">
        <f t="array" ref="AE19">_xlfn.FILTERXML(AB19,"//location/lat")</f>
        <v>45.438667799999997</v>
      </c>
      <c r="AF19" s="15" cm="1">
        <f t="array" ref="AF19">_xlfn.FILTERXML(AB19,"//location/lng")</f>
        <v>-73.682047600000004</v>
      </c>
    </row>
    <row r="20" spans="1:32" s="15" customFormat="1" ht="28.8">
      <c r="A20" s="15" t="s">
        <v>102</v>
      </c>
      <c r="B20" s="15" t="s">
        <v>150</v>
      </c>
      <c r="C20" s="15" t="s">
        <v>140</v>
      </c>
      <c r="D20" s="16">
        <v>44839</v>
      </c>
      <c r="E20" s="16">
        <v>45015</v>
      </c>
      <c r="F20" s="15" t="s">
        <v>26</v>
      </c>
      <c r="G20" s="14">
        <v>30</v>
      </c>
      <c r="H20" s="14">
        <v>21.75</v>
      </c>
      <c r="I20" s="14">
        <v>165</v>
      </c>
      <c r="J20" s="14" t="s">
        <v>27</v>
      </c>
      <c r="K20" s="17">
        <f>Table1[[#This Row],[Estimated Hours]]*Table1[[#This Row],[Hourly rate]]*1.15</f>
        <v>5692.5</v>
      </c>
      <c r="L20" s="14" t="s">
        <v>151</v>
      </c>
      <c r="M20" s="15" t="s">
        <v>152</v>
      </c>
      <c r="N20" s="14">
        <v>29685224</v>
      </c>
      <c r="O20" s="16">
        <v>44775</v>
      </c>
      <c r="P20" s="15" t="s">
        <v>81</v>
      </c>
      <c r="Q20" s="18" t="s">
        <v>143</v>
      </c>
      <c r="R20" s="15">
        <v>45.438668100000001</v>
      </c>
      <c r="S20" s="15">
        <v>-73.682237499999999</v>
      </c>
      <c r="T20" s="19" t="s">
        <v>144</v>
      </c>
      <c r="U20" s="18" t="s">
        <v>153</v>
      </c>
      <c r="Z20" s="15" t="e">
        <f>_xlfn.XLOOKUP(Table1[[#This Row],[Project Number]],import!$J$2:$J$24,import!$C$2:$C$24)</f>
        <v>#N/A</v>
      </c>
      <c r="AA20" s="15" t="e">
        <f>_xlfn.XLOOKUP(Table1[[#This Row],[Project Number]],import!$J$2:$J$24,import!$B$2:$B$24)</f>
        <v>#N/A</v>
      </c>
      <c r="AB20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&lt;type&gt;premise&lt;/type&gt;
  &lt;formatted_address&gt;540 20e Avenue, Lachine, QC H8S 3T1, Canada&lt;/formatted_address&gt;
  &lt;address_component&gt;
   &lt;long_name&gt;540&lt;/long_name&gt;
   &lt;short_name&gt;540&lt;/short_name&gt;
   &lt;type&gt;street_number&lt;/type&gt;
  &lt;/address_component&gt;
  &lt;address_component&gt;
   &lt;long_name&gt;20e Avenue&lt;/long_name&gt;
   &lt;short_name&gt;20e Avenue&lt;/short_name&gt;
   &lt;type&gt;route&lt;/type&gt;
  &lt;/address_component&gt;
  &lt;address_component&gt;
   &lt;long_name&gt;Lachine&lt;/long_name&gt;
   &lt;short_name&gt;Lachine&lt;/short_name&gt;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&lt;long_name&gt;H8S 3T1&lt;/long_name&gt;
   &lt;short_name&gt;H8S 3T1&lt;/short_name&gt;
   &lt;type&gt;postal_code&lt;/type&gt;
  &lt;/address_component&gt;
  &lt;geometry&gt;
   &lt;location&gt;
    &lt;lat&gt;45.4386678&lt;/lat&gt;
    &lt;lng&gt;-73.6820476&lt;/lng&gt;
   &lt;/location&gt;
   &lt;location_type&gt;ROOFTOP&lt;/location_type&gt;
   &lt;viewport&gt;
    &lt;southwest&gt;
     &lt;lat&gt;45.4372957&lt;/lat&gt;
     &lt;lng&gt;-73.6835165&lt;/lng&gt;
    &lt;/southwest&gt;
    &lt;northeast&gt;
     &lt;lat&gt;45.4399936&lt;/lat&gt;
     &lt;lng&gt;-73.6808186&lt;/lng&gt;
    &lt;/northeast&gt;
   &lt;/viewport&gt;
   &lt;bounds&gt;
    &lt;southwest&gt;
     &lt;lat&gt;45.4385562&lt;/lat&gt;
     &lt;lng&gt;-73.6822743&lt;/lng&gt;
    &lt;/southwest&gt;
    &lt;northeast&gt;
     &lt;lat&gt;45.4387331&lt;/lat&gt;
     &lt;lng&gt;-73.6818877&lt;/lng&gt;
    &lt;/northeast&gt;
   &lt;/bounds&gt;
  &lt;/geometry&gt;
  &lt;place_id&gt;ChIJYbqil-0WyUwRmyrH_Ln3GOQ&lt;/place_id&gt;
 &lt;/result&gt;
&lt;/GeocodeResponse&gt;
</v>
      </c>
      <c r="AC20" s="15">
        <v>45.438667799999997</v>
      </c>
      <c r="AD20" s="15">
        <v>-73.682047600000004</v>
      </c>
      <c r="AE20" s="15" cm="1">
        <f t="array" ref="AE20">_xlfn.FILTERXML(AB20,"//location/lat")</f>
        <v>45.438667799999997</v>
      </c>
      <c r="AF20" s="15" cm="1">
        <f t="array" ref="AF20">_xlfn.FILTERXML(AB20,"//location/lng")</f>
        <v>-73.682047600000004</v>
      </c>
    </row>
    <row r="21" spans="1:32" s="15" customFormat="1" ht="28.8">
      <c r="A21" s="15" t="s">
        <v>42</v>
      </c>
      <c r="B21" s="15" t="s">
        <v>139</v>
      </c>
      <c r="C21" s="15" t="s">
        <v>154</v>
      </c>
      <c r="D21" s="16">
        <v>44895</v>
      </c>
      <c r="E21" s="16">
        <v>45015</v>
      </c>
      <c r="F21" s="15" t="s">
        <v>26</v>
      </c>
      <c r="G21" s="14">
        <v>78</v>
      </c>
      <c r="H21" s="14"/>
      <c r="I21" s="14">
        <v>175</v>
      </c>
      <c r="J21" s="14" t="s">
        <v>27</v>
      </c>
      <c r="K21" s="17">
        <f>Table1[[#This Row],[Estimated Hours]]*Table1[[#This Row],[Hourly rate]]*1.15</f>
        <v>15697.499999999998</v>
      </c>
      <c r="L21" s="14" t="s">
        <v>155</v>
      </c>
      <c r="M21" s="15" t="s">
        <v>156</v>
      </c>
      <c r="N21" s="14">
        <v>29685280</v>
      </c>
      <c r="O21" s="16">
        <v>44901</v>
      </c>
      <c r="P21" s="15" t="s">
        <v>81</v>
      </c>
      <c r="Q21" s="18" t="s">
        <v>157</v>
      </c>
      <c r="R21" s="15">
        <v>46.623553700000002</v>
      </c>
      <c r="S21" s="15">
        <v>-71.500449599999996</v>
      </c>
      <c r="T21" s="19" t="s">
        <v>158</v>
      </c>
      <c r="U21" s="23" t="s">
        <v>159</v>
      </c>
      <c r="Z21" s="15" t="e">
        <f>_xlfn.XLOOKUP(Table1[[#This Row],[Project Number]],import!$J$2:$J$24,import!$C$2:$C$24)</f>
        <v>#N/A</v>
      </c>
      <c r="AA21" s="15" t="e">
        <f>_xlfn.XLOOKUP(Table1[[#This Row],[Project Number]],import!$J$2:$J$24,import!$B$2:$B$24)</f>
        <v>#N/A</v>
      </c>
      <c r="AB21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&lt;type&gt;street_address&lt;/type&gt;
  &lt;formatted_address&gt;294 Rue Laurier, Saint-Apollinaire, QC G0S 2E0, Canada&lt;/formatted_address&gt;
  &lt;address_component&gt;
   &lt;long_name&gt;294&lt;/long_name&gt;
   &lt;short_name&gt;294&lt;/short_name&gt;
   &lt;type&gt;street_number&lt;/type&gt;
  &lt;/address_component&gt;
  &lt;address_component&gt;
   &lt;long_name&gt;Rue Laurier&lt;/long_name&gt;
   &lt;short_name&gt;Rue Laurier&lt;/short_name&gt;
   &lt;type&gt;route&lt;/type&gt;
  &lt;/address_component&gt;
  &lt;address_component&gt;
   &lt;long_name&gt;Saint-Apollinaire&lt;/long_name&gt;
   &lt;short_name&gt;Saint-Apollinaire&lt;/short_name&gt;
   &lt;type&gt;locality&lt;/type&gt;
   &lt;type&gt;political&lt;/type&gt;
  &lt;/address_component&gt;
  &lt;address_component&gt;
   &lt;long_name&gt;Lotbinière&lt;/long_name&gt;
   &lt;short_name&gt;Lotbinière&lt;/short_name&gt;
   &lt;type&gt;administrative_area_level_3&lt;/type&gt;
   &lt;type&gt;political&lt;/type&gt;
  &lt;/address_component&gt;
  &lt;address_component&gt;
   &lt;long_name&gt;Chaudière-Appalaches&lt;/long_name&gt;
   &lt;short_name&gt;Chaudière-Appalaches&lt;/short_name&gt;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&lt;long_name&gt;G0S 2E0&lt;/long_name&gt;
   &lt;short_name&gt;G0S 2E0&lt;/short_name&gt;
   &lt;type&gt;postal_code&lt;/type&gt;
  &lt;/address_component&gt;
  &lt;geometry&gt;
   &lt;location&gt;
    &lt;lat&gt;46.6235942&lt;/lat&gt;
    &lt;lng&gt;-71.5004962&lt;/lng&gt;
   &lt;/location&gt;
   &lt;location_type&gt;ROOFTOP&lt;/location_type&gt;
   &lt;viewport&gt;
    &lt;southwest&gt;
     &lt;lat&gt;46.6221366&lt;/lat&gt;
     &lt;lng&gt;-71.5017703&lt;/lng&gt;
    &lt;/southwest&gt;
    &lt;northeast&gt;
     &lt;lat&gt;46.6248346&lt;/lat&gt;
     &lt;lng&gt;-71.4990723&lt;/lng&gt;
    &lt;/northeast&gt;
   &lt;/viewport&gt;
  &lt;/geometry&gt;
  &lt;place_id&gt;ChIJmV3A3EKGuEwRYX8dWf0F7h0&lt;/place_id&gt;
  &lt;plus_code&gt;
   &lt;global_code&gt;87RCJFFX+CR&lt;/global_code&gt;
   &lt;compound_code&gt;JFFX+CR Saint-Apollinaire, QC, Canada&lt;/compound_code&gt;
  &lt;/plus_code&gt;
 &lt;/result&gt;
&lt;/GeocodeResponse&gt;
</v>
      </c>
      <c r="AC21" s="15">
        <v>46.623594199999999</v>
      </c>
      <c r="AD21" s="15">
        <v>-71.500496200000001</v>
      </c>
      <c r="AE21" s="15" cm="1">
        <f t="array" ref="AE21">_xlfn.FILTERXML(AB21,"//location/lat")</f>
        <v>46.623594199999999</v>
      </c>
      <c r="AF21" s="15" cm="1">
        <f t="array" ref="AF21">_xlfn.FILTERXML(AB21,"//location/lng")</f>
        <v>-71.500496200000001</v>
      </c>
    </row>
    <row r="22" spans="1:32" s="15" customFormat="1" ht="43.2">
      <c r="A22" s="15" t="s">
        <v>42</v>
      </c>
      <c r="B22" s="29" t="s">
        <v>231</v>
      </c>
      <c r="C22" s="15" t="s">
        <v>228</v>
      </c>
      <c r="D22" s="16">
        <v>44917</v>
      </c>
      <c r="E22" s="16">
        <v>45015</v>
      </c>
      <c r="F22" s="15" t="s">
        <v>26</v>
      </c>
      <c r="G22" s="14">
        <v>42</v>
      </c>
      <c r="H22" s="14"/>
      <c r="I22" s="14">
        <v>165</v>
      </c>
      <c r="J22" s="14" t="s">
        <v>27</v>
      </c>
      <c r="K22" s="17">
        <f>Table1[[#This Row],[Estimated Hours]]*Table1[[#This Row],[Hourly rate]]*1.15</f>
        <v>7969.4999999999991</v>
      </c>
      <c r="L22" s="30" t="s">
        <v>232</v>
      </c>
      <c r="M22" s="28" t="s">
        <v>95</v>
      </c>
      <c r="N22" s="14">
        <v>29685283</v>
      </c>
      <c r="O22" s="16">
        <v>44917</v>
      </c>
      <c r="P22" s="15" t="s">
        <v>230</v>
      </c>
      <c r="Q22" s="18" t="s">
        <v>229</v>
      </c>
      <c r="R22" s="15">
        <v>45.594337299999999</v>
      </c>
      <c r="S22" s="15">
        <v>-73.744187600000004</v>
      </c>
      <c r="T22" s="19" t="s">
        <v>227</v>
      </c>
      <c r="U22" s="18" t="s">
        <v>233</v>
      </c>
      <c r="AB22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&lt;type&gt;street_address&lt;/type&gt;
  &lt;formatted_address&gt;990 Rue Bergar, Laval, QC H7L 5A1, Canada&lt;/formatted_address&gt;
  &lt;address_component&gt;
   &lt;long_name&gt;990&lt;/long_name&gt;
   &lt;short_name&gt;990&lt;/short_name&gt;
   &lt;type&gt;street_number&lt;/type&gt;
  &lt;/address_component&gt;
  &lt;address_component&gt;
   &lt;long_name&gt;Rue Bergar&lt;/long_name&gt;
   &lt;short_name&gt;Rue Bergar&lt;/short_name&gt;
   &lt;type&gt;route&lt;/type&gt;
  &lt;/address_component&gt;
  &lt;address_component&gt;
   &lt;long_name&gt;Vimont&lt;/long_name&gt;
   &lt;short_name&gt;Vimont&lt;/short_name&gt;
   &lt;type&gt;neighborhood&lt;/type&gt;
   &lt;type&gt;political&lt;/type&gt;
  &lt;/address_component&gt;
  &lt;address_component&gt;
   &lt;long_name&gt;Laval&lt;/long_name&gt;
   &lt;short_name&gt;Laval&lt;/short_name&gt;
   &lt;type&gt;locality&lt;/type&gt;
   &lt;type&gt;political&lt;/type&gt;
  &lt;/address_component&gt;
  &lt;address_component&gt;
   &lt;long_name&gt;Laval&lt;/long_name&gt;
   &lt;short_name&gt;Laval&lt;/short_name&gt;
   &lt;type&gt;administrative_area_level_3&lt;/type&gt;
   &lt;type&gt;political&lt;/type&gt;
  &lt;/address_component&gt;
  &lt;address_component&gt;
   &lt;long_name&gt;Laval&lt;/long_name&gt;
   &lt;short_name&gt;Laval&lt;/short_name&gt;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&lt;long_name&gt;H7L 5A1&lt;/long_name&gt;
   &lt;short_name&gt;H7L 5A1&lt;/short_name&gt;
   &lt;type&gt;postal_code&lt;/type&gt;
  &lt;/address_component&gt;
  &lt;geometry&gt;
   &lt;location&gt;
    &lt;lat&gt;45.5940320&lt;/lat&gt;
    &lt;lng&gt;-73.7438470&lt;/lng&gt;
   &lt;/location&gt;
   &lt;location_type&gt;ROOFTOP&lt;/location_type&gt;
   &lt;viewport&gt;
    &lt;southwest&gt;
     &lt;lat&gt;45.5929076&lt;/lat&gt;
     &lt;lng&gt;-73.7454465&lt;/lng&gt;
    &lt;/southwest&gt;
    &lt;northeast&gt;
     &lt;lat&gt;45.5956056&lt;/lat&gt;
     &lt;lng&gt;-73.7427485&lt;/lng&gt;
    &lt;/northeast&gt;
   &lt;/viewport&gt;
  &lt;/geometry&gt;
  &lt;place_id&gt;ChIJzxBt0EMhyUwRaaxBtkwjgcs&lt;/place_id&gt;
  &lt;plus_code&gt;
   &lt;global_code&gt;87Q8H7V4+JF&lt;/global_code&gt;
   &lt;compound_code&gt;H7V4+JF Laval, QC, Canada&lt;/compound_code&gt;
  &lt;/plus_code&gt;
 &lt;/result&gt;
&lt;/GeocodeResponse&gt;
</v>
      </c>
      <c r="AC22" s="15">
        <v>45.594031999999999</v>
      </c>
      <c r="AD22" s="15">
        <v>-73.743847000000002</v>
      </c>
      <c r="AE22" s="15" cm="1">
        <f t="array" ref="AE22">_xlfn.FILTERXML(AB22,"//location/lat")</f>
        <v>45.594031999999999</v>
      </c>
      <c r="AF22" s="15" cm="1">
        <f t="array" ref="AF22">_xlfn.FILTERXML(AB22,"//location/lng")</f>
        <v>-73.743847000000002</v>
      </c>
    </row>
    <row r="23" spans="1:32" s="15" customFormat="1" ht="28.8">
      <c r="A23" s="15" t="s">
        <v>42</v>
      </c>
      <c r="B23" s="15" t="s">
        <v>160</v>
      </c>
      <c r="C23" s="15" t="s">
        <v>134</v>
      </c>
      <c r="D23" s="16">
        <v>44858</v>
      </c>
      <c r="E23" s="16">
        <v>45016</v>
      </c>
      <c r="F23" s="15" t="s">
        <v>26</v>
      </c>
      <c r="G23" s="14">
        <v>166</v>
      </c>
      <c r="H23" s="14">
        <v>1</v>
      </c>
      <c r="I23" s="14">
        <v>165</v>
      </c>
      <c r="J23" s="14" t="s">
        <v>27</v>
      </c>
      <c r="K23" s="17">
        <f>Table1[[#This Row],[Estimated Hours]]*Table1[[#This Row],[Hourly rate]]*1.15</f>
        <v>31498.499999999996</v>
      </c>
      <c r="L23" s="14" t="s">
        <v>161</v>
      </c>
      <c r="M23" s="15" t="s">
        <v>160</v>
      </c>
      <c r="N23" s="14">
        <f>_xlfn.XLOOKUP(Table1[[#This Row],[Project Number]],import!$J$2:$J$22,import!$N$2:$N$22)</f>
        <v>29685255</v>
      </c>
      <c r="O23" s="16">
        <v>44858</v>
      </c>
      <c r="P23" s="15" t="s">
        <v>81</v>
      </c>
      <c r="Q23" s="18" t="s">
        <v>136</v>
      </c>
      <c r="R23" s="15">
        <v>45.156929499999997</v>
      </c>
      <c r="S23" s="15">
        <v>-71.8010503</v>
      </c>
      <c r="T23" s="19" t="s">
        <v>137</v>
      </c>
      <c r="U23" s="18" t="s">
        <v>234</v>
      </c>
      <c r="Z23" s="15" t="str">
        <f>_xlfn.XLOOKUP(Table1[[#This Row],[Project Number]],import!$J$2:$J$24,import!$C$2:$C$24)</f>
        <v>Laiterie de Coaticook ltée</v>
      </c>
      <c r="AA23" s="15" t="str">
        <f>_xlfn.XLOOKUP(Table1[[#This Row],[Project Number]],import!$J$2:$J$24,import!$B$2:$B$24)</f>
        <v>Produmex WMS</v>
      </c>
      <c r="AB23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&lt;type&gt;premise&lt;/type&gt;
  &lt;formatted_address&gt;1000 Rue Child, Coaticook, QC J1A 2S5, Canada&lt;/formatted_address&gt;
  &lt;address_component&gt;
   &lt;long_name&gt;1000&lt;/long_name&gt;
   &lt;short_name&gt;1000&lt;/short_name&gt;
   &lt;type&gt;street_number&lt;/type&gt;
  &lt;/address_component&gt;
  &lt;address_component&gt;
   &lt;long_name&gt;Rue Child&lt;/long_name&gt;
   &lt;short_name&gt;Rue Child&lt;/short_name&gt;
   &lt;type&gt;route&lt;/type&gt;
  &lt;/address_component&gt;
  &lt;address_component&gt;
   &lt;long_name&gt;Coaticook&lt;/long_name&gt;
   &lt;short_name&gt;Coaticook&lt;/short_name&gt;
   &lt;type&gt;locality&lt;/type&gt;
   &lt;type&gt;political&lt;/type&gt;
  &lt;/address_component&gt;
  &lt;address_component&gt;
   &lt;long_name&gt;Coaticook&lt;/long_name&gt;
   &lt;short_name&gt;Coaticook&lt;/short_name&gt;
   &lt;type&gt;administrative_area_level_3&lt;/type&gt;
   &lt;type&gt;political&lt;/type&gt;
  &lt;/address_component&gt;
  &lt;address_component&gt;
   &lt;long_name&gt;Estrie&lt;/long_name&gt;
   &lt;short_name&gt;Estrie&lt;/short_name&gt;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&lt;long_name&gt;J1A 2S5&lt;/long_name&gt;
   &lt;short_name&gt;J1A 2S5&lt;/short_name&gt;
   &lt;type&gt;postal_code&lt;/type&gt;
  &lt;/address_component&gt;
  &lt;geometry&gt;
   &lt;location&gt;
    &lt;lat&gt;45.1570668&lt;/lat&gt;
    &lt;lng&gt;-71.8012981&lt;/lng&gt;
   &lt;/location&gt;
   &lt;location_type&gt;ROOFTOP&lt;/location_type&gt;
   &lt;viewport&gt;
    &lt;southwest&gt;
     &lt;lat&gt;45.1556833&lt;/lat&gt;
     &lt;lng&gt;-71.8025943&lt;/lng&gt;
    &lt;/southwest&gt;
    &lt;northeast&gt;
     &lt;lat&gt;45.1583813&lt;/lat&gt;
     &lt;lng&gt;-71.7998963&lt;/lng&gt;
    &lt;/northeast&gt;
   &lt;/viewport&gt;
   &lt;bounds&gt;
    &lt;southwest&gt;
     &lt;lat&gt;45.1565689&lt;/lat&gt;
     &lt;lng&gt;-71.8017509&lt;/lng&gt;
    &lt;/southwest&gt;
    &lt;northeast&gt;
     &lt;lat&gt;45.1574957&lt;/lat&gt;
     &lt;lng&gt;-71.8007397&lt;/lng&gt;
    &lt;/northeast&gt;
   &lt;/bounds&gt;
  &lt;/geometry&gt;
  &lt;place_id&gt;ChIJ_W0RofBYtkwRaq689MWaDeY&lt;/place_id&gt;
 &lt;/result&gt;
&lt;/GeocodeResponse&gt;
</v>
      </c>
      <c r="AC23" s="15">
        <v>45.157066800000003</v>
      </c>
      <c r="AD23" s="15">
        <v>-71.801298099999997</v>
      </c>
      <c r="AE23" s="15" cm="1">
        <f t="array" ref="AE23">_xlfn.FILTERXML(AB23,"//location/lat")</f>
        <v>45.157066800000003</v>
      </c>
      <c r="AF23" s="15" cm="1">
        <f t="array" ref="AF23">_xlfn.FILTERXML(AB23,"//location/lng")</f>
        <v>-71.801298099999997</v>
      </c>
    </row>
    <row r="24" spans="1:32" s="15" customFormat="1" ht="28.8">
      <c r="A24" s="15" t="s">
        <v>23</v>
      </c>
      <c r="B24" s="15" t="s">
        <v>162</v>
      </c>
      <c r="C24" s="15" t="s">
        <v>163</v>
      </c>
      <c r="D24" s="16">
        <v>44866</v>
      </c>
      <c r="E24" s="16">
        <v>45291</v>
      </c>
      <c r="F24" s="15" t="s">
        <v>26</v>
      </c>
      <c r="G24" s="14">
        <v>815</v>
      </c>
      <c r="H24" s="14">
        <v>1</v>
      </c>
      <c r="I24" s="14">
        <v>170</v>
      </c>
      <c r="J24" s="14" t="s">
        <v>27</v>
      </c>
      <c r="K24" s="17">
        <f>Table1[[#This Row],[Estimated Hours]]*Table1[[#This Row],[Hourly rate]]*1.15</f>
        <v>159332.5</v>
      </c>
      <c r="L24" s="14" t="s">
        <v>164</v>
      </c>
      <c r="M24" s="15" t="s">
        <v>165</v>
      </c>
      <c r="N24" s="14">
        <f>_xlfn.XLOOKUP(Table1[[#This Row],[Project Number]],import!$J$2:$J$22,import!$N$2:$N$22)</f>
        <v>29685265</v>
      </c>
      <c r="O24" s="16">
        <v>44876</v>
      </c>
      <c r="P24" s="15" t="s">
        <v>30</v>
      </c>
      <c r="Q24" s="18" t="s">
        <v>166</v>
      </c>
      <c r="R24" s="15">
        <v>45.929029399999997</v>
      </c>
      <c r="S24" s="15">
        <v>-73.017207299999995</v>
      </c>
      <c r="T24" s="19" t="s">
        <v>167</v>
      </c>
      <c r="U24" s="18" t="s">
        <v>168</v>
      </c>
      <c r="Z24" s="15" t="str">
        <f>_xlfn.XLOOKUP(Table1[[#This Row],[Project Number]],import!$J$2:$J$24,import!$C$2:$C$24)</f>
        <v>Fromagerie Polyethnique Inc</v>
      </c>
      <c r="AA24" s="15" t="str">
        <f>_xlfn.XLOOKUP(Table1[[#This Row],[Project Number]],import!$J$2:$J$24,import!$B$2:$B$24)</f>
        <v>Implantation SAP B1 &amp; Process Force</v>
      </c>
      <c r="AB24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&lt;type&gt;street_address&lt;/type&gt;
  &lt;formatted_address&gt;235 Chemin de St Robert, Saint-Robert, QC J0G 1S0, Canada&lt;/formatted_address&gt;
  &lt;address_component&gt;
   &lt;long_name&gt;235&lt;/long_name&gt;
   &lt;short_name&gt;235&lt;/short_name&gt;
   &lt;type&gt;street_number&lt;/type&gt;
  &lt;/address_component&gt;
  &lt;address_component&gt;
   &lt;long_name&gt;Chemin de Saint Robert&lt;/long_name&gt;
   &lt;short_name&gt;Chemin de St Robert&lt;/short_name&gt;
   &lt;type&gt;route&lt;/type&gt;
  &lt;/address_component&gt;
  &lt;address_component&gt;
   &lt;long_name&gt;Saint-Robert&lt;/long_name&gt;
   &lt;short_name&gt;Saint-Robert&lt;/short_name&gt;
   &lt;type&gt;locality&lt;/type&gt;
   &lt;type&gt;political&lt;/type&gt;
  &lt;/address_component&gt;
  &lt;address_component&gt;
   &lt;long_name&gt;Pierre-De Saurel&lt;/long_name&gt;
   &lt;short_name&gt;Pierre-De Saurel&lt;/short_name&gt;
   &lt;type&gt;administrative_area_level_3&lt;/type&gt;
   &lt;type&gt;political&lt;/type&gt;
  &lt;/address_component&gt;
  &lt;address_component&gt;
   &lt;long_name&gt;Montérégie&lt;/long_name&gt;
   &lt;short_name&gt;Montérégie&lt;/short_name&gt;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&lt;long_name&gt;J0G 1S0&lt;/long_name&gt;
   &lt;short_name&gt;J0G 1S0&lt;/short_name&gt;
   &lt;type&gt;postal_code&lt;/type&gt;
  &lt;/address_component&gt;
  &lt;geometry&gt;
   &lt;location&gt;
    &lt;lat&gt;45.9293327&lt;/lat&gt;
    &lt;lng&gt;-73.0166942&lt;/lng&gt;
   &lt;/location&gt;
   &lt;location_type&gt;ROOFTOP&lt;/location_type&gt;
   &lt;viewport&gt;
    &lt;southwest&gt;
     &lt;lat&gt;45.9279789&lt;/lat&gt;
     &lt;lng&gt;-73.0180231&lt;/lng&gt;
    &lt;/southwest&gt;
    &lt;northeast&gt;
     &lt;lat&gt;45.9306768&lt;/lat&gt;
     &lt;lng&gt;-73.0153252&lt;/lng&gt;
    &lt;/northeast&gt;
   &lt;/viewport&gt;
  &lt;/geometry&gt;
  &lt;place_id&gt;ChIJXWbKS_thyEwRsXhrs4jqSFk&lt;/place_id&gt;
  &lt;plus_code&gt;
   &lt;global_code&gt;87Q8WXHM+P8&lt;/global_code&gt;
   &lt;compound_code&gt;WXHM+P8 Saint-Robert, QC, Canada&lt;/compound_code&gt;
  &lt;/plus_code&gt;
 &lt;/result&gt;
&lt;/GeocodeResponse&gt;
</v>
      </c>
      <c r="AC24" s="15">
        <v>45.929332700000003</v>
      </c>
      <c r="AD24" s="15">
        <v>-73.016694200000003</v>
      </c>
      <c r="AE24" s="15" cm="1">
        <f t="array" ref="AE24">_xlfn.FILTERXML(AB24,"//location/lat")</f>
        <v>45.929332700000003</v>
      </c>
      <c r="AF24" s="15" cm="1">
        <f t="array" ref="AF24">_xlfn.FILTERXML(AB24,"//location/lng")</f>
        <v>-73.016694200000003</v>
      </c>
    </row>
    <row r="25" spans="1:32" s="15" customFormat="1">
      <c r="A25" s="15" t="s">
        <v>23</v>
      </c>
      <c r="B25" s="15" t="s">
        <v>169</v>
      </c>
      <c r="C25" s="15" t="s">
        <v>170</v>
      </c>
      <c r="D25" s="16">
        <v>44846</v>
      </c>
      <c r="E25" s="16">
        <v>45289</v>
      </c>
      <c r="F25" s="15" t="s">
        <v>36</v>
      </c>
      <c r="G25" s="14">
        <v>981</v>
      </c>
      <c r="H25" s="14">
        <v>93.5</v>
      </c>
      <c r="I25" s="14">
        <v>165</v>
      </c>
      <c r="J25" s="14" t="s">
        <v>27</v>
      </c>
      <c r="K25" s="17">
        <f>Table1[[#This Row],[Estimated Hours]]*Table1[[#This Row],[Hourly rate]]*1.15</f>
        <v>186144.75</v>
      </c>
      <c r="L25" s="14" t="s">
        <v>171</v>
      </c>
      <c r="M25" s="15" t="s">
        <v>169</v>
      </c>
      <c r="N25" s="14">
        <f>_xlfn.XLOOKUP(Table1[[#This Row],[Project Number]],import!$J$2:$J$22,import!$N$2:$N$22)</f>
        <v>29685241</v>
      </c>
      <c r="O25" s="20">
        <v>44846</v>
      </c>
      <c r="P25" s="15" t="s">
        <v>30</v>
      </c>
      <c r="Q25" s="18" t="s">
        <v>172</v>
      </c>
      <c r="R25" s="15">
        <v>45.529286800000001</v>
      </c>
      <c r="S25" s="15">
        <v>-73.664845299999996</v>
      </c>
      <c r="T25" s="22" t="s">
        <v>173</v>
      </c>
      <c r="U25" s="18" t="s">
        <v>174</v>
      </c>
      <c r="Z25" s="15" t="str">
        <f>_xlfn.XLOOKUP(Table1[[#This Row],[Project Number]],import!$J$2:$J$24,import!$C$2:$C$24)</f>
        <v>Groupe Carreaux Céragrès Inc.</v>
      </c>
      <c r="AA25" s="15" t="str">
        <f>_xlfn.XLOOKUP(Table1[[#This Row],[Project Number]],import!$J$2:$J$24,import!$B$2:$B$24)</f>
        <v>Projet implantation SAP et WMS</v>
      </c>
      <c r="AB25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&lt;type&gt;premise&lt;/type&gt;
  &lt;formatted_address&gt;825 Rue Deslauriers, Saint-Laurent, QC H4N 1X3, Canada&lt;/formatted_address&gt;
  &lt;address_component&gt;
   &lt;long_name&gt;825&lt;/long_name&gt;
   &lt;short_name&gt;825&lt;/short_name&gt;
   &lt;type&gt;street_number&lt;/type&gt;
  &lt;/address_component&gt;
  &lt;address_component&gt;
   &lt;long_name&gt;Rue Deslauriers&lt;/long_name&gt;
   &lt;short_name&gt;Rue Deslauriers&lt;/short_name&gt;
   &lt;type&gt;route&lt;/type&gt;
  &lt;/address_component&gt;
  &lt;address_component&gt;
   &lt;long_name&gt;Saint-Laurent&lt;/long_name&gt;
   &lt;short_name&gt;Saint-Laurent&lt;/short_name&gt;
   &lt;type&gt;political&lt;/type&gt;
   &lt;type&gt;sublocality&lt;/type&gt;
   &lt;type&gt;sublocality_level_1&lt;/type&gt;
  &lt;/address_component&gt;
  &lt;address_component&gt;
   &lt;long_name&gt;Montréal&lt;/long_name&gt;
   &lt;short_name&gt;Montréal&lt;/short_name&gt;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&lt;long_name&gt;H4N 1X3&lt;/long_name&gt;
   &lt;short_name&gt;H4N 1X3&lt;/short_name&gt;
   &lt;type&gt;postal_code&lt;/type&gt;
  &lt;/address_component&gt;
  &lt;geometry&gt;
   &lt;location&gt;
    &lt;lat&gt;45.5292868&lt;/lat&gt;
    &lt;lng&gt;-73.6648453&lt;/lng&gt;
   &lt;/location&gt;
   &lt;location_type&gt;ROOFTOP&lt;/location_type&gt;
   &lt;viewport&gt;
    &lt;southwest&gt;
     &lt;lat&gt;45.5278116&lt;/lat&gt;
     &lt;lng&gt;-73.6660643&lt;/lng&gt;
    &lt;/southwest&gt;
    &lt;northeast&gt;
     &lt;lat&gt;45.5305095&lt;/lat&gt;
     &lt;lng&gt;-73.6633663&lt;/lng&gt;
    &lt;/northeast&gt;
   &lt;/viewport&gt;
   &lt;bounds&gt;
    &lt;southwest&gt;
     &lt;lat&gt;45.5287958&lt;/lat&gt;
     &lt;lng&gt;-73.6655491&lt;/lng&gt;
    &lt;/southwest&gt;
    &lt;northeast&gt;
     &lt;lat&gt;45.5296835&lt;/lat&gt;
     &lt;lng&gt;-73.6638815&lt;/lng&gt;
    &lt;/northeast&gt;
   &lt;/bounds&gt;
  &lt;/geometry&gt;
  &lt;place_id&gt;ChIJr9CZWl8YyUwRy8_IZmIIAbE&lt;/place_id&gt;
 &lt;/result&gt;
&lt;/GeocodeResponse&gt;
</v>
      </c>
      <c r="AC25" s="15">
        <v>45.529286800000001</v>
      </c>
      <c r="AD25" s="15">
        <v>-73.664845299999996</v>
      </c>
      <c r="AE25" s="15" cm="1">
        <f t="array" ref="AE25">_xlfn.FILTERXML(AB25,"//location/lat")</f>
        <v>45.529286800000001</v>
      </c>
      <c r="AF25" s="15" cm="1">
        <f t="array" ref="AF25">_xlfn.FILTERXML(AB25,"//location/lng")</f>
        <v>-73.664845299999996</v>
      </c>
    </row>
    <row r="26" spans="1:32" s="15" customFormat="1">
      <c r="A26" s="15" t="s">
        <v>42</v>
      </c>
      <c r="B26" s="15" t="s">
        <v>175</v>
      </c>
      <c r="C26" s="15" t="s">
        <v>176</v>
      </c>
      <c r="D26" s="16">
        <v>44881</v>
      </c>
      <c r="E26" s="16">
        <v>45052</v>
      </c>
      <c r="F26" s="15" t="s">
        <v>26</v>
      </c>
      <c r="G26" s="14">
        <v>33</v>
      </c>
      <c r="H26" s="14">
        <v>3.5</v>
      </c>
      <c r="I26" s="14">
        <v>170</v>
      </c>
      <c r="J26" s="14" t="s">
        <v>27</v>
      </c>
      <c r="K26" s="17">
        <f>Table1[[#This Row],[Estimated Hours]]*Table1[[#This Row],[Hourly rate]]*1.15</f>
        <v>6451.4999999999991</v>
      </c>
      <c r="L26" s="14" t="s">
        <v>177</v>
      </c>
      <c r="M26" s="15" t="s">
        <v>266</v>
      </c>
      <c r="N26" s="14">
        <v>29685304</v>
      </c>
      <c r="O26" s="21">
        <v>44886</v>
      </c>
      <c r="P26" s="15" t="s">
        <v>30</v>
      </c>
      <c r="Q26" s="18" t="s">
        <v>179</v>
      </c>
      <c r="R26" s="15">
        <v>45.2710103</v>
      </c>
      <c r="S26" s="15">
        <v>-73.607335899999995</v>
      </c>
      <c r="T26" s="22" t="s">
        <v>180</v>
      </c>
      <c r="U26" s="18" t="s">
        <v>265</v>
      </c>
      <c r="Z26" s="15" t="str">
        <f>_xlfn.XLOOKUP(Table1[[#This Row],[Project Number]],import!$J$2:$J$24,import!$C$2:$C$24)</f>
        <v>Dubois Agrinovation Inc.</v>
      </c>
      <c r="AA26" s="15" t="str">
        <f>_xlfn.XLOOKUP(Table1[[#This Row],[Project Number]],import!$J$2:$J$24,import!$B$2:$B$24)</f>
        <v>Dubois Agrinovations - Archivage</v>
      </c>
      <c r="AB26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&lt;type&gt;premise&lt;/type&gt;
  &lt;formatted_address&gt;478 Rue Notre Dame, Saint-Rémi, QC J0L 2L0, Canada&lt;/formatted_address&gt;
  &lt;address_component&gt;
   &lt;long_name&gt;478&lt;/long_name&gt;
   &lt;short_name&gt;478&lt;/short_name&gt;
   &lt;type&gt;street_number&lt;/type&gt;
  &lt;/address_component&gt;
  &lt;address_component&gt;
   &lt;long_name&gt;Rue Notre-Dame&lt;/long_name&gt;
   &lt;short_name&gt;Rue Notre Dame&lt;/short_name&gt;
   &lt;type&gt;route&lt;/type&gt;
  &lt;/address_component&gt;
  &lt;address_component&gt;
   &lt;long_name&gt;Saint-Rémi&lt;/long_name&gt;
   &lt;short_name&gt;Saint-Rémi&lt;/short_name&gt;
   &lt;type&gt;locality&lt;/type&gt;
   &lt;type&gt;political&lt;/type&gt;
  &lt;/address_component&gt;
  &lt;address_component&gt;
   &lt;long_name&gt;Les Jardins-de-Napierville&lt;/long_name&gt;
   &lt;short_name&gt;Les Jardins-de-Napierville&lt;/short_name&gt;
   &lt;type&gt;administrative_area_level_3&lt;/type&gt;
   &lt;type&gt;political&lt;/type&gt;
  &lt;/address_component&gt;
  &lt;address_component&gt;
   &lt;long_name&gt;Montérégie&lt;/long_name&gt;
   &lt;short_name&gt;Montérégie&lt;/short_name&gt;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&lt;long_name&gt;J0L 2L0&lt;/long_name&gt;
   &lt;short_name&gt;J0L 2L0&lt;/short_name&gt;
   &lt;type&gt;postal_code&lt;/type&gt;
  &lt;/address_component&gt;
  &lt;geometry&gt;
   &lt;location&gt;
    &lt;lat&gt;45.2710103&lt;/lat&gt;
    &lt;lng&gt;-73.6073359&lt;/lng&gt;
   &lt;/location&gt;
   &lt;location_type&gt;ROOFTOP&lt;/location_type&gt;
   &lt;viewport&gt;
    &lt;southwest&gt;
     &lt;lat&gt;45.2696490&lt;/lat&gt;
     &lt;lng&gt;-73.6088320&lt;/lng&gt;
    &lt;/southwest&gt;
    &lt;northeast&gt;
     &lt;lat&gt;45.2723470&lt;/lat&gt;
     &lt;lng&gt;-73.6061341&lt;/lng&gt;
    &lt;/northeast&gt;
   &lt;/viewport&gt;
   &lt;bounds&gt;
    &lt;southwest&gt;
     &lt;lat&gt;45.2707404&lt;/lat&gt;
     &lt;lng&gt;-73.6078918&lt;/lng&gt;
    &lt;/southwest&gt;
    &lt;northeast&gt;
     &lt;lat&gt;45.2712464&lt;/lat&gt;
     &lt;lng&gt;-73.6067705&lt;/lng&gt;
    &lt;/northeast&gt;
   &lt;/bounds&gt;
  &lt;/geometry&gt;
  &lt;place_id&gt;ChIJXZs7EkByyUwRaUGSxQIkWkA&lt;/place_id&gt;
 &lt;/result&gt;
&lt;/GeocodeResponse&gt;
</v>
      </c>
      <c r="AC26" s="15">
        <v>45.2710103</v>
      </c>
      <c r="AD26" s="15">
        <v>-73.607335899999995</v>
      </c>
      <c r="AE26" s="15" cm="1">
        <f t="array" ref="AE26">_xlfn.FILTERXML(AB26,"//location/lat")</f>
        <v>45.2710103</v>
      </c>
      <c r="AF26" s="15" cm="1">
        <f t="array" ref="AF26">_xlfn.FILTERXML(AB26,"//location/lng")</f>
        <v>-73.607335899999995</v>
      </c>
    </row>
    <row r="27" spans="1:32" s="15" customFormat="1">
      <c r="A27" s="15" t="s">
        <v>42</v>
      </c>
      <c r="B27" s="15" t="s">
        <v>267</v>
      </c>
      <c r="C27" s="15" t="s">
        <v>268</v>
      </c>
      <c r="D27" s="16">
        <v>44944</v>
      </c>
      <c r="E27" s="16">
        <v>45078</v>
      </c>
      <c r="F27" s="15" t="s">
        <v>26</v>
      </c>
      <c r="G27" s="14">
        <v>71.5</v>
      </c>
      <c r="H27" s="14">
        <v>0</v>
      </c>
      <c r="I27" s="14">
        <v>190</v>
      </c>
      <c r="J27" s="14" t="s">
        <v>27</v>
      </c>
      <c r="K27" s="26">
        <f>Table13[[#This Row],[Estimated Hours]]*Table13[[#This Row],[Hourly rate]]</f>
        <v>13585</v>
      </c>
      <c r="L27" s="32" t="s">
        <v>269</v>
      </c>
      <c r="M27" s="15" t="s">
        <v>270</v>
      </c>
      <c r="N27" s="14">
        <v>29685305</v>
      </c>
      <c r="O27" s="31">
        <v>44944</v>
      </c>
      <c r="P27" s="15" t="s">
        <v>271</v>
      </c>
      <c r="Q27" s="18" t="s">
        <v>280</v>
      </c>
      <c r="T27" s="27" t="s">
        <v>279</v>
      </c>
      <c r="U27" s="23" t="s">
        <v>278</v>
      </c>
      <c r="AB27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&lt;type&gt;premise&lt;/type&gt;
  &lt;formatted_address&gt;150 Rue Brunet, Mont-Saint-Hilaire, QC J3G 4S6, Canada&lt;/formatted_address&gt;
  &lt;address_component&gt;
   &lt;long_name&gt;150&lt;/long_name&gt;
   &lt;short_name&gt;150&lt;/short_name&gt;
   &lt;type&gt;street_number&lt;/type&gt;
  &lt;/address_component&gt;
  &lt;address_component&gt;
   &lt;long_name&gt;Rue Brunet&lt;/long_name&gt;
   &lt;short_name&gt;Rue Brunet&lt;/short_name&gt;
   &lt;type&gt;route&lt;/type&gt;
  &lt;/address_component&gt;
  &lt;address_component&gt;
   &lt;long_name&gt;Mont-Saint-Hilaire&lt;/long_name&gt;
   &lt;short_name&gt;Mont-Saint-Hilaire&lt;/short_name&gt;
   &lt;type&gt;locality&lt;/type&gt;
   &lt;type&gt;political&lt;/type&gt;
  &lt;/address_component&gt;
  &lt;address_component&gt;
   &lt;long_name&gt;La Vallée-du-Richelieu&lt;/long_name&gt;
   &lt;short_name&gt;La Vallée-du-Richelieu&lt;/short_name&gt;
   &lt;type&gt;administrative_area_level_3&lt;/type&gt;
   &lt;type&gt;political&lt;/type&gt;
  &lt;/address_component&gt;
  &lt;address_component&gt;
   &lt;long_name&gt;Montérégie&lt;/long_name&gt;
   &lt;short_name&gt;Montérégie&lt;/short_name&gt;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&lt;long_name&gt;J3G 4S6&lt;/long_name&gt;
   &lt;short_name&gt;J3G 4S6&lt;/short_name&gt;
   &lt;type&gt;postal_code&lt;/type&gt;
  &lt;/address_component&gt;
  &lt;geometry&gt;
   &lt;location&gt;
    &lt;lat&gt;45.5936493&lt;/lat&gt;
    &lt;lng&gt;-73.1747351&lt;/lng&gt;
   &lt;/location&gt;
   &lt;location_type&gt;ROOFTOP&lt;/location_type&gt;
   &lt;viewport&gt;
    &lt;southwest&gt;
     &lt;lat&gt;45.5923882&lt;/lat&gt;
     &lt;lng&gt;-73.1763988&lt;/lng&gt;
    &lt;/southwest&gt;
    &lt;northeast&gt;
     &lt;lat&gt;45.5950862&lt;/lat&gt;
     &lt;lng&gt;-73.1737008&lt;/lng&gt;
    &lt;/northeast&gt;
   &lt;/viewport&gt;
   &lt;bounds&gt;
    &lt;southwest&gt;
     &lt;lat&gt;45.5935250&lt;/lat&gt;
     &lt;lng&gt;-73.1750935&lt;/lng&gt;
    &lt;/southwest&gt;
    &lt;northeast&gt;
     &lt;lat&gt;45.5939494&lt;/lat&gt;
     &lt;lng&gt;-73.1744577&lt;/lng&gt;
    &lt;/northeast&gt;
   &lt;/bounds&gt;
  &lt;/geometry&gt;
  &lt;place_id&gt;ChIJZ4bV3x9VyEwRN2cizhPvPCM&lt;/place_id&gt;
 &lt;/result&gt;
&lt;/GeocodeResponse&gt;
</v>
      </c>
      <c r="AE27" s="15" cm="1">
        <f t="array" ref="AE27">_xlfn.FILTERXML(AB27,"//location/lat")</f>
        <v>45.593649300000003</v>
      </c>
      <c r="AF27" s="15" cm="1">
        <f t="array" ref="AF27">_xlfn.FILTERXML(AB27,"//location/lng")</f>
        <v>-73.174735100000007</v>
      </c>
    </row>
    <row r="28" spans="1:32" s="15" customFormat="1">
      <c r="A28" s="15" t="s">
        <v>203</v>
      </c>
      <c r="B28" s="15" t="s">
        <v>272</v>
      </c>
      <c r="C28" s="15" t="s">
        <v>273</v>
      </c>
      <c r="D28" s="16">
        <v>44972</v>
      </c>
      <c r="E28" s="16">
        <v>45291</v>
      </c>
      <c r="F28" s="15" t="s">
        <v>26</v>
      </c>
      <c r="G28" s="14">
        <v>923</v>
      </c>
      <c r="H28" s="14">
        <v>0</v>
      </c>
      <c r="I28" s="14">
        <v>175</v>
      </c>
      <c r="J28" s="14" t="s">
        <v>27</v>
      </c>
      <c r="K28" s="26">
        <v>226100</v>
      </c>
      <c r="L28" s="33" t="s">
        <v>274</v>
      </c>
      <c r="M28" s="15" t="s">
        <v>272</v>
      </c>
      <c r="N28" s="14">
        <v>29685300</v>
      </c>
      <c r="O28" s="31">
        <v>44936</v>
      </c>
      <c r="P28" s="15" t="s">
        <v>30</v>
      </c>
      <c r="Q28" s="23" t="s">
        <v>276</v>
      </c>
      <c r="T28" s="27" t="s">
        <v>275</v>
      </c>
      <c r="U28" s="23" t="s">
        <v>277</v>
      </c>
      <c r="AB28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&lt;type&gt;premise&lt;/type&gt;
  &lt;formatted_address&gt;780 Rue Nobel, Saint-Jérôme, QC J7Z 7A3, Canada&lt;/formatted_address&gt;
  &lt;address_component&gt;
   &lt;long_name&gt;780&lt;/long_name&gt;
   &lt;short_name&gt;780&lt;/short_name&gt;
   &lt;type&gt;street_number&lt;/type&gt;
  &lt;/address_component&gt;
  &lt;address_component&gt;
   &lt;long_name&gt;Rue Nobel&lt;/long_name&gt;
   &lt;short_name&gt;Rue Nobel&lt;/short_name&gt;
   &lt;type&gt;route&lt;/type&gt;
  &lt;/address_component&gt;
  &lt;address_component&gt;
   &lt;long_name&gt;Saint-Jérôme&lt;/long_name&gt;
   &lt;short_name&gt;Saint-Jérôme&lt;/short_name&gt;
   &lt;type&gt;locality&lt;/type&gt;
   &lt;type&gt;political&lt;/type&gt;
  &lt;/address_component&gt;
  &lt;address_component&gt;
   &lt;long_name&gt;La Rivière-du-Nord&lt;/long_name&gt;
   &lt;short_name&gt;La Rivière-du-Nord&lt;/short_name&gt;
   &lt;type&gt;administrative_area_level_3&lt;/type&gt;
   &lt;type&gt;political&lt;/type&gt;
  &lt;/address_component&gt;
  &lt;address_component&gt;
   &lt;long_name&gt;Laurentides&lt;/long_name&gt;
   &lt;short_name&gt;Laurentides&lt;/short_name&gt;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&lt;long_name&gt;J7Z 7A3&lt;/long_name&gt;
   &lt;short_name&gt;J7Z 7A3&lt;/short_name&gt;
   &lt;type&gt;postal_code&lt;/type&gt;
  &lt;/address_component&gt;
  &lt;geometry&gt;
   &lt;location&gt;
    &lt;lat&gt;45.7559173&lt;/lat&gt;
    &lt;lng&gt;-73.9926523&lt;/lng&gt;
   &lt;/location&gt;
   &lt;location_type&gt;ROOFTOP&lt;/location_type&gt;
   &lt;viewport&gt;
    &lt;southwest&gt;
     &lt;lat&gt;45.7546449&lt;/lat&gt;
     &lt;lng&gt;-73.9941289&lt;/lng&gt;
    &lt;/southwest&gt;
    &lt;northeast&gt;
     &lt;lat&gt;45.7573429&lt;/lat&gt;
     &lt;lng&gt;-73.9914310&lt;/lng&gt;
    &lt;/northeast&gt;
   &lt;/viewport&gt;
   &lt;bounds&gt;
    &lt;southwest&gt;
     &lt;lat&gt;45.7554544&lt;/lat&gt;
     &lt;lng&gt;-73.9936142&lt;/lng&gt;
    &lt;/southwest&gt;
    &lt;northeast&gt;
     &lt;lat&gt;45.7565126&lt;/lat&gt;
     &lt;lng&gt;-73.9919457&lt;/lng&gt;
    &lt;/northeast&gt;
   &lt;/bounds&gt;
  &lt;/geometry&gt;
  &lt;place_id&gt;ChIJ71iavLTUyEwRG5v8a6sTlHs&lt;/place_id&gt;
 &lt;/result&gt;
&lt;/GeocodeResponse&gt;
</v>
      </c>
      <c r="AE28" s="15" cm="1">
        <f t="array" ref="AE28">_xlfn.FILTERXML(AB28,"//location/lat")</f>
        <v>45.7559173</v>
      </c>
      <c r="AF28" s="15" cm="1">
        <f t="array" ref="AF28">_xlfn.FILTERXML(AB28,"//location/lng")</f>
        <v>-73.992652300000003</v>
      </c>
    </row>
    <row r="29" spans="1:32" s="15" customFormat="1">
      <c r="C29" s="15" t="s">
        <v>181</v>
      </c>
      <c r="D29" s="16"/>
      <c r="E29" s="16"/>
      <c r="G29" s="14"/>
      <c r="H29" s="14"/>
      <c r="I29" s="14"/>
      <c r="J29" s="14"/>
      <c r="K29" s="17">
        <f>Table1[[#This Row],[Estimated Hours]]*Table1[[#This Row],[Hourly rate]]*1.15</f>
        <v>0</v>
      </c>
      <c r="L29" s="14"/>
      <c r="N29" s="14"/>
      <c r="O29" s="16"/>
      <c r="Q29" s="18" t="s">
        <v>182</v>
      </c>
      <c r="R29" s="15">
        <v>46.7677269</v>
      </c>
      <c r="S29" s="15">
        <v>-71.288715100000005</v>
      </c>
      <c r="T29" s="22" t="s">
        <v>183</v>
      </c>
      <c r="Z29" s="15">
        <f>_xlfn.XLOOKUP(Table1[[#This Row],[Project Number]],import!$J$2:$J$24,import!$C$2:$C$24)</f>
        <v>0</v>
      </c>
      <c r="AA29" s="15">
        <f>_xlfn.XLOOKUP(Table1[[#This Row],[Project Number]],import!$J$2:$J$24,import!$B$2:$B$24)</f>
        <v>0</v>
      </c>
      <c r="AB29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&lt;type&gt;subpremise&lt;/type&gt;
  &lt;formatted_address&gt;2828 Bd Laurier Suite 700, Québec, QC G1V 0B9, Canada&lt;/formatted_address&gt;
  &lt;address_component&gt;
   &lt;long_name&gt;Suite 700&lt;/long_name&gt;
   &lt;short_name&gt;Suite 700&lt;/short_name&gt;
   &lt;type&gt;subpremise&lt;/type&gt;
  &lt;/address_component&gt;
  &lt;address_component&gt;
   &lt;long_name&gt;2828&lt;/long_name&gt;
   &lt;short_name&gt;2828&lt;/short_name&gt;
   &lt;type&gt;street_number&lt;/type&gt;
  &lt;/address_component&gt;
  &lt;address_component&gt;
   &lt;long_name&gt;Boulevard Laurier&lt;/long_name&gt;
   &lt;short_name&gt;Bd Laurier&lt;/short_name&gt;
   &lt;type&gt;route&lt;/type&gt;
  &lt;/address_component&gt;
  &lt;address_component&gt;
   &lt;long_name&gt;Sainte-Foy-Sillery-Cap-Rouge&lt;/long_name&gt;
   &lt;short_name&gt;Sainte-Foy-Sillery-Cap-Rouge&lt;/short_name&gt;
   &lt;type&gt;political&lt;/type&gt;
   &lt;type&gt;sublocality&lt;/type&gt;
   &lt;type&gt;sublocality_level_1&lt;/type&gt;
  &lt;/address_component&gt;
  &lt;address_component&gt;
   &lt;long_name&gt;Québec&lt;/long_name&gt;
   &lt;short_name&gt;Québec&lt;/short_name&gt;
   &lt;type&gt;locality&lt;/type&gt;
   &lt;type&gt;political&lt;/type&gt;
  &lt;/address_component&gt;
  &lt;address_component&gt;
   &lt;long_name&gt;Communauté-Urbaine-de-Québec&lt;/long_name&gt;
   &lt;short_name&gt;Communauté-Urbaine-de-Québec&lt;/short_name&gt;
   &lt;type&gt;administrative_area_level_3&lt;/type&gt;
   &lt;type&gt;political&lt;/type&gt;
  &lt;/address_component&gt;
  &lt;address_component&gt;
   &lt;long_name&gt;Capitale-Nationale&lt;/long_name&gt;
   &lt;short_name&gt;Capitale-Nationale&lt;/short_name&gt;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&lt;long_name&gt;G1V 0B9&lt;/long_name&gt;
   &lt;short_name&gt;G1V 0B9&lt;/short_name&gt;
   &lt;type&gt;postal_code&lt;/type&gt;
  &lt;/address_component&gt;
  &lt;geometry&gt;
   &lt;location&gt;
    &lt;lat&gt;46.7678083&lt;/lat&gt;
    &lt;lng&gt;-71.2888117&lt;/lng&gt;
   &lt;/location&gt;
   &lt;location_type&gt;ROOFTOP&lt;/location_type&gt;
   &lt;viewport&gt;
    &lt;southwest&gt;
     &lt;lat&gt;46.7666183&lt;/lat&gt;
     &lt;lng&gt;-71.2900899&lt;/lng&gt;
    &lt;/southwest&gt;
    &lt;northeast&gt;
     &lt;lat&gt;46.7693162&lt;/lat&gt;
     &lt;lng&gt;-71.2873920&lt;/lng&gt;
    &lt;/northeast&gt;
   &lt;/viewport&gt;
  &lt;/geometry&gt;
  &lt;place_id&gt;ChIJ4_o_gzKRuEwRL-s5cG4pQgY&lt;/place_id&gt;
 &lt;/result&gt;
&lt;/GeocodeResponse&gt;
</v>
      </c>
      <c r="AC29" s="15">
        <v>46.767808299999999</v>
      </c>
      <c r="AD29" s="15">
        <v>-71.288811699999997</v>
      </c>
      <c r="AE29" s="15" cm="1">
        <f t="array" ref="AE29">_xlfn.FILTERXML(AB29,"//location/lat")</f>
        <v>46.767808299999999</v>
      </c>
      <c r="AF29" s="15" cm="1">
        <f t="array" ref="AF29">_xlfn.FILTERXML(AB29,"//location/lng")</f>
        <v>-71.288811699999997</v>
      </c>
    </row>
    <row r="30" spans="1:32" s="15" customFormat="1">
      <c r="C30" s="15" t="s">
        <v>184</v>
      </c>
      <c r="D30" s="16"/>
      <c r="E30" s="16"/>
      <c r="G30" s="14"/>
      <c r="H30" s="14"/>
      <c r="I30" s="14"/>
      <c r="J30" s="14"/>
      <c r="K30" s="17">
        <f>Table1[[#This Row],[Estimated Hours]]*Table1[[#This Row],[Hourly rate]]*1.15</f>
        <v>0</v>
      </c>
      <c r="L30" s="14"/>
      <c r="N30" s="14"/>
      <c r="O30" s="16"/>
      <c r="Q30" s="18" t="s">
        <v>185</v>
      </c>
      <c r="R30" s="15">
        <v>45.521929999999998</v>
      </c>
      <c r="S30" s="15">
        <v>-73.613069699999997</v>
      </c>
      <c r="T30" s="25" t="s">
        <v>186</v>
      </c>
      <c r="Z30" s="15">
        <f>_xlfn.XLOOKUP(Table1[[#This Row],[Project Number]],import!$J$2:$J$24,import!$C$2:$C$24)</f>
        <v>0</v>
      </c>
      <c r="AA30" s="15">
        <f>_xlfn.XLOOKUP(Table1[[#This Row],[Project Number]],import!$J$2:$J$24,import!$B$2:$B$24)</f>
        <v>0</v>
      </c>
      <c r="AB30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&lt;type&gt;premise&lt;/type&gt;
  &lt;formatted_address&gt;797 Av Champagneur, Outremont, QC H2V 3P9, Canada&lt;/formatted_address&gt;
  &lt;address_component&gt;
   &lt;long_name&gt;797&lt;/long_name&gt;
   &lt;short_name&gt;797&lt;/short_name&gt;
   &lt;type&gt;street_number&lt;/type&gt;
  &lt;/address_component&gt;
  &lt;address_component&gt;
   &lt;long_name&gt;Avenue Champagneur&lt;/long_name&gt;
   &lt;short_name&gt;Av Champagneur&lt;/short_name&gt;
   &lt;type&gt;route&lt;/type&gt;
  &lt;/address_component&gt;
  &lt;address_component&gt;
   &lt;long_name&gt;Outremont&lt;/long_name&gt;
   &lt;short_name&gt;Outremont&lt;/short_name&gt;
   &lt;type&gt;political&lt;/type&gt;
   &lt;type&gt;sublocality&lt;/type&gt;
   &lt;type&gt;sublocality_level_1&lt;/type&gt;
  &lt;/address_component&gt;
  &lt;address_component&gt;
   &lt;long_name&gt;Outremont&lt;/long_name&gt;
   &lt;short_name&gt;Outremont&lt;/short_name&gt;
   &lt;type&gt;locality&lt;/type&gt;
   &lt;type&gt;political&lt;/type&gt;
  &lt;/address_component&gt;
  &lt;address_component&gt;
   &lt;long_name&gt;Montréal&lt;/long_name&gt;
   &lt;short_name&gt;Montréal&lt;/short_name&gt;
   &lt;type&gt;administrative_area_level_3&lt;/type&gt;
   &lt;type&gt;political&lt;/type&gt;
  &lt;/address_component&gt;
  &lt;address_component&gt;
   &lt;long_name&gt;Communauté-Urbaine-de-Montréal&lt;/long_name&gt;
   &lt;short_name&gt;Communauté-Urbaine-de-Montréal&lt;/short_name&gt;
   &lt;type&gt;administrative_area_level_2&lt;/type&gt;
   &lt;type&gt;political&lt;/type&gt;
  &lt;/address_component&gt;
  &lt;address_component&gt;
   &lt;long_name&gt;Québec&lt;/long_name&gt;
   &lt;short_name&gt;QC&lt;/short_name&gt;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&lt;long_name&gt;H2V 3P9&lt;/long_name&gt;
   &lt;short_name&gt;H2V 3P9&lt;/short_name&gt;
   &lt;type&gt;postal_code&lt;/type&gt;
  &lt;/address_component&gt;
  &lt;geometry&gt;
   &lt;location&gt;
    &lt;lat&gt;45.5219584&lt;/lat&gt;
    &lt;lng&gt;-73.6130896&lt;/lng&gt;
   &lt;/location&gt;
   &lt;location_type&gt;ROOFTOP&lt;/location_type&gt;
   &lt;viewport&gt;
    &lt;southwest&gt;
     &lt;lat&gt;45.5205668&lt;/lat&gt;
     &lt;lng&gt;-73.6144602&lt;/lng&gt;
    &lt;/southwest&gt;
    &lt;northeast&gt;
     &lt;lat&gt;45.5232648&lt;/lat&gt;
     &lt;lng&gt;-73.6117623&lt;/lng&gt;
    &lt;/northeast&gt;
   &lt;/viewport&gt;
   &lt;bounds&gt;
    &lt;southwest&gt;
     &lt;lat&gt;45.5218980&lt;/lat&gt;
     &lt;lng&gt;-73.6131888&lt;/lng&gt;
    &lt;/southwest&gt;
    &lt;northeast&gt;
     &lt;lat&gt;45.5220135&lt;/lat&gt;
     &lt;lng&gt;-73.6130082&lt;/lng&gt;
    &lt;/northeast&gt;
   &lt;/bounds&gt;
  &lt;/geometry&gt;
  &lt;place_id&gt;ChIJJb8V9J0ZyUwRd9Fp4qeuB8s&lt;/place_id&gt;
 &lt;/result&gt;
&lt;/GeocodeResponse&gt;
</v>
      </c>
      <c r="AC30" s="15">
        <v>45.521958400000003</v>
      </c>
      <c r="AD30" s="15">
        <v>-73.613089599999995</v>
      </c>
      <c r="AE30" s="15" cm="1">
        <f t="array" ref="AE30">_xlfn.FILTERXML(AB30,"//location/lat")</f>
        <v>45.521958400000003</v>
      </c>
      <c r="AF30" s="15" cm="1">
        <f t="array" ref="AF30">_xlfn.FILTERXML(AB30,"//location/lng")</f>
        <v>-73.613089599999995</v>
      </c>
    </row>
    <row r="31" spans="1:32" s="15" customFormat="1" ht="28.8">
      <c r="C31" s="15" t="s">
        <v>187</v>
      </c>
      <c r="D31" s="16"/>
      <c r="E31" s="16"/>
      <c r="G31" s="14"/>
      <c r="H31" s="14"/>
      <c r="I31" s="14"/>
      <c r="J31" s="14"/>
      <c r="K31" s="17">
        <f>Table1[[#This Row],[Estimated Hours]]*Table1[[#This Row],[Hourly rate]]*1.15</f>
        <v>0</v>
      </c>
      <c r="L31" s="14"/>
      <c r="N31" s="14"/>
      <c r="O31" s="16"/>
      <c r="Q31" s="18" t="s">
        <v>188</v>
      </c>
      <c r="R31" s="15">
        <v>49.283854599999998</v>
      </c>
      <c r="S31" s="15">
        <v>-123.1196403</v>
      </c>
      <c r="T31" s="19" t="s">
        <v>189</v>
      </c>
      <c r="Z31" s="15">
        <f>_xlfn.XLOOKUP(Table1[[#This Row],[Project Number]],import!$J$2:$J$24,import!$C$2:$C$24)</f>
        <v>0</v>
      </c>
      <c r="AA31" s="15">
        <f>_xlfn.XLOOKUP(Table1[[#This Row],[Project Number]],import!$J$2:$J$24,import!$B$2:$B$24)</f>
        <v>0</v>
      </c>
      <c r="AB31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&lt;type&gt;subpremise&lt;/type&gt;
  &lt;formatted_address&gt;885 W Georgia St #1500, Vancouver, BC V6C 3E8, Canada&lt;/formatted_address&gt;
  &lt;address_component&gt;
   &lt;long_name&gt;1500&lt;/long_name&gt;
   &lt;short_name&gt;1500&lt;/short_name&gt;
   &lt;type&gt;subpremise&lt;/type&gt;
  &lt;/address_component&gt;
  &lt;address_component&gt;
   &lt;long_name&gt;885&lt;/long_name&gt;
   &lt;short_name&gt;885&lt;/short_name&gt;
   &lt;type&gt;street_number&lt;/type&gt;
  &lt;/address_component&gt;
  &lt;address_component&gt;
   &lt;long_name&gt;West Georgia Street&lt;/long_name&gt;
   &lt;short_name&gt;W Georgia St&lt;/short_name&gt;
   &lt;type&gt;route&lt;/type&gt;
  &lt;/address_component&gt;
  &lt;address_component&gt;
   &lt;long_name&gt;Central Vancouver&lt;/long_name&gt;
   &lt;short_name&gt;Central Vancouver&lt;/short_name&gt;
   &lt;type&gt;neighborhood&lt;/type&gt;
   &lt;type&gt;political&lt;/type&gt;
  &lt;/address_component&gt;
  &lt;address_component&gt;
   &lt;long_name&gt;Vancouver&lt;/long_name&gt;
   &lt;short_name&gt;Vancouver&lt;/short_name&gt;
   &lt;type&gt;locality&lt;/type&gt;
   &lt;type&gt;political&lt;/type&gt;
  &lt;/address_component&gt;
  &lt;address_component&gt;
   &lt;long_name&gt;Metro Vancouver&lt;/long_name&gt;
   &lt;short_name&gt;Metro Vancouver&lt;/short_name&gt;
   &lt;type&gt;administrative_area_level_2&lt;/type&gt;
   &lt;type&gt;political&lt;/type&gt;
  &lt;/address_component&gt;
  &lt;address_component&gt;
   &lt;long_name&gt;British Columbia&lt;/long_name&gt;
   &lt;short_name&gt;BC&lt;/short_name&gt;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&lt;long_name&gt;V6C 3E8&lt;/long_name&gt;
   &lt;short_name&gt;V6C 3E8&lt;/short_name&gt;
   &lt;type&gt;postal_code&lt;/type&gt;
  &lt;/address_component&gt;
  &lt;geometry&gt;
   &lt;location&gt;
    &lt;lat&gt;49.2838546&lt;/lat&gt;
    &lt;lng&gt;-123.1196403&lt;/lng&gt;
   &lt;/location&gt;
   &lt;location_type&gt;ROOFTOP&lt;/location_type&gt;
   &lt;viewport&gt;
    &lt;southwest&gt;
     &lt;lat&gt;49.2825390&lt;/lat&gt;
     &lt;lng&gt;-123.1210872&lt;/lng&gt;
    &lt;/southwest&gt;
    &lt;northeast&gt;
     &lt;lat&gt;49.2852370&lt;/lat&gt;
     &lt;lng&gt;-123.1183892&lt;/lng&gt;
    &lt;/northeast&gt;
   &lt;/viewport&gt;
  &lt;/geometry&gt;
  &lt;place_id&gt;ChIJHahe3oFxhlQRT4ifhbgBWVs&lt;/place_id&gt;
 &lt;/result&gt;
&lt;/GeocodeResponse&gt;
</v>
      </c>
      <c r="AC31" s="15">
        <v>49.283854599999998</v>
      </c>
      <c r="AD31" s="15">
        <v>-123.1196403</v>
      </c>
      <c r="AE31" s="15" cm="1">
        <f t="array" ref="AE31">_xlfn.FILTERXML(AB31,"//location/lat")</f>
        <v>49.283854599999998</v>
      </c>
      <c r="AF31" s="15" cm="1">
        <f t="array" ref="AF31">_xlfn.FILTERXML(AB31,"//location/lng")</f>
        <v>-123.1196403</v>
      </c>
    </row>
    <row r="32" spans="1:32" s="15" customFormat="1" ht="28.8">
      <c r="C32" s="15" t="s">
        <v>190</v>
      </c>
      <c r="D32" s="16"/>
      <c r="E32" s="16"/>
      <c r="G32" s="14"/>
      <c r="H32" s="14"/>
      <c r="I32" s="14"/>
      <c r="J32" s="14"/>
      <c r="K32" s="17">
        <f>Table1[[#This Row],[Estimated Hours]]*Table1[[#This Row],[Hourly rate]]*1.15</f>
        <v>0</v>
      </c>
      <c r="L32" s="14"/>
      <c r="N32" s="14"/>
      <c r="O32" s="16"/>
      <c r="Q32" s="18" t="s">
        <v>191</v>
      </c>
      <c r="R32" s="15">
        <v>43.641082500000003</v>
      </c>
      <c r="S32" s="15">
        <v>-79.378719599999997</v>
      </c>
      <c r="T32" s="19" t="s">
        <v>192</v>
      </c>
      <c r="Z32" s="15">
        <f>_xlfn.XLOOKUP(Table1[[#This Row],[Project Number]],import!$J$2:$J$24,import!$C$2:$C$24)</f>
        <v>0</v>
      </c>
      <c r="AA32" s="15">
        <f>_xlfn.XLOOKUP(Table1[[#This Row],[Project Number]],import!$J$2:$J$24,import!$B$2:$B$24)</f>
        <v>0</v>
      </c>
      <c r="AB32" s="15" t="str">
        <f>_xlfn.WEBSERVICE("https://maps.googleapis.com/maps/api/geocode/xml?address="&amp;Table1[[#This Row],[Adresse]]&amp;"&amp;key=AIzaSyCHth-wrbaKBruFJQMWpdpeHAtAzdbcKh4")</f>
        <v xml:space="preserve">&lt;?xml version="1.0" encoding="UTF-8"?&gt;
&lt;GeocodeResponse&gt;
 &lt;status&gt;OK&lt;/status&gt;
 &lt;result&gt;
  &lt;type&gt;subpremise&lt;/type&gt;
  &lt;formatted_address&gt;88 Queens Quay W Suite 2500, Toronto, ON M5J 0B8, Canada&lt;/formatted_address&gt;
  &lt;address_component&gt;
   &lt;long_name&gt;Suite 2500&lt;/long_name&gt;
   &lt;short_name&gt;Suite 2500&lt;/short_name&gt;
   &lt;type&gt;subpremise&lt;/type&gt;
  &lt;/address_component&gt;
  &lt;address_component&gt;
   &lt;long_name&gt;88&lt;/long_name&gt;
   &lt;short_name&gt;88&lt;/short_name&gt;
   &lt;type&gt;street_number&lt;/type&gt;
  &lt;/address_component&gt;
  &lt;address_component&gt;
   &lt;long_name&gt;Queens Quay West&lt;/long_name&gt;
   &lt;short_name&gt;Queens Quay W&lt;/short_name&gt;
   &lt;type&gt;route&lt;/type&gt;
  &lt;/address_component&gt;
  &lt;address_component&gt;
   &lt;long_name&gt;Old Toronto&lt;/long_name&gt;
   &lt;short_name&gt;Old Toronto&lt;/short_name&gt;
   &lt;type&gt;political&lt;/type&gt;
   &lt;type&gt;sublocality&lt;/type&gt;
   &lt;type&gt;sublocality_level_1&lt;/type&gt;
  &lt;/address_component&gt;
  &lt;address_component&gt;
   &lt;long_name&gt;Toronto&lt;/long_name&gt;
   &lt;short_name&gt;Toronto&lt;/short_name&gt;
   &lt;type&gt;locality&lt;/type&gt;
   &lt;type&gt;political&lt;/type&gt;
  &lt;/address_component&gt;
  &lt;address_component&gt;
   &lt;long_name&gt;Toronto&lt;/long_name&gt;
   &lt;short_name&gt;Toronto&lt;/short_name&gt;
   &lt;type&gt;administrative_area_level_2&lt;/type&gt;
   &lt;type&gt;political&lt;/type&gt;
  &lt;/address_component&gt;
  &lt;address_component&gt;
   &lt;long_name&gt;Ontario&lt;/long_name&gt;
   &lt;short_name&gt;ON&lt;/short_name&gt;
   &lt;type&gt;administrative_area_level_1&lt;/type&gt;
   &lt;type&gt;political&lt;/type&gt;
  &lt;/address_component&gt;
  &lt;address_component&gt;
   &lt;long_name&gt;Canada&lt;/long_name&gt;
   &lt;short_name&gt;CA&lt;/short_name&gt;
   &lt;type&gt;country&lt;/type&gt;
   &lt;type&gt;political&lt;/type&gt;
  &lt;/address_component&gt;
  &lt;address_component&gt;
   &lt;long_name&gt;M5J 0B8&lt;/long_name&gt;
   &lt;short_name&gt;M5J 0B8&lt;/short_name&gt;
   &lt;type&gt;postal_code&lt;/type&gt;
  &lt;/address_component&gt;
  &lt;geometry&gt;
   &lt;location&gt;
    &lt;lat&gt;43.6410825&lt;/lat&gt;
    &lt;lng&gt;-79.3787196&lt;/lng&gt;
   &lt;/location&gt;
   &lt;location_type&gt;ROOFTOP&lt;/location_type&gt;
   &lt;viewport&gt;
    &lt;southwest&gt;
     &lt;lat&gt;43.6395313&lt;/lat&gt;
     &lt;lng&gt;-79.3799358&lt;/lng&gt;
    &lt;/southwest&gt;
    &lt;northeast&gt;
     &lt;lat&gt;43.6422292&lt;/lat&gt;
     &lt;lng&gt;-79.3772378&lt;/lng&gt;
    &lt;/northeast&gt;
   &lt;/viewport&gt;
  &lt;/geometry&gt;
  &lt;place_id&gt;ChIJwdyP6CrL1IkR3C4s9dKnkQ0&lt;/place_id&gt;
 &lt;/result&gt;
&lt;/GeocodeResponse&gt;
</v>
      </c>
      <c r="AC32" s="15">
        <v>43.641082500000003</v>
      </c>
      <c r="AD32" s="15">
        <v>-79.378719599999997</v>
      </c>
      <c r="AE32" s="15" cm="1">
        <f t="array" ref="AE32">_xlfn.FILTERXML(AB32,"//location/lat")</f>
        <v>43.641082500000003</v>
      </c>
      <c r="AF32" s="15" cm="1">
        <f t="array" ref="AF32">_xlfn.FILTERXML(AB32,"//location/lng")</f>
        <v>-79.378719599999997</v>
      </c>
    </row>
    <row r="33" spans="4:30" s="15" customFormat="1">
      <c r="D33" s="16"/>
      <c r="E33" s="16"/>
      <c r="G33" s="14"/>
      <c r="H33" s="14"/>
      <c r="I33" s="14"/>
      <c r="J33" s="14"/>
      <c r="K33" s="17">
        <f>Table1[[#This Row],[Estimated Hours]]*Table1[[#This Row],[Hourly rate]]*1.15</f>
        <v>0</v>
      </c>
      <c r="L33" s="14"/>
      <c r="N33" s="14" t="e">
        <f>_xlfn.XLOOKUP(Table1[[#This Row],[Project Number]],import!$J$2:$J$22,import!$N$2:$N$22)</f>
        <v>#N/A</v>
      </c>
      <c r="O33" s="16"/>
      <c r="Q33" s="18"/>
      <c r="T33" s="19"/>
    </row>
    <row r="34" spans="4:30">
      <c r="D34" s="2"/>
      <c r="E34" s="2"/>
      <c r="K34" s="5">
        <f>Table1[[#This Row],[Estimated Hours]]*Table1[[#This Row],[Hourly rate]]*1.15</f>
        <v>0</v>
      </c>
      <c r="N34" s="4" t="e">
        <f>_xlfn.XLOOKUP(Table1[[#This Row],[Project Number]],import!$J$2:$J$22,import!$N$2:$N$22)</f>
        <v>#N/A</v>
      </c>
      <c r="O34" s="2"/>
      <c r="Q34" s="6"/>
    </row>
    <row r="35" spans="4:30">
      <c r="D35" s="2"/>
      <c r="E35" s="2"/>
      <c r="K35" s="5">
        <f>Table1[[#This Row],[Estimated Hours]]*Table1[[#This Row],[Hourly rate]]*1.15</f>
        <v>0</v>
      </c>
      <c r="N35" s="4" t="e">
        <f>_xlfn.XLOOKUP(Table1[[#This Row],[Project Number]],import!$J$2:$J$22,import!$N$2:$N$22)</f>
        <v>#N/A</v>
      </c>
      <c r="O35" s="2"/>
      <c r="Q35" s="6"/>
    </row>
    <row r="36" spans="4:30">
      <c r="D36" s="2"/>
      <c r="E36" s="2"/>
      <c r="K36" s="5">
        <f>Table1[[#This Row],[Estimated Hours]]*Table1[[#This Row],[Hourly rate]]*1.15</f>
        <v>0</v>
      </c>
      <c r="N36" s="4" t="e">
        <f>_xlfn.XLOOKUP(Table1[[#This Row],[Project Number]],import!$J$2:$J$22,import!$N$2:$N$22)</f>
        <v>#N/A</v>
      </c>
      <c r="O36" s="2"/>
      <c r="Q36" s="6"/>
    </row>
    <row r="37" spans="4:30">
      <c r="D37" s="2"/>
      <c r="E37" s="2"/>
      <c r="K37" s="5">
        <f>Table1[[#This Row],[Estimated Hours]]*Table1[[#This Row],[Hourly rate]]*1.15</f>
        <v>0</v>
      </c>
      <c r="N37" s="4" t="e">
        <f>_xlfn.XLOOKUP(Table1[[#This Row],[Project Number]],import!$J$2:$J$22,import!$N$2:$N$22)</f>
        <v>#N/A</v>
      </c>
      <c r="O37" s="2"/>
      <c r="Q37" s="6"/>
    </row>
    <row r="38" spans="4:30">
      <c r="D38" s="2"/>
      <c r="E38" s="2"/>
      <c r="K38" s="5">
        <f>Table1[[#This Row],[Estimated Hours]]*Table1[[#This Row],[Hourly rate]]*1.15</f>
        <v>0</v>
      </c>
      <c r="N38" s="4" t="e">
        <f>_xlfn.XLOOKUP(Table1[[#This Row],[Project Number]],import!$J$2:$J$22,import!$N$2:$N$22)</f>
        <v>#N/A</v>
      </c>
      <c r="O38" s="2"/>
      <c r="Q38" s="6"/>
    </row>
    <row r="39" spans="4:30">
      <c r="D39" s="2"/>
      <c r="E39" s="2"/>
      <c r="K39" s="5">
        <f>Table1[[#This Row],[Estimated Hours]]*Table1[[#This Row],[Hourly rate]]*1.15</f>
        <v>0</v>
      </c>
      <c r="N39" s="4" t="e">
        <f>_xlfn.XLOOKUP(Table1[[#This Row],[Project Number]],import!$J$2:$J$22,import!$N$2:$N$22)</f>
        <v>#N/A</v>
      </c>
      <c r="O39" s="2"/>
      <c r="Q39" s="6"/>
    </row>
    <row r="40" spans="4:30">
      <c r="D40" s="2"/>
      <c r="E40" s="2"/>
      <c r="K40" s="5">
        <f>Table1[[#This Row],[Estimated Hours]]*Table1[[#This Row],[Hourly rate]]*1.15</f>
        <v>0</v>
      </c>
      <c r="N40" s="4" t="e">
        <f>_xlfn.XLOOKUP(Table1[[#This Row],[Project Number]],import!$J$2:$J$22,import!$N$2:$N$22)</f>
        <v>#N/A</v>
      </c>
      <c r="O40" s="2"/>
      <c r="Q40" s="6"/>
    </row>
    <row r="41" spans="4:30">
      <c r="D41" s="2"/>
      <c r="E41" s="2"/>
      <c r="K41" s="5">
        <f>Table1[[#This Row],[Estimated Hours]]*Table1[[#This Row],[Hourly rate]]*1.15</f>
        <v>0</v>
      </c>
      <c r="N41" s="4" t="e">
        <f>_xlfn.XLOOKUP(Table1[[#This Row],[Project Number]],import!$J$2:$J$22,import!$N$2:$N$22)</f>
        <v>#N/A</v>
      </c>
      <c r="O41" s="2"/>
      <c r="Q41" s="6"/>
      <c r="AD41" s="6"/>
    </row>
    <row r="45" spans="4:30" ht="21">
      <c r="F45" s="7" t="s">
        <v>193</v>
      </c>
      <c r="G45" s="8">
        <f>SUM(G2:G44)</f>
        <v>7255.5</v>
      </c>
      <c r="H45" s="8">
        <f>SUM(H2:H44)</f>
        <v>2997</v>
      </c>
      <c r="I45" s="8"/>
      <c r="J45" s="8"/>
      <c r="K45" s="9">
        <f>SUM(K2:K44)</f>
        <v>1437657.25</v>
      </c>
      <c r="L45" s="8"/>
    </row>
  </sheetData>
  <phoneticPr fontId="18" type="noConversion"/>
  <hyperlinks>
    <hyperlink ref="Q11" r:id="rId1" display="https://www.google.fr/maps/place/6226+Danville+Rd,+Mississauga,+ON+L5T+2H7/@43.6421185,-79.6747931,18z/data=!4m13!1m7!3m6!1s0x882b3f69ec62ad99:0xe801a6135638fab9!2s6226+Danville+Rd,+Mississauga,+ON+L5T+2H7!3b1!8m2!3d43.6421169!4d-79.6738909!3m4!1s0x882b3f69ec62ad99:0xe801a6135638fab9!8m2!3d43.6421169!4d-79.6738909!5m1!1e1?hl=fr" xr:uid="{00000000-0004-0000-0000-000000000000}"/>
    <hyperlink ref="Q5" r:id="rId2" xr:uid="{00000000-0004-0000-0000-000002000000}"/>
    <hyperlink ref="Q24" r:id="rId3" xr:uid="{00000000-0004-0000-0000-000003000000}"/>
    <hyperlink ref="Q9" r:id="rId4" xr:uid="{00000000-0004-0000-0000-000004000000}"/>
    <hyperlink ref="Q12" r:id="rId5" xr:uid="{00000000-0004-0000-0000-000005000000}"/>
    <hyperlink ref="Q13" r:id="rId6" xr:uid="{00000000-0004-0000-0000-000007000000}"/>
    <hyperlink ref="Q7" r:id="rId7" display="https://www.google.fr/maps/place/Les+Entreprises+Tzanet/@45.563041,-73.7008035,13z/data=!4m9!1m2!2m1!1stzanet!3m5!1s0x4cc918f3f22a80a9:0xc62c2032f37672a4!8m2!3d45.5332363!4d-73.6628473!15sCgZ0emFuZXQiA4gBAVoIIgZ0emFuZXSSARRraXRjaGVuX3N1cHBseV9zdG9yZeABAA!5m1!1e1?hl=fr" xr:uid="{00000000-0004-0000-0000-000008000000}"/>
    <hyperlink ref="Q6" r:id="rId8" xr:uid="{00000000-0004-0000-0000-000009000000}"/>
    <hyperlink ref="Q23" r:id="rId9" xr:uid="{00000000-0004-0000-0000-00000A000000}"/>
    <hyperlink ref="Q17" r:id="rId10" xr:uid="{00000000-0004-0000-0000-00000B000000}"/>
    <hyperlink ref="Q8" r:id="rId11" display="https://www.google.fr/maps/place/84+Easton+Rd,+Brantford,+ON+N3P+1J5/@43.1783099,-80.2439915,17z/data=!4m13!1m7!3m6!1s0x882c65a8c719a50d:0x6f23799d6a1e608!2s84+Easton+Rd,+Brantford,+ON+N3P+1J5!3b1!8m2!3d43.178306!4d-80.2418028!3m4!1s0x882c65a8c719a50d:0x6f23799d6a1e608!8m2!3d43.178306!4d-80.2418028!5m1!1e1?hl=fr" xr:uid="{00000000-0004-0000-0000-00000C000000}"/>
    <hyperlink ref="Q3" r:id="rId12" xr:uid="{1ECE702A-F6F3-43B0-92D2-F46F34987109}"/>
    <hyperlink ref="Q29" r:id="rId13" xr:uid="{D246A5D5-F6C3-4976-AB4B-A0A59FEB5324}"/>
    <hyperlink ref="Q30" r:id="rId14" xr:uid="{2B5FAE6B-8D02-4142-B7A0-D8FB540EC8A6}"/>
    <hyperlink ref="Q31" r:id="rId15" display="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 " xr:uid="{07C7217A-CD5A-41B1-A38E-1D583CED0491}"/>
    <hyperlink ref="Q32" r:id="rId16" display="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 " xr:uid="{07B47B4C-A2CF-4C4B-A86F-BD1234D9F4EB}"/>
    <hyperlink ref="Q4" r:id="rId17" display="https://www.google.fr/maps/place/LES+%C3%89DITIONS+CHOUETTE+(1987)+inc./@45.6108288,-73.8582806,17z/data=!4m12!1m6!3m5!1s0x4cc91142da3d61ff:0xb55087171593262f!2sLES+%C3%89DITIONS+CHOUETTE+(1987)+inc.!8m2!3d45.6110368!4d-73.8562293!3m4!1s0x4cc91142da3d61ff:0xb55087171593262f!8m2!3d45.6110368!4d-73.8562293!5m1!1e1?hl=fr " xr:uid="{57F48900-B8DA-4BB9-AE3C-D331B31A62A2}"/>
    <hyperlink ref="Q2" r:id="rId18" display="https://www.google.fr/maps/place/Distribution+GVA+Inc./@45.5853088,-73.7116445,17z/data=!4m13!1m7!3m6!1s0x4cc9219b39d4d33b:0x961f6a106a81006b!2s1950+Boulevard+des+Laurentides,+Laval,+QC+H7M+2Y9!3b1!8m2!3d45.5853088!4d-73.7094558!3m4!1s0x41aacc371c0c6853:0x7e5ed2e830a314af!8m2!3d45.5852879!4d-73.7094431!5m1!1e1?hl=fr " xr:uid="{E2CD736B-AC4C-4D6C-BB36-45CB3F4A6C55}"/>
    <hyperlink ref="Q10" r:id="rId19" xr:uid="{E7F6579D-E5A8-4501-9D2F-0DD45106FCAD}"/>
    <hyperlink ref="Q18" r:id="rId20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87FA71D2-E016-442D-81E9-BE6EAB5D32E4}"/>
    <hyperlink ref="Q19" r:id="rId21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A449FB54-BFA2-49A7-96A4-ED4A6F4B8CCC}"/>
    <hyperlink ref="Q20" r:id="rId22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D3F1EDE6-906E-4B1A-963A-7CB99880B400}"/>
    <hyperlink ref="Q16" r:id="rId23" display="https://www.google.fr/maps/place/Mega+Star+Electronics/@45.5959339,-73.6251983,17z/data=!4m13!1m7!3m6!1s0x4cc91f0eb603ccf1:0x98b53f098eaf6dc4!2s5061+Rue+d'Amiens,+Montr%C3%A9al-Nord,+QC+H1G+3G2!3b1!8m2!3d45.5959339!4d-73.6230096!3m4!1s0x4cc91f0eb6183d4d:0x160e294c414f78c1!8m2!3d45.5960346!4d-73.6228044!5m1!1e1?hl=fr " xr:uid="{2918B7BF-6F52-436F-A433-4AA805343170}"/>
    <hyperlink ref="Q14" r:id="rId24" xr:uid="{BA26951F-9F8C-40E9-BB35-5DB4C2F0CFCF}"/>
    <hyperlink ref="Q15" r:id="rId25" xr:uid="{CAB178BF-E224-4161-A8A1-B3A567132164}"/>
    <hyperlink ref="U25" r:id="rId26" xr:uid="{BE99DDD7-1698-4A16-BB19-D3427F3A2F73}"/>
    <hyperlink ref="U24" r:id="rId27" xr:uid="{4A634F4A-14F2-4120-A7A4-B55D7F98E8B0}"/>
    <hyperlink ref="U12" r:id="rId28" xr:uid="{56AC02A9-CDDC-48F6-A205-2F53E58CE26B}"/>
    <hyperlink ref="U8" r:id="rId29" xr:uid="{AC078D98-3E88-4FB8-BC94-8F60F49C0C3E}"/>
    <hyperlink ref="U17" r:id="rId30" xr:uid="{AE0926AF-0D4F-4175-8922-ADE5E63DEDC2}"/>
    <hyperlink ref="U11" r:id="rId31" xr:uid="{FCA5533E-ECBF-41F2-AE76-BECBB99AA3EA}"/>
    <hyperlink ref="U9" r:id="rId32" xr:uid="{B36E3134-6C98-4F07-8B89-8C34E9546693}"/>
    <hyperlink ref="U10" r:id="rId33" xr:uid="{F7697C27-23E1-46D7-A156-D9EBB9935C14}"/>
    <hyperlink ref="U2" r:id="rId34" xr:uid="{EE6BC8DA-22DE-4CC4-A7DF-CCB1261F763D}"/>
    <hyperlink ref="U4" r:id="rId35" xr:uid="{546CF0FA-5080-42E9-B7C6-A05D752DB590}"/>
    <hyperlink ref="U20" r:id="rId36" xr:uid="{1A06EE69-A02F-4AD1-9841-3F56CBEE5324}"/>
    <hyperlink ref="U18" r:id="rId37" xr:uid="{4E9D6236-4FA9-4892-970A-18063817DFA2}"/>
    <hyperlink ref="U19" r:id="rId38" xr:uid="{E9594A89-30B1-40E5-BB84-805BCCCB82A0}"/>
    <hyperlink ref="U13" r:id="rId39" xr:uid="{222A2A18-77BB-424D-BEE8-1AF6BCDBD7A5}"/>
    <hyperlink ref="U21" r:id="rId40" xr:uid="{E8923AEC-D7E5-4E27-8D0D-2069DF864B54}"/>
    <hyperlink ref="U15" r:id="rId41" xr:uid="{DCDC129F-53BE-4F51-A521-48EBB5492834}"/>
    <hyperlink ref="U16" r:id="rId42" xr:uid="{128C8243-3300-43A2-8C41-9CC19D6328F1}"/>
    <hyperlink ref="U5" r:id="rId43" xr:uid="{F165E2D2-FA93-462E-9F63-9A1F20C9B082}"/>
    <hyperlink ref="U3" r:id="rId44" xr:uid="{237242D1-3594-4B74-A6E2-DEB86B8AD6D1}"/>
    <hyperlink ref="U6" r:id="rId45" xr:uid="{901B818D-2C8B-48F8-9260-BA4664CB8B36}"/>
    <hyperlink ref="U7" r:id="rId46" xr:uid="{FECCE0F5-11B9-432A-A29C-0E77399D40E6}"/>
    <hyperlink ref="U14" r:id="rId47" xr:uid="{CA8AA73A-258E-495B-B927-A9B5C55093B6}"/>
    <hyperlink ref="Q22" r:id="rId48" display="https://www.google.fr/maps/place/Produits+Electrolation+Inc/@45.594032,-73.7443942,19z/data=!4m12!1m6!3m5!1s0x4cc92143ec29647d:0x9f89ab8988471bbd!2sProduits+Electrolation+Inc!8m2!3d45.5943373!4d-73.7441876!3m4!1s0x4cc92143ec29647d:0x9f89ab8988471bbd!8m2!3d45.5943373!4d-73.7441876!5m1!1e1?hl=fr" xr:uid="{7680145A-3DE8-462D-81CC-AEF4F5D80B79}"/>
    <hyperlink ref="U23" r:id="rId49" xr:uid="{21279F06-E318-4546-B7D1-03A7336EA700}"/>
    <hyperlink ref="U28" r:id="rId50" xr:uid="{FCA58D18-2FFA-498B-83B5-99A3418E9927}"/>
    <hyperlink ref="U27" r:id="rId51" xr:uid="{D636F617-BAEB-41C1-9438-E4BBD0A9775B}"/>
  </hyperlinks>
  <pageMargins left="0.7" right="0.7" top="0.75" bottom="0.75" header="0.3" footer="0.3"/>
  <pageSetup orientation="portrait" r:id="rId52"/>
  <tableParts count="1">
    <tablePart r:id="rId5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A034-29A4-405C-B05A-4C8DD17D6A62}">
  <sheetPr codeName="Sheet3"/>
  <dimension ref="A1:Q22"/>
  <sheetViews>
    <sheetView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A8" sqref="A8"/>
    </sheetView>
  </sheetViews>
  <sheetFormatPr defaultColWidth="8.88671875" defaultRowHeight="14.4"/>
  <cols>
    <col min="1" max="1" width="31" style="4" bestFit="1" customWidth="1"/>
    <col min="2" max="2" width="40.5546875" style="4" bestFit="1" customWidth="1"/>
    <col min="3" max="3" width="27.33203125" style="4" bestFit="1" customWidth="1"/>
    <col min="4" max="5" width="10.5546875" style="4" bestFit="1" customWidth="1"/>
    <col min="6" max="6" width="10.44140625" style="4" bestFit="1" customWidth="1"/>
    <col min="7" max="7" width="15.109375" style="4" bestFit="1" customWidth="1"/>
    <col min="8" max="8" width="11" style="4" customWidth="1"/>
    <col min="9" max="9" width="10.5546875" style="4" customWidth="1"/>
    <col min="10" max="10" width="14.6640625" style="4" bestFit="1" customWidth="1"/>
    <col min="11" max="11" width="40" style="4" bestFit="1" customWidth="1"/>
    <col min="12" max="12" width="19" style="4" bestFit="1" customWidth="1"/>
    <col min="13" max="13" width="16.88671875" style="4" bestFit="1" customWidth="1"/>
    <col min="14" max="14" width="10.44140625" style="4" bestFit="1" customWidth="1"/>
    <col min="15" max="16384" width="8.88671875" style="4"/>
  </cols>
  <sheetData>
    <row r="1" spans="1:17" s="3" customFormat="1" ht="28.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  <c r="L1" s="3" t="s">
        <v>14</v>
      </c>
      <c r="M1" s="3" t="s">
        <v>15</v>
      </c>
      <c r="N1" s="3" t="s">
        <v>194</v>
      </c>
      <c r="Q1" s="3" t="s">
        <v>195</v>
      </c>
    </row>
    <row r="2" spans="1:17">
      <c r="A2" s="4" t="s">
        <v>42</v>
      </c>
      <c r="B2" s="4" t="s">
        <v>71</v>
      </c>
      <c r="C2" s="4" t="s">
        <v>72</v>
      </c>
      <c r="D2" s="4" t="s">
        <v>196</v>
      </c>
      <c r="E2" s="4" t="s">
        <v>197</v>
      </c>
      <c r="F2" s="4" t="s">
        <v>36</v>
      </c>
      <c r="G2" s="4">
        <v>212</v>
      </c>
      <c r="H2" s="4">
        <v>220.25</v>
      </c>
      <c r="I2" s="5">
        <v>0</v>
      </c>
      <c r="J2" s="4" t="s">
        <v>73</v>
      </c>
      <c r="K2" s="4" t="s">
        <v>74</v>
      </c>
      <c r="L2" s="4" t="s">
        <v>198</v>
      </c>
      <c r="M2" s="4" t="s">
        <v>30</v>
      </c>
      <c r="N2" s="4">
        <v>29684853</v>
      </c>
      <c r="Q2" s="4" t="str">
        <f>_xlfn.XLOOKUP(J2,'Projets Jerome'!$L$2:$L$26,'Projets Jerome'!$C$2:$C$26)</f>
        <v>CMBB Bakeware Canada Inc.</v>
      </c>
    </row>
    <row r="3" spans="1:17">
      <c r="A3" s="4" t="s">
        <v>42</v>
      </c>
      <c r="B3" s="4" t="s">
        <v>88</v>
      </c>
      <c r="C3" s="4" t="s">
        <v>89</v>
      </c>
      <c r="D3" s="10">
        <v>44359</v>
      </c>
      <c r="E3" s="4" t="s">
        <v>197</v>
      </c>
      <c r="F3" s="4" t="s">
        <v>36</v>
      </c>
      <c r="G3" s="4">
        <v>579</v>
      </c>
      <c r="H3" s="4">
        <v>474.25</v>
      </c>
      <c r="I3" s="5">
        <v>0</v>
      </c>
      <c r="J3" s="4" t="s">
        <v>90</v>
      </c>
      <c r="K3" s="4" t="s">
        <v>91</v>
      </c>
      <c r="L3" s="11">
        <v>44359</v>
      </c>
      <c r="M3" s="4" t="s">
        <v>30</v>
      </c>
      <c r="N3" s="4">
        <v>29684857</v>
      </c>
      <c r="Q3" s="4" t="str">
        <f>_xlfn.XLOOKUP(J3,'Projets Jerome'!$L$2:$L$26,'Projets Jerome'!$C$2:$C$26)</f>
        <v>Coco Bakery Inc.</v>
      </c>
    </row>
    <row r="4" spans="1:17">
      <c r="A4" s="4" t="s">
        <v>42</v>
      </c>
      <c r="B4" s="4" t="s">
        <v>78</v>
      </c>
      <c r="C4" s="4" t="s">
        <v>79</v>
      </c>
      <c r="D4" s="10">
        <v>44208</v>
      </c>
      <c r="E4" s="4" t="s">
        <v>199</v>
      </c>
      <c r="F4" s="4" t="s">
        <v>26</v>
      </c>
      <c r="G4" s="4">
        <v>40</v>
      </c>
      <c r="H4" s="4">
        <v>83.75</v>
      </c>
      <c r="I4" s="5">
        <v>0</v>
      </c>
      <c r="J4" s="4" t="s">
        <v>80</v>
      </c>
      <c r="K4" s="4" t="s">
        <v>78</v>
      </c>
      <c r="L4" s="11">
        <v>44239</v>
      </c>
      <c r="M4" s="4" t="s">
        <v>81</v>
      </c>
      <c r="N4" s="4">
        <v>29684859</v>
      </c>
      <c r="Q4" s="4" t="str">
        <f>_xlfn.XLOOKUP(J4,'Projets Jerome'!$L$2:$L$26,'Projets Jerome'!$C$2:$C$26)</f>
        <v>Cowper Inc.</v>
      </c>
    </row>
    <row r="5" spans="1:17">
      <c r="A5" s="4" t="s">
        <v>42</v>
      </c>
      <c r="B5" s="4" t="s">
        <v>85</v>
      </c>
      <c r="C5" s="4" t="s">
        <v>79</v>
      </c>
      <c r="D5" s="4" t="s">
        <v>200</v>
      </c>
      <c r="E5" s="4" t="s">
        <v>201</v>
      </c>
      <c r="F5" s="4" t="s">
        <v>26</v>
      </c>
      <c r="G5" s="4">
        <v>25</v>
      </c>
      <c r="H5" s="4">
        <v>1</v>
      </c>
      <c r="I5" s="5">
        <v>5400</v>
      </c>
      <c r="J5" s="4" t="s">
        <v>86</v>
      </c>
      <c r="K5" s="4" t="s">
        <v>87</v>
      </c>
      <c r="L5" s="4" t="s">
        <v>202</v>
      </c>
      <c r="M5" s="4" t="s">
        <v>81</v>
      </c>
      <c r="N5" s="4">
        <v>29685279</v>
      </c>
      <c r="Q5" s="4" t="str">
        <f>_xlfn.XLOOKUP(J5,'Projets Jerome'!$L$2:$L$26,'Projets Jerome'!$C$2:$C$26)</f>
        <v>Cowper Inc.</v>
      </c>
    </row>
    <row r="6" spans="1:17">
      <c r="A6" s="4" t="s">
        <v>203</v>
      </c>
      <c r="B6" s="4" t="s">
        <v>24</v>
      </c>
      <c r="C6" s="4" t="s">
        <v>25</v>
      </c>
      <c r="D6" s="10">
        <v>43840</v>
      </c>
      <c r="E6" s="4" t="s">
        <v>197</v>
      </c>
      <c r="F6" s="4" t="s">
        <v>26</v>
      </c>
      <c r="G6" s="4">
        <v>456</v>
      </c>
      <c r="H6" s="4">
        <v>612.75</v>
      </c>
      <c r="I6" s="5">
        <v>0</v>
      </c>
      <c r="J6" s="4" t="s">
        <v>28</v>
      </c>
      <c r="K6" s="4" t="s">
        <v>29</v>
      </c>
      <c r="L6" s="11">
        <v>44084</v>
      </c>
      <c r="M6" s="4" t="s">
        <v>30</v>
      </c>
      <c r="N6" s="4">
        <v>29684478</v>
      </c>
      <c r="Q6" s="4" t="str">
        <f>_xlfn.XLOOKUP(J6,'Projets Jerome'!$L$2:$L$26,'Projets Jerome'!$C$2:$C$26)</f>
        <v>Distribution GVA</v>
      </c>
    </row>
    <row r="7" spans="1:17">
      <c r="A7" s="4" t="s">
        <v>42</v>
      </c>
      <c r="B7" s="4" t="s">
        <v>175</v>
      </c>
      <c r="C7" s="4" t="s">
        <v>176</v>
      </c>
      <c r="D7" s="4" t="s">
        <v>204</v>
      </c>
      <c r="E7" s="10">
        <v>45082</v>
      </c>
      <c r="F7" s="4" t="s">
        <v>26</v>
      </c>
      <c r="G7" s="4">
        <v>33</v>
      </c>
      <c r="H7" s="4">
        <v>4.25</v>
      </c>
      <c r="I7" s="5">
        <v>6451.5</v>
      </c>
      <c r="J7" s="4" t="s">
        <v>177</v>
      </c>
      <c r="K7" s="4" t="s">
        <v>178</v>
      </c>
      <c r="L7" s="4" t="s">
        <v>205</v>
      </c>
      <c r="M7" s="4" t="s">
        <v>30</v>
      </c>
      <c r="N7" s="4">
        <v>29685117</v>
      </c>
      <c r="Q7" s="4" t="str">
        <f>_xlfn.XLOOKUP(J7,'Projets Jerome'!$L$2:$L$26,'Projets Jerome'!$C$2:$C$26)</f>
        <v>Dubois Agrinovation Inc.</v>
      </c>
    </row>
    <row r="8" spans="1:17">
      <c r="A8" s="4" t="s">
        <v>42</v>
      </c>
      <c r="B8" s="4" t="s">
        <v>43</v>
      </c>
      <c r="C8" s="4" t="s">
        <v>44</v>
      </c>
      <c r="D8" s="4" t="s">
        <v>206</v>
      </c>
      <c r="E8" s="4" t="s">
        <v>197</v>
      </c>
      <c r="F8" s="4" t="s">
        <v>36</v>
      </c>
      <c r="G8" s="4">
        <v>401</v>
      </c>
      <c r="H8" s="4">
        <v>281.75</v>
      </c>
      <c r="I8" s="5">
        <v>0</v>
      </c>
      <c r="J8" s="4" t="s">
        <v>45</v>
      </c>
      <c r="K8" s="4" t="s">
        <v>46</v>
      </c>
      <c r="L8" s="4" t="s">
        <v>207</v>
      </c>
      <c r="M8" s="4" t="s">
        <v>30</v>
      </c>
      <c r="N8" s="4">
        <v>29685238</v>
      </c>
      <c r="Q8" s="4" t="str">
        <f>_xlfn.XLOOKUP(J8,'Projets Jerome'!$L$2:$L$26,'Projets Jerome'!$C$2:$C$26)</f>
        <v>Éditions Chouette</v>
      </c>
    </row>
    <row r="9" spans="1:17">
      <c r="A9" s="4" t="s">
        <v>42</v>
      </c>
      <c r="B9" s="4" t="s">
        <v>57</v>
      </c>
      <c r="C9" s="4" t="s">
        <v>58</v>
      </c>
      <c r="D9" s="10">
        <v>44204</v>
      </c>
      <c r="E9" s="10">
        <v>44689</v>
      </c>
      <c r="F9" s="4" t="s">
        <v>36</v>
      </c>
      <c r="G9" s="4">
        <v>266</v>
      </c>
      <c r="H9" s="4">
        <v>76.75</v>
      </c>
      <c r="I9" s="5">
        <v>0</v>
      </c>
      <c r="J9" s="4" t="s">
        <v>59</v>
      </c>
      <c r="K9" s="4" t="s">
        <v>60</v>
      </c>
      <c r="L9" s="11">
        <v>44294</v>
      </c>
      <c r="M9" s="4" t="s">
        <v>61</v>
      </c>
      <c r="N9" s="4">
        <v>29684804</v>
      </c>
      <c r="Q9" s="4" t="str">
        <f>_xlfn.XLOOKUP(J9,'Projets Jerome'!$L$2:$L$26,'Projets Jerome'!$C$2:$C$26)</f>
        <v>Entreprise Tenzo inc.</v>
      </c>
    </row>
    <row r="10" spans="1:17">
      <c r="A10" s="4" t="s">
        <v>102</v>
      </c>
      <c r="B10" s="4" t="s">
        <v>139</v>
      </c>
      <c r="C10" s="4" t="s">
        <v>140</v>
      </c>
      <c r="D10" s="10">
        <v>44691</v>
      </c>
      <c r="E10" s="10">
        <v>44722</v>
      </c>
      <c r="F10" s="4" t="s">
        <v>26</v>
      </c>
      <c r="G10" s="4">
        <v>16</v>
      </c>
      <c r="H10" s="4">
        <v>11</v>
      </c>
      <c r="I10" s="5">
        <v>0</v>
      </c>
      <c r="J10" s="4" t="s">
        <v>141</v>
      </c>
      <c r="K10" s="4" t="s">
        <v>142</v>
      </c>
      <c r="L10" s="11">
        <v>44691</v>
      </c>
      <c r="M10" s="4" t="s">
        <v>81</v>
      </c>
      <c r="N10" s="4">
        <v>29685243</v>
      </c>
      <c r="Q10" s="4" t="str">
        <f>_xlfn.XLOOKUP(J10,'Projets Jerome'!$L$2:$L$26,'Projets Jerome'!$C$2:$C$26)</f>
        <v>Federal Steel Equipment Ltd.</v>
      </c>
    </row>
    <row r="11" spans="1:17">
      <c r="A11" s="4" t="s">
        <v>203</v>
      </c>
      <c r="B11" s="4" t="s">
        <v>162</v>
      </c>
      <c r="C11" s="4" t="s">
        <v>163</v>
      </c>
      <c r="D11" s="10">
        <v>44572</v>
      </c>
      <c r="E11" s="4" t="s">
        <v>208</v>
      </c>
      <c r="F11" s="4" t="s">
        <v>26</v>
      </c>
      <c r="G11" s="4">
        <v>815</v>
      </c>
      <c r="H11" s="4">
        <v>2.25</v>
      </c>
      <c r="I11" s="5">
        <v>0</v>
      </c>
      <c r="J11" s="4" t="s">
        <v>164</v>
      </c>
      <c r="K11" s="4" t="s">
        <v>165</v>
      </c>
      <c r="L11" s="11">
        <v>44876</v>
      </c>
      <c r="M11" s="4" t="s">
        <v>30</v>
      </c>
      <c r="N11" s="4">
        <v>29685265</v>
      </c>
      <c r="Q11" s="4" t="str">
        <f>_xlfn.XLOOKUP(J11,'Projets Jerome'!$L$2:$L$26,'Projets Jerome'!$C$2:$C$26)</f>
        <v>Fromagerie Polyethnique Inc</v>
      </c>
    </row>
    <row r="12" spans="1:17">
      <c r="A12" s="4" t="s">
        <v>102</v>
      </c>
      <c r="B12" s="4" t="s">
        <v>103</v>
      </c>
      <c r="C12" s="4" t="s">
        <v>104</v>
      </c>
      <c r="D12" s="10">
        <v>44562</v>
      </c>
      <c r="E12" s="10">
        <v>45048</v>
      </c>
      <c r="F12" s="4" t="s">
        <v>36</v>
      </c>
      <c r="G12" s="4">
        <v>24</v>
      </c>
      <c r="H12" s="4">
        <v>6.5</v>
      </c>
      <c r="I12" s="5">
        <v>0</v>
      </c>
      <c r="J12" s="4" t="s">
        <v>105</v>
      </c>
      <c r="K12" s="4" t="s">
        <v>106</v>
      </c>
      <c r="L12" s="11">
        <v>44835</v>
      </c>
      <c r="M12" s="4" t="s">
        <v>30</v>
      </c>
      <c r="N12" s="4">
        <v>29685103</v>
      </c>
      <c r="Q12" s="4" t="str">
        <f>_xlfn.XLOOKUP(J12,'Projets Jerome'!$L$2:$L$26,'Projets Jerome'!$C$2:$C$26)</f>
        <v>Gazebo Penguin Inc.</v>
      </c>
    </row>
    <row r="13" spans="1:17">
      <c r="A13" s="4" t="s">
        <v>203</v>
      </c>
      <c r="B13" s="4" t="s">
        <v>169</v>
      </c>
      <c r="C13" s="4" t="s">
        <v>170</v>
      </c>
      <c r="D13" s="10">
        <v>44905</v>
      </c>
      <c r="E13" s="4" t="s">
        <v>209</v>
      </c>
      <c r="F13" s="4" t="s">
        <v>36</v>
      </c>
      <c r="G13" s="4">
        <v>983</v>
      </c>
      <c r="H13" s="4">
        <v>142.75</v>
      </c>
      <c r="I13" s="5">
        <v>0</v>
      </c>
      <c r="J13" s="4" t="s">
        <v>171</v>
      </c>
      <c r="K13" s="4" t="s">
        <v>169</v>
      </c>
      <c r="L13" s="11">
        <v>44905</v>
      </c>
      <c r="M13" s="4" t="s">
        <v>30</v>
      </c>
      <c r="N13" s="4">
        <v>29685241</v>
      </c>
      <c r="Q13" s="4" t="str">
        <f>_xlfn.XLOOKUP(J13,'Projets Jerome'!$L$2:$L$26,'Projets Jerome'!$C$2:$C$26)</f>
        <v>Groupe Carreaux Céragrès Inc.</v>
      </c>
    </row>
    <row r="14" spans="1:17">
      <c r="A14" s="4" t="s">
        <v>42</v>
      </c>
      <c r="B14" s="4" t="s">
        <v>160</v>
      </c>
      <c r="C14" s="4" t="s">
        <v>134</v>
      </c>
      <c r="D14" s="4" t="s">
        <v>210</v>
      </c>
      <c r="E14" s="4" t="s">
        <v>211</v>
      </c>
      <c r="F14" s="4" t="s">
        <v>26</v>
      </c>
      <c r="G14" s="4">
        <v>166</v>
      </c>
      <c r="H14" s="4">
        <v>24.75</v>
      </c>
      <c r="I14" s="5">
        <v>0</v>
      </c>
      <c r="J14" s="4" t="s">
        <v>161</v>
      </c>
      <c r="K14" s="4" t="s">
        <v>160</v>
      </c>
      <c r="L14" s="4" t="s">
        <v>212</v>
      </c>
      <c r="M14" s="4" t="s">
        <v>81</v>
      </c>
      <c r="N14" s="4">
        <v>29685255</v>
      </c>
      <c r="Q14" s="4" t="str">
        <f>_xlfn.XLOOKUP(J14,'Projets Jerome'!$L$2:$L$26,'Projets Jerome'!$C$2:$C$26)</f>
        <v>Laiterie de Coaticook ltée</v>
      </c>
    </row>
    <row r="15" spans="1:17">
      <c r="A15" s="4" t="s">
        <v>42</v>
      </c>
      <c r="B15" s="4" t="s">
        <v>133</v>
      </c>
      <c r="C15" s="4" t="s">
        <v>134</v>
      </c>
      <c r="D15" s="4" t="s">
        <v>213</v>
      </c>
      <c r="E15" s="4" t="s">
        <v>197</v>
      </c>
      <c r="F15" s="4" t="s">
        <v>26</v>
      </c>
      <c r="G15" s="4">
        <v>56</v>
      </c>
      <c r="H15" s="4">
        <v>68.75</v>
      </c>
      <c r="I15" s="5">
        <v>0</v>
      </c>
      <c r="J15" s="4" t="s">
        <v>135</v>
      </c>
      <c r="K15" s="4" t="s">
        <v>133</v>
      </c>
      <c r="L15" s="4" t="s">
        <v>214</v>
      </c>
      <c r="M15" s="4" t="s">
        <v>81</v>
      </c>
      <c r="N15" s="4">
        <v>29685240</v>
      </c>
      <c r="Q15" s="4" t="str">
        <f>_xlfn.XLOOKUP(J15,'Projets Jerome'!$L$2:$L$26,'Projets Jerome'!$C$2:$C$26)</f>
        <v>Laiterie de Coaticook ltée</v>
      </c>
    </row>
    <row r="16" spans="1:17">
      <c r="A16" s="4" t="s">
        <v>42</v>
      </c>
      <c r="B16" s="4" t="s">
        <v>95</v>
      </c>
      <c r="C16" s="4" t="s">
        <v>96</v>
      </c>
      <c r="D16" s="10">
        <v>44621</v>
      </c>
      <c r="E16" s="4" t="s">
        <v>215</v>
      </c>
      <c r="F16" s="4" t="s">
        <v>36</v>
      </c>
      <c r="G16" s="4">
        <v>38</v>
      </c>
      <c r="H16" s="4">
        <v>20.75</v>
      </c>
      <c r="I16" s="5">
        <v>0</v>
      </c>
      <c r="J16" s="4" t="s">
        <v>97</v>
      </c>
      <c r="K16" s="4" t="s">
        <v>98</v>
      </c>
      <c r="L16" s="11">
        <v>44652</v>
      </c>
      <c r="M16" s="4" t="s">
        <v>61</v>
      </c>
      <c r="N16" s="4">
        <v>29685098</v>
      </c>
      <c r="Q16" s="4" t="str">
        <f>_xlfn.XLOOKUP(J16,'Projets Jerome'!$L$2:$L$26,'Projets Jerome'!$C$2:$C$26)</f>
        <v>Les Aliments CDS inc.</v>
      </c>
    </row>
    <row r="17" spans="1:17">
      <c r="A17" s="4" t="s">
        <v>203</v>
      </c>
      <c r="B17" s="4" t="s">
        <v>119</v>
      </c>
      <c r="C17" s="4" t="s">
        <v>120</v>
      </c>
      <c r="D17" s="10">
        <v>44809</v>
      </c>
      <c r="E17" s="4" t="s">
        <v>216</v>
      </c>
      <c r="F17" s="4" t="s">
        <v>36</v>
      </c>
      <c r="G17" s="4">
        <v>230</v>
      </c>
      <c r="H17" s="4">
        <v>123</v>
      </c>
      <c r="I17" s="5">
        <v>0</v>
      </c>
      <c r="J17" s="4" t="s">
        <v>121</v>
      </c>
      <c r="K17" s="4" t="s">
        <v>122</v>
      </c>
      <c r="L17" s="4" t="s">
        <v>217</v>
      </c>
      <c r="M17" s="4" t="s">
        <v>30</v>
      </c>
      <c r="N17" s="4">
        <v>29685185</v>
      </c>
      <c r="Q17" s="4" t="str">
        <f>_xlfn.XLOOKUP(J17,'Projets Jerome'!$L$2:$L$26,'Projets Jerome'!$C$2:$C$26)</f>
        <v>Lovato Electric Inc. (USA)</v>
      </c>
    </row>
    <row r="18" spans="1:17">
      <c r="A18" s="4" t="s">
        <v>42</v>
      </c>
      <c r="B18" s="4" t="s">
        <v>126</v>
      </c>
      <c r="C18" s="4" t="s">
        <v>127</v>
      </c>
      <c r="D18" s="4" t="s">
        <v>213</v>
      </c>
      <c r="E18" s="4" t="s">
        <v>218</v>
      </c>
      <c r="F18" s="4" t="s">
        <v>36</v>
      </c>
      <c r="G18" s="4">
        <v>407</v>
      </c>
      <c r="H18" s="4">
        <v>32.75</v>
      </c>
      <c r="I18" s="5">
        <v>0</v>
      </c>
      <c r="J18" s="4" t="s">
        <v>128</v>
      </c>
      <c r="K18" s="4" t="s">
        <v>129</v>
      </c>
      <c r="L18" s="4" t="s">
        <v>219</v>
      </c>
      <c r="M18" s="4" t="s">
        <v>30</v>
      </c>
      <c r="N18" s="4">
        <v>29685237</v>
      </c>
      <c r="Q18" s="4" t="str">
        <f>_xlfn.XLOOKUP(J18,'Projets Jerome'!$L$2:$L$26,'Projets Jerome'!$C$2:$C$26)</f>
        <v>Megastar Électroniques Inc.</v>
      </c>
    </row>
    <row r="19" spans="1:17">
      <c r="A19" s="4" t="s">
        <v>42</v>
      </c>
      <c r="B19" s="4" t="s">
        <v>50</v>
      </c>
      <c r="C19" s="4" t="s">
        <v>51</v>
      </c>
      <c r="D19" s="4" t="s">
        <v>220</v>
      </c>
      <c r="E19" s="4" t="s">
        <v>197</v>
      </c>
      <c r="F19" s="4" t="s">
        <v>36</v>
      </c>
      <c r="G19" s="4">
        <v>781</v>
      </c>
      <c r="H19" s="4">
        <v>791.5</v>
      </c>
      <c r="I19" s="5">
        <v>0</v>
      </c>
      <c r="J19" s="4" t="s">
        <v>52</v>
      </c>
      <c r="K19" s="4" t="s">
        <v>53</v>
      </c>
      <c r="L19" s="4" t="s">
        <v>221</v>
      </c>
      <c r="M19" s="4" t="s">
        <v>30</v>
      </c>
      <c r="N19" s="4">
        <v>29684798</v>
      </c>
      <c r="Q19" s="4" t="str">
        <f>_xlfn.XLOOKUP(J19,'Projets Jerome'!$L$2:$L$26,'Projets Jerome'!$C$2:$C$26)</f>
        <v>O&amp;T Farms</v>
      </c>
    </row>
    <row r="20" spans="1:17">
      <c r="A20" s="4" t="s">
        <v>203</v>
      </c>
      <c r="B20" s="4" t="s">
        <v>34</v>
      </c>
      <c r="C20" s="4" t="s">
        <v>35</v>
      </c>
      <c r="D20" s="10">
        <v>44504</v>
      </c>
      <c r="E20" s="4" t="s">
        <v>197</v>
      </c>
      <c r="F20" s="4" t="s">
        <v>36</v>
      </c>
      <c r="G20" s="4">
        <v>207</v>
      </c>
      <c r="H20" s="4">
        <v>171</v>
      </c>
      <c r="I20" s="5">
        <v>0</v>
      </c>
      <c r="J20" s="4" t="s">
        <v>37</v>
      </c>
      <c r="K20" s="4" t="s">
        <v>38</v>
      </c>
      <c r="L20" s="11">
        <v>44504</v>
      </c>
      <c r="M20" s="4" t="s">
        <v>30</v>
      </c>
      <c r="N20" s="4">
        <v>29684754</v>
      </c>
      <c r="Q20" s="4" t="str">
        <f>_xlfn.XLOOKUP(J20,'Projets Jerome'!$L$2:$L$26,'Projets Jerome'!$C$2:$C$26)</f>
        <v>SIT Mauricie</v>
      </c>
    </row>
    <row r="21" spans="1:17">
      <c r="A21" s="4" t="s">
        <v>42</v>
      </c>
      <c r="B21" s="4" t="s">
        <v>57</v>
      </c>
      <c r="C21" s="4" t="s">
        <v>65</v>
      </c>
      <c r="D21" s="10">
        <v>44205</v>
      </c>
      <c r="E21" s="4" t="s">
        <v>197</v>
      </c>
      <c r="F21" s="4" t="s">
        <v>26</v>
      </c>
      <c r="G21" s="4">
        <v>200</v>
      </c>
      <c r="H21" s="4">
        <v>110.5</v>
      </c>
      <c r="I21" s="5">
        <v>0</v>
      </c>
      <c r="J21" s="4" t="s">
        <v>66</v>
      </c>
      <c r="K21" s="4" t="s">
        <v>67</v>
      </c>
      <c r="L21" s="4" t="s">
        <v>222</v>
      </c>
      <c r="M21" s="4" t="s">
        <v>61</v>
      </c>
      <c r="N21" s="4">
        <v>29684829</v>
      </c>
      <c r="Q21" s="4" t="str">
        <f>_xlfn.XLOOKUP(J21,'Projets Jerome'!$L$2:$L$26,'Projets Jerome'!$C$2:$C$26)</f>
        <v>Tzanet</v>
      </c>
    </row>
    <row r="22" spans="1:17">
      <c r="A22" s="4" t="s">
        <v>42</v>
      </c>
      <c r="B22" s="4" t="s">
        <v>110</v>
      </c>
      <c r="C22" s="4" t="s">
        <v>111</v>
      </c>
      <c r="D22" s="4" t="s">
        <v>223</v>
      </c>
      <c r="E22" s="4" t="s">
        <v>224</v>
      </c>
      <c r="F22" s="4" t="s">
        <v>26</v>
      </c>
      <c r="G22" s="4">
        <v>21</v>
      </c>
      <c r="H22" s="4">
        <v>5.25</v>
      </c>
      <c r="I22" s="5">
        <v>0</v>
      </c>
      <c r="J22" s="4" t="s">
        <v>113</v>
      </c>
      <c r="K22" s="4" t="s">
        <v>114</v>
      </c>
      <c r="L22" s="4" t="s">
        <v>225</v>
      </c>
      <c r="M22" s="4" t="s">
        <v>115</v>
      </c>
      <c r="N22" s="4">
        <v>29685081</v>
      </c>
      <c r="Q22" s="4" t="str">
        <f>_xlfn.XLOOKUP(J22,'Projets Jerome'!$L$2:$L$26,'Projets Jerome'!$C$2:$C$26)</f>
        <v>Walt's Wholesale Meats</v>
      </c>
    </row>
  </sheetData>
  <autoFilter ref="A1:Q22" xr:uid="{2B85A034-29A4-405C-B05A-4C8DD17D6A6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97A1-5E5F-426D-9D38-9B71B1F2530B}">
  <dimension ref="A1:BH54"/>
  <sheetViews>
    <sheetView tabSelected="1" zoomScale="73" zoomScaleNormal="85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F27" sqref="F27"/>
    </sheetView>
  </sheetViews>
  <sheetFormatPr defaultColWidth="8.88671875" defaultRowHeight="14.4" outlineLevelCol="1"/>
  <cols>
    <col min="1" max="1" width="17.33203125" style="1" customWidth="1"/>
    <col min="2" max="2" width="40.5546875" style="1" bestFit="1" customWidth="1"/>
    <col min="3" max="3" width="26.33203125" style="1" bestFit="1" customWidth="1"/>
    <col min="4" max="4" width="15.6640625" style="1" customWidth="1" outlineLevel="1"/>
    <col min="5" max="5" width="14.5546875" style="1" customWidth="1" outlineLevel="1"/>
    <col min="6" max="6" width="16" style="1" customWidth="1" outlineLevel="1"/>
    <col min="7" max="7" width="9.6640625" style="4" customWidth="1" outlineLevel="1"/>
    <col min="8" max="8" width="11" style="4" customWidth="1" outlineLevel="1"/>
    <col min="9" max="9" width="13.33203125" style="4" bestFit="1" customWidth="1" outlineLevel="1"/>
    <col min="10" max="10" width="16.88671875" style="4" bestFit="1" customWidth="1" outlineLevel="1"/>
    <col min="11" max="11" width="30.6640625" style="4" customWidth="1" outlineLevel="1"/>
    <col min="12" max="12" width="21.6640625" style="4" bestFit="1" customWidth="1" outlineLevel="1"/>
    <col min="13" max="13" width="35.6640625" style="1" customWidth="1" outlineLevel="1"/>
    <col min="14" max="14" width="16.88671875" style="4" customWidth="1" outlineLevel="1"/>
    <col min="15" max="15" width="19" style="1" customWidth="1" outlineLevel="1"/>
    <col min="16" max="16" width="17.88671875" style="1" customWidth="1" outlineLevel="1"/>
    <col min="17" max="17" width="53.5546875" style="1" customWidth="1" outlineLevel="1"/>
    <col min="18" max="18" width="27.21875" style="1" customWidth="1" outlineLevel="1"/>
    <col min="19" max="19" width="13" style="1" customWidth="1" outlineLevel="1"/>
    <col min="20" max="20" width="30.6640625" style="1" customWidth="1" outlineLevel="1"/>
    <col min="21" max="27" width="8.88671875" style="1"/>
    <col min="28" max="28" width="64.5546875" style="1" customWidth="1"/>
    <col min="29" max="30" width="8.88671875" style="1"/>
    <col min="31" max="31" width="22.6640625" style="1" customWidth="1"/>
    <col min="32" max="35" width="9.88671875" style="1" customWidth="1"/>
    <col min="36" max="36" width="8.88671875" style="1"/>
    <col min="37" max="40" width="12.33203125" style="1" bestFit="1" customWidth="1"/>
    <col min="41" max="41" width="10" style="4" bestFit="1" customWidth="1"/>
    <col min="42" max="42" width="10" style="4" customWidth="1"/>
    <col min="43" max="43" width="13.33203125" style="1" bestFit="1" customWidth="1"/>
    <col min="44" max="48" width="8.88671875" style="1"/>
    <col min="49" max="49" width="11.5546875" style="1" customWidth="1"/>
    <col min="50" max="50" width="10.6640625" style="1" bestFit="1" customWidth="1"/>
    <col min="51" max="51" width="11.33203125" style="1" bestFit="1" customWidth="1"/>
    <col min="52" max="52" width="11.5546875" style="1" customWidth="1"/>
    <col min="53" max="53" width="11.33203125" style="1" bestFit="1" customWidth="1"/>
    <col min="54" max="57" width="12.33203125" style="1" bestFit="1" customWidth="1"/>
    <col min="58" max="58" width="11.109375" style="1" bestFit="1" customWidth="1"/>
    <col min="59" max="59" width="11.44140625" style="1" bestFit="1" customWidth="1"/>
    <col min="60" max="60" width="12.33203125" style="1" bestFit="1" customWidth="1"/>
    <col min="61" max="16384" width="8.88671875" style="1"/>
  </cols>
  <sheetData>
    <row r="1" spans="1:60" s="3" customFormat="1" ht="43.8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X1" s="3" t="s">
        <v>238</v>
      </c>
      <c r="Y1" s="3" t="s">
        <v>239</v>
      </c>
      <c r="AB1" s="34" t="s">
        <v>250</v>
      </c>
      <c r="AC1" s="35" t="s">
        <v>251</v>
      </c>
      <c r="AD1" s="35" t="s">
        <v>252</v>
      </c>
      <c r="AE1" s="36" t="s">
        <v>253</v>
      </c>
      <c r="AF1" s="34" t="s">
        <v>241</v>
      </c>
      <c r="AG1" s="35" t="s">
        <v>263</v>
      </c>
      <c r="AH1" s="35" t="s">
        <v>240</v>
      </c>
      <c r="AI1" s="36" t="s">
        <v>242</v>
      </c>
      <c r="AJ1" s="3" t="s">
        <v>243</v>
      </c>
      <c r="AK1" s="34" t="s">
        <v>259</v>
      </c>
      <c r="AL1" s="35" t="s">
        <v>260</v>
      </c>
      <c r="AM1" s="35" t="s">
        <v>261</v>
      </c>
      <c r="AN1" s="36" t="s">
        <v>262</v>
      </c>
      <c r="AO1" s="3" t="s">
        <v>244</v>
      </c>
      <c r="AP1" s="3" t="s">
        <v>264</v>
      </c>
      <c r="AQ1" s="3" t="s">
        <v>245</v>
      </c>
      <c r="AS1" s="34" t="s">
        <v>250</v>
      </c>
      <c r="AT1" s="35" t="s">
        <v>251</v>
      </c>
      <c r="AU1" s="35" t="s">
        <v>252</v>
      </c>
      <c r="AV1" s="36" t="s">
        <v>253</v>
      </c>
      <c r="AW1" s="34" t="s">
        <v>241</v>
      </c>
      <c r="AX1" s="35" t="s">
        <v>263</v>
      </c>
      <c r="AY1" s="35" t="s">
        <v>240</v>
      </c>
      <c r="AZ1" s="36" t="s">
        <v>242</v>
      </c>
      <c r="BA1" s="3" t="s">
        <v>243</v>
      </c>
      <c r="BB1" s="34" t="s">
        <v>259</v>
      </c>
      <c r="BC1" s="35" t="s">
        <v>260</v>
      </c>
      <c r="BD1" s="35" t="s">
        <v>261</v>
      </c>
      <c r="BE1" s="36" t="s">
        <v>262</v>
      </c>
      <c r="BF1" s="3" t="s">
        <v>244</v>
      </c>
      <c r="BG1" s="3" t="s">
        <v>264</v>
      </c>
      <c r="BH1" s="3" t="s">
        <v>245</v>
      </c>
    </row>
    <row r="2" spans="1:60">
      <c r="A2" s="1" t="s">
        <v>23</v>
      </c>
      <c r="B2" s="1" t="s">
        <v>24</v>
      </c>
      <c r="C2" s="1" t="s">
        <v>25</v>
      </c>
      <c r="D2" s="37">
        <v>44105</v>
      </c>
      <c r="E2" s="37">
        <v>44925</v>
      </c>
      <c r="F2" s="1" t="s">
        <v>26</v>
      </c>
      <c r="G2" s="4">
        <v>456</v>
      </c>
      <c r="H2" s="4">
        <v>605.75</v>
      </c>
      <c r="I2" s="4">
        <v>165</v>
      </c>
      <c r="J2" s="4" t="s">
        <v>27</v>
      </c>
      <c r="K2" s="38">
        <f>Table1[[#This Row],[Estimated Hours]]*Table1[[#This Row],[Hourly rate]]*1.15</f>
        <v>86526</v>
      </c>
      <c r="L2" s="4" t="s">
        <v>28</v>
      </c>
      <c r="M2" s="1" t="s">
        <v>29</v>
      </c>
      <c r="N2" s="4">
        <v>29684478</v>
      </c>
      <c r="O2" s="37">
        <v>44113</v>
      </c>
      <c r="P2" s="1" t="s">
        <v>30</v>
      </c>
      <c r="Q2" s="6" t="s">
        <v>31</v>
      </c>
      <c r="R2" s="1">
        <v>45.5853088</v>
      </c>
      <c r="S2" s="1">
        <v>-73.709455800000001</v>
      </c>
      <c r="T2" s="1" t="s">
        <v>32</v>
      </c>
      <c r="U2" s="6" t="s">
        <v>33</v>
      </c>
      <c r="X2" s="1">
        <f>_xlfn.XLOOKUP(Table13[[#This Row],[Project Number]],'Projets Jerome'!$L$2:$L$26,'Projets Jerome'!$AC$2:$AC$26)</f>
        <v>45.5853088</v>
      </c>
      <c r="Y2" s="1">
        <f>_xlfn.XLOOKUP(Table13[[#This Row],[Project Number]],'Projets Jerome'!$L$2:$L$26,'Projets Jerome'!$AD$2:$AD$26)</f>
        <v>-73.709455800000001</v>
      </c>
      <c r="AB2" s="1" t="str">
        <f>_xlfn.WEBSERVICE("https://maps.googleapis.com/maps/api/distancematrix/xml?destinations="&amp;$X2&amp;"%2C"&amp;$Y2&amp;"&amp;origins=46.7677269%2C-71.2887151&amp;key=AIzaSyCHth-wrbaKBruFJQMWpdpeHAtAzdbcKh4")</f>
        <v xml:space="preserve">&lt;?xml version="1.0" encoding="UTF-8"?&gt;
&lt;DistanceMatrixResponse&gt;
 &lt;status&gt;OK&lt;/status&gt;
 &lt;origin_address&gt;2828 Bd Laurier, Québec, QC G1V 0C1, Canada&lt;/origin_address&gt;
 &lt;destination_address&gt;1950 Boulevard des Laurentides, Laval, QC H7M 2Y9, Canada&lt;/destination_address&gt;
 &lt;row&gt;
  &lt;element&gt;
   &lt;status&gt;OK&lt;/status&gt;
   &lt;duration&gt;
    &lt;value&gt;9220&lt;/value&gt;
    &lt;text&gt;2 hours 34 mins&lt;/text&gt;
   &lt;/duration&gt;
   &lt;distance&gt;
    &lt;value&gt;255217&lt;/value&gt;
    &lt;text&gt;255 km&lt;/text&gt;
   &lt;/distance&gt;
  &lt;/element&gt;
 &lt;/row&gt;
&lt;/DistanceMatrixResponse&gt;
</v>
      </c>
      <c r="AC2" s="1" t="str">
        <f>_xlfn.WEBSERVICE("https://maps.googleapis.com/maps/api/distancematrix/xml?destinations="&amp;$X2&amp;"%2C"&amp;$Y2&amp;"&amp;origins=45.5219584%2C-73.6130896&amp;key=AIzaSyCHth-wrbaKBruFJQMWpdpeHAtAzdbcKh4")</f>
        <v xml:space="preserve">&lt;?xml version="1.0" encoding="UTF-8"?&gt;
&lt;DistanceMatrixResponse&gt;
 &lt;status&gt;OK&lt;/status&gt;
 &lt;origin_address&gt;797 Av Champagneur, Outremont, QC H2V 3P9, Canada&lt;/origin_address&gt;
 &lt;destination_address&gt;1950 Boulevard des Laurentides, Laval, QC H7M 2Y9, Canada&lt;/destination_address&gt;
 &lt;row&gt;
  &lt;element&gt;
   &lt;status&gt;OK&lt;/status&gt;
   &lt;duration&gt;
    &lt;value&gt;1382&lt;/value&gt;
    &lt;text&gt;23 mins&lt;/text&gt;
   &lt;/duration&gt;
   &lt;distance&gt;
    &lt;value&gt;18954&lt;/value&gt;
    &lt;text&gt;19.0 km&lt;/text&gt;
   &lt;/distance&gt;
  &lt;/element&gt;
 &lt;/row&gt;
&lt;/DistanceMatrixResponse&gt;
</v>
      </c>
      <c r="AD2" s="1" t="str">
        <f>_xlfn.WEBSERVICE("https://maps.googleapis.com/maps/api/distancematrix/xml?destinations="&amp;$X2&amp;"%2C"&amp;$Y2&amp;"&amp;origins=49.2838546%2C-123.1196403&amp;key=AIzaSyCHth-wrbaKBruFJQMWpdpeHAtAzdbcKh4")</f>
        <v xml:space="preserve">&lt;?xml version="1.0" encoding="UTF-8"?&gt;
&lt;DistanceMatrixResponse&gt;
 &lt;status&gt;OK&lt;/status&gt;
 &lt;origin_address&gt;1500-885 W Georgia St, Vancouver, BC V6C 3E8, Canada&lt;/origin_address&gt;
 &lt;destination_address&gt;1950 Boulevard des Laurentides, Laval, QC H7M 2Y9, Canada&lt;/destination_address&gt;
 &lt;row&gt;
  &lt;element&gt;
   &lt;status&gt;OK&lt;/status&gt;
   &lt;duration&gt;
    &lt;value&gt;161398&lt;/value&gt;
    &lt;text&gt;1 day 21 hours&lt;/text&gt;
   &lt;/duration&gt;
   &lt;distance&gt;
    &lt;value&gt;4556985&lt;/value&gt;
    &lt;text&gt;4,557 km&lt;/text&gt;
   &lt;/distance&gt;
  &lt;/element&gt;
 &lt;/row&gt;
&lt;/DistanceMatrixResponse&gt;
</v>
      </c>
      <c r="AE2" s="1" t="str">
        <f>_xlfn.WEBSERVICE("https://maps.googleapis.com/maps/api/distancematrix/xml?destinations="&amp;$X2&amp;"%2C"&amp;$Y2&amp;"&amp;origins=43.6410825%2C-79.3787196&amp;key=AIzaSyCHth-wrbaKBruFJQMWpdpeHAtAzdbcKh4")</f>
        <v xml:space="preserve">&lt;?xml version="1.0" encoding="UTF-8"?&gt;
&lt;DistanceMatrixResponse&gt;
 &lt;status&gt;OK&lt;/status&gt;
 &lt;origin_address&gt;2500-88 Queens Quay W, Toronto, ON M5J 0B8, Canada&lt;/origin_address&gt;
 &lt;destination_address&gt;1950 Boulevard des Laurentides, Laval, QC H7M 2Y9, Canada&lt;/destination_address&gt;
 &lt;row&gt;
  &lt;element&gt;
   &lt;status&gt;OK&lt;/status&gt;
   &lt;duration&gt;
    &lt;value&gt;18770&lt;/value&gt;
    &lt;text&gt;5 hours 13 mins&lt;/text&gt;
   &lt;/duration&gt;
   &lt;distance&gt;
    &lt;value&gt;550347&lt;/value&gt;
    &lt;text&gt;550 km&lt;/text&gt;
   &lt;/distance&gt;
  &lt;/element&gt;
 &lt;/row&gt;
&lt;/DistanceMatrixResponse&gt;
</v>
      </c>
      <c r="AF2" s="1" cm="1">
        <f t="array" ref="AF2">_xlfn.FILTERXML(AB2,"//distance/value")/1000</f>
        <v>255.21700000000001</v>
      </c>
      <c r="AG2" s="1" cm="1">
        <f t="array" ref="AG2">_xlfn.FILTERXML(AC2,"//distance/value")/1000</f>
        <v>18.954000000000001</v>
      </c>
      <c r="AH2" s="1" cm="1">
        <f t="array" ref="AH2">_xlfn.FILTERXML(AD2,"//distance/value")/1000</f>
        <v>4556.9849999999997</v>
      </c>
      <c r="AI2" s="1" cm="1">
        <f t="array" ref="AI2">_xlfn.FILTERXML(AE2,"//distance/value")/1000</f>
        <v>550.34699999999998</v>
      </c>
      <c r="AJ2" s="1">
        <f>MIN(AF2:AI2)</f>
        <v>18.954000000000001</v>
      </c>
      <c r="AK2" s="39" cm="1">
        <f t="array" ref="AK2">_xlfn.FILTERXML(AB2,"//duration/value")/60/60/24</f>
        <v>0.10671296296296295</v>
      </c>
      <c r="AL2" s="39" cm="1">
        <f t="array" ref="AL2">_xlfn.FILTERXML(AC2,"//duration/value")/60/60/24</f>
        <v>1.5995370370370372E-2</v>
      </c>
      <c r="AM2" s="39" cm="1">
        <f t="array" ref="AM2">_xlfn.FILTERXML(AD2,"//duration/value")/60/60/24</f>
        <v>1.8680324074074075</v>
      </c>
      <c r="AN2" s="39" cm="1">
        <f t="array" ref="AN2">_xlfn.FILTERXML(AE2,"//duration/value")/60/60/24</f>
        <v>0.21724537037037037</v>
      </c>
      <c r="AO2" s="4" t="str">
        <f>REPLACE(_xlfn.XLOOKUP(AJ2,$AF2:$AI2,$AF$1:$AI$1), 1, 9, "")</f>
        <v>Montreal</v>
      </c>
      <c r="AP2" s="4" t="str">
        <f>REPLACE(_xlfn.XLOOKUP(AQ2,$AK2:$AN2,$AF$1:$AI$1), 1, 9, "")</f>
        <v>Montreal</v>
      </c>
      <c r="AQ2" s="39" cm="1">
        <f t="array" ref="AQ2">_xlfn.FILTERXML(_xlfn.XLOOKUP(AJ2,$AF2:$AI2,AB2:AE2),"//duration/value")/60/60/24</f>
        <v>1.5995370370370372E-2</v>
      </c>
      <c r="AS2" s="1" t="s">
        <v>281</v>
      </c>
      <c r="AT2" s="1" t="s">
        <v>282</v>
      </c>
      <c r="AU2" s="1" t="s">
        <v>283</v>
      </c>
      <c r="AV2" s="1" t="s">
        <v>284</v>
      </c>
      <c r="AW2" s="1">
        <v>255.21700000000001</v>
      </c>
      <c r="AX2" s="1">
        <v>18.954000000000001</v>
      </c>
      <c r="AY2" s="1">
        <v>4556.9849999999997</v>
      </c>
      <c r="AZ2" s="1">
        <v>550.34699999999998</v>
      </c>
      <c r="BA2" s="1">
        <v>18.954000000000001</v>
      </c>
      <c r="BB2" s="39">
        <v>0.10671296296296295</v>
      </c>
      <c r="BC2" s="39">
        <v>1.5995370370370372E-2</v>
      </c>
      <c r="BD2" s="39">
        <v>1.8680324074074075</v>
      </c>
      <c r="BE2" s="39">
        <v>0.21724537037037037</v>
      </c>
      <c r="BF2" s="4" t="s">
        <v>285</v>
      </c>
      <c r="BG2" s="4" t="s">
        <v>285</v>
      </c>
      <c r="BH2" s="39">
        <v>1.5995370370370372E-2</v>
      </c>
    </row>
    <row r="3" spans="1:60" ht="28.8">
      <c r="A3" s="1" t="s">
        <v>23</v>
      </c>
      <c r="B3" s="1" t="s">
        <v>34</v>
      </c>
      <c r="C3" s="1" t="s">
        <v>35</v>
      </c>
      <c r="D3" s="37">
        <v>44297</v>
      </c>
      <c r="E3" s="37">
        <v>44925</v>
      </c>
      <c r="F3" s="1" t="s">
        <v>36</v>
      </c>
      <c r="G3" s="4">
        <v>207</v>
      </c>
      <c r="H3" s="4">
        <v>159.75</v>
      </c>
      <c r="I3" s="4">
        <v>155</v>
      </c>
      <c r="J3" s="4" t="s">
        <v>27</v>
      </c>
      <c r="K3" s="38">
        <f>Table1[[#This Row],[Estimated Hours]]*Table1[[#This Row],[Hourly rate]]*1.15</f>
        <v>36897.75</v>
      </c>
      <c r="L3" s="4" t="s">
        <v>37</v>
      </c>
      <c r="M3" s="1" t="s">
        <v>38</v>
      </c>
      <c r="N3" s="4">
        <v>29684754</v>
      </c>
      <c r="O3" s="37">
        <v>44297</v>
      </c>
      <c r="P3" s="1" t="s">
        <v>30</v>
      </c>
      <c r="Q3" s="6" t="s">
        <v>39</v>
      </c>
      <c r="R3" s="1">
        <v>46.340088999999999</v>
      </c>
      <c r="S3" s="1">
        <v>-72.554929400000006</v>
      </c>
      <c r="T3" s="12" t="s">
        <v>40</v>
      </c>
      <c r="U3" s="6" t="s">
        <v>41</v>
      </c>
      <c r="X3" s="1">
        <f>_xlfn.XLOOKUP(Table13[[#This Row],[Project Number]],'Projets Jerome'!$L$2:$L$26,'Projets Jerome'!$AC$2:$AC$26)</f>
        <v>46.340088999999999</v>
      </c>
      <c r="Y3" s="1">
        <f>_xlfn.XLOOKUP(Table13[[#This Row],[Project Number]],'Projets Jerome'!$L$2:$L$26,'Projets Jerome'!$AD$2:$AD$26)</f>
        <v>-72.554929400000006</v>
      </c>
      <c r="AB3" s="1" t="str">
        <f t="shared" ref="AB3:AB32" si="0">_xlfn.WEBSERVICE("https://maps.googleapis.com/maps/api/distancematrix/xml?destinations="&amp;$X3&amp;"%2C"&amp;$Y3&amp;"&amp;origins=46.7677269%2C-71.2887151&amp;key=AIzaSyCHth-wrbaKBruFJQMWpdpeHAtAzdbcKh4")</f>
        <v xml:space="preserve">&lt;?xml version="1.0" encoding="UTF-8"?&gt;
&lt;DistanceMatrixResponse&gt;
 &lt;status&gt;OK&lt;/status&gt;
 &lt;origin_address&gt;2828 Bd Laurier, Québec, QC G1V 0C1, Canada&lt;/origin_address&gt;
 &lt;destination_address&gt;1090 Rue de la Vérendrye, Trois-Rivières, QC G9A 2S8, Canada&lt;/destination_address&gt;
 &lt;row&gt;
  &lt;element&gt;
   &lt;status&gt;OK&lt;/status&gt;
   &lt;duration&gt;
    &lt;value&gt;4422&lt;/value&gt;
    &lt;text&gt;1 hour 14 mins&lt;/text&gt;
   &lt;/duration&gt;
   &lt;distance&gt;
    &lt;value&gt;123801&lt;/value&gt;
    &lt;text&gt;124 km&lt;/text&gt;
   &lt;/distance&gt;
  &lt;/element&gt;
 &lt;/row&gt;
&lt;/DistanceMatrixResponse&gt;
</v>
      </c>
      <c r="AC3" s="1" t="str">
        <f t="shared" ref="AC3:AC32" si="1">_xlfn.WEBSERVICE("https://maps.googleapis.com/maps/api/distancematrix/xml?destinations="&amp;$X3&amp;"%2C"&amp;$Y3&amp;"&amp;origins=45.5219584%2C-73.6130896&amp;key=AIzaSyCHth-wrbaKBruFJQMWpdpeHAtAzdbcKh4")</f>
        <v xml:space="preserve">&lt;?xml version="1.0" encoding="UTF-8"?&gt;
&lt;DistanceMatrixResponse&gt;
 &lt;status&gt;OK&lt;/status&gt;
 &lt;origin_address&gt;797 Av Champagneur, Outremont, QC H2V 3P9, Canada&lt;/origin_address&gt;
 &lt;destination_address&gt;1090 Rue de la Vérendrye, Trois-Rivières, QC G9A 2S8, Canada&lt;/destination_address&gt;
 &lt;row&gt;
  &lt;element&gt;
   &lt;status&gt;OK&lt;/status&gt;
   &lt;duration&gt;
    &lt;value&gt;5572&lt;/value&gt;
    &lt;text&gt;1 hour 33 mins&lt;/text&gt;
   &lt;/duration&gt;
   &lt;distance&gt;
    &lt;value&gt;139415&lt;/value&gt;
    &lt;text&gt;139 km&lt;/text&gt;
   &lt;/distance&gt;
  &lt;/element&gt;
 &lt;/row&gt;
&lt;/DistanceMatrixResponse&gt;
</v>
      </c>
      <c r="AD3" s="1" t="str">
        <f t="shared" ref="AD3:AD32" si="2">_xlfn.WEBSERVICE("https://maps.googleapis.com/maps/api/distancematrix/xml?destinations="&amp;$X3&amp;"%2C"&amp;$Y3&amp;"&amp;origins=49.2838546%2C-123.1196403&amp;key=AIzaSyCHth-wrbaKBruFJQMWpdpeHAtAzdbcKh4")</f>
        <v xml:space="preserve">&lt;?xml version="1.0" encoding="UTF-8"?&gt;
&lt;DistanceMatrixResponse&gt;
 &lt;status&gt;OK&lt;/status&gt;
 &lt;origin_address&gt;1500-885 W Georgia St, Vancouver, BC V6C 3E8, Canada&lt;/origin_address&gt;
 &lt;destination_address&gt;1090 Rue de la Vérendrye, Trois-Rivières, QC G9A 2S8, Canada&lt;/destination_address&gt;
 &lt;row&gt;
  &lt;element&gt;
   &lt;status&gt;OK&lt;/status&gt;
   &lt;duration&gt;
    &lt;value&gt;165843&lt;/value&gt;
    &lt;text&gt;1 day 22 hours&lt;/text&gt;
   &lt;/duration&gt;
   &lt;distance&gt;
    &lt;value&gt;4682381&lt;/value&gt;
    &lt;text&gt;4,682 km&lt;/text&gt;
   &lt;/distance&gt;
  &lt;/element&gt;
 &lt;/row&gt;
&lt;/DistanceMatrixResponse&gt;
</v>
      </c>
      <c r="AE3" s="1" t="str">
        <f t="shared" ref="AE3:AE32" si="3">_xlfn.WEBSERVICE("https://maps.googleapis.com/maps/api/distancematrix/xml?destinations="&amp;$X3&amp;"%2C"&amp;$Y3&amp;"&amp;origins=43.6410825%2C-79.3787196&amp;key=AIzaSyCHth-wrbaKBruFJQMWpdpeHAtAzdbcKh4")</f>
        <v xml:space="preserve">&lt;?xml version="1.0" encoding="UTF-8"?&gt;
&lt;DistanceMatrixResponse&gt;
 &lt;status&gt;OK&lt;/status&gt;
 &lt;origin_address&gt;2500-88 Queens Quay W, Toronto, ON M5J 0B8, Canada&lt;/origin_address&gt;
 &lt;destination_address&gt;1090 Rue de la Vérendrye, Trois-Rivières, QC G9A 2S8, Canada&lt;/destination_address&gt;
 &lt;row&gt;
  &lt;element&gt;
   &lt;status&gt;OK&lt;/status&gt;
   &lt;duration&gt;
    &lt;value&gt;23215&lt;/value&gt;
    &lt;text&gt;6 hours 27 mins&lt;/text&gt;
   &lt;/duration&gt;
   &lt;distance&gt;
    &lt;value&gt;675743&lt;/value&gt;
    &lt;text&gt;676 km&lt;/text&gt;
   &lt;/distance&gt;
  &lt;/element&gt;
 &lt;/row&gt;
&lt;/DistanceMatrixResponse&gt;
</v>
      </c>
      <c r="AF3" s="1" cm="1">
        <f t="array" ref="AF3">_xlfn.FILTERXML(AB3,"//distance/value")/1000</f>
        <v>123.801</v>
      </c>
      <c r="AG3" s="1" cm="1">
        <f t="array" ref="AG3">_xlfn.FILTERXML(AC3,"//distance/value")/1000</f>
        <v>139.41499999999999</v>
      </c>
      <c r="AH3" s="1" cm="1">
        <f t="array" ref="AH3">_xlfn.FILTERXML(AD3,"//distance/value")/1000</f>
        <v>4682.3810000000003</v>
      </c>
      <c r="AI3" s="1" cm="1">
        <f t="array" ref="AI3">_xlfn.FILTERXML(AE3,"//distance/value")/1000</f>
        <v>675.74300000000005</v>
      </c>
      <c r="AJ3" s="1">
        <f t="shared" ref="AJ3:AJ32" si="4">MIN(AF3:AI3)</f>
        <v>123.801</v>
      </c>
      <c r="AK3" s="39" cm="1">
        <f t="array" ref="AK3">_xlfn.FILTERXML(AB3,"//duration/value")/60/60/24</f>
        <v>5.1180555555555556E-2</v>
      </c>
      <c r="AL3" s="39" cm="1">
        <f t="array" ref="AL3">_xlfn.FILTERXML(AC3,"//duration/value")/60/60/24</f>
        <v>6.4490740740740737E-2</v>
      </c>
      <c r="AM3" s="39" cm="1">
        <f t="array" ref="AM3">_xlfn.FILTERXML(AD3,"//duration/value")/60/60/24</f>
        <v>1.9194791666666668</v>
      </c>
      <c r="AN3" s="39" cm="1">
        <f t="array" ref="AN3">_xlfn.FILTERXML(AE3,"//duration/value")/60/60/24</f>
        <v>0.26869212962962963</v>
      </c>
      <c r="AO3" s="4" t="str">
        <f t="shared" ref="AO3:AO32" si="5">REPLACE(_xlfn.XLOOKUP(AJ3,$AF3:$AI3,$AF$1:$AI$1), 1, 9, "")</f>
        <v>Quebec</v>
      </c>
      <c r="AP3" s="4" t="str">
        <f t="shared" ref="AP3:AP32" si="6">REPLACE(_xlfn.XLOOKUP(AQ3,$AK3:$AN3,$AF$1:$AI$1), 1, 9, "")</f>
        <v>Quebec</v>
      </c>
      <c r="AQ3" s="39" cm="1">
        <f t="array" ref="AQ3">_xlfn.FILTERXML(_xlfn.XLOOKUP(AJ3,$AF3:$AI3,AB3:AE3),"//duration/value")/60/60/24</f>
        <v>5.1180555555555556E-2</v>
      </c>
      <c r="AS3" s="1" t="s">
        <v>286</v>
      </c>
      <c r="AT3" s="1" t="s">
        <v>287</v>
      </c>
      <c r="AU3" s="1" t="s">
        <v>288</v>
      </c>
      <c r="AV3" s="1" t="s">
        <v>289</v>
      </c>
      <c r="AW3" s="1">
        <v>123.801</v>
      </c>
      <c r="AX3" s="1">
        <v>139.41499999999999</v>
      </c>
      <c r="AY3" s="1">
        <v>4682.3810000000003</v>
      </c>
      <c r="AZ3" s="1">
        <v>675.74300000000005</v>
      </c>
      <c r="BA3" s="1">
        <v>123.801</v>
      </c>
      <c r="BB3" s="39">
        <v>5.1180555555555556E-2</v>
      </c>
      <c r="BC3" s="39">
        <v>6.4490740740740737E-2</v>
      </c>
      <c r="BD3" s="39">
        <v>1.9194791666666668</v>
      </c>
      <c r="BE3" s="39">
        <v>0.26869212962962963</v>
      </c>
      <c r="BF3" s="4" t="s">
        <v>290</v>
      </c>
      <c r="BG3" s="4" t="s">
        <v>290</v>
      </c>
      <c r="BH3" s="39">
        <v>5.1180555555555556E-2</v>
      </c>
    </row>
    <row r="4" spans="1:60" ht="28.8">
      <c r="A4" s="1" t="s">
        <v>42</v>
      </c>
      <c r="B4" s="1" t="s">
        <v>43</v>
      </c>
      <c r="C4" s="1" t="s">
        <v>44</v>
      </c>
      <c r="D4" s="37">
        <v>44375</v>
      </c>
      <c r="E4" s="37">
        <v>44925</v>
      </c>
      <c r="F4" s="1" t="s">
        <v>36</v>
      </c>
      <c r="G4" s="4">
        <v>401</v>
      </c>
      <c r="H4" s="4">
        <v>274</v>
      </c>
      <c r="I4" s="4">
        <v>165</v>
      </c>
      <c r="J4" s="4" t="s">
        <v>27</v>
      </c>
      <c r="K4" s="38">
        <f>Table1[[#This Row],[Estimated Hours]]*Table1[[#This Row],[Hourly rate]]*1.15</f>
        <v>76089.75</v>
      </c>
      <c r="L4" s="4" t="s">
        <v>45</v>
      </c>
      <c r="M4" s="1" t="s">
        <v>46</v>
      </c>
      <c r="N4" s="4">
        <v>29685238</v>
      </c>
      <c r="O4" s="37">
        <v>44391</v>
      </c>
      <c r="P4" s="1" t="s">
        <v>30</v>
      </c>
      <c r="Q4" s="6" t="s">
        <v>47</v>
      </c>
      <c r="R4" s="1">
        <v>45.610830499999999</v>
      </c>
      <c r="S4" s="1">
        <v>-73.856530699999993</v>
      </c>
      <c r="T4" s="12" t="s">
        <v>48</v>
      </c>
      <c r="U4" s="6" t="s">
        <v>49</v>
      </c>
      <c r="X4" s="1">
        <f>_xlfn.XLOOKUP(Table13[[#This Row],[Project Number]],'Projets Jerome'!$L$2:$L$26,'Projets Jerome'!$AC$2:$AC$26)</f>
        <v>45.610830499999999</v>
      </c>
      <c r="Y4" s="1">
        <f>_xlfn.XLOOKUP(Table13[[#This Row],[Project Number]],'Projets Jerome'!$L$2:$L$26,'Projets Jerome'!$AD$2:$AD$26)</f>
        <v>-73.856530699999993</v>
      </c>
      <c r="AB4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&lt;destination_address&gt;2515 Av. de la Renaissance, Boisbriand, QC J7H 1T9, Canada&lt;/destination_address&gt;
 &lt;row&gt;
  &lt;element&gt;
   &lt;status&gt;OK&lt;/status&gt;
   &lt;duration&gt;
    &lt;value&gt;9373&lt;/value&gt;
    &lt;text&gt;2 hours 36 mins&lt;/text&gt;
   &lt;/duration&gt;
   &lt;distance&gt;
    &lt;value&gt;266892&lt;/value&gt;
    &lt;text&gt;267 km&lt;/text&gt;
   &lt;/distance&gt;
  &lt;/element&gt;
 &lt;/row&gt;
&lt;/DistanceMatrixResponse&gt;
</v>
      </c>
      <c r="AC4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&lt;destination_address&gt;2515 Av. de la Renaissance, Boisbriand, QC J7H 1T9, Canada&lt;/destination_address&gt;
 &lt;row&gt;
  &lt;element&gt;
   &lt;status&gt;OK&lt;/status&gt;
   &lt;duration&gt;
    &lt;value&gt;1827&lt;/value&gt;
    &lt;text&gt;30 mins&lt;/text&gt;
   &lt;/duration&gt;
   &lt;distance&gt;
    &lt;value&gt;27878&lt;/value&gt;
    &lt;text&gt;27.9 km&lt;/text&gt;
   &lt;/distance&gt;
  &lt;/element&gt;
 &lt;/row&gt;
&lt;/DistanceMatrixResponse&gt;
</v>
      </c>
      <c r="AD4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&lt;destination_address&gt;2515 Av. de la Renaissance, Boisbriand, QC J7H 1T9, Canada&lt;/destination_address&gt;
 &lt;row&gt;
  &lt;element&gt;
   &lt;status&gt;OK&lt;/status&gt;
   &lt;duration&gt;
    &lt;value&gt;161252&lt;/value&gt;
    &lt;text&gt;1 day 21 hours&lt;/text&gt;
   &lt;/duration&gt;
   &lt;distance&gt;
    &lt;value&gt;4534697&lt;/value&gt;
    &lt;text&gt;4,535 km&lt;/text&gt;
   &lt;/distance&gt;
  &lt;/element&gt;
 &lt;/row&gt;
&lt;/DistanceMatrixResponse&gt;
</v>
      </c>
      <c r="AE4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&lt;destination_address&gt;2515 Av. de la Renaissance, Boisbriand, QC J7H 1T9, Canada&lt;/destination_address&gt;
 &lt;row&gt;
  &lt;element&gt;
   &lt;status&gt;OK&lt;/status&gt;
   &lt;duration&gt;
    &lt;value&gt;18933&lt;/value&gt;
    &lt;text&gt;5 hours 16 mins&lt;/text&gt;
   &lt;/duration&gt;
   &lt;distance&gt;
    &lt;value&gt;552415&lt;/value&gt;
    &lt;text&gt;552 km&lt;/text&gt;
   &lt;/distance&gt;
  &lt;/element&gt;
 &lt;/row&gt;
&lt;/DistanceMatrixResponse&gt;
</v>
      </c>
      <c r="AF4" s="1" cm="1">
        <f t="array" ref="AF4">_xlfn.FILTERXML(AB4,"//distance/value")/1000</f>
        <v>266.892</v>
      </c>
      <c r="AG4" s="1" cm="1">
        <f t="array" ref="AG4">_xlfn.FILTERXML(AC4,"//distance/value")/1000</f>
        <v>27.878</v>
      </c>
      <c r="AH4" s="1" cm="1">
        <f t="array" ref="AH4">_xlfn.FILTERXML(AD4,"//distance/value")/1000</f>
        <v>4534.6970000000001</v>
      </c>
      <c r="AI4" s="1" cm="1">
        <f t="array" ref="AI4">_xlfn.FILTERXML(AE4,"//distance/value")/1000</f>
        <v>552.41499999999996</v>
      </c>
      <c r="AJ4" s="1">
        <f t="shared" si="4"/>
        <v>27.878</v>
      </c>
      <c r="AK4" s="39" cm="1">
        <f t="array" ref="AK4">_xlfn.FILTERXML(AB4,"//duration/value")/60/60/24</f>
        <v>0.1084837962962963</v>
      </c>
      <c r="AL4" s="39" cm="1">
        <f t="array" ref="AL4">_xlfn.FILTERXML(AC4,"//duration/value")/60/60/24</f>
        <v>2.1145833333333332E-2</v>
      </c>
      <c r="AM4" s="39" cm="1">
        <f t="array" ref="AM4">_xlfn.FILTERXML(AD4,"//duration/value")/60/60/24</f>
        <v>1.8663425925925925</v>
      </c>
      <c r="AN4" s="39" cm="1">
        <f t="array" ref="AN4">_xlfn.FILTERXML(AE4,"//duration/value")/60/60/24</f>
        <v>0.21913194444444448</v>
      </c>
      <c r="AO4" s="4" t="str">
        <f t="shared" si="5"/>
        <v>Montreal</v>
      </c>
      <c r="AP4" s="4" t="str">
        <f t="shared" si="6"/>
        <v>Montreal</v>
      </c>
      <c r="AQ4" s="39" cm="1">
        <f t="array" ref="AQ4">_xlfn.FILTERXML(_xlfn.XLOOKUP(AJ4,$AF4:$AI4,AB4:AE4),"//duration/value")/60/60/24</f>
        <v>2.1145833333333332E-2</v>
      </c>
      <c r="AS4" s="1" t="s">
        <v>291</v>
      </c>
      <c r="AT4" s="1" t="s">
        <v>292</v>
      </c>
      <c r="AU4" s="1" t="s">
        <v>293</v>
      </c>
      <c r="AV4" s="1" t="s">
        <v>294</v>
      </c>
      <c r="AW4" s="1">
        <v>266.892</v>
      </c>
      <c r="AX4" s="1">
        <v>27.878</v>
      </c>
      <c r="AY4" s="1">
        <v>4534.6970000000001</v>
      </c>
      <c r="AZ4" s="1">
        <v>552.41499999999996</v>
      </c>
      <c r="BA4" s="1">
        <v>27.878</v>
      </c>
      <c r="BB4" s="39">
        <v>0.1084837962962963</v>
      </c>
      <c r="BC4" s="39">
        <v>2.1145833333333332E-2</v>
      </c>
      <c r="BD4" s="39">
        <v>1.8663425925925925</v>
      </c>
      <c r="BE4" s="39">
        <v>0.21913194444444448</v>
      </c>
      <c r="BF4" s="4" t="s">
        <v>285</v>
      </c>
      <c r="BG4" s="4" t="s">
        <v>285</v>
      </c>
      <c r="BH4" s="39">
        <v>2.1145833333333332E-2</v>
      </c>
    </row>
    <row r="5" spans="1:60" ht="28.8">
      <c r="A5" s="1" t="s">
        <v>42</v>
      </c>
      <c r="B5" s="1" t="s">
        <v>50</v>
      </c>
      <c r="C5" s="1" t="s">
        <v>51</v>
      </c>
      <c r="D5" s="37">
        <v>44392</v>
      </c>
      <c r="E5" s="37">
        <v>44925</v>
      </c>
      <c r="F5" s="1" t="s">
        <v>36</v>
      </c>
      <c r="G5" s="4">
        <v>781</v>
      </c>
      <c r="H5" s="4">
        <v>759.25</v>
      </c>
      <c r="I5" s="4">
        <v>165</v>
      </c>
      <c r="J5" s="4" t="s">
        <v>27</v>
      </c>
      <c r="K5" s="38">
        <f>Table1[[#This Row],[Estimated Hours]]*Table1[[#This Row],[Hourly rate]]*1.15</f>
        <v>148194.75</v>
      </c>
      <c r="L5" s="4" t="s">
        <v>52</v>
      </c>
      <c r="M5" s="1" t="s">
        <v>53</v>
      </c>
      <c r="N5" s="4">
        <v>29684798</v>
      </c>
      <c r="O5" s="37">
        <v>44392</v>
      </c>
      <c r="P5" s="1" t="s">
        <v>30</v>
      </c>
      <c r="Q5" s="6" t="s">
        <v>54</v>
      </c>
      <c r="R5" s="1">
        <v>50.473944199999998</v>
      </c>
      <c r="S5" s="1">
        <v>-104.70972999999999</v>
      </c>
      <c r="T5" s="12" t="s">
        <v>55</v>
      </c>
      <c r="U5" s="6" t="s">
        <v>56</v>
      </c>
      <c r="X5" s="1">
        <f>_xlfn.XLOOKUP(Table13[[#This Row],[Project Number]],'Projets Jerome'!$L$2:$L$26,'Projets Jerome'!$AC$2:$AC$26)</f>
        <v>50.473944199999998</v>
      </c>
      <c r="Y5" s="1">
        <f>_xlfn.XLOOKUP(Table13[[#This Row],[Project Number]],'Projets Jerome'!$L$2:$L$26,'Projets Jerome'!$AD$2:$AD$26)</f>
        <v>-104.70972999999999</v>
      </c>
      <c r="AB5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&lt;destination_address&gt;18 Pinkie Rd, Pense, SK S0G 3W0, Canada&lt;/destination_address&gt;
 &lt;row&gt;
  &lt;element&gt;
   &lt;status&gt;OK&lt;/status&gt;
   &lt;duration&gt;
    &lt;value&gt;115198&lt;/value&gt;
    &lt;text&gt;1 day 8 hours&lt;/text&gt;
   &lt;/duration&gt;
   &lt;distance&gt;
    &lt;value&gt;3090790&lt;/value&gt;
    &lt;text&gt;3,091 km&lt;/text&gt;
   &lt;/distance&gt;
  &lt;/element&gt;
 &lt;/row&gt;
&lt;/DistanceMatrixResponse&gt;
</v>
      </c>
      <c r="AC5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&lt;destination_address&gt;18 Pinkie Rd, Pense, SK S0G 3W0, Canada&lt;/destination_address&gt;
 &lt;row&gt;
  &lt;element&gt;
   &lt;status&gt;OK&lt;/status&gt;
   &lt;duration&gt;
    &lt;value&gt;107589&lt;/value&gt;
    &lt;text&gt;1 day 6 hours&lt;/text&gt;
   &lt;/duration&gt;
   &lt;distance&gt;
    &lt;value&gt;2851629&lt;/value&gt;
    &lt;text&gt;2,852 km&lt;/text&gt;
   &lt;/distance&gt;
  &lt;/element&gt;
 &lt;/row&gt;
&lt;/DistanceMatrixResponse&gt;
</v>
      </c>
      <c r="AD5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&lt;destination_address&gt;18 Pinkie Rd, Pense, SK S0G 3W0, Canada&lt;/destination_address&gt;
 &lt;row&gt;
  &lt;element&gt;
   &lt;status&gt;OK&lt;/status&gt;
   &lt;duration&gt;
    &lt;value&gt;62908&lt;/value&gt;
    &lt;text&gt;17 hours 28 mins&lt;/text&gt;
   &lt;/duration&gt;
   &lt;distance&gt;
    &lt;value&gt;1722548&lt;/value&gt;
    &lt;text&gt;1,723 km&lt;/text&gt;
   &lt;/distance&gt;
  &lt;/element&gt;
 &lt;/row&gt;
&lt;/DistanceMatrixResponse&gt;
</v>
      </c>
      <c r="AE5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&lt;destination_address&gt;18 Pinkie Rd, Pense, SK S0G 3W0, Canada&lt;/destination_address&gt;
 &lt;row&gt;
  &lt;element&gt;
   &lt;status&gt;OK&lt;/status&gt;
   &lt;duration&gt;
    &lt;value&gt;91340&lt;/value&gt;
    &lt;text&gt;1 day 1 hour&lt;/text&gt;
   &lt;/duration&gt;
   &lt;distance&gt;
    &lt;value&gt;2694415&lt;/value&gt;
    &lt;text&gt;2,694 km&lt;/text&gt;
   &lt;/distance&gt;
  &lt;/element&gt;
 &lt;/row&gt;
&lt;/DistanceMatrixResponse&gt;
</v>
      </c>
      <c r="AF5" s="1" cm="1">
        <f t="array" ref="AF5">_xlfn.FILTERXML(AB5,"//distance/value")/1000</f>
        <v>3090.79</v>
      </c>
      <c r="AG5" s="1" cm="1">
        <f t="array" ref="AG5">_xlfn.FILTERXML(AC5,"//distance/value")/1000</f>
        <v>2851.6289999999999</v>
      </c>
      <c r="AH5" s="1" cm="1">
        <f t="array" ref="AH5">_xlfn.FILTERXML(AD5,"//distance/value")/1000</f>
        <v>1722.548</v>
      </c>
      <c r="AI5" s="1" cm="1">
        <f t="array" ref="AI5">_xlfn.FILTERXML(AE5,"//distance/value")/1000</f>
        <v>2694.415</v>
      </c>
      <c r="AJ5" s="1">
        <f t="shared" si="4"/>
        <v>1722.548</v>
      </c>
      <c r="AK5" s="39" cm="1">
        <f t="array" ref="AK5">_xlfn.FILTERXML(AB5,"//duration/value")/60/60/24</f>
        <v>1.3333101851851852</v>
      </c>
      <c r="AL5" s="39" cm="1">
        <f t="array" ref="AL5">_xlfn.FILTERXML(AC5,"//duration/value")/60/60/24</f>
        <v>1.2452430555555556</v>
      </c>
      <c r="AM5" s="39" cm="1">
        <f t="array" ref="AM5">_xlfn.FILTERXML(AD5,"//duration/value")/60/60/24</f>
        <v>0.72810185185185183</v>
      </c>
      <c r="AN5" s="39" cm="1">
        <f t="array" ref="AN5">_xlfn.FILTERXML(AE5,"//duration/value")/60/60/24</f>
        <v>1.0571759259259259</v>
      </c>
      <c r="AO5" s="4" t="str">
        <f t="shared" si="5"/>
        <v>BC</v>
      </c>
      <c r="AP5" s="4" t="str">
        <f t="shared" si="6"/>
        <v>BC</v>
      </c>
      <c r="AQ5" s="39" cm="1">
        <f t="array" ref="AQ5">_xlfn.FILTERXML(_xlfn.XLOOKUP(AJ5,$AF5:$AI5,AB5:AE5),"//duration/value")/60/60/24</f>
        <v>0.72810185185185183</v>
      </c>
      <c r="AS5" s="1" t="s">
        <v>295</v>
      </c>
      <c r="AT5" s="1" t="s">
        <v>296</v>
      </c>
      <c r="AU5" s="1" t="s">
        <v>297</v>
      </c>
      <c r="AV5" s="1" t="s">
        <v>298</v>
      </c>
      <c r="AW5" s="1">
        <v>3090.79</v>
      </c>
      <c r="AX5" s="1">
        <v>2851.6289999999999</v>
      </c>
      <c r="AY5" s="1">
        <v>1722.548</v>
      </c>
      <c r="AZ5" s="1">
        <v>2694.415</v>
      </c>
      <c r="BA5" s="1">
        <v>1722.548</v>
      </c>
      <c r="BB5" s="39">
        <v>1.3333101851851852</v>
      </c>
      <c r="BC5" s="39">
        <v>1.2452430555555556</v>
      </c>
      <c r="BD5" s="39">
        <v>0.72810185185185183</v>
      </c>
      <c r="BE5" s="39">
        <v>1.0571759259259259</v>
      </c>
      <c r="BF5" s="4" t="s">
        <v>248</v>
      </c>
      <c r="BG5" s="4" t="s">
        <v>248</v>
      </c>
      <c r="BH5" s="39">
        <v>0.72810185185185183</v>
      </c>
    </row>
    <row r="6" spans="1:60" ht="28.8">
      <c r="A6" s="1" t="s">
        <v>42</v>
      </c>
      <c r="B6" s="1" t="s">
        <v>57</v>
      </c>
      <c r="C6" s="1" t="s">
        <v>58</v>
      </c>
      <c r="D6" s="37">
        <v>44409</v>
      </c>
      <c r="E6" s="37">
        <v>44926</v>
      </c>
      <c r="F6" s="1" t="s">
        <v>36</v>
      </c>
      <c r="G6" s="4">
        <v>202</v>
      </c>
      <c r="H6" s="4">
        <v>76.75</v>
      </c>
      <c r="I6" s="4">
        <v>150</v>
      </c>
      <c r="J6" s="4" t="s">
        <v>27</v>
      </c>
      <c r="K6" s="38">
        <f>Table1[[#This Row],[Estimated Hours]]*Table1[[#This Row],[Hourly rate]]*1.15</f>
        <v>34845</v>
      </c>
      <c r="L6" s="4" t="s">
        <v>59</v>
      </c>
      <c r="M6" s="1" t="s">
        <v>60</v>
      </c>
      <c r="N6" s="4">
        <v>29684804</v>
      </c>
      <c r="O6" s="37">
        <v>44412</v>
      </c>
      <c r="P6" s="1" t="s">
        <v>61</v>
      </c>
      <c r="Q6" s="6" t="s">
        <v>62</v>
      </c>
      <c r="R6" s="1">
        <v>45.597503199999998</v>
      </c>
      <c r="S6" s="1">
        <v>-73.216579800000005</v>
      </c>
      <c r="T6" s="12" t="s">
        <v>63</v>
      </c>
      <c r="U6" s="6" t="s">
        <v>64</v>
      </c>
      <c r="X6" s="1">
        <f>_xlfn.XLOOKUP(Table13[[#This Row],[Project Number]],'Projets Jerome'!$L$2:$L$26,'Projets Jerome'!$AC$2:$AC$26)</f>
        <v>45.597503199999998</v>
      </c>
      <c r="Y6" s="1">
        <f>_xlfn.XLOOKUP(Table13[[#This Row],[Project Number]],'Projets Jerome'!$L$2:$L$26,'Projets Jerome'!$AD$2:$AD$26)</f>
        <v>-73.216579800000005</v>
      </c>
      <c r="AB6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&lt;destination_address&gt;1101b Rue Joseph Parent, Beloeil, QC J3G 6S4, Canada&lt;/destination_address&gt;
 &lt;row&gt;
  &lt;element&gt;
   &lt;status&gt;OK&lt;/status&gt;
   &lt;duration&gt;
    &lt;value&gt;7324&lt;/value&gt;
    &lt;text&gt;2 hours 2 mins&lt;/text&gt;
   &lt;/duration&gt;
   &lt;distance&gt;
    &lt;value&gt;208306&lt;/value&gt;
    &lt;text&gt;208 km&lt;/text&gt;
   &lt;/distance&gt;
  &lt;/element&gt;
 &lt;/row&gt;
&lt;/DistanceMatrixResponse&gt;
</v>
      </c>
      <c r="AC6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&lt;destination_address&gt;1101b Rue Joseph Parent, Beloeil, QC J3G 6S4, Canada&lt;/destination_address&gt;
 &lt;row&gt;
  &lt;element&gt;
   &lt;status&gt;OK&lt;/status&gt;
   &lt;duration&gt;
    &lt;value&gt;2715&lt;/value&gt;
    &lt;text&gt;45 mins&lt;/text&gt;
   &lt;/duration&gt;
   &lt;distance&gt;
    &lt;value&gt;40302&lt;/value&gt;
    &lt;text&gt;40.3 km&lt;/text&gt;
   &lt;/distance&gt;
  &lt;/element&gt;
 &lt;/row&gt;
&lt;/DistanceMatrixResponse&gt;
</v>
      </c>
      <c r="AD6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&lt;destination_address&gt;1101b Rue Joseph Parent, Beloeil, QC J3G 6S4, Canada&lt;/destination_address&gt;
 &lt;row&gt;
  &lt;element&gt;
   &lt;status&gt;OK&lt;/status&gt;
   &lt;duration&gt;
    &lt;value&gt;162940&lt;/value&gt;
    &lt;text&gt;1 day 21 hours&lt;/text&gt;
   &lt;/duration&gt;
   &lt;distance&gt;
    &lt;value&gt;4588033&lt;/value&gt;
    &lt;text&gt;4,588 km&lt;/text&gt;
   &lt;/distance&gt;
  &lt;/element&gt;
 &lt;/row&gt;
&lt;/DistanceMatrixResponse&gt;
</v>
      </c>
      <c r="AE6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&lt;destination_address&gt;1101b Rue Joseph Parent, Beloeil, QC J3G 6S4, Canada&lt;/destination_address&gt;
 &lt;row&gt;
  &lt;element&gt;
   &lt;status&gt;OK&lt;/status&gt;
   &lt;duration&gt;
    &lt;value&gt;20128&lt;/value&gt;
    &lt;text&gt;5 hours 35 mins&lt;/text&gt;
   &lt;/duration&gt;
   &lt;distance&gt;
    &lt;value&gt;590046&lt;/value&gt;
    &lt;text&gt;590 km&lt;/text&gt;
   &lt;/distance&gt;
  &lt;/element&gt;
 &lt;/row&gt;
&lt;/DistanceMatrixResponse&gt;
</v>
      </c>
      <c r="AF6" s="1" cm="1">
        <f t="array" ref="AF6">_xlfn.FILTERXML(AB6,"//distance/value")/1000</f>
        <v>208.30600000000001</v>
      </c>
      <c r="AG6" s="1" cm="1">
        <f t="array" ref="AG6">_xlfn.FILTERXML(AC6,"//distance/value")/1000</f>
        <v>40.302</v>
      </c>
      <c r="AH6" s="1" cm="1">
        <f t="array" ref="AH6">_xlfn.FILTERXML(AD6,"//distance/value")/1000</f>
        <v>4588.0330000000004</v>
      </c>
      <c r="AI6" s="1" cm="1">
        <f t="array" ref="AI6">_xlfn.FILTERXML(AE6,"//distance/value")/1000</f>
        <v>590.04600000000005</v>
      </c>
      <c r="AJ6" s="1">
        <f t="shared" si="4"/>
        <v>40.302</v>
      </c>
      <c r="AK6" s="39" cm="1">
        <f t="array" ref="AK6">_xlfn.FILTERXML(AB6,"//duration/value")/60/60/24</f>
        <v>8.4768518518518521E-2</v>
      </c>
      <c r="AL6" s="39" cm="1">
        <f t="array" ref="AL6">_xlfn.FILTERXML(AC6,"//duration/value")/60/60/24</f>
        <v>3.142361111111111E-2</v>
      </c>
      <c r="AM6" s="39" cm="1">
        <f t="array" ref="AM6">_xlfn.FILTERXML(AD6,"//duration/value")/60/60/24</f>
        <v>1.8858796296296294</v>
      </c>
      <c r="AN6" s="39" cm="1">
        <f t="array" ref="AN6">_xlfn.FILTERXML(AE6,"//duration/value")/60/60/24</f>
        <v>0.23296296296296293</v>
      </c>
      <c r="AO6" s="4" t="str">
        <f t="shared" si="5"/>
        <v>Montreal</v>
      </c>
      <c r="AP6" s="4" t="str">
        <f t="shared" si="6"/>
        <v>Montreal</v>
      </c>
      <c r="AQ6" s="39" cm="1">
        <f t="array" ref="AQ6">_xlfn.FILTERXML(_xlfn.XLOOKUP(AJ6,$AF6:$AI6,AB6:AE6),"//duration/value")/60/60/24</f>
        <v>3.142361111111111E-2</v>
      </c>
      <c r="AS6" s="1" t="s">
        <v>299</v>
      </c>
      <c r="AT6" s="1" t="s">
        <v>300</v>
      </c>
      <c r="AU6" s="1" t="s">
        <v>301</v>
      </c>
      <c r="AV6" s="1" t="s">
        <v>302</v>
      </c>
      <c r="AW6" s="1">
        <v>208.30600000000001</v>
      </c>
      <c r="AX6" s="1">
        <v>40.302</v>
      </c>
      <c r="AY6" s="1">
        <v>4588.0330000000004</v>
      </c>
      <c r="AZ6" s="1">
        <v>590.04600000000005</v>
      </c>
      <c r="BA6" s="1">
        <v>40.302</v>
      </c>
      <c r="BB6" s="39">
        <v>8.4768518518518521E-2</v>
      </c>
      <c r="BC6" s="39">
        <v>3.142361111111111E-2</v>
      </c>
      <c r="BD6" s="39">
        <v>1.8858796296296294</v>
      </c>
      <c r="BE6" s="39">
        <v>0.23296296296296293</v>
      </c>
      <c r="BF6" s="4" t="s">
        <v>285</v>
      </c>
      <c r="BG6" s="4" t="s">
        <v>285</v>
      </c>
      <c r="BH6" s="39">
        <v>3.142361111111111E-2</v>
      </c>
    </row>
    <row r="7" spans="1:60" ht="28.8">
      <c r="A7" s="1" t="s">
        <v>42</v>
      </c>
      <c r="B7" s="1" t="s">
        <v>57</v>
      </c>
      <c r="C7" s="1" t="s">
        <v>65</v>
      </c>
      <c r="D7" s="37">
        <v>44440</v>
      </c>
      <c r="E7" s="37">
        <v>44925</v>
      </c>
      <c r="F7" s="1" t="s">
        <v>26</v>
      </c>
      <c r="G7" s="4">
        <v>200</v>
      </c>
      <c r="H7" s="4">
        <v>103.25</v>
      </c>
      <c r="I7" s="4">
        <v>155</v>
      </c>
      <c r="J7" s="4" t="s">
        <v>27</v>
      </c>
      <c r="K7" s="38">
        <f>Table1[[#This Row],[Estimated Hours]]*Table1[[#This Row],[Hourly rate]]*1.15</f>
        <v>35650</v>
      </c>
      <c r="L7" s="4" t="s">
        <v>66</v>
      </c>
      <c r="M7" s="1" t="s">
        <v>67</v>
      </c>
      <c r="N7" s="4">
        <v>29684829</v>
      </c>
      <c r="O7" s="37">
        <v>44461</v>
      </c>
      <c r="P7" s="1" t="s">
        <v>61</v>
      </c>
      <c r="Q7" s="6" t="s">
        <v>68</v>
      </c>
      <c r="R7" s="1">
        <v>45.533356400000002</v>
      </c>
      <c r="S7" s="1">
        <v>-73.662945699999995</v>
      </c>
      <c r="T7" s="12" t="s">
        <v>69</v>
      </c>
      <c r="U7" s="6" t="s">
        <v>70</v>
      </c>
      <c r="X7" s="1">
        <f>_xlfn.XLOOKUP(Table13[[#This Row],[Project Number]],'Projets Jerome'!$L$2:$L$26,'Projets Jerome'!$AC$2:$AC$26)</f>
        <v>45.533356400000002</v>
      </c>
      <c r="Y7" s="1">
        <f>_xlfn.XLOOKUP(Table13[[#This Row],[Project Number]],'Projets Jerome'!$L$2:$L$26,'Projets Jerome'!$AD$2:$AD$26)</f>
        <v>-73.662945699999995</v>
      </c>
      <c r="AB7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&lt;destination_address&gt;1375 Rue de Louvain O, Montréal, QC H4N 1G6, Canada&lt;/destination_address&gt;
 &lt;row&gt;
  &lt;element&gt;
   &lt;status&gt;OK&lt;/status&gt;
   &lt;duration&gt;
    &lt;value&gt;9191&lt;/value&gt;
    &lt;text&gt;2 hours 33 mins&lt;/text&gt;
   &lt;/duration&gt;
   &lt;distance&gt;
    &lt;value&gt;248018&lt;/value&gt;
    &lt;text&gt;248 km&lt;/text&gt;
   &lt;/distance&gt;
  &lt;/element&gt;
 &lt;/row&gt;
&lt;/DistanceMatrixResponse&gt;
</v>
      </c>
      <c r="AC7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&lt;destination_address&gt;1375 Rue de Louvain O, Montréal, QC H4N 1G6, Canada&lt;/destination_address&gt;
 &lt;row&gt;
  &lt;element&gt;
   &lt;status&gt;OK&lt;/status&gt;
   &lt;duration&gt;
    &lt;value&gt;1019&lt;/value&gt;
    &lt;text&gt;17 mins&lt;/text&gt;
   &lt;/duration&gt;
   &lt;distance&gt;
    &lt;value&gt;5666&lt;/value&gt;
    &lt;text&gt;5.7 km&lt;/text&gt;
   &lt;/distance&gt;
  &lt;/element&gt;
 &lt;/row&gt;
&lt;/DistanceMatrixResponse&gt;
</v>
      </c>
      <c r="AD7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&lt;destination_address&gt;1375 Rue de Louvain O, Montréal, QC H4N 1G6, Canada&lt;/destination_address&gt;
 &lt;row&gt;
  &lt;element&gt;
   &lt;status&gt;OK&lt;/status&gt;
   &lt;duration&gt;
    &lt;value&gt;161285&lt;/value&gt;
    &lt;text&gt;1 day 21 hours&lt;/text&gt;
   &lt;/duration&gt;
   &lt;distance&gt;
    &lt;value&gt;4549979&lt;/value&gt;
    &lt;text&gt;4,550 km&lt;/text&gt;
   &lt;/distance&gt;
  &lt;/element&gt;
 &lt;/row&gt;
&lt;/DistanceMatrixResponse&gt;
</v>
      </c>
      <c r="AE7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&lt;destination_address&gt;1375 Rue de Louvain O, Montréal, QC H4N 1G6, Canada&lt;/destination_address&gt;
 &lt;row&gt;
  &lt;element&gt;
   &lt;status&gt;OK&lt;/status&gt;
   &lt;duration&gt;
    &lt;value&gt;18657&lt;/value&gt;
    &lt;text&gt;5 hours 11 mins&lt;/text&gt;
   &lt;/duration&gt;
   &lt;distance&gt;
    &lt;value&gt;543341&lt;/value&gt;
    &lt;text&gt;543 km&lt;/text&gt;
   &lt;/distance&gt;
  &lt;/element&gt;
 &lt;/row&gt;
&lt;/DistanceMatrixResponse&gt;
</v>
      </c>
      <c r="AF7" s="1" cm="1">
        <f t="array" ref="AF7">_xlfn.FILTERXML(AB7,"//distance/value")/1000</f>
        <v>248.018</v>
      </c>
      <c r="AG7" s="1" cm="1">
        <f t="array" ref="AG7">_xlfn.FILTERXML(AC7,"//distance/value")/1000</f>
        <v>5.6660000000000004</v>
      </c>
      <c r="AH7" s="1" cm="1">
        <f t="array" ref="AH7">_xlfn.FILTERXML(AD7,"//distance/value")/1000</f>
        <v>4549.9790000000003</v>
      </c>
      <c r="AI7" s="1" cm="1">
        <f t="array" ref="AI7">_xlfn.FILTERXML(AE7,"//distance/value")/1000</f>
        <v>543.34100000000001</v>
      </c>
      <c r="AJ7" s="1">
        <f t="shared" si="4"/>
        <v>5.6660000000000004</v>
      </c>
      <c r="AK7" s="39" cm="1">
        <f t="array" ref="AK7">_xlfn.FILTERXML(AB7,"//duration/value")/60/60/24</f>
        <v>0.10637731481481481</v>
      </c>
      <c r="AL7" s="39" cm="1">
        <f t="array" ref="AL7">_xlfn.FILTERXML(AC7,"//duration/value")/60/60/24</f>
        <v>1.1793981481481482E-2</v>
      </c>
      <c r="AM7" s="39" cm="1">
        <f t="array" ref="AM7">_xlfn.FILTERXML(AD7,"//duration/value")/60/60/24</f>
        <v>1.8667245370370373</v>
      </c>
      <c r="AN7" s="39" cm="1">
        <f t="array" ref="AN7">_xlfn.FILTERXML(AE7,"//duration/value")/60/60/24</f>
        <v>0.2159375</v>
      </c>
      <c r="AO7" s="4" t="str">
        <f t="shared" si="5"/>
        <v>Montreal</v>
      </c>
      <c r="AP7" s="4" t="str">
        <f t="shared" si="6"/>
        <v>Montreal</v>
      </c>
      <c r="AQ7" s="39" cm="1">
        <f t="array" ref="AQ7">_xlfn.FILTERXML(_xlfn.XLOOKUP(AJ7,$AF7:$AI7,AB7:AE7),"//duration/value")/60/60/24</f>
        <v>1.1793981481481482E-2</v>
      </c>
      <c r="AS7" s="1" t="s">
        <v>303</v>
      </c>
      <c r="AT7" s="1" t="s">
        <v>304</v>
      </c>
      <c r="AU7" s="1" t="s">
        <v>305</v>
      </c>
      <c r="AV7" s="1" t="s">
        <v>306</v>
      </c>
      <c r="AW7" s="1">
        <v>248.018</v>
      </c>
      <c r="AX7" s="1">
        <v>5.6660000000000004</v>
      </c>
      <c r="AY7" s="1">
        <v>4549.9790000000003</v>
      </c>
      <c r="AZ7" s="1">
        <v>543.34100000000001</v>
      </c>
      <c r="BA7" s="1">
        <v>5.6660000000000004</v>
      </c>
      <c r="BB7" s="39">
        <v>0.10637731481481481</v>
      </c>
      <c r="BC7" s="39">
        <v>1.1793981481481482E-2</v>
      </c>
      <c r="BD7" s="39">
        <v>1.8667245370370373</v>
      </c>
      <c r="BE7" s="39">
        <v>0.2159375</v>
      </c>
      <c r="BF7" s="4" t="s">
        <v>285</v>
      </c>
      <c r="BG7" s="4" t="s">
        <v>285</v>
      </c>
      <c r="BH7" s="39">
        <v>1.1793981481481482E-2</v>
      </c>
    </row>
    <row r="8" spans="1:60">
      <c r="A8" s="1" t="s">
        <v>42</v>
      </c>
      <c r="B8" s="1" t="s">
        <v>71</v>
      </c>
      <c r="C8" s="1" t="s">
        <v>72</v>
      </c>
      <c r="D8" s="37">
        <v>44519</v>
      </c>
      <c r="E8" s="37">
        <v>44925</v>
      </c>
      <c r="F8" s="1" t="s">
        <v>36</v>
      </c>
      <c r="G8" s="4">
        <v>212</v>
      </c>
      <c r="H8" s="4">
        <v>214.75</v>
      </c>
      <c r="I8" s="4">
        <v>195</v>
      </c>
      <c r="J8" s="4" t="s">
        <v>27</v>
      </c>
      <c r="K8" s="38">
        <f>Table1[[#This Row],[Estimated Hours]]*Table1[[#This Row],[Hourly rate]]*1.15</f>
        <v>47540.999999999993</v>
      </c>
      <c r="L8" s="4" t="s">
        <v>73</v>
      </c>
      <c r="M8" s="1" t="s">
        <v>74</v>
      </c>
      <c r="N8" s="4">
        <v>29684853</v>
      </c>
      <c r="O8" s="37">
        <v>44519</v>
      </c>
      <c r="P8" s="1" t="s">
        <v>30</v>
      </c>
      <c r="Q8" s="6" t="s">
        <v>75</v>
      </c>
      <c r="R8" s="1">
        <v>43.178300999999998</v>
      </c>
      <c r="S8" s="1">
        <v>-80.241827799999996</v>
      </c>
      <c r="T8" s="1" t="s">
        <v>76</v>
      </c>
      <c r="U8" s="6" t="s">
        <v>77</v>
      </c>
      <c r="X8" s="1">
        <f>_xlfn.XLOOKUP(Table13[[#This Row],[Project Number]],'Projets Jerome'!$L$2:$L$26,'Projets Jerome'!$AC$2:$AC$26)</f>
        <v>43.178300999999998</v>
      </c>
      <c r="Y8" s="1">
        <f>_xlfn.XLOOKUP(Table13[[#This Row],[Project Number]],'Projets Jerome'!$L$2:$L$26,'Projets Jerome'!$AD$2:$AD$26)</f>
        <v>-80.241827799999996</v>
      </c>
      <c r="AB8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&lt;destination_address&gt;84 Easton Rd, Brantford, ON N3P 1J5, Canada&lt;/destination_address&gt;
 &lt;row&gt;
  &lt;element&gt;
   &lt;status&gt;OK&lt;/status&gt;
   &lt;duration&gt;
    &lt;value&gt;30514&lt;/value&gt;
    &lt;text&gt;8 hours 29 mins&lt;/text&gt;
   &lt;/duration&gt;
   &lt;distance&gt;
    &lt;value&gt;893513&lt;/value&gt;
    &lt;text&gt;894 km&lt;/text&gt;
   &lt;/distance&gt;
  &lt;/element&gt;
 &lt;/row&gt;
&lt;/DistanceMatrixResponse&gt;
</v>
      </c>
      <c r="AC8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&lt;destination_address&gt;84 Easton Rd, Brantford, ON N3P 1J5, Canada&lt;/destination_address&gt;
 &lt;row&gt;
  &lt;element&gt;
   &lt;status&gt;OK&lt;/status&gt;
   &lt;duration&gt;
    &lt;value&gt;22410&lt;/value&gt;
    &lt;text&gt;6 hours 14 mins&lt;/text&gt;
   &lt;/duration&gt;
   &lt;distance&gt;
    &lt;value&gt;641493&lt;/value&gt;
    &lt;text&gt;641 km&lt;/text&gt;
   &lt;/distance&gt;
  &lt;/element&gt;
 &lt;/row&gt;
&lt;/DistanceMatrixResponse&gt;
</v>
      </c>
      <c r="AD8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&lt;destination_address&gt;84 Easton Rd, Brantford, ON N3P 1J5, Canada&lt;/destination_address&gt;
 &lt;row&gt;
  &lt;element&gt;
   &lt;status&gt;OK&lt;/status&gt;
   &lt;duration&gt;
    &lt;value&gt;141045&lt;/value&gt;
    &lt;text&gt;1 day 15 hours&lt;/text&gt;
   &lt;/duration&gt;
   &lt;distance&gt;
    &lt;value&gt;4286307&lt;/value&gt;
    &lt;text&gt;4,286 km&lt;/text&gt;
   &lt;/distance&gt;
  &lt;/element&gt;
 &lt;/row&gt;
&lt;/DistanceMatrixResponse&gt;
</v>
      </c>
      <c r="AE8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&lt;destination_address&gt;84 Easton Rd, Brantford, ON N3P 1J5, Canada&lt;/destination_address&gt;
 &lt;row&gt;
  &lt;element&gt;
   &lt;status&gt;OK&lt;/status&gt;
   &lt;duration&gt;
    &lt;value&gt;3747&lt;/value&gt;
    &lt;text&gt;1 hour 2 mins&lt;/text&gt;
   &lt;/duration&gt;
   &lt;distance&gt;
    &lt;value&gt;97995&lt;/value&gt;
    &lt;text&gt;98.0 km&lt;/text&gt;
   &lt;/distance&gt;
  &lt;/element&gt;
 &lt;/row&gt;
&lt;/DistanceMatrixResponse&gt;
</v>
      </c>
      <c r="AF8" s="1" cm="1">
        <f t="array" ref="AF8">_xlfn.FILTERXML(AB8,"//distance/value")/1000</f>
        <v>893.51300000000003</v>
      </c>
      <c r="AG8" s="1" cm="1">
        <f t="array" ref="AG8">_xlfn.FILTERXML(AC8,"//distance/value")/1000</f>
        <v>641.49300000000005</v>
      </c>
      <c r="AH8" s="1" cm="1">
        <f t="array" ref="AH8">_xlfn.FILTERXML(AD8,"//distance/value")/1000</f>
        <v>4286.3069999999998</v>
      </c>
      <c r="AI8" s="1" cm="1">
        <f t="array" ref="AI8">_xlfn.FILTERXML(AE8,"//distance/value")/1000</f>
        <v>97.995000000000005</v>
      </c>
      <c r="AJ8" s="1">
        <f t="shared" si="4"/>
        <v>97.995000000000005</v>
      </c>
      <c r="AK8" s="39" cm="1">
        <f t="array" ref="AK8">_xlfn.FILTERXML(AB8,"//duration/value")/60/60/24</f>
        <v>0.35317129629629629</v>
      </c>
      <c r="AL8" s="39" cm="1">
        <f t="array" ref="AL8">_xlfn.FILTERXML(AC8,"//duration/value")/60/60/24</f>
        <v>0.25937499999999997</v>
      </c>
      <c r="AM8" s="39" cm="1">
        <f t="array" ref="AM8">_xlfn.FILTERXML(AD8,"//duration/value")/60/60/24</f>
        <v>1.6324652777777777</v>
      </c>
      <c r="AN8" s="39" cm="1">
        <f t="array" ref="AN8">_xlfn.FILTERXML(AE8,"//duration/value")/60/60/24</f>
        <v>4.3368055555555556E-2</v>
      </c>
      <c r="AO8" s="4" t="str">
        <f t="shared" si="5"/>
        <v>ON</v>
      </c>
      <c r="AP8" s="4" t="str">
        <f t="shared" si="6"/>
        <v>ON</v>
      </c>
      <c r="AQ8" s="39" cm="1">
        <f t="array" ref="AQ8">_xlfn.FILTERXML(_xlfn.XLOOKUP(AJ8,$AF8:$AI8,AB8:AE8),"//duration/value")/60/60/24</f>
        <v>4.3368055555555556E-2</v>
      </c>
      <c r="AS8" s="1" t="s">
        <v>307</v>
      </c>
      <c r="AT8" s="1" t="s">
        <v>308</v>
      </c>
      <c r="AU8" s="1" t="s">
        <v>309</v>
      </c>
      <c r="AV8" s="1" t="s">
        <v>310</v>
      </c>
      <c r="AW8" s="1">
        <v>893.51300000000003</v>
      </c>
      <c r="AX8" s="1">
        <v>641.49300000000005</v>
      </c>
      <c r="AY8" s="1">
        <v>4286.3069999999998</v>
      </c>
      <c r="AZ8" s="1">
        <v>97.995000000000005</v>
      </c>
      <c r="BA8" s="1">
        <v>97.995000000000005</v>
      </c>
      <c r="BB8" s="39">
        <v>0.35317129629629629</v>
      </c>
      <c r="BC8" s="39">
        <v>0.25937499999999997</v>
      </c>
      <c r="BD8" s="39">
        <v>1.6324652777777777</v>
      </c>
      <c r="BE8" s="39">
        <v>4.3368055555555556E-2</v>
      </c>
      <c r="BF8" s="4" t="s">
        <v>249</v>
      </c>
      <c r="BG8" s="4" t="s">
        <v>249</v>
      </c>
      <c r="BH8" s="39">
        <v>4.3368055555555556E-2</v>
      </c>
    </row>
    <row r="9" spans="1:60">
      <c r="A9" s="1" t="s">
        <v>42</v>
      </c>
      <c r="B9" s="1" t="s">
        <v>78</v>
      </c>
      <c r="C9" s="1" t="s">
        <v>79</v>
      </c>
      <c r="D9" s="37">
        <v>44531</v>
      </c>
      <c r="E9" s="37">
        <v>44926</v>
      </c>
      <c r="F9" s="1" t="s">
        <v>226</v>
      </c>
      <c r="G9" s="4">
        <v>40</v>
      </c>
      <c r="H9" s="4">
        <v>46.5</v>
      </c>
      <c r="I9" s="4">
        <v>160</v>
      </c>
      <c r="J9" s="4" t="s">
        <v>27</v>
      </c>
      <c r="K9" s="38">
        <f>Table1[[#This Row],[Estimated Hours]]*Table1[[#This Row],[Hourly rate]]*1.15</f>
        <v>7359.9999999999991</v>
      </c>
      <c r="L9" s="4" t="s">
        <v>80</v>
      </c>
      <c r="M9" s="1" t="s">
        <v>78</v>
      </c>
      <c r="N9" s="4">
        <v>29684859</v>
      </c>
      <c r="O9" s="37">
        <v>44532</v>
      </c>
      <c r="P9" s="1" t="s">
        <v>81</v>
      </c>
      <c r="Q9" s="6" t="s">
        <v>82</v>
      </c>
      <c r="R9" s="1">
        <v>45.441891400000003</v>
      </c>
      <c r="S9" s="1">
        <v>-73.692530700000006</v>
      </c>
      <c r="T9" s="1" t="s">
        <v>83</v>
      </c>
      <c r="U9" s="6" t="s">
        <v>84</v>
      </c>
      <c r="X9" s="1">
        <f>_xlfn.XLOOKUP(Table13[[#This Row],[Project Number]],'Projets Jerome'!$L$2:$L$26,'Projets Jerome'!$AC$2:$AC$26)</f>
        <v>45.441891400000003</v>
      </c>
      <c r="Y9" s="1">
        <f>_xlfn.XLOOKUP(Table13[[#This Row],[Project Number]],'Projets Jerome'!$L$2:$L$26,'Projets Jerome'!$AD$2:$AD$26)</f>
        <v>-73.692530700000006</v>
      </c>
      <c r="AB9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&lt;destination_address&gt;700 32e Avenue, Lachine, QC H8T 1Y5, Canada&lt;/destination_address&gt;
 &lt;row&gt;
  &lt;element&gt;
   &lt;status&gt;OK&lt;/status&gt;
   &lt;duration&gt;
    &lt;value&gt;9460&lt;/value&gt;
    &lt;text&gt;2 hours 38 mins&lt;/text&gt;
   &lt;/duration&gt;
   &lt;distance&gt;
    &lt;value&gt;260742&lt;/value&gt;
    &lt;text&gt;261 km&lt;/text&gt;
   &lt;/distance&gt;
  &lt;/element&gt;
 &lt;/row&gt;
&lt;/DistanceMatrixResponse&gt;
</v>
      </c>
      <c r="AC9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&lt;destination_address&gt;700 32e Avenue, Lachine, QC H8T 1Y5, Canada&lt;/destination_address&gt;
 &lt;row&gt;
  &lt;element&gt;
   &lt;status&gt;OK&lt;/status&gt;
   &lt;duration&gt;
    &lt;value&gt;1705&lt;/value&gt;
    &lt;text&gt;28 mins&lt;/text&gt;
   &lt;/duration&gt;
   &lt;distance&gt;
    &lt;value&gt;17314&lt;/value&gt;
    &lt;text&gt;17.3 km&lt;/text&gt;
   &lt;/distance&gt;
  &lt;/element&gt;
 &lt;/row&gt;
&lt;/DistanceMatrixResponse&gt;
</v>
      </c>
      <c r="AD9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&lt;destination_address&gt;700 32e Avenue, Lachine, QC H8T 1Y5, Canada&lt;/destination_address&gt;
 &lt;row&gt;
  &lt;element&gt;
   &lt;status&gt;OK&lt;/status&gt;
   &lt;duration&gt;
    &lt;value&gt;160945&lt;/value&gt;
    &lt;text&gt;1 day 21 hours&lt;/text&gt;
   &lt;/duration&gt;
   &lt;distance&gt;
    &lt;value&gt;4544873&lt;/value&gt;
    &lt;text&gt;4,545 km&lt;/text&gt;
   &lt;/distance&gt;
  &lt;/element&gt;
 &lt;/row&gt;
&lt;/DistanceMatrixResponse&gt;
</v>
      </c>
      <c r="AE9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&lt;destination_address&gt;700 32e Avenue, Lachine, QC H8T 1Y5, Canada&lt;/destination_address&gt;
 &lt;row&gt;
  &lt;element&gt;
   &lt;status&gt;OK&lt;/status&gt;
   &lt;duration&gt;
    &lt;value&gt;18253&lt;/value&gt;
    &lt;text&gt;5 hours 4 mins&lt;/text&gt;
   &lt;/duration&gt;
   &lt;distance&gt;
    &lt;value&gt;529611&lt;/value&gt;
    &lt;text&gt;530 km&lt;/text&gt;
   &lt;/distance&gt;
  &lt;/element&gt;
 &lt;/row&gt;
&lt;/DistanceMatrixResponse&gt;
</v>
      </c>
      <c r="AF9" s="1" cm="1">
        <f t="array" ref="AF9">_xlfn.FILTERXML(AB9,"//distance/value")/1000</f>
        <v>260.74200000000002</v>
      </c>
      <c r="AG9" s="1" cm="1">
        <f t="array" ref="AG9">_xlfn.FILTERXML(AC9,"//distance/value")/1000</f>
        <v>17.314</v>
      </c>
      <c r="AH9" s="1" cm="1">
        <f t="array" ref="AH9">_xlfn.FILTERXML(AD9,"//distance/value")/1000</f>
        <v>4544.8729999999996</v>
      </c>
      <c r="AI9" s="1" cm="1">
        <f t="array" ref="AI9">_xlfn.FILTERXML(AE9,"//distance/value")/1000</f>
        <v>529.61099999999999</v>
      </c>
      <c r="AJ9" s="1">
        <f t="shared" si="4"/>
        <v>17.314</v>
      </c>
      <c r="AK9" s="39" cm="1">
        <f t="array" ref="AK9">_xlfn.FILTERXML(AB9,"//duration/value")/60/60/24</f>
        <v>0.10949074074074074</v>
      </c>
      <c r="AL9" s="39" cm="1">
        <f t="array" ref="AL9">_xlfn.FILTERXML(AC9,"//duration/value")/60/60/24</f>
        <v>1.9733796296296298E-2</v>
      </c>
      <c r="AM9" s="39" cm="1">
        <f t="array" ref="AM9">_xlfn.FILTERXML(AD9,"//duration/value")/60/60/24</f>
        <v>1.8627893518518517</v>
      </c>
      <c r="AN9" s="39" cm="1">
        <f t="array" ref="AN9">_xlfn.FILTERXML(AE9,"//duration/value")/60/60/24</f>
        <v>0.21126157407407406</v>
      </c>
      <c r="AO9" s="4" t="str">
        <f t="shared" si="5"/>
        <v>Montreal</v>
      </c>
      <c r="AP9" s="4" t="str">
        <f t="shared" si="6"/>
        <v>Montreal</v>
      </c>
      <c r="AQ9" s="39" cm="1">
        <f t="array" ref="AQ9">_xlfn.FILTERXML(_xlfn.XLOOKUP(AJ9,$AF9:$AI9,AB9:AE9),"//duration/value")/60/60/24</f>
        <v>1.9733796296296298E-2</v>
      </c>
      <c r="AS9" s="1" t="s">
        <v>311</v>
      </c>
      <c r="AT9" s="1" t="s">
        <v>312</v>
      </c>
      <c r="AU9" s="1" t="s">
        <v>313</v>
      </c>
      <c r="AV9" s="1" t="s">
        <v>314</v>
      </c>
      <c r="AW9" s="1">
        <v>260.74200000000002</v>
      </c>
      <c r="AX9" s="1">
        <v>17.314</v>
      </c>
      <c r="AY9" s="1">
        <v>4544.8729999999996</v>
      </c>
      <c r="AZ9" s="1">
        <v>529.61099999999999</v>
      </c>
      <c r="BA9" s="1">
        <v>17.314</v>
      </c>
      <c r="BB9" s="39">
        <v>0.10949074074074074</v>
      </c>
      <c r="BC9" s="39">
        <v>1.9733796296296298E-2</v>
      </c>
      <c r="BD9" s="39">
        <v>1.8627893518518517</v>
      </c>
      <c r="BE9" s="39">
        <v>0.21126157407407406</v>
      </c>
      <c r="BF9" s="4" t="s">
        <v>285</v>
      </c>
      <c r="BG9" s="4" t="s">
        <v>285</v>
      </c>
      <c r="BH9" s="39">
        <v>1.9733796296296298E-2</v>
      </c>
    </row>
    <row r="10" spans="1:60">
      <c r="A10" s="1" t="s">
        <v>42</v>
      </c>
      <c r="B10" s="1" t="s">
        <v>85</v>
      </c>
      <c r="C10" s="1" t="s">
        <v>79</v>
      </c>
      <c r="D10" s="37">
        <v>44893</v>
      </c>
      <c r="E10" s="37">
        <v>45092</v>
      </c>
      <c r="F10" s="1" t="s">
        <v>26</v>
      </c>
      <c r="G10" s="4">
        <v>30</v>
      </c>
      <c r="I10" s="4">
        <v>160</v>
      </c>
      <c r="J10" s="4" t="s">
        <v>27</v>
      </c>
      <c r="K10" s="38">
        <f>Table1[[#This Row],[Estimated Hours]]*Table1[[#This Row],[Hourly rate]]*1.15</f>
        <v>5520</v>
      </c>
      <c r="L10" s="4" t="s">
        <v>86</v>
      </c>
      <c r="M10" s="1" t="s">
        <v>87</v>
      </c>
      <c r="N10" s="4">
        <v>29685279</v>
      </c>
      <c r="O10" s="37">
        <v>44893</v>
      </c>
      <c r="P10" s="1" t="s">
        <v>81</v>
      </c>
      <c r="Q10" s="6" t="s">
        <v>82</v>
      </c>
      <c r="R10" s="1">
        <v>45.441891400000003</v>
      </c>
      <c r="S10" s="1">
        <v>-73.692530700000006</v>
      </c>
      <c r="T10" s="1" t="s">
        <v>83</v>
      </c>
      <c r="U10" s="6" t="s">
        <v>84</v>
      </c>
      <c r="X10" s="1">
        <f>_xlfn.XLOOKUP(Table13[[#This Row],[Project Number]],'Projets Jerome'!$L$2:$L$26,'Projets Jerome'!$AC$2:$AC$26)</f>
        <v>45.441891400000003</v>
      </c>
      <c r="Y10" s="1">
        <f>_xlfn.XLOOKUP(Table13[[#This Row],[Project Number]],'Projets Jerome'!$L$2:$L$26,'Projets Jerome'!$AD$2:$AD$26)</f>
        <v>-73.692530700000006</v>
      </c>
      <c r="AB10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&lt;destination_address&gt;700 32e Avenue, Lachine, QC H8T 1Y5, Canada&lt;/destination_address&gt;
 &lt;row&gt;
  &lt;element&gt;
   &lt;status&gt;OK&lt;/status&gt;
   &lt;duration&gt;
    &lt;value&gt;9460&lt;/value&gt;
    &lt;text&gt;2 hours 38 mins&lt;/text&gt;
   &lt;/duration&gt;
   &lt;distance&gt;
    &lt;value&gt;260742&lt;/value&gt;
    &lt;text&gt;261 km&lt;/text&gt;
   &lt;/distance&gt;
  &lt;/element&gt;
 &lt;/row&gt;
&lt;/DistanceMatrixResponse&gt;
</v>
      </c>
      <c r="AC10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&lt;destination_address&gt;700 32e Avenue, Lachine, QC H8T 1Y5, Canada&lt;/destination_address&gt;
 &lt;row&gt;
  &lt;element&gt;
   &lt;status&gt;OK&lt;/status&gt;
   &lt;duration&gt;
    &lt;value&gt;1705&lt;/value&gt;
    &lt;text&gt;28 mins&lt;/text&gt;
   &lt;/duration&gt;
   &lt;distance&gt;
    &lt;value&gt;17314&lt;/value&gt;
    &lt;text&gt;17.3 km&lt;/text&gt;
   &lt;/distance&gt;
  &lt;/element&gt;
 &lt;/row&gt;
&lt;/DistanceMatrixResponse&gt;
</v>
      </c>
      <c r="AD10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&lt;destination_address&gt;700 32e Avenue, Lachine, QC H8T 1Y5, Canada&lt;/destination_address&gt;
 &lt;row&gt;
  &lt;element&gt;
   &lt;status&gt;OK&lt;/status&gt;
   &lt;duration&gt;
    &lt;value&gt;160945&lt;/value&gt;
    &lt;text&gt;1 day 21 hours&lt;/text&gt;
   &lt;/duration&gt;
   &lt;distance&gt;
    &lt;value&gt;4544873&lt;/value&gt;
    &lt;text&gt;4,545 km&lt;/text&gt;
   &lt;/distance&gt;
  &lt;/element&gt;
 &lt;/row&gt;
&lt;/DistanceMatrixResponse&gt;
</v>
      </c>
      <c r="AE10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&lt;destination_address&gt;700 32e Avenue, Lachine, QC H8T 1Y5, Canada&lt;/destination_address&gt;
 &lt;row&gt;
  &lt;element&gt;
   &lt;status&gt;OK&lt;/status&gt;
   &lt;duration&gt;
    &lt;value&gt;18253&lt;/value&gt;
    &lt;text&gt;5 hours 4 mins&lt;/text&gt;
   &lt;/duration&gt;
   &lt;distance&gt;
    &lt;value&gt;529611&lt;/value&gt;
    &lt;text&gt;530 km&lt;/text&gt;
   &lt;/distance&gt;
  &lt;/element&gt;
 &lt;/row&gt;
&lt;/DistanceMatrixResponse&gt;
</v>
      </c>
      <c r="AF10" s="1" cm="1">
        <f t="array" ref="AF10">_xlfn.FILTERXML(AB10,"//distance/value")/1000</f>
        <v>260.74200000000002</v>
      </c>
      <c r="AG10" s="1" cm="1">
        <f t="array" ref="AG10">_xlfn.FILTERXML(AC10,"//distance/value")/1000</f>
        <v>17.314</v>
      </c>
      <c r="AH10" s="1" cm="1">
        <f t="array" ref="AH10">_xlfn.FILTERXML(AD10,"//distance/value")/1000</f>
        <v>4544.8729999999996</v>
      </c>
      <c r="AI10" s="1" cm="1">
        <f t="array" ref="AI10">_xlfn.FILTERXML(AE10,"//distance/value")/1000</f>
        <v>529.61099999999999</v>
      </c>
      <c r="AJ10" s="1">
        <f t="shared" si="4"/>
        <v>17.314</v>
      </c>
      <c r="AK10" s="39" cm="1">
        <f t="array" ref="AK10">_xlfn.FILTERXML(AB10,"//duration/value")/60/60/24</f>
        <v>0.10949074074074074</v>
      </c>
      <c r="AL10" s="39" cm="1">
        <f t="array" ref="AL10">_xlfn.FILTERXML(AC10,"//duration/value")/60/60/24</f>
        <v>1.9733796296296298E-2</v>
      </c>
      <c r="AM10" s="39" cm="1">
        <f t="array" ref="AM10">_xlfn.FILTERXML(AD10,"//duration/value")/60/60/24</f>
        <v>1.8627893518518517</v>
      </c>
      <c r="AN10" s="39" cm="1">
        <f t="array" ref="AN10">_xlfn.FILTERXML(AE10,"//duration/value")/60/60/24</f>
        <v>0.21126157407407406</v>
      </c>
      <c r="AO10" s="4" t="str">
        <f t="shared" si="5"/>
        <v>Montreal</v>
      </c>
      <c r="AP10" s="4" t="str">
        <f t="shared" si="6"/>
        <v>Montreal</v>
      </c>
      <c r="AQ10" s="39" cm="1">
        <f t="array" ref="AQ10">_xlfn.FILTERXML(_xlfn.XLOOKUP(AJ10,$AF10:$AI10,AB10:AE10),"//duration/value")/60/60/24</f>
        <v>1.9733796296296298E-2</v>
      </c>
      <c r="AS10" s="1" t="s">
        <v>311</v>
      </c>
      <c r="AT10" s="1" t="s">
        <v>312</v>
      </c>
      <c r="AU10" s="1" t="s">
        <v>313</v>
      </c>
      <c r="AV10" s="1" t="s">
        <v>314</v>
      </c>
      <c r="AW10" s="1">
        <v>260.74200000000002</v>
      </c>
      <c r="AX10" s="1">
        <v>17.314</v>
      </c>
      <c r="AY10" s="1">
        <v>4544.8729999999996</v>
      </c>
      <c r="AZ10" s="1">
        <v>529.61099999999999</v>
      </c>
      <c r="BA10" s="1">
        <v>17.314</v>
      </c>
      <c r="BB10" s="39">
        <v>0.10949074074074074</v>
      </c>
      <c r="BC10" s="39">
        <v>1.9733796296296298E-2</v>
      </c>
      <c r="BD10" s="39">
        <v>1.8627893518518517</v>
      </c>
      <c r="BE10" s="39">
        <v>0.21126157407407406</v>
      </c>
      <c r="BF10" s="4" t="s">
        <v>285</v>
      </c>
      <c r="BG10" s="4" t="s">
        <v>285</v>
      </c>
      <c r="BH10" s="39">
        <v>1.9733796296296298E-2</v>
      </c>
    </row>
    <row r="11" spans="1:60" ht="28.8">
      <c r="A11" s="1" t="s">
        <v>42</v>
      </c>
      <c r="B11" s="1" t="s">
        <v>88</v>
      </c>
      <c r="C11" s="1" t="s">
        <v>89</v>
      </c>
      <c r="D11" s="37">
        <v>44536</v>
      </c>
      <c r="E11" s="37">
        <v>44925</v>
      </c>
      <c r="F11" s="1" t="s">
        <v>36</v>
      </c>
      <c r="G11" s="4">
        <v>579</v>
      </c>
      <c r="H11" s="4">
        <v>468.25</v>
      </c>
      <c r="I11" s="4">
        <v>165</v>
      </c>
      <c r="J11" s="4" t="s">
        <v>27</v>
      </c>
      <c r="K11" s="38">
        <f>Table1[[#This Row],[Estimated Hours]]*Table1[[#This Row],[Hourly rate]]*1.15</f>
        <v>109865.24999999999</v>
      </c>
      <c r="L11" s="4" t="s">
        <v>90</v>
      </c>
      <c r="M11" s="1" t="s">
        <v>91</v>
      </c>
      <c r="N11" s="4">
        <v>29684857</v>
      </c>
      <c r="O11" s="37">
        <v>44536</v>
      </c>
      <c r="P11" s="1" t="s">
        <v>30</v>
      </c>
      <c r="Q11" s="6" t="s">
        <v>92</v>
      </c>
      <c r="R11" s="1">
        <v>43.642127299999999</v>
      </c>
      <c r="S11" s="1">
        <v>-79.673906000000002</v>
      </c>
      <c r="T11" s="12" t="s">
        <v>93</v>
      </c>
      <c r="U11" s="6" t="s">
        <v>94</v>
      </c>
      <c r="X11" s="1">
        <f>_xlfn.XLOOKUP(Table13[[#This Row],[Project Number]],'Projets Jerome'!$L$2:$L$26,'Projets Jerome'!$AC$2:$AC$26)</f>
        <v>43.642127299999999</v>
      </c>
      <c r="Y11" s="1">
        <f>_xlfn.XLOOKUP(Table13[[#This Row],[Project Number]],'Projets Jerome'!$L$2:$L$26,'Projets Jerome'!$AD$2:$AD$26)</f>
        <v>-79.673906000000002</v>
      </c>
      <c r="AB11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&lt;destination_address&gt;6226 Danville Rd, Mississauga, ON L5T 2H7, Canada&lt;/destination_address&gt;
 &lt;row&gt;
  &lt;element&gt;
   &lt;status&gt;OK&lt;/status&gt;
   &lt;duration&gt;
    &lt;value&gt;27906&lt;/value&gt;
    &lt;text&gt;7 hours 45 mins&lt;/text&gt;
   &lt;/duration&gt;
   &lt;distance&gt;
    &lt;value&gt;813992&lt;/value&gt;
    &lt;text&gt;814 km&lt;/text&gt;
   &lt;/distance&gt;
  &lt;/element&gt;
 &lt;/row&gt;
&lt;/DistanceMatrixResponse&gt;
</v>
      </c>
      <c r="AC11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&lt;destination_address&gt;6226 Danville Rd, Mississauga, ON L5T 2H7, Canada&lt;/destination_address&gt;
 &lt;row&gt;
  &lt;element&gt;
   &lt;status&gt;OK&lt;/status&gt;
   &lt;duration&gt;
    &lt;value&gt;19801&lt;/value&gt;
    &lt;text&gt;5 hours 30 mins&lt;/text&gt;
   &lt;/duration&gt;
   &lt;distance&gt;
    &lt;value&gt;561973&lt;/value&gt;
    &lt;text&gt;562 km&lt;/text&gt;
   &lt;/distance&gt;
  &lt;/element&gt;
 &lt;/row&gt;
&lt;/DistanceMatrixResponse&gt;
</v>
      </c>
      <c r="AD11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&lt;destination_address&gt;6226 Danville Rd, Mississauga, ON L5T 2H7, Canada&lt;/destination_address&gt;
 &lt;row&gt;
  &lt;element&gt;
   &lt;status&gt;OK&lt;/status&gt;
   &lt;duration&gt;
    &lt;value&gt;143477&lt;/value&gt;
    &lt;text&gt;1 day 16 hours&lt;/text&gt;
   &lt;/duration&gt;
   &lt;distance&gt;
    &lt;value&gt;4355747&lt;/value&gt;
    &lt;text&gt;4,356 km&lt;/text&gt;
   &lt;/distance&gt;
  &lt;/element&gt;
 &lt;/row&gt;
&lt;/DistanceMatrixResponse&gt;
</v>
      </c>
      <c r="AE11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&lt;destination_address&gt;6226 Danville Rd, Mississauga, ON L5T 2H7, Canada&lt;/destination_address&gt;
 &lt;row&gt;
  &lt;element&gt;
   &lt;status&gt;OK&lt;/status&gt;
   &lt;duration&gt;
    &lt;value&gt;1567&lt;/value&gt;
    &lt;text&gt;26 mins&lt;/text&gt;
   &lt;/duration&gt;
   &lt;distance&gt;
    &lt;value&gt;33376&lt;/value&gt;
    &lt;text&gt;33.4 km&lt;/text&gt;
   &lt;/distance&gt;
  &lt;/element&gt;
 &lt;/row&gt;
&lt;/DistanceMatrixResponse&gt;
</v>
      </c>
      <c r="AF11" s="1" cm="1">
        <f t="array" ref="AF11">_xlfn.FILTERXML(AB11,"//distance/value")/1000</f>
        <v>813.99199999999996</v>
      </c>
      <c r="AG11" s="1" cm="1">
        <f t="array" ref="AG11">_xlfn.FILTERXML(AC11,"//distance/value")/1000</f>
        <v>561.97299999999996</v>
      </c>
      <c r="AH11" s="1" cm="1">
        <f t="array" ref="AH11">_xlfn.FILTERXML(AD11,"//distance/value")/1000</f>
        <v>4355.7470000000003</v>
      </c>
      <c r="AI11" s="1" cm="1">
        <f t="array" ref="AI11">_xlfn.FILTERXML(AE11,"//distance/value")/1000</f>
        <v>33.375999999999998</v>
      </c>
      <c r="AJ11" s="1">
        <f t="shared" si="4"/>
        <v>33.375999999999998</v>
      </c>
      <c r="AK11" s="39" cm="1">
        <f t="array" ref="AK11">_xlfn.FILTERXML(AB11,"//duration/value")/60/60/24</f>
        <v>0.32298611111111114</v>
      </c>
      <c r="AL11" s="39" cm="1">
        <f t="array" ref="AL11">_xlfn.FILTERXML(AC11,"//duration/value")/60/60/24</f>
        <v>0.22917824074074075</v>
      </c>
      <c r="AM11" s="39" cm="1">
        <f t="array" ref="AM11">_xlfn.FILTERXML(AD11,"//duration/value")/60/60/24</f>
        <v>1.660613425925926</v>
      </c>
      <c r="AN11" s="39" cm="1">
        <f t="array" ref="AN11">_xlfn.FILTERXML(AE11,"//duration/value")/60/60/24</f>
        <v>1.8136574074074072E-2</v>
      </c>
      <c r="AO11" s="4" t="str">
        <f t="shared" si="5"/>
        <v>ON</v>
      </c>
      <c r="AP11" s="4" t="str">
        <f t="shared" si="6"/>
        <v>ON</v>
      </c>
      <c r="AQ11" s="39" cm="1">
        <f t="array" ref="AQ11">_xlfn.FILTERXML(_xlfn.XLOOKUP(AJ11,$AF11:$AI11,AB11:AE11),"//duration/value")/60/60/24</f>
        <v>1.8136574074074072E-2</v>
      </c>
      <c r="AS11" s="1" t="s">
        <v>315</v>
      </c>
      <c r="AT11" s="1" t="s">
        <v>316</v>
      </c>
      <c r="AU11" s="1" t="s">
        <v>317</v>
      </c>
      <c r="AV11" s="1" t="s">
        <v>318</v>
      </c>
      <c r="AW11" s="1">
        <v>813.99199999999996</v>
      </c>
      <c r="AX11" s="1">
        <v>561.97299999999996</v>
      </c>
      <c r="AY11" s="1">
        <v>4355.7470000000003</v>
      </c>
      <c r="AZ11" s="1">
        <v>33.375999999999998</v>
      </c>
      <c r="BA11" s="1">
        <v>33.375999999999998</v>
      </c>
      <c r="BB11" s="39">
        <v>0.32298611111111114</v>
      </c>
      <c r="BC11" s="39">
        <v>0.22917824074074075</v>
      </c>
      <c r="BD11" s="39">
        <v>1.660613425925926</v>
      </c>
      <c r="BE11" s="39">
        <v>1.8136574074074072E-2</v>
      </c>
      <c r="BF11" s="4" t="s">
        <v>249</v>
      </c>
      <c r="BG11" s="4" t="s">
        <v>249</v>
      </c>
      <c r="BH11" s="39">
        <v>1.8136574074074072E-2</v>
      </c>
    </row>
    <row r="12" spans="1:60">
      <c r="A12" s="1" t="s">
        <v>42</v>
      </c>
      <c r="B12" s="1" t="s">
        <v>95</v>
      </c>
      <c r="C12" s="1" t="s">
        <v>96</v>
      </c>
      <c r="D12" s="37">
        <v>44564</v>
      </c>
      <c r="E12" s="37">
        <v>44953</v>
      </c>
      <c r="F12" s="1" t="s">
        <v>36</v>
      </c>
      <c r="G12" s="4">
        <v>38</v>
      </c>
      <c r="H12" s="4">
        <v>18.25</v>
      </c>
      <c r="I12" s="4">
        <v>160</v>
      </c>
      <c r="J12" s="4" t="s">
        <v>27</v>
      </c>
      <c r="K12" s="38">
        <f>Table1[[#This Row],[Estimated Hours]]*Table1[[#This Row],[Hourly rate]]*1.15</f>
        <v>6991.9999999999991</v>
      </c>
      <c r="L12" s="4" t="s">
        <v>97</v>
      </c>
      <c r="M12" s="1" t="s">
        <v>98</v>
      </c>
      <c r="N12" s="4">
        <v>29685098</v>
      </c>
      <c r="O12" s="37">
        <v>44565</v>
      </c>
      <c r="P12" s="1" t="s">
        <v>61</v>
      </c>
      <c r="Q12" s="6" t="s">
        <v>99</v>
      </c>
      <c r="R12" s="1">
        <v>45.528230499999999</v>
      </c>
      <c r="S12" s="1">
        <v>-73.665722000000002</v>
      </c>
      <c r="T12" s="40" t="s">
        <v>100</v>
      </c>
      <c r="U12" s="6" t="s">
        <v>101</v>
      </c>
      <c r="X12" s="1">
        <f>_xlfn.XLOOKUP(Table13[[#This Row],[Project Number]],'Projets Jerome'!$L$2:$L$26,'Projets Jerome'!$AC$2:$AC$26)</f>
        <v>45.528230499999999</v>
      </c>
      <c r="Y12" s="1">
        <f>_xlfn.XLOOKUP(Table13[[#This Row],[Project Number]],'Projets Jerome'!$L$2:$L$26,'Projets Jerome'!$AD$2:$AD$26)</f>
        <v>-73.665722000000002</v>
      </c>
      <c r="AB12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&lt;destination_address&gt;775 Bd Lebeau, Saint-Laurent, QC H4N 1S5, Canada&lt;/destination_address&gt;
 &lt;row&gt;
  &lt;element&gt;
   &lt;status&gt;OK&lt;/status&gt;
   &lt;duration&gt;
    &lt;value&gt;9140&lt;/value&gt;
    &lt;text&gt;2 hours 32 mins&lt;/text&gt;
   &lt;/duration&gt;
   &lt;distance&gt;
    &lt;value&gt;248997&lt;/value&gt;
    &lt;text&gt;249 km&lt;/text&gt;
   &lt;/distance&gt;
  &lt;/element&gt;
 &lt;/row&gt;
&lt;/DistanceMatrixResponse&gt;
</v>
      </c>
      <c r="AC12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&lt;destination_address&gt;775 Bd Lebeau, Saint-Laurent, QC H4N 1S5, Canada&lt;/destination_address&gt;
 &lt;row&gt;
  &lt;element&gt;
   &lt;status&gt;OK&lt;/status&gt;
   &lt;duration&gt;
    &lt;value&gt;940&lt;/value&gt;
    &lt;text&gt;16 mins&lt;/text&gt;
   &lt;/duration&gt;
   &lt;distance&gt;
    &lt;value&gt;6759&lt;/value&gt;
    &lt;text&gt;6.8 km&lt;/text&gt;
   &lt;/distance&gt;
  &lt;/element&gt;
 &lt;/row&gt;
&lt;/DistanceMatrixResponse&gt;
</v>
      </c>
      <c r="AD12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&lt;destination_address&gt;775 Bd Lebeau, Saint-Laurent, QC H4N 1S5, Canada&lt;/destination_address&gt;
 &lt;row&gt;
  &lt;element&gt;
   &lt;status&gt;OK&lt;/status&gt;
   &lt;duration&gt;
    &lt;value&gt;161278&lt;/value&gt;
    &lt;text&gt;1 day 21 hours&lt;/text&gt;
   &lt;/duration&gt;
   &lt;distance&gt;
    &lt;value&gt;4549728&lt;/value&gt;
    &lt;text&gt;4,550 km&lt;/text&gt;
   &lt;/distance&gt;
  &lt;/element&gt;
 &lt;/row&gt;
&lt;/DistanceMatrixResponse&gt;
</v>
      </c>
      <c r="AE12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&lt;destination_address&gt;775 Bd Lebeau, Saint-Laurent, QC H4N 1S5, Canada&lt;/destination_address&gt;
 &lt;row&gt;
  &lt;element&gt;
   &lt;status&gt;OK&lt;/status&gt;
   &lt;duration&gt;
    &lt;value&gt;18650&lt;/value&gt;
    &lt;text&gt;5 hours 11 mins&lt;/text&gt;
   &lt;/duration&gt;
   &lt;distance&gt;
    &lt;value&gt;543090&lt;/value&gt;
    &lt;text&gt;543 km&lt;/text&gt;
   &lt;/distance&gt;
  &lt;/element&gt;
 &lt;/row&gt;
&lt;/DistanceMatrixResponse&gt;
</v>
      </c>
      <c r="AF12" s="1" cm="1">
        <f t="array" ref="AF12">_xlfn.FILTERXML(AB12,"//distance/value")/1000</f>
        <v>248.99700000000001</v>
      </c>
      <c r="AG12" s="1" cm="1">
        <f t="array" ref="AG12">_xlfn.FILTERXML(AC12,"//distance/value")/1000</f>
        <v>6.7590000000000003</v>
      </c>
      <c r="AH12" s="1" cm="1">
        <f t="array" ref="AH12">_xlfn.FILTERXML(AD12,"//distance/value")/1000</f>
        <v>4549.7280000000001</v>
      </c>
      <c r="AI12" s="1" cm="1">
        <f t="array" ref="AI12">_xlfn.FILTERXML(AE12,"//distance/value")/1000</f>
        <v>543.09</v>
      </c>
      <c r="AJ12" s="1">
        <f t="shared" si="4"/>
        <v>6.7590000000000003</v>
      </c>
      <c r="AK12" s="39" cm="1">
        <f t="array" ref="AK12">_xlfn.FILTERXML(AB12,"//duration/value")/60/60/24</f>
        <v>0.10578703703703705</v>
      </c>
      <c r="AL12" s="39" cm="1">
        <f t="array" ref="AL12">_xlfn.FILTERXML(AC12,"//duration/value")/60/60/24</f>
        <v>1.087962962962963E-2</v>
      </c>
      <c r="AM12" s="39" cm="1">
        <f t="array" ref="AM12">_xlfn.FILTERXML(AD12,"//duration/value")/60/60/24</f>
        <v>1.8666435185185186</v>
      </c>
      <c r="AN12" s="39" cm="1">
        <f t="array" ref="AN12">_xlfn.FILTERXML(AE12,"//duration/value")/60/60/24</f>
        <v>0.21585648148148148</v>
      </c>
      <c r="AO12" s="4" t="str">
        <f t="shared" si="5"/>
        <v>Montreal</v>
      </c>
      <c r="AP12" s="4" t="str">
        <f t="shared" si="6"/>
        <v>Montreal</v>
      </c>
      <c r="AQ12" s="39" cm="1">
        <f t="array" ref="AQ12">_xlfn.FILTERXML(_xlfn.XLOOKUP(AJ12,$AF12:$AI12,AB12:AE12),"//duration/value")/60/60/24</f>
        <v>1.087962962962963E-2</v>
      </c>
      <c r="AS12" s="1" t="s">
        <v>319</v>
      </c>
      <c r="AT12" s="1" t="s">
        <v>320</v>
      </c>
      <c r="AU12" s="1" t="s">
        <v>321</v>
      </c>
      <c r="AV12" s="1" t="s">
        <v>322</v>
      </c>
      <c r="AW12" s="1">
        <v>248.99700000000001</v>
      </c>
      <c r="AX12" s="1">
        <v>6.7590000000000003</v>
      </c>
      <c r="AY12" s="1">
        <v>4549.7280000000001</v>
      </c>
      <c r="AZ12" s="1">
        <v>543.09</v>
      </c>
      <c r="BA12" s="1">
        <v>6.7590000000000003</v>
      </c>
      <c r="BB12" s="39">
        <v>0.10578703703703705</v>
      </c>
      <c r="BC12" s="39">
        <v>1.087962962962963E-2</v>
      </c>
      <c r="BD12" s="39">
        <v>1.8666435185185186</v>
      </c>
      <c r="BE12" s="39">
        <v>0.21585648148148148</v>
      </c>
      <c r="BF12" s="4" t="s">
        <v>285</v>
      </c>
      <c r="BG12" s="4" t="s">
        <v>285</v>
      </c>
      <c r="BH12" s="39">
        <v>1.087962962962963E-2</v>
      </c>
    </row>
    <row r="13" spans="1:60" ht="28.8">
      <c r="A13" s="1" t="s">
        <v>102</v>
      </c>
      <c r="B13" s="1" t="s">
        <v>103</v>
      </c>
      <c r="C13" s="1" t="s">
        <v>104</v>
      </c>
      <c r="D13" s="37">
        <v>44562</v>
      </c>
      <c r="E13" s="37">
        <v>44962</v>
      </c>
      <c r="F13" s="1" t="s">
        <v>36</v>
      </c>
      <c r="G13" s="4">
        <v>200</v>
      </c>
      <c r="H13" s="4">
        <v>5</v>
      </c>
      <c r="I13" s="4">
        <v>170</v>
      </c>
      <c r="J13" s="4" t="s">
        <v>27</v>
      </c>
      <c r="K13" s="38">
        <f>Table1[[#This Row],[Estimated Hours]]*Table1[[#This Row],[Hourly rate]]*1.15</f>
        <v>39100</v>
      </c>
      <c r="L13" s="4" t="s">
        <v>105</v>
      </c>
      <c r="M13" s="1" t="s">
        <v>106</v>
      </c>
      <c r="N13" s="4">
        <v>29685103</v>
      </c>
      <c r="O13" s="37">
        <v>44571</v>
      </c>
      <c r="P13" s="1" t="s">
        <v>30</v>
      </c>
      <c r="Q13" s="6" t="s">
        <v>107</v>
      </c>
      <c r="R13" s="1">
        <v>45.471083700000001</v>
      </c>
      <c r="S13" s="1">
        <v>-73.694928099999998</v>
      </c>
      <c r="T13" s="12" t="s">
        <v>108</v>
      </c>
      <c r="U13" s="6" t="s">
        <v>109</v>
      </c>
      <c r="X13" s="1">
        <f>_xlfn.XLOOKUP(Table13[[#This Row],[Project Number]],'Projets Jerome'!$L$2:$L$26,'Projets Jerome'!$AC$2:$AC$26)</f>
        <v>45.471083700000001</v>
      </c>
      <c r="Y13" s="1">
        <f>_xlfn.XLOOKUP(Table13[[#This Row],[Project Number]],'Projets Jerome'!$L$2:$L$26,'Projets Jerome'!$AD$2:$AD$26)</f>
        <v>-73.694928099999998</v>
      </c>
      <c r="AB13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&lt;destination_address&gt;4660 Rue Hickmore, Saint-Laurent, QC H4T 1K2, Canada&lt;/destination_address&gt;
 &lt;row&gt;
  &lt;element&gt;
   &lt;status&gt;OK&lt;/status&gt;
   &lt;duration&gt;
    &lt;value&gt;9540&lt;/value&gt;
    &lt;text&gt;2 hours 39 mins&lt;/text&gt;
   &lt;/duration&gt;
   &lt;distance&gt;
    &lt;value&gt;262875&lt;/value&gt;
    &lt;text&gt;263 km&lt;/text&gt;
   &lt;/distance&gt;
  &lt;/element&gt;
 &lt;/row&gt;
&lt;/DistanceMatrixResponse&gt;
</v>
      </c>
      <c r="AC13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&lt;destination_address&gt;4660 Rue Hickmore, Saint-Laurent, QC H4T 1K2, Canada&lt;/destination_address&gt;
 &lt;row&gt;
  &lt;element&gt;
   &lt;status&gt;OK&lt;/status&gt;
   &lt;duration&gt;
    &lt;value&gt;1403&lt;/value&gt;
    &lt;text&gt;23 mins&lt;/text&gt;
   &lt;/duration&gt;
   &lt;distance&gt;
    &lt;value&gt;10915&lt;/value&gt;
    &lt;text&gt;10.9 km&lt;/text&gt;
   &lt;/distance&gt;
  &lt;/element&gt;
 &lt;/row&gt;
&lt;/DistanceMatrixResponse&gt;
</v>
      </c>
      <c r="AD13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&lt;destination_address&gt;4660 Rue Hickmore, Saint-Laurent, QC H4T 1K2, Canada&lt;/destination_address&gt;
 &lt;row&gt;
  &lt;element&gt;
   &lt;status&gt;OK&lt;/status&gt;
   &lt;duration&gt;
    &lt;value&gt;160971&lt;/value&gt;
    &lt;text&gt;1 day 21 hours&lt;/text&gt;
   &lt;/duration&gt;
   &lt;distance&gt;
    &lt;value&gt;4542592&lt;/value&gt;
    &lt;text&gt;4,543 km&lt;/text&gt;
   &lt;/distance&gt;
  &lt;/element&gt;
 &lt;/row&gt;
&lt;/DistanceMatrixResponse&gt;
</v>
      </c>
      <c r="AE13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&lt;destination_address&gt;4660 Rue Hickmore, Saint-Laurent, QC H4T 1K2, Canada&lt;/destination_address&gt;
 &lt;row&gt;
  &lt;element&gt;
   &lt;status&gt;OK&lt;/status&gt;
   &lt;duration&gt;
    &lt;value&gt;18343&lt;/value&gt;
    &lt;text&gt;5 hours 6 mins&lt;/text&gt;
   &lt;/duration&gt;
   &lt;distance&gt;
    &lt;value&gt;535955&lt;/value&gt;
    &lt;text&gt;536 km&lt;/text&gt;
   &lt;/distance&gt;
  &lt;/element&gt;
 &lt;/row&gt;
&lt;/DistanceMatrixResponse&gt;
</v>
      </c>
      <c r="AF13" s="1" cm="1">
        <f t="array" ref="AF13">_xlfn.FILTERXML(AB13,"//distance/value")/1000</f>
        <v>262.875</v>
      </c>
      <c r="AG13" s="1" cm="1">
        <f t="array" ref="AG13">_xlfn.FILTERXML(AC13,"//distance/value")/1000</f>
        <v>10.914999999999999</v>
      </c>
      <c r="AH13" s="1" cm="1">
        <f t="array" ref="AH13">_xlfn.FILTERXML(AD13,"//distance/value")/1000</f>
        <v>4542.5919999999996</v>
      </c>
      <c r="AI13" s="1" cm="1">
        <f t="array" ref="AI13">_xlfn.FILTERXML(AE13,"//distance/value")/1000</f>
        <v>535.95500000000004</v>
      </c>
      <c r="AJ13" s="1">
        <f t="shared" si="4"/>
        <v>10.914999999999999</v>
      </c>
      <c r="AK13" s="39" cm="1">
        <f t="array" ref="AK13">_xlfn.FILTERXML(AB13,"//duration/value")/60/60/24</f>
        <v>0.11041666666666666</v>
      </c>
      <c r="AL13" s="39" cm="1">
        <f t="array" ref="AL13">_xlfn.FILTERXML(AC13,"//duration/value")/60/60/24</f>
        <v>1.6238425925925924E-2</v>
      </c>
      <c r="AM13" s="39" cm="1">
        <f t="array" ref="AM13">_xlfn.FILTERXML(AD13,"//duration/value")/60/60/24</f>
        <v>1.8630902777777776</v>
      </c>
      <c r="AN13" s="39" cm="1">
        <f t="array" ref="AN13">_xlfn.FILTERXML(AE13,"//duration/value")/60/60/24</f>
        <v>0.21230324074074072</v>
      </c>
      <c r="AO13" s="4" t="str">
        <f t="shared" si="5"/>
        <v>Montreal</v>
      </c>
      <c r="AP13" s="4" t="str">
        <f t="shared" si="6"/>
        <v>Montreal</v>
      </c>
      <c r="AQ13" s="39" cm="1">
        <f t="array" ref="AQ13">_xlfn.FILTERXML(_xlfn.XLOOKUP(AJ13,$AF13:$AI13,AB13:AE13),"//duration/value")/60/60/24</f>
        <v>1.6238425925925924E-2</v>
      </c>
      <c r="AS13" s="1" t="s">
        <v>323</v>
      </c>
      <c r="AT13" s="1" t="s">
        <v>324</v>
      </c>
      <c r="AU13" s="1" t="s">
        <v>325</v>
      </c>
      <c r="AV13" s="1" t="s">
        <v>326</v>
      </c>
      <c r="AW13" s="1">
        <v>262.875</v>
      </c>
      <c r="AX13" s="1">
        <v>10.914999999999999</v>
      </c>
      <c r="AY13" s="1">
        <v>4542.5919999999996</v>
      </c>
      <c r="AZ13" s="1">
        <v>535.95500000000004</v>
      </c>
      <c r="BA13" s="1">
        <v>10.914999999999999</v>
      </c>
      <c r="BB13" s="39">
        <v>0.11041666666666666</v>
      </c>
      <c r="BC13" s="39">
        <v>1.6238425925925924E-2</v>
      </c>
      <c r="BD13" s="39">
        <v>1.8630902777777776</v>
      </c>
      <c r="BE13" s="39">
        <v>0.21230324074074072</v>
      </c>
      <c r="BF13" s="4" t="s">
        <v>285</v>
      </c>
      <c r="BG13" s="4" t="s">
        <v>285</v>
      </c>
      <c r="BH13" s="39">
        <v>1.6238425925925924E-2</v>
      </c>
    </row>
    <row r="14" spans="1:60">
      <c r="A14" s="1" t="s">
        <v>42</v>
      </c>
      <c r="B14" s="1" t="s">
        <v>110</v>
      </c>
      <c r="C14" s="1" t="s">
        <v>111</v>
      </c>
      <c r="D14" s="37">
        <v>44607</v>
      </c>
      <c r="E14" s="37">
        <v>44681</v>
      </c>
      <c r="F14" s="1" t="s">
        <v>226</v>
      </c>
      <c r="G14" s="4">
        <v>21</v>
      </c>
      <c r="H14" s="4">
        <v>5.25</v>
      </c>
      <c r="I14" s="4">
        <v>185</v>
      </c>
      <c r="J14" s="4" t="s">
        <v>112</v>
      </c>
      <c r="K14" s="38">
        <f>Table1[[#This Row],[Estimated Hours]]*Table1[[#This Row],[Hourly rate]]*1.15</f>
        <v>4467.75</v>
      </c>
      <c r="L14" s="4" t="s">
        <v>113</v>
      </c>
      <c r="M14" s="1" t="s">
        <v>114</v>
      </c>
      <c r="N14" s="4">
        <v>29685081</v>
      </c>
      <c r="O14" s="37">
        <v>44607</v>
      </c>
      <c r="P14" s="1" t="s">
        <v>115</v>
      </c>
      <c r="Q14" s="6" t="s">
        <v>116</v>
      </c>
      <c r="R14" s="1">
        <v>45.891391800000001</v>
      </c>
      <c r="S14" s="1">
        <v>-122.7430619</v>
      </c>
      <c r="T14" s="41" t="s">
        <v>117</v>
      </c>
      <c r="U14" s="6" t="s">
        <v>118</v>
      </c>
      <c r="X14" s="1">
        <f>_xlfn.XLOOKUP(Table13[[#This Row],[Project Number]],'Projets Jerome'!$L$2:$L$26,'Projets Jerome'!$AC$2:$AC$26)</f>
        <v>45.891391800000001</v>
      </c>
      <c r="Y14" s="1">
        <f>_xlfn.XLOOKUP(Table13[[#This Row],[Project Number]],'Projets Jerome'!$L$2:$L$26,'Projets Jerome'!$AD$2:$AD$26)</f>
        <v>-122.7430619</v>
      </c>
      <c r="AB14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&lt;destination_address&gt;350 S Pekin Rd, Woodland, WA 98674, USA&lt;/destination_address&gt;
 &lt;row&gt;
  &lt;element&gt;
   &lt;status&gt;OK&lt;/status&gt;
   &lt;duration&gt;
    &lt;value&gt;166789&lt;/value&gt;
    &lt;text&gt;1 day 22 hours&lt;/text&gt;
   &lt;/duration&gt;
   &lt;distance&gt;
    &lt;value&gt;4727153&lt;/value&gt;
    &lt;text&gt;4,727 km&lt;/text&gt;
   &lt;/distance&gt;
  &lt;/element&gt;
 &lt;/row&gt;
&lt;/DistanceMatrixResponse&gt;
</v>
      </c>
      <c r="AC14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&lt;destination_address&gt;350 S Pekin Rd, Woodland, WA 98674, USA&lt;/destination_address&gt;
 &lt;row&gt;
  &lt;element&gt;
   &lt;status&gt;OK&lt;/status&gt;
   &lt;duration&gt;
    &lt;value&gt;158532&lt;/value&gt;
    &lt;text&gt;1 day 20 hours&lt;/text&gt;
   &lt;/duration&gt;
   &lt;distance&gt;
    &lt;value&gt;4484926&lt;/value&gt;
    &lt;text&gt;4,485 km&lt;/text&gt;
   &lt;/distance&gt;
  &lt;/element&gt;
 &lt;/row&gt;
&lt;/DistanceMatrixResponse&gt;
</v>
      </c>
      <c r="AD14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&lt;destination_address&gt;350 S Pekin Rd, Woodland, WA 98674, USA&lt;/destination_address&gt;
 &lt;row&gt;
  &lt;element&gt;
   &lt;status&gt;OK&lt;/status&gt;
   &lt;duration&gt;
    &lt;value&gt;17505&lt;/value&gt;
    &lt;text&gt;4 hours 52 mins&lt;/text&gt;
   &lt;/duration&gt;
   &lt;distance&gt;
    &lt;value&gt;465057&lt;/value&gt;
    &lt;text&gt;465 km&lt;/text&gt;
   &lt;/distance&gt;
  &lt;/element&gt;
 &lt;/row&gt;
&lt;/DistanceMatrixResponse&gt;
</v>
      </c>
      <c r="AE14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&lt;destination_address&gt;350 S Pekin Rd, Woodland, WA 98674, USA&lt;/destination_address&gt;
 &lt;row&gt;
  &lt;element&gt;
   &lt;status&gt;OK&lt;/status&gt;
   &lt;duration&gt;
    &lt;value&gt;141241&lt;/value&gt;
    &lt;text&gt;1 day 15 hours&lt;/text&gt;
   &lt;/duration&gt;
   &lt;distance&gt;
    &lt;value&gt;4307922&lt;/value&gt;
    &lt;text&gt;4,308 km&lt;/text&gt;
   &lt;/distance&gt;
  &lt;/element&gt;
 &lt;/row&gt;
&lt;/DistanceMatrixResponse&gt;
</v>
      </c>
      <c r="AF14" s="1" cm="1">
        <f t="array" ref="AF14">_xlfn.FILTERXML(AB14,"//distance/value")/1000</f>
        <v>4727.1530000000002</v>
      </c>
      <c r="AG14" s="1" cm="1">
        <f t="array" ref="AG14">_xlfn.FILTERXML(AC14,"//distance/value")/1000</f>
        <v>4484.9260000000004</v>
      </c>
      <c r="AH14" s="1" cm="1">
        <f t="array" ref="AH14">_xlfn.FILTERXML(AD14,"//distance/value")/1000</f>
        <v>465.05700000000002</v>
      </c>
      <c r="AI14" s="1" cm="1">
        <f t="array" ref="AI14">_xlfn.FILTERXML(AE14,"//distance/value")/1000</f>
        <v>4307.9219999999996</v>
      </c>
      <c r="AJ14" s="1">
        <f t="shared" si="4"/>
        <v>465.05700000000002</v>
      </c>
      <c r="AK14" s="39" cm="1">
        <f t="array" ref="AK14">_xlfn.FILTERXML(AB14,"//duration/value")/60/60/24</f>
        <v>1.9304282407407405</v>
      </c>
      <c r="AL14" s="39" cm="1">
        <f t="array" ref="AL14">_xlfn.FILTERXML(AC14,"//duration/value")/60/60/24</f>
        <v>1.8348611111111108</v>
      </c>
      <c r="AM14" s="39" cm="1">
        <f t="array" ref="AM14">_xlfn.FILTERXML(AD14,"//duration/value")/60/60/24</f>
        <v>0.20260416666666667</v>
      </c>
      <c r="AN14" s="39" cm="1">
        <f t="array" ref="AN14">_xlfn.FILTERXML(AE14,"//duration/value")/60/60/24</f>
        <v>1.6347337962962964</v>
      </c>
      <c r="AO14" s="4" t="str">
        <f t="shared" si="5"/>
        <v>BC</v>
      </c>
      <c r="AP14" s="4" t="str">
        <f t="shared" si="6"/>
        <v>BC</v>
      </c>
      <c r="AQ14" s="39" cm="1">
        <f t="array" ref="AQ14">_xlfn.FILTERXML(_xlfn.XLOOKUP(AJ14,$AF14:$AI14,AB14:AE14),"//duration/value")/60/60/24</f>
        <v>0.20260416666666667</v>
      </c>
      <c r="AS14" s="1" t="s">
        <v>327</v>
      </c>
      <c r="AT14" s="1" t="s">
        <v>328</v>
      </c>
      <c r="AU14" s="1" t="s">
        <v>329</v>
      </c>
      <c r="AV14" s="1" t="s">
        <v>330</v>
      </c>
      <c r="AW14" s="1">
        <v>4727.1530000000002</v>
      </c>
      <c r="AX14" s="1">
        <v>4484.9260000000004</v>
      </c>
      <c r="AY14" s="1">
        <v>465.05700000000002</v>
      </c>
      <c r="AZ14" s="1">
        <v>4307.9219999999996</v>
      </c>
      <c r="BA14" s="1">
        <v>465.05700000000002</v>
      </c>
      <c r="BB14" s="39">
        <v>1.9304282407407405</v>
      </c>
      <c r="BC14" s="39">
        <v>1.8348611111111108</v>
      </c>
      <c r="BD14" s="39">
        <v>0.20260416666666667</v>
      </c>
      <c r="BE14" s="39">
        <v>1.6347337962962964</v>
      </c>
      <c r="BF14" s="4" t="s">
        <v>248</v>
      </c>
      <c r="BG14" s="4" t="s">
        <v>248</v>
      </c>
      <c r="BH14" s="39">
        <v>0.20260416666666667</v>
      </c>
    </row>
    <row r="15" spans="1:60" ht="28.8">
      <c r="A15" s="1" t="s">
        <v>23</v>
      </c>
      <c r="B15" s="1" t="s">
        <v>119</v>
      </c>
      <c r="C15" s="1" t="s">
        <v>120</v>
      </c>
      <c r="D15" s="37">
        <v>44690</v>
      </c>
      <c r="E15" s="37">
        <v>44985</v>
      </c>
      <c r="F15" s="1" t="s">
        <v>36</v>
      </c>
      <c r="G15" s="4">
        <v>230</v>
      </c>
      <c r="H15" s="4">
        <v>87.75</v>
      </c>
      <c r="I15" s="4">
        <v>150</v>
      </c>
      <c r="J15" s="4" t="s">
        <v>112</v>
      </c>
      <c r="K15" s="38">
        <f>Table1[[#This Row],[Estimated Hours]]*Table1[[#This Row],[Hourly rate]]*1.15</f>
        <v>39675</v>
      </c>
      <c r="L15" s="4" t="s">
        <v>121</v>
      </c>
      <c r="M15" s="1" t="s">
        <v>122</v>
      </c>
      <c r="N15" s="4">
        <v>29685185</v>
      </c>
      <c r="O15" s="37">
        <v>44696</v>
      </c>
      <c r="P15" s="1" t="s">
        <v>30</v>
      </c>
      <c r="Q15" s="6" t="s">
        <v>123</v>
      </c>
      <c r="R15" s="1">
        <v>36.791963199999998</v>
      </c>
      <c r="S15" s="1">
        <v>-76.246086000000005</v>
      </c>
      <c r="T15" s="12" t="s">
        <v>124</v>
      </c>
      <c r="U15" s="6" t="s">
        <v>125</v>
      </c>
      <c r="X15" s="1">
        <f>_xlfn.XLOOKUP(Table13[[#This Row],[Project Number]],'Projets Jerome'!$L$2:$L$26,'Projets Jerome'!$AC$2:$AC$26)</f>
        <v>36.791963199999998</v>
      </c>
      <c r="Y15" s="1">
        <f>_xlfn.XLOOKUP(Table13[[#This Row],[Project Number]],'Projets Jerome'!$L$2:$L$26,'Projets Jerome'!$AD$2:$AD$26)</f>
        <v>-76.246086000000005</v>
      </c>
      <c r="AB15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&lt;destination_address&gt;2017 Georgetown Blvd, Chesapeake, VA 23325, USA&lt;/destination_address&gt;
 &lt;row&gt;
  &lt;element&gt;
   &lt;status&gt;OK&lt;/status&gt;
   &lt;duration&gt;
    &lt;value&gt;49691&lt;/value&gt;
    &lt;text&gt;13 hours 48 mins&lt;/text&gt;
   &lt;/duration&gt;
   &lt;distance&gt;
    &lt;value&gt;1390189&lt;/value&gt;
    &lt;text&gt;1,390 km&lt;/text&gt;
   &lt;/distance&gt;
  &lt;/element&gt;
 &lt;/row&gt;
&lt;/DistanceMatrixResponse&gt;
</v>
      </c>
      <c r="AC15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&lt;destination_address&gt;2017 Georgetown Blvd, Chesapeake, VA 23325, USA&lt;/destination_address&gt;
 &lt;row&gt;
  &lt;element&gt;
   &lt;status&gt;OK&lt;/status&gt;
   &lt;duration&gt;
    &lt;value&gt;43011&lt;/value&gt;
    &lt;text&gt;11 hours 57 mins&lt;/text&gt;
   &lt;/duration&gt;
   &lt;distance&gt;
    &lt;value&gt;1170970&lt;/value&gt;
    &lt;text&gt;1,171 km&lt;/text&gt;
   &lt;/distance&gt;
  &lt;/element&gt;
 &lt;/row&gt;
&lt;/DistanceMatrixResponse&gt;
</v>
      </c>
      <c r="AD15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&lt;destination_address&gt;2017 Georgetown Blvd, Chesapeake, VA 23325, USA&lt;/destination_address&gt;
 &lt;row&gt;
  &lt;element&gt;
   &lt;status&gt;OK&lt;/status&gt;
   &lt;duration&gt;
    &lt;value&gt;165327&lt;/value&gt;
    &lt;text&gt;1 day 22 hours&lt;/text&gt;
   &lt;/duration&gt;
   &lt;distance&gt;
    &lt;value&gt;4978382&lt;/value&gt;
    &lt;text&gt;4,978 km&lt;/text&gt;
   &lt;/distance&gt;
  &lt;/element&gt;
 &lt;/row&gt;
&lt;/DistanceMatrixResponse&gt;
</v>
      </c>
      <c r="AE15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&lt;destination_address&gt;2017 Georgetown Blvd, Chesapeake, VA 23325, USA&lt;/destination_address&gt;
 &lt;row&gt;
  &lt;element&gt;
   &lt;status&gt;OK&lt;/status&gt;
   &lt;duration&gt;
    &lt;value&gt;40428&lt;/value&gt;
    &lt;text&gt;11 hours 14 mins&lt;/text&gt;
   &lt;/duration&gt;
   &lt;distance&gt;
    &lt;value&gt;1083687&lt;/value&gt;
    &lt;text&gt;1,084 km&lt;/text&gt;
   &lt;/distance&gt;
  &lt;/element&gt;
 &lt;/row&gt;
&lt;/DistanceMatrixResponse&gt;
</v>
      </c>
      <c r="AF15" s="1" cm="1">
        <f t="array" ref="AF15">_xlfn.FILTERXML(AB15,"//distance/value")/1000</f>
        <v>1390.1890000000001</v>
      </c>
      <c r="AG15" s="1" cm="1">
        <f t="array" ref="AG15">_xlfn.FILTERXML(AC15,"//distance/value")/1000</f>
        <v>1170.97</v>
      </c>
      <c r="AH15" s="1" cm="1">
        <f t="array" ref="AH15">_xlfn.FILTERXML(AD15,"//distance/value")/1000</f>
        <v>4978.3819999999996</v>
      </c>
      <c r="AI15" s="1" cm="1">
        <f t="array" ref="AI15">_xlfn.FILTERXML(AE15,"//distance/value")/1000</f>
        <v>1083.6869999999999</v>
      </c>
      <c r="AJ15" s="1">
        <f t="shared" si="4"/>
        <v>1083.6869999999999</v>
      </c>
      <c r="AK15" s="39" cm="1">
        <f t="array" ref="AK15">_xlfn.FILTERXML(AB15,"//duration/value")/60/60/24</f>
        <v>0.57512731481481472</v>
      </c>
      <c r="AL15" s="39" cm="1">
        <f t="array" ref="AL15">_xlfn.FILTERXML(AC15,"//duration/value")/60/60/24</f>
        <v>0.49781249999999999</v>
      </c>
      <c r="AM15" s="39" cm="1">
        <f t="array" ref="AM15">_xlfn.FILTERXML(AD15,"//duration/value")/60/60/24</f>
        <v>1.9135069444444444</v>
      </c>
      <c r="AN15" s="39" cm="1">
        <f t="array" ref="AN15">_xlfn.FILTERXML(AE15,"//duration/value")/60/60/24</f>
        <v>0.46791666666666659</v>
      </c>
      <c r="AO15" s="4" t="str">
        <f t="shared" si="5"/>
        <v>ON</v>
      </c>
      <c r="AP15" s="4" t="str">
        <f t="shared" si="6"/>
        <v>ON</v>
      </c>
      <c r="AQ15" s="39" cm="1">
        <f t="array" ref="AQ15">_xlfn.FILTERXML(_xlfn.XLOOKUP(AJ15,$AF15:$AI15,AB15:AE15),"//duration/value")/60/60/24</f>
        <v>0.46791666666666659</v>
      </c>
      <c r="AS15" s="1" t="s">
        <v>331</v>
      </c>
      <c r="AT15" s="1" t="s">
        <v>332</v>
      </c>
      <c r="AU15" s="1" t="s">
        <v>333</v>
      </c>
      <c r="AV15" s="1" t="s">
        <v>334</v>
      </c>
      <c r="AW15" s="1">
        <v>1390.1890000000001</v>
      </c>
      <c r="AX15" s="1">
        <v>1170.97</v>
      </c>
      <c r="AY15" s="1">
        <v>4978.3819999999996</v>
      </c>
      <c r="AZ15" s="1">
        <v>1083.6869999999999</v>
      </c>
      <c r="BA15" s="1">
        <v>1083.6869999999999</v>
      </c>
      <c r="BB15" s="39">
        <v>0.57512731481481472</v>
      </c>
      <c r="BC15" s="39">
        <v>0.49781249999999999</v>
      </c>
      <c r="BD15" s="39">
        <v>1.9135069444444444</v>
      </c>
      <c r="BE15" s="39">
        <v>0.46791666666666659</v>
      </c>
      <c r="BF15" s="4" t="s">
        <v>249</v>
      </c>
      <c r="BG15" s="4" t="s">
        <v>249</v>
      </c>
      <c r="BH15" s="39">
        <v>0.46791666666666659</v>
      </c>
    </row>
    <row r="16" spans="1:60" ht="28.8">
      <c r="A16" s="1" t="s">
        <v>42</v>
      </c>
      <c r="B16" s="1" t="s">
        <v>126</v>
      </c>
      <c r="C16" s="1" t="s">
        <v>127</v>
      </c>
      <c r="D16" s="37">
        <v>44820</v>
      </c>
      <c r="E16" s="37">
        <v>45044</v>
      </c>
      <c r="F16" s="1" t="s">
        <v>36</v>
      </c>
      <c r="G16" s="4">
        <v>407</v>
      </c>
      <c r="H16" s="4">
        <v>9</v>
      </c>
      <c r="I16" s="4">
        <v>185</v>
      </c>
      <c r="J16" s="4" t="s">
        <v>27</v>
      </c>
      <c r="K16" s="38">
        <f>Table1[[#This Row],[Estimated Hours]]*Table1[[#This Row],[Hourly rate]]*1.15</f>
        <v>86589.25</v>
      </c>
      <c r="L16" s="4" t="s">
        <v>128</v>
      </c>
      <c r="M16" s="1" t="s">
        <v>129</v>
      </c>
      <c r="N16" s="4">
        <v>29685237</v>
      </c>
      <c r="O16" s="37">
        <v>44820</v>
      </c>
      <c r="P16" s="1" t="s">
        <v>30</v>
      </c>
      <c r="Q16" s="6" t="s">
        <v>130</v>
      </c>
      <c r="R16" s="1">
        <v>45.595933899999999</v>
      </c>
      <c r="S16" s="1">
        <v>-73.623009600000003</v>
      </c>
      <c r="T16" s="12" t="s">
        <v>131</v>
      </c>
      <c r="U16" s="6" t="s">
        <v>132</v>
      </c>
      <c r="X16" s="1">
        <f>_xlfn.XLOOKUP(Table13[[#This Row],[Project Number]],'Projets Jerome'!$L$2:$L$26,'Projets Jerome'!$AC$2:$AC$26)</f>
        <v>45.595933899999999</v>
      </c>
      <c r="Y16" s="1">
        <f>_xlfn.XLOOKUP(Table13[[#This Row],[Project Number]],'Projets Jerome'!$L$2:$L$26,'Projets Jerome'!$AD$2:$AD$26)</f>
        <v>-73.623009600000003</v>
      </c>
      <c r="AB16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&lt;destination_address&gt;5061 Rue d'Amiens, Montréal-Nord, QC H1G 3G2, Canada&lt;/destination_address&gt;
 &lt;row&gt;
  &lt;element&gt;
   &lt;status&gt;OK&lt;/status&gt;
   &lt;duration&gt;
    &lt;value&gt;9080&lt;/value&gt;
    &lt;text&gt;2 hours 31 mins&lt;/text&gt;
   &lt;/duration&gt;
   &lt;distance&gt;
    &lt;value&gt;243283&lt;/value&gt;
    &lt;text&gt;243 km&lt;/text&gt;
   &lt;/distance&gt;
  &lt;/element&gt;
 &lt;/row&gt;
&lt;/DistanceMatrixResponse&gt;
</v>
      </c>
      <c r="AC16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&lt;destination_address&gt;5061 Rue d'Amiens, Montréal-Nord, QC H1G 3G2, Canada&lt;/destination_address&gt;
 &lt;row&gt;
  &lt;element&gt;
   &lt;status&gt;OK&lt;/status&gt;
   &lt;duration&gt;
    &lt;value&gt;1688&lt;/value&gt;
    &lt;text&gt;28 mins&lt;/text&gt;
   &lt;/duration&gt;
   &lt;distance&gt;
    &lt;value&gt;16177&lt;/value&gt;
    &lt;text&gt;16.2 km&lt;/text&gt;
   &lt;/distance&gt;
  &lt;/element&gt;
 &lt;/row&gt;
&lt;/DistanceMatrixResponse&gt;
</v>
      </c>
      <c r="AD16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&lt;destination_address&gt;5061 Rue d'Amiens, Montréal-Nord, QC H1G 3G2, Canada&lt;/destination_address&gt;
 &lt;row&gt;
  &lt;element&gt;
   &lt;status&gt;OK&lt;/status&gt;
   &lt;duration&gt;
    &lt;value&gt;161959&lt;/value&gt;
    &lt;text&gt;1 day 21 hours&lt;/text&gt;
   &lt;/duration&gt;
   &lt;distance&gt;
    &lt;value&gt;4559143&lt;/value&gt;
    &lt;text&gt;4,559 km&lt;/text&gt;
   &lt;/distance&gt;
  &lt;/element&gt;
 &lt;/row&gt;
&lt;/DistanceMatrixResponse&gt;
</v>
      </c>
      <c r="AE16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&lt;destination_address&gt;5061 Rue d'Amiens, Montréal-Nord, QC H1G 3G2, Canada&lt;/destination_address&gt;
 &lt;row&gt;
  &lt;element&gt;
   &lt;status&gt;OK&lt;/status&gt;
   &lt;duration&gt;
    &lt;value&gt;19331&lt;/value&gt;
    &lt;text&gt;5 hours 22 mins&lt;/text&gt;
   &lt;/duration&gt;
   &lt;distance&gt;
    &lt;value&gt;552506&lt;/value&gt;
    &lt;text&gt;553 km&lt;/text&gt;
   &lt;/distance&gt;
  &lt;/element&gt;
 &lt;/row&gt;
&lt;/DistanceMatrixResponse&gt;
</v>
      </c>
      <c r="AF16" s="1" cm="1">
        <f t="array" ref="AF16">_xlfn.FILTERXML(AB16,"//distance/value")/1000</f>
        <v>243.28299999999999</v>
      </c>
      <c r="AG16" s="1" cm="1">
        <f t="array" ref="AG16">_xlfn.FILTERXML(AC16,"//distance/value")/1000</f>
        <v>16.177</v>
      </c>
      <c r="AH16" s="1" cm="1">
        <f t="array" ref="AH16">_xlfn.FILTERXML(AD16,"//distance/value")/1000</f>
        <v>4559.143</v>
      </c>
      <c r="AI16" s="1" cm="1">
        <f t="array" ref="AI16">_xlfn.FILTERXML(AE16,"//distance/value")/1000</f>
        <v>552.50599999999997</v>
      </c>
      <c r="AJ16" s="1">
        <f t="shared" si="4"/>
        <v>16.177</v>
      </c>
      <c r="AK16" s="39" cm="1">
        <f t="array" ref="AK16">_xlfn.FILTERXML(AB16,"//duration/value")/60/60/24</f>
        <v>0.10509259259259261</v>
      </c>
      <c r="AL16" s="39" cm="1">
        <f t="array" ref="AL16">_xlfn.FILTERXML(AC16,"//duration/value")/60/60/24</f>
        <v>1.9537037037037037E-2</v>
      </c>
      <c r="AM16" s="39" cm="1">
        <f t="array" ref="AM16">_xlfn.FILTERXML(AD16,"//duration/value")/60/60/24</f>
        <v>1.8745254629629631</v>
      </c>
      <c r="AN16" s="39" cm="1">
        <f t="array" ref="AN16">_xlfn.FILTERXML(AE16,"//duration/value")/60/60/24</f>
        <v>0.22373842592592594</v>
      </c>
      <c r="AO16" s="4" t="str">
        <f t="shared" si="5"/>
        <v>Montreal</v>
      </c>
      <c r="AP16" s="4" t="str">
        <f t="shared" si="6"/>
        <v>Montreal</v>
      </c>
      <c r="AQ16" s="39" cm="1">
        <f t="array" ref="AQ16">_xlfn.FILTERXML(_xlfn.XLOOKUP(AJ16,$AF16:$AI16,AB16:AE16),"//duration/value")/60/60/24</f>
        <v>1.9537037037037037E-2</v>
      </c>
      <c r="AS16" s="1" t="s">
        <v>335</v>
      </c>
      <c r="AT16" s="1" t="s">
        <v>336</v>
      </c>
      <c r="AU16" s="1" t="s">
        <v>337</v>
      </c>
      <c r="AV16" s="1" t="s">
        <v>338</v>
      </c>
      <c r="AW16" s="1">
        <v>243.28299999999999</v>
      </c>
      <c r="AX16" s="1">
        <v>16.177</v>
      </c>
      <c r="AY16" s="1">
        <v>4559.143</v>
      </c>
      <c r="AZ16" s="1">
        <v>552.50599999999997</v>
      </c>
      <c r="BA16" s="1">
        <v>16.177</v>
      </c>
      <c r="BB16" s="39">
        <v>0.10509259259259261</v>
      </c>
      <c r="BC16" s="39">
        <v>1.9537037037037037E-2</v>
      </c>
      <c r="BD16" s="39">
        <v>1.8745254629629631</v>
      </c>
      <c r="BE16" s="39">
        <v>0.22373842592592594</v>
      </c>
      <c r="BF16" s="4" t="s">
        <v>285</v>
      </c>
      <c r="BG16" s="4" t="s">
        <v>285</v>
      </c>
      <c r="BH16" s="39">
        <v>1.9537037037037037E-2</v>
      </c>
    </row>
    <row r="17" spans="1:60" ht="28.8">
      <c r="A17" s="1" t="s">
        <v>42</v>
      </c>
      <c r="B17" s="1" t="s">
        <v>133</v>
      </c>
      <c r="C17" s="1" t="s">
        <v>134</v>
      </c>
      <c r="D17" s="37">
        <v>44820</v>
      </c>
      <c r="E17" s="37">
        <v>44925</v>
      </c>
      <c r="F17" s="1" t="s">
        <v>226</v>
      </c>
      <c r="G17" s="4">
        <v>56</v>
      </c>
      <c r="H17" s="4">
        <v>31.75</v>
      </c>
      <c r="I17" s="4">
        <v>165</v>
      </c>
      <c r="J17" s="4" t="s">
        <v>27</v>
      </c>
      <c r="K17" s="38">
        <f>Table1[[#This Row],[Estimated Hours]]*Table1[[#This Row],[Hourly rate]]*1.15</f>
        <v>10626</v>
      </c>
      <c r="L17" s="4" t="s">
        <v>135</v>
      </c>
      <c r="M17" s="1" t="s">
        <v>133</v>
      </c>
      <c r="N17" s="4">
        <v>29685240</v>
      </c>
      <c r="O17" s="37">
        <v>44826</v>
      </c>
      <c r="P17" s="1" t="s">
        <v>81</v>
      </c>
      <c r="Q17" s="6" t="s">
        <v>136</v>
      </c>
      <c r="R17" s="1">
        <v>45.157066800000003</v>
      </c>
      <c r="S17" s="1">
        <v>-71.801298099999997</v>
      </c>
      <c r="T17" s="12" t="s">
        <v>137</v>
      </c>
      <c r="U17" s="6" t="s">
        <v>138</v>
      </c>
      <c r="X17" s="1">
        <f>_xlfn.XLOOKUP(Table13[[#This Row],[Project Number]],'Projets Jerome'!$L$2:$L$26,'Projets Jerome'!$AC$2:$AC$26)</f>
        <v>45.157066800000003</v>
      </c>
      <c r="Y17" s="1">
        <f>_xlfn.XLOOKUP(Table13[[#This Row],[Project Number]],'Projets Jerome'!$L$2:$L$26,'Projets Jerome'!$AD$2:$AD$26)</f>
        <v>-71.801298099999997</v>
      </c>
      <c r="AB17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&lt;destination_address&gt;1000 Rue Child, Coaticook, QC J1A 2S5, Canada&lt;/destination_address&gt;
 &lt;row&gt;
  &lt;element&gt;
   &lt;status&gt;OK&lt;/status&gt;
   &lt;duration&gt;
    &lt;value&gt;9185&lt;/value&gt;
    &lt;text&gt;2 hours 33 mins&lt;/text&gt;
   &lt;/duration&gt;
   &lt;distance&gt;
    &lt;value&gt;257374&lt;/value&gt;
    &lt;text&gt;257 km&lt;/text&gt;
   &lt;/distance&gt;
  &lt;/element&gt;
 &lt;/row&gt;
&lt;/DistanceMatrixResponse&gt;
</v>
      </c>
      <c r="AC17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&lt;destination_address&gt;1000 Rue Child, Coaticook, QC J1A 2S5, Canada&lt;/destination_address&gt;
 &lt;row&gt;
  &lt;element&gt;
   &lt;status&gt;OK&lt;/status&gt;
   &lt;duration&gt;
    &lt;value&gt;7585&lt;/value&gt;
    &lt;text&gt;2 hours 6 mins&lt;/text&gt;
   &lt;/duration&gt;
   &lt;distance&gt;
    &lt;value&gt;174813&lt;/value&gt;
    &lt;text&gt;175 km&lt;/text&gt;
   &lt;/distance&gt;
  &lt;/element&gt;
 &lt;/row&gt;
&lt;/DistanceMatrixResponse&gt;
</v>
      </c>
      <c r="AD17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&lt;destination_address&gt;1000 Rue Child, Coaticook, QC J1A 2S5, Canada&lt;/destination_address&gt;
 &lt;row&gt;
  &lt;element&gt;
   &lt;status&gt;OK&lt;/status&gt;
   &lt;duration&gt;
    &lt;value&gt;167532&lt;/value&gt;
    &lt;text&gt;1 day 23 hours&lt;/text&gt;
   &lt;/duration&gt;
   &lt;distance&gt;
    &lt;value&gt;4716670&lt;/value&gt;
    &lt;text&gt;4,717 km&lt;/text&gt;
   &lt;/distance&gt;
  &lt;/element&gt;
 &lt;/row&gt;
&lt;/DistanceMatrixResponse&gt;
</v>
      </c>
      <c r="AE17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&lt;destination_address&gt;1000 Rue Child, Coaticook, QC J1A 2S5, Canada&lt;/destination_address&gt;
 &lt;row&gt;
  &lt;element&gt;
   &lt;status&gt;OK&lt;/status&gt;
   &lt;duration&gt;
    &lt;value&gt;24645&lt;/value&gt;
    &lt;text&gt;6 hours 51 mins&lt;/text&gt;
   &lt;/duration&gt;
   &lt;distance&gt;
    &lt;value&gt;711018&lt;/value&gt;
    &lt;text&gt;711 km&lt;/text&gt;
   &lt;/distance&gt;
  &lt;/element&gt;
 &lt;/row&gt;
&lt;/DistanceMatrixResponse&gt;
</v>
      </c>
      <c r="AF17" s="1" cm="1">
        <f t="array" ref="AF17">_xlfn.FILTERXML(AB17,"//distance/value")/1000</f>
        <v>257.37400000000002</v>
      </c>
      <c r="AG17" s="1" cm="1">
        <f t="array" ref="AG17">_xlfn.FILTERXML(AC17,"//distance/value")/1000</f>
        <v>174.81299999999999</v>
      </c>
      <c r="AH17" s="1" cm="1">
        <f t="array" ref="AH17">_xlfn.FILTERXML(AD17,"//distance/value")/1000</f>
        <v>4716.67</v>
      </c>
      <c r="AI17" s="1" cm="1">
        <f t="array" ref="AI17">_xlfn.FILTERXML(AE17,"//distance/value")/1000</f>
        <v>711.01800000000003</v>
      </c>
      <c r="AJ17" s="1">
        <f t="shared" si="4"/>
        <v>174.81299999999999</v>
      </c>
      <c r="AK17" s="39" cm="1">
        <f t="array" ref="AK17">_xlfn.FILTERXML(AB17,"//duration/value")/60/60/24</f>
        <v>0.10630787037037037</v>
      </c>
      <c r="AL17" s="39" cm="1">
        <f t="array" ref="AL17">_xlfn.FILTERXML(AC17,"//duration/value")/60/60/24</f>
        <v>8.7789351851851868E-2</v>
      </c>
      <c r="AM17" s="39" cm="1">
        <f t="array" ref="AM17">_xlfn.FILTERXML(AD17,"//duration/value")/60/60/24</f>
        <v>1.9390277777777776</v>
      </c>
      <c r="AN17" s="39" cm="1">
        <f t="array" ref="AN17">_xlfn.FILTERXML(AE17,"//duration/value")/60/60/24</f>
        <v>0.28524305555555557</v>
      </c>
      <c r="AO17" s="4" t="str">
        <f t="shared" si="5"/>
        <v>Montreal</v>
      </c>
      <c r="AP17" s="4" t="str">
        <f t="shared" si="6"/>
        <v>Montreal</v>
      </c>
      <c r="AQ17" s="39" cm="1">
        <f t="array" ref="AQ17">_xlfn.FILTERXML(_xlfn.XLOOKUP(AJ17,$AF17:$AI17,AB17:AE17),"//duration/value")/60/60/24</f>
        <v>8.7789351851851868E-2</v>
      </c>
      <c r="AS17" s="1" t="s">
        <v>339</v>
      </c>
      <c r="AT17" s="1" t="s">
        <v>340</v>
      </c>
      <c r="AU17" s="1" t="s">
        <v>341</v>
      </c>
      <c r="AV17" s="1" t="s">
        <v>342</v>
      </c>
      <c r="AW17" s="1">
        <v>257.37400000000002</v>
      </c>
      <c r="AX17" s="1">
        <v>174.81299999999999</v>
      </c>
      <c r="AY17" s="1">
        <v>4716.67</v>
      </c>
      <c r="AZ17" s="1">
        <v>711.01800000000003</v>
      </c>
      <c r="BA17" s="1">
        <v>174.81299999999999</v>
      </c>
      <c r="BB17" s="39">
        <v>0.10630787037037037</v>
      </c>
      <c r="BC17" s="39">
        <v>8.7789351851851868E-2</v>
      </c>
      <c r="BD17" s="39">
        <v>1.9390277777777776</v>
      </c>
      <c r="BE17" s="39">
        <v>0.28524305555555557</v>
      </c>
      <c r="BF17" s="4" t="s">
        <v>285</v>
      </c>
      <c r="BG17" s="4" t="s">
        <v>285</v>
      </c>
      <c r="BH17" s="39">
        <v>8.7789351851851868E-2</v>
      </c>
    </row>
    <row r="18" spans="1:60" ht="28.8">
      <c r="A18" s="1" t="s">
        <v>102</v>
      </c>
      <c r="B18" s="1" t="s">
        <v>139</v>
      </c>
      <c r="C18" s="1" t="s">
        <v>140</v>
      </c>
      <c r="D18" s="37">
        <v>44839</v>
      </c>
      <c r="E18" s="37">
        <v>45015</v>
      </c>
      <c r="F18" s="1" t="s">
        <v>226</v>
      </c>
      <c r="G18" s="4">
        <v>16</v>
      </c>
      <c r="H18" s="4">
        <v>11</v>
      </c>
      <c r="I18" s="4">
        <v>165</v>
      </c>
      <c r="J18" s="4" t="s">
        <v>27</v>
      </c>
      <c r="K18" s="38">
        <f>Table1[[#This Row],[Estimated Hours]]*Table1[[#This Row],[Hourly rate]]*1.15</f>
        <v>3035.9999999999995</v>
      </c>
      <c r="L18" s="4" t="s">
        <v>141</v>
      </c>
      <c r="M18" s="1" t="s">
        <v>142</v>
      </c>
      <c r="N18" s="4">
        <v>29685243</v>
      </c>
      <c r="O18" s="37">
        <v>44839</v>
      </c>
      <c r="P18" s="1" t="s">
        <v>81</v>
      </c>
      <c r="Q18" s="6" t="s">
        <v>143</v>
      </c>
      <c r="R18" s="1">
        <v>45.438667799999997</v>
      </c>
      <c r="S18" s="1">
        <v>-73.682047600000004</v>
      </c>
      <c r="T18" s="12" t="s">
        <v>144</v>
      </c>
      <c r="U18" s="6" t="s">
        <v>145</v>
      </c>
      <c r="X18" s="1">
        <f>_xlfn.XLOOKUP(Table13[[#This Row],[Project Number]],'Projets Jerome'!$L$2:$L$26,'Projets Jerome'!$AC$2:$AC$26)</f>
        <v>45.438667799999997</v>
      </c>
      <c r="Y18" s="1">
        <f>_xlfn.XLOOKUP(Table13[[#This Row],[Project Number]],'Projets Jerome'!$L$2:$L$26,'Projets Jerome'!$AD$2:$AD$26)</f>
        <v>-73.682047600000004</v>
      </c>
      <c r="AB18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&lt;destination_address&gt;540 20e Avenue, Lachine, QC H8S 3T1, Canada&lt;/destination_address&gt;
 &lt;row&gt;
  &lt;element&gt;
   &lt;status&gt;OK&lt;/status&gt;
   &lt;duration&gt;
    &lt;value&gt;9648&lt;/value&gt;
    &lt;text&gt;2 hours 41 mins&lt;/text&gt;
   &lt;/duration&gt;
   &lt;distance&gt;
    &lt;value&gt;261887&lt;/value&gt;
    &lt;text&gt;262 km&lt;/text&gt;
   &lt;/distance&gt;
  &lt;/element&gt;
 &lt;/row&gt;
&lt;/DistanceMatrixResponse&gt;
</v>
      </c>
      <c r="AC18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&lt;destination_address&gt;540 20e Avenue, Lachine, QC H8S 3T1, Canada&lt;/destination_address&gt;
 &lt;row&gt;
  &lt;element&gt;
   &lt;status&gt;OK&lt;/status&gt;
   &lt;duration&gt;
    &lt;value&gt;1893&lt;/value&gt;
    &lt;text&gt;32 mins&lt;/text&gt;
   &lt;/duration&gt;
   &lt;distance&gt;
    &lt;value&gt;18459&lt;/value&gt;
    &lt;text&gt;18.5 km&lt;/text&gt;
   &lt;/distance&gt;
  &lt;/element&gt;
 &lt;/row&gt;
&lt;/DistanceMatrixResponse&gt;
</v>
      </c>
      <c r="AD18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&lt;destination_address&gt;540 20e Avenue, Lachine, QC H8S 3T1, Canada&lt;/destination_address&gt;
 &lt;row&gt;
  &lt;element&gt;
   &lt;status&gt;OK&lt;/status&gt;
   &lt;duration&gt;
    &lt;value&gt;161133&lt;/value&gt;
    &lt;text&gt;1 day 21 hours&lt;/text&gt;
   &lt;/duration&gt;
   &lt;distance&gt;
    &lt;value&gt;4546018&lt;/value&gt;
    &lt;text&gt;4,546 km&lt;/text&gt;
   &lt;/distance&gt;
  &lt;/element&gt;
 &lt;/row&gt;
&lt;/DistanceMatrixResponse&gt;
</v>
      </c>
      <c r="AE18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&lt;destination_address&gt;540 20e Avenue, Lachine, QC H8S 3T1, Canada&lt;/destination_address&gt;
 &lt;row&gt;
  &lt;element&gt;
   &lt;status&gt;OK&lt;/status&gt;
   &lt;duration&gt;
    &lt;value&gt;18441&lt;/value&gt;
    &lt;text&gt;5 hours 7 mins&lt;/text&gt;
   &lt;/duration&gt;
   &lt;distance&gt;
    &lt;value&gt;530756&lt;/value&gt;
    &lt;text&gt;531 km&lt;/text&gt;
   &lt;/distance&gt;
  &lt;/element&gt;
 &lt;/row&gt;
&lt;/DistanceMatrixResponse&gt;
</v>
      </c>
      <c r="AF18" s="1" cm="1">
        <f t="array" ref="AF18">_xlfn.FILTERXML(AB18,"//distance/value")/1000</f>
        <v>261.887</v>
      </c>
      <c r="AG18" s="1" cm="1">
        <f t="array" ref="AG18">_xlfn.FILTERXML(AC18,"//distance/value")/1000</f>
        <v>18.459</v>
      </c>
      <c r="AH18" s="1" cm="1">
        <f t="array" ref="AH18">_xlfn.FILTERXML(AD18,"//distance/value")/1000</f>
        <v>4546.018</v>
      </c>
      <c r="AI18" s="1" cm="1">
        <f t="array" ref="AI18">_xlfn.FILTERXML(AE18,"//distance/value")/1000</f>
        <v>530.75599999999997</v>
      </c>
      <c r="AJ18" s="1">
        <f t="shared" si="4"/>
        <v>18.459</v>
      </c>
      <c r="AK18" s="39" cm="1">
        <f t="array" ref="AK18">_xlfn.FILTERXML(AB18,"//duration/value")/60/60/24</f>
        <v>0.11166666666666668</v>
      </c>
      <c r="AL18" s="39" cm="1">
        <f t="array" ref="AL18">_xlfn.FILTERXML(AC18,"//duration/value")/60/60/24</f>
        <v>2.1909722222222223E-2</v>
      </c>
      <c r="AM18" s="39" cm="1">
        <f t="array" ref="AM18">_xlfn.FILTERXML(AD18,"//duration/value")/60/60/24</f>
        <v>1.8649652777777781</v>
      </c>
      <c r="AN18" s="39" cm="1">
        <f t="array" ref="AN18">_xlfn.FILTERXML(AE18,"//duration/value")/60/60/24</f>
        <v>0.21343750000000003</v>
      </c>
      <c r="AO18" s="4" t="str">
        <f t="shared" si="5"/>
        <v>Montreal</v>
      </c>
      <c r="AP18" s="4" t="str">
        <f t="shared" si="6"/>
        <v>Montreal</v>
      </c>
      <c r="AQ18" s="39" cm="1">
        <f t="array" ref="AQ18">_xlfn.FILTERXML(_xlfn.XLOOKUP(AJ18,$AF18:$AI18,AB18:AE18),"//duration/value")/60/60/24</f>
        <v>2.1909722222222223E-2</v>
      </c>
      <c r="AS18" s="1" t="s">
        <v>343</v>
      </c>
      <c r="AT18" s="1" t="s">
        <v>344</v>
      </c>
      <c r="AU18" s="1" t="s">
        <v>345</v>
      </c>
      <c r="AV18" s="1" t="s">
        <v>346</v>
      </c>
      <c r="AW18" s="1">
        <v>261.887</v>
      </c>
      <c r="AX18" s="1">
        <v>18.459</v>
      </c>
      <c r="AY18" s="1">
        <v>4546.018</v>
      </c>
      <c r="AZ18" s="1">
        <v>530.75599999999997</v>
      </c>
      <c r="BA18" s="1">
        <v>18.459</v>
      </c>
      <c r="BB18" s="39">
        <v>0.11166666666666668</v>
      </c>
      <c r="BC18" s="39">
        <v>2.1909722222222223E-2</v>
      </c>
      <c r="BD18" s="39">
        <v>1.8649652777777781</v>
      </c>
      <c r="BE18" s="39">
        <v>0.21343750000000003</v>
      </c>
      <c r="BF18" s="4" t="s">
        <v>285</v>
      </c>
      <c r="BG18" s="4" t="s">
        <v>285</v>
      </c>
      <c r="BH18" s="39">
        <v>2.1909722222222223E-2</v>
      </c>
    </row>
    <row r="19" spans="1:60" ht="28.8">
      <c r="A19" s="1" t="s">
        <v>102</v>
      </c>
      <c r="B19" s="1" t="s">
        <v>146</v>
      </c>
      <c r="C19" s="1" t="s">
        <v>140</v>
      </c>
      <c r="D19" s="37">
        <v>44839</v>
      </c>
      <c r="E19" s="37">
        <v>45015</v>
      </c>
      <c r="F19" s="1" t="s">
        <v>226</v>
      </c>
      <c r="G19" s="4">
        <v>40</v>
      </c>
      <c r="H19" s="4">
        <v>0</v>
      </c>
      <c r="I19" s="4">
        <v>135</v>
      </c>
      <c r="J19" s="4" t="s">
        <v>27</v>
      </c>
      <c r="K19" s="38">
        <f>Table1[[#This Row],[Estimated Hours]]*Table1[[#This Row],[Hourly rate]]*1.15</f>
        <v>6209.9999999999991</v>
      </c>
      <c r="L19" s="4" t="s">
        <v>147</v>
      </c>
      <c r="M19" s="1" t="s">
        <v>148</v>
      </c>
      <c r="N19" s="4">
        <v>29685276</v>
      </c>
      <c r="O19" s="37">
        <v>44893</v>
      </c>
      <c r="P19" s="1" t="s">
        <v>81</v>
      </c>
      <c r="Q19" s="6" t="s">
        <v>143</v>
      </c>
      <c r="R19" s="1">
        <v>45.438667799999997</v>
      </c>
      <c r="S19" s="1">
        <v>-73.682047600000004</v>
      </c>
      <c r="T19" s="12" t="s">
        <v>144</v>
      </c>
      <c r="U19" s="6" t="s">
        <v>149</v>
      </c>
      <c r="X19" s="1">
        <f>_xlfn.XLOOKUP(Table13[[#This Row],[Project Number]],'Projets Jerome'!$L$2:$L$26,'Projets Jerome'!$AC$2:$AC$26)</f>
        <v>45.438667799999997</v>
      </c>
      <c r="Y19" s="1">
        <f>_xlfn.XLOOKUP(Table13[[#This Row],[Project Number]],'Projets Jerome'!$L$2:$L$26,'Projets Jerome'!$AD$2:$AD$26)</f>
        <v>-73.682047600000004</v>
      </c>
      <c r="AB19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&lt;destination_address&gt;540 20e Avenue, Lachine, QC H8S 3T1, Canada&lt;/destination_address&gt;
 &lt;row&gt;
  &lt;element&gt;
   &lt;status&gt;OK&lt;/status&gt;
   &lt;duration&gt;
    &lt;value&gt;9648&lt;/value&gt;
    &lt;text&gt;2 hours 41 mins&lt;/text&gt;
   &lt;/duration&gt;
   &lt;distance&gt;
    &lt;value&gt;261887&lt;/value&gt;
    &lt;text&gt;262 km&lt;/text&gt;
   &lt;/distance&gt;
  &lt;/element&gt;
 &lt;/row&gt;
&lt;/DistanceMatrixResponse&gt;
</v>
      </c>
      <c r="AC19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&lt;destination_address&gt;540 20e Avenue, Lachine, QC H8S 3T1, Canada&lt;/destination_address&gt;
 &lt;row&gt;
  &lt;element&gt;
   &lt;status&gt;OK&lt;/status&gt;
   &lt;duration&gt;
    &lt;value&gt;1893&lt;/value&gt;
    &lt;text&gt;32 mins&lt;/text&gt;
   &lt;/duration&gt;
   &lt;distance&gt;
    &lt;value&gt;18459&lt;/value&gt;
    &lt;text&gt;18.5 km&lt;/text&gt;
   &lt;/distance&gt;
  &lt;/element&gt;
 &lt;/row&gt;
&lt;/DistanceMatrixResponse&gt;
</v>
      </c>
      <c r="AD19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&lt;destination_address&gt;540 20e Avenue, Lachine, QC H8S 3T1, Canada&lt;/destination_address&gt;
 &lt;row&gt;
  &lt;element&gt;
   &lt;status&gt;OK&lt;/status&gt;
   &lt;duration&gt;
    &lt;value&gt;161133&lt;/value&gt;
    &lt;text&gt;1 day 21 hours&lt;/text&gt;
   &lt;/duration&gt;
   &lt;distance&gt;
    &lt;value&gt;4546018&lt;/value&gt;
    &lt;text&gt;4,546 km&lt;/text&gt;
   &lt;/distance&gt;
  &lt;/element&gt;
 &lt;/row&gt;
&lt;/DistanceMatrixResponse&gt;
</v>
      </c>
      <c r="AE19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&lt;destination_address&gt;540 20e Avenue, Lachine, QC H8S 3T1, Canada&lt;/destination_address&gt;
 &lt;row&gt;
  &lt;element&gt;
   &lt;status&gt;OK&lt;/status&gt;
   &lt;duration&gt;
    &lt;value&gt;18441&lt;/value&gt;
    &lt;text&gt;5 hours 7 mins&lt;/text&gt;
   &lt;/duration&gt;
   &lt;distance&gt;
    &lt;value&gt;530756&lt;/value&gt;
    &lt;text&gt;531 km&lt;/text&gt;
   &lt;/distance&gt;
  &lt;/element&gt;
 &lt;/row&gt;
&lt;/DistanceMatrixResponse&gt;
</v>
      </c>
      <c r="AF19" s="1" cm="1">
        <f t="array" ref="AF19">_xlfn.FILTERXML(AB19,"//distance/value")/1000</f>
        <v>261.887</v>
      </c>
      <c r="AG19" s="1" cm="1">
        <f t="array" ref="AG19">_xlfn.FILTERXML(AC19,"//distance/value")/1000</f>
        <v>18.459</v>
      </c>
      <c r="AH19" s="1" cm="1">
        <f t="array" ref="AH19">_xlfn.FILTERXML(AD19,"//distance/value")/1000</f>
        <v>4546.018</v>
      </c>
      <c r="AI19" s="1" cm="1">
        <f t="array" ref="AI19">_xlfn.FILTERXML(AE19,"//distance/value")/1000</f>
        <v>530.75599999999997</v>
      </c>
      <c r="AJ19" s="1">
        <f t="shared" si="4"/>
        <v>18.459</v>
      </c>
      <c r="AK19" s="39" cm="1">
        <f t="array" ref="AK19">_xlfn.FILTERXML(AB19,"//duration/value")/60/60/24</f>
        <v>0.11166666666666668</v>
      </c>
      <c r="AL19" s="39" cm="1">
        <f t="array" ref="AL19">_xlfn.FILTERXML(AC19,"//duration/value")/60/60/24</f>
        <v>2.1909722222222223E-2</v>
      </c>
      <c r="AM19" s="39" cm="1">
        <f t="array" ref="AM19">_xlfn.FILTERXML(AD19,"//duration/value")/60/60/24</f>
        <v>1.8649652777777781</v>
      </c>
      <c r="AN19" s="39" cm="1">
        <f t="array" ref="AN19">_xlfn.FILTERXML(AE19,"//duration/value")/60/60/24</f>
        <v>0.21343750000000003</v>
      </c>
      <c r="AO19" s="4" t="str">
        <f t="shared" si="5"/>
        <v>Montreal</v>
      </c>
      <c r="AP19" s="4" t="str">
        <f t="shared" si="6"/>
        <v>Montreal</v>
      </c>
      <c r="AQ19" s="39" cm="1">
        <f t="array" ref="AQ19">_xlfn.FILTERXML(_xlfn.XLOOKUP(AJ19,$AF19:$AI19,AB19:AE19),"//duration/value")/60/60/24</f>
        <v>2.1909722222222223E-2</v>
      </c>
      <c r="AS19" s="1" t="s">
        <v>343</v>
      </c>
      <c r="AT19" s="1" t="s">
        <v>344</v>
      </c>
      <c r="AU19" s="1" t="s">
        <v>345</v>
      </c>
      <c r="AV19" s="1" t="s">
        <v>346</v>
      </c>
      <c r="AW19" s="1">
        <v>261.887</v>
      </c>
      <c r="AX19" s="1">
        <v>18.459</v>
      </c>
      <c r="AY19" s="1">
        <v>4546.018</v>
      </c>
      <c r="AZ19" s="1">
        <v>530.75599999999997</v>
      </c>
      <c r="BA19" s="1">
        <v>18.459</v>
      </c>
      <c r="BB19" s="39">
        <v>0.11166666666666668</v>
      </c>
      <c r="BC19" s="39">
        <v>2.1909722222222223E-2</v>
      </c>
      <c r="BD19" s="39">
        <v>1.8649652777777781</v>
      </c>
      <c r="BE19" s="39">
        <v>0.21343750000000003</v>
      </c>
      <c r="BF19" s="4" t="s">
        <v>285</v>
      </c>
      <c r="BG19" s="4" t="s">
        <v>285</v>
      </c>
      <c r="BH19" s="39">
        <v>2.1909722222222223E-2</v>
      </c>
    </row>
    <row r="20" spans="1:60" ht="28.8">
      <c r="A20" s="1" t="s">
        <v>102</v>
      </c>
      <c r="B20" s="1" t="s">
        <v>150</v>
      </c>
      <c r="C20" s="1" t="s">
        <v>140</v>
      </c>
      <c r="D20" s="37">
        <v>44839</v>
      </c>
      <c r="E20" s="37">
        <v>45015</v>
      </c>
      <c r="F20" s="1" t="s">
        <v>26</v>
      </c>
      <c r="G20" s="4">
        <v>30</v>
      </c>
      <c r="H20" s="4">
        <v>21.75</v>
      </c>
      <c r="I20" s="4">
        <v>165</v>
      </c>
      <c r="J20" s="4" t="s">
        <v>27</v>
      </c>
      <c r="K20" s="38">
        <f>Table1[[#This Row],[Estimated Hours]]*Table1[[#This Row],[Hourly rate]]*1.15</f>
        <v>5692.5</v>
      </c>
      <c r="L20" s="4" t="s">
        <v>151</v>
      </c>
      <c r="M20" s="1" t="s">
        <v>152</v>
      </c>
      <c r="N20" s="4">
        <v>29685224</v>
      </c>
      <c r="O20" s="37">
        <v>44775</v>
      </c>
      <c r="P20" s="1" t="s">
        <v>81</v>
      </c>
      <c r="Q20" s="6" t="s">
        <v>143</v>
      </c>
      <c r="R20" s="1">
        <v>45.438667799999997</v>
      </c>
      <c r="S20" s="1">
        <v>-73.682047600000004</v>
      </c>
      <c r="T20" s="12" t="s">
        <v>144</v>
      </c>
      <c r="U20" s="6" t="s">
        <v>153</v>
      </c>
      <c r="X20" s="1">
        <f>_xlfn.XLOOKUP(Table13[[#This Row],[Project Number]],'Projets Jerome'!$L$2:$L$26,'Projets Jerome'!$AC$2:$AC$26)</f>
        <v>45.438667799999997</v>
      </c>
      <c r="Y20" s="1">
        <f>_xlfn.XLOOKUP(Table13[[#This Row],[Project Number]],'Projets Jerome'!$L$2:$L$26,'Projets Jerome'!$AD$2:$AD$26)</f>
        <v>-73.682047600000004</v>
      </c>
      <c r="AB20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&lt;destination_address&gt;540 20e Avenue, Lachine, QC H8S 3T1, Canada&lt;/destination_address&gt;
 &lt;row&gt;
  &lt;element&gt;
   &lt;status&gt;OK&lt;/status&gt;
   &lt;duration&gt;
    &lt;value&gt;9648&lt;/value&gt;
    &lt;text&gt;2 hours 41 mins&lt;/text&gt;
   &lt;/duration&gt;
   &lt;distance&gt;
    &lt;value&gt;261887&lt;/value&gt;
    &lt;text&gt;262 km&lt;/text&gt;
   &lt;/distance&gt;
  &lt;/element&gt;
 &lt;/row&gt;
&lt;/DistanceMatrixResponse&gt;
</v>
      </c>
      <c r="AC20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&lt;destination_address&gt;540 20e Avenue, Lachine, QC H8S 3T1, Canada&lt;/destination_address&gt;
 &lt;row&gt;
  &lt;element&gt;
   &lt;status&gt;OK&lt;/status&gt;
   &lt;duration&gt;
    &lt;value&gt;1893&lt;/value&gt;
    &lt;text&gt;32 mins&lt;/text&gt;
   &lt;/duration&gt;
   &lt;distance&gt;
    &lt;value&gt;18459&lt;/value&gt;
    &lt;text&gt;18.5 km&lt;/text&gt;
   &lt;/distance&gt;
  &lt;/element&gt;
 &lt;/row&gt;
&lt;/DistanceMatrixResponse&gt;
</v>
      </c>
      <c r="AD20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&lt;destination_address&gt;540 20e Avenue, Lachine, QC H8S 3T1, Canada&lt;/destination_address&gt;
 &lt;row&gt;
  &lt;element&gt;
   &lt;status&gt;OK&lt;/status&gt;
   &lt;duration&gt;
    &lt;value&gt;161133&lt;/value&gt;
    &lt;text&gt;1 day 21 hours&lt;/text&gt;
   &lt;/duration&gt;
   &lt;distance&gt;
    &lt;value&gt;4546018&lt;/value&gt;
    &lt;text&gt;4,546 km&lt;/text&gt;
   &lt;/distance&gt;
  &lt;/element&gt;
 &lt;/row&gt;
&lt;/DistanceMatrixResponse&gt;
</v>
      </c>
      <c r="AE20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&lt;destination_address&gt;540 20e Avenue, Lachine, QC H8S 3T1, Canada&lt;/destination_address&gt;
 &lt;row&gt;
  &lt;element&gt;
   &lt;status&gt;OK&lt;/status&gt;
   &lt;duration&gt;
    &lt;value&gt;18441&lt;/value&gt;
    &lt;text&gt;5 hours 7 mins&lt;/text&gt;
   &lt;/duration&gt;
   &lt;distance&gt;
    &lt;value&gt;530756&lt;/value&gt;
    &lt;text&gt;531 km&lt;/text&gt;
   &lt;/distance&gt;
  &lt;/element&gt;
 &lt;/row&gt;
&lt;/DistanceMatrixResponse&gt;
</v>
      </c>
      <c r="AF20" s="1" cm="1">
        <f t="array" ref="AF20">_xlfn.FILTERXML(AB20,"//distance/value")/1000</f>
        <v>261.887</v>
      </c>
      <c r="AG20" s="1" cm="1">
        <f t="array" ref="AG20">_xlfn.FILTERXML(AC20,"//distance/value")/1000</f>
        <v>18.459</v>
      </c>
      <c r="AH20" s="1" cm="1">
        <f t="array" ref="AH20">_xlfn.FILTERXML(AD20,"//distance/value")/1000</f>
        <v>4546.018</v>
      </c>
      <c r="AI20" s="1" cm="1">
        <f t="array" ref="AI20">_xlfn.FILTERXML(AE20,"//distance/value")/1000</f>
        <v>530.75599999999997</v>
      </c>
      <c r="AJ20" s="1">
        <f t="shared" si="4"/>
        <v>18.459</v>
      </c>
      <c r="AK20" s="39" cm="1">
        <f t="array" ref="AK20">_xlfn.FILTERXML(AB20,"//duration/value")/60/60/24</f>
        <v>0.11166666666666668</v>
      </c>
      <c r="AL20" s="39" cm="1">
        <f t="array" ref="AL20">_xlfn.FILTERXML(AC20,"//duration/value")/60/60/24</f>
        <v>2.1909722222222223E-2</v>
      </c>
      <c r="AM20" s="39" cm="1">
        <f t="array" ref="AM20">_xlfn.FILTERXML(AD20,"//duration/value")/60/60/24</f>
        <v>1.8649652777777781</v>
      </c>
      <c r="AN20" s="39" cm="1">
        <f t="array" ref="AN20">_xlfn.FILTERXML(AE20,"//duration/value")/60/60/24</f>
        <v>0.21343750000000003</v>
      </c>
      <c r="AO20" s="4" t="str">
        <f t="shared" si="5"/>
        <v>Montreal</v>
      </c>
      <c r="AP20" s="4" t="str">
        <f t="shared" si="6"/>
        <v>Montreal</v>
      </c>
      <c r="AQ20" s="39" cm="1">
        <f t="array" ref="AQ20">_xlfn.FILTERXML(_xlfn.XLOOKUP(AJ20,$AF20:$AI20,AB20:AE20),"//duration/value")/60/60/24</f>
        <v>2.1909722222222223E-2</v>
      </c>
      <c r="AS20" s="1" t="s">
        <v>343</v>
      </c>
      <c r="AT20" s="1" t="s">
        <v>344</v>
      </c>
      <c r="AU20" s="1" t="s">
        <v>345</v>
      </c>
      <c r="AV20" s="1" t="s">
        <v>346</v>
      </c>
      <c r="AW20" s="1">
        <v>261.887</v>
      </c>
      <c r="AX20" s="1">
        <v>18.459</v>
      </c>
      <c r="AY20" s="1">
        <v>4546.018</v>
      </c>
      <c r="AZ20" s="1">
        <v>530.75599999999997</v>
      </c>
      <c r="BA20" s="1">
        <v>18.459</v>
      </c>
      <c r="BB20" s="39">
        <v>0.11166666666666668</v>
      </c>
      <c r="BC20" s="39">
        <v>2.1909722222222223E-2</v>
      </c>
      <c r="BD20" s="39">
        <v>1.8649652777777781</v>
      </c>
      <c r="BE20" s="39">
        <v>0.21343750000000003</v>
      </c>
      <c r="BF20" s="4" t="s">
        <v>285</v>
      </c>
      <c r="BG20" s="4" t="s">
        <v>285</v>
      </c>
      <c r="BH20" s="39">
        <v>2.1909722222222223E-2</v>
      </c>
    </row>
    <row r="21" spans="1:60" ht="28.8">
      <c r="A21" s="1" t="s">
        <v>42</v>
      </c>
      <c r="B21" s="1" t="s">
        <v>139</v>
      </c>
      <c r="C21" s="1" t="s">
        <v>154</v>
      </c>
      <c r="D21" s="37">
        <v>44895</v>
      </c>
      <c r="E21" s="37">
        <v>45015</v>
      </c>
      <c r="F21" s="1" t="s">
        <v>226</v>
      </c>
      <c r="G21" s="4">
        <v>78</v>
      </c>
      <c r="I21" s="4">
        <v>175</v>
      </c>
      <c r="J21" s="4" t="s">
        <v>27</v>
      </c>
      <c r="K21" s="38">
        <f>Table1[[#This Row],[Estimated Hours]]*Table1[[#This Row],[Hourly rate]]*1.15</f>
        <v>15697.499999999998</v>
      </c>
      <c r="L21" s="4" t="s">
        <v>155</v>
      </c>
      <c r="M21" s="1" t="s">
        <v>156</v>
      </c>
      <c r="N21" s="4">
        <v>29685280</v>
      </c>
      <c r="O21" s="37">
        <v>44901</v>
      </c>
      <c r="P21" s="1" t="s">
        <v>81</v>
      </c>
      <c r="Q21" s="6" t="s">
        <v>157</v>
      </c>
      <c r="R21" s="1">
        <v>46.623594199999999</v>
      </c>
      <c r="S21" s="1">
        <v>-71.500496200000001</v>
      </c>
      <c r="T21" s="12" t="s">
        <v>158</v>
      </c>
      <c r="U21" s="6" t="s">
        <v>159</v>
      </c>
      <c r="X21" s="1">
        <f>_xlfn.XLOOKUP(Table13[[#This Row],[Project Number]],'Projets Jerome'!$L$2:$L$26,'Projets Jerome'!$AC$2:$AC$26)</f>
        <v>46.623594199999999</v>
      </c>
      <c r="Y21" s="1">
        <f>_xlfn.XLOOKUP(Table13[[#This Row],[Project Number]],'Projets Jerome'!$L$2:$L$26,'Projets Jerome'!$AD$2:$AD$26)</f>
        <v>-71.500496200000001</v>
      </c>
      <c r="AB21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&lt;destination_address&gt;290 Rue Laurier, Saint-Apollinaire, QC G0S 2E0, Canada&lt;/destination_address&gt;
 &lt;row&gt;
  &lt;element&gt;
   &lt;status&gt;OK&lt;/status&gt;
   &lt;duration&gt;
    &lt;value&gt;1232&lt;/value&gt;
    &lt;text&gt;21 mins&lt;/text&gt;
   &lt;/duration&gt;
   &lt;distance&gt;
    &lt;value&gt;29159&lt;/value&gt;
    &lt;text&gt;29.2 km&lt;/text&gt;
   &lt;/distance&gt;
  &lt;/element&gt;
 &lt;/row&gt;
&lt;/DistanceMatrixResponse&gt;
</v>
      </c>
      <c r="AC21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&lt;destination_address&gt;290 Rue Laurier, Saint-Apollinaire, QC G0S 2E0, Canada&lt;/destination_address&gt;
 &lt;row&gt;
  &lt;element&gt;
   &lt;status&gt;OK&lt;/status&gt;
   &lt;duration&gt;
    &lt;value&gt;8827&lt;/value&gt;
    &lt;text&gt;2 hours 27 mins&lt;/text&gt;
   &lt;/duration&gt;
   &lt;distance&gt;
    &lt;value&gt;220113&lt;/value&gt;
    &lt;text&gt;220 km&lt;/text&gt;
   &lt;/distance&gt;
  &lt;/element&gt;
 &lt;/row&gt;
&lt;/DistanceMatrixResponse&gt;
</v>
      </c>
      <c r="AD21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&lt;destination_address&gt;290 Rue Laurier, Saint-Apollinaire, QC G0S 2E0, Canada&lt;/destination_address&gt;
 &lt;row&gt;
  &lt;element&gt;
   &lt;status&gt;OK&lt;/status&gt;
   &lt;duration&gt;
    &lt;value&gt;169052&lt;/value&gt;
    &lt;text&gt;1 day 23 hours&lt;/text&gt;
   &lt;/duration&gt;
   &lt;distance&gt;
    &lt;value&gt;4767844&lt;/value&gt;
    &lt;text&gt;4,768 km&lt;/text&gt;
   &lt;/distance&gt;
  &lt;/element&gt;
 &lt;/row&gt;
&lt;/DistanceMatrixResponse&gt;
</v>
      </c>
      <c r="AE21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&lt;destination_address&gt;290 Rue Laurier, Saint-Apollinaire, QC G0S 2E0, Canada&lt;/destination_address&gt;
 &lt;row&gt;
  &lt;element&gt;
   &lt;status&gt;OK&lt;/status&gt;
   &lt;duration&gt;
    &lt;value&gt;26240&lt;/value&gt;
    &lt;text&gt;7 hours 17 mins&lt;/text&gt;
   &lt;/duration&gt;
   &lt;distance&gt;
    &lt;value&gt;769857&lt;/value&gt;
    &lt;text&gt;770 km&lt;/text&gt;
   &lt;/distance&gt;
  &lt;/element&gt;
 &lt;/row&gt;
&lt;/DistanceMatrixResponse&gt;
</v>
      </c>
      <c r="AF21" s="1" cm="1">
        <f t="array" ref="AF21">_xlfn.FILTERXML(AB21,"//distance/value")/1000</f>
        <v>29.158999999999999</v>
      </c>
      <c r="AG21" s="1" cm="1">
        <f t="array" ref="AG21">_xlfn.FILTERXML(AC21,"//distance/value")/1000</f>
        <v>220.113</v>
      </c>
      <c r="AH21" s="1" cm="1">
        <f t="array" ref="AH21">_xlfn.FILTERXML(AD21,"//distance/value")/1000</f>
        <v>4767.8440000000001</v>
      </c>
      <c r="AI21" s="1" cm="1">
        <f t="array" ref="AI21">_xlfn.FILTERXML(AE21,"//distance/value")/1000</f>
        <v>769.85699999999997</v>
      </c>
      <c r="AJ21" s="1">
        <f t="shared" si="4"/>
        <v>29.158999999999999</v>
      </c>
      <c r="AK21" s="39" cm="1">
        <f t="array" ref="AK21">_xlfn.FILTERXML(AB21,"//duration/value")/60/60/24</f>
        <v>1.4259259259259261E-2</v>
      </c>
      <c r="AL21" s="39" cm="1">
        <f t="array" ref="AL21">_xlfn.FILTERXML(AC21,"//duration/value")/60/60/24</f>
        <v>0.10216435185185185</v>
      </c>
      <c r="AM21" s="39" cm="1">
        <f t="array" ref="AM21">_xlfn.FILTERXML(AD21,"//duration/value")/60/60/24</f>
        <v>1.9566203703703702</v>
      </c>
      <c r="AN21" s="39" cm="1">
        <f t="array" ref="AN21">_xlfn.FILTERXML(AE21,"//duration/value")/60/60/24</f>
        <v>0.3037037037037037</v>
      </c>
      <c r="AO21" s="4" t="str">
        <f t="shared" si="5"/>
        <v>Quebec</v>
      </c>
      <c r="AP21" s="4" t="str">
        <f t="shared" si="6"/>
        <v>Quebec</v>
      </c>
      <c r="AQ21" s="39" cm="1">
        <f t="array" ref="AQ21">_xlfn.FILTERXML(_xlfn.XLOOKUP(AJ21,$AF21:$AI21,AB21:AE21),"//duration/value")/60/60/24</f>
        <v>1.4259259259259261E-2</v>
      </c>
      <c r="AS21" s="1" t="s">
        <v>347</v>
      </c>
      <c r="AT21" s="1" t="s">
        <v>348</v>
      </c>
      <c r="AU21" s="1" t="s">
        <v>349</v>
      </c>
      <c r="AV21" s="1" t="s">
        <v>350</v>
      </c>
      <c r="AW21" s="1">
        <v>29.158999999999999</v>
      </c>
      <c r="AX21" s="1">
        <v>220.113</v>
      </c>
      <c r="AY21" s="1">
        <v>4767.8440000000001</v>
      </c>
      <c r="AZ21" s="1">
        <v>769.85699999999997</v>
      </c>
      <c r="BA21" s="1">
        <v>29.158999999999999</v>
      </c>
      <c r="BB21" s="39">
        <v>1.4259259259259261E-2</v>
      </c>
      <c r="BC21" s="39">
        <v>0.10216435185185185</v>
      </c>
      <c r="BD21" s="39">
        <v>1.9566203703703702</v>
      </c>
      <c r="BE21" s="39">
        <v>0.3037037037037037</v>
      </c>
      <c r="BF21" s="4" t="s">
        <v>290</v>
      </c>
      <c r="BG21" s="4" t="s">
        <v>290</v>
      </c>
      <c r="BH21" s="39">
        <v>1.4259259259259261E-2</v>
      </c>
    </row>
    <row r="22" spans="1:60" ht="43.2">
      <c r="A22" s="1" t="s">
        <v>42</v>
      </c>
      <c r="B22" s="42" t="s">
        <v>231</v>
      </c>
      <c r="C22" s="1" t="s">
        <v>228</v>
      </c>
      <c r="D22" s="2">
        <v>44917</v>
      </c>
      <c r="E22" s="2">
        <v>45015</v>
      </c>
      <c r="F22" s="1" t="s">
        <v>26</v>
      </c>
      <c r="G22" s="4">
        <v>46</v>
      </c>
      <c r="I22" s="4">
        <v>165</v>
      </c>
      <c r="J22" s="4" t="s">
        <v>27</v>
      </c>
      <c r="K22" s="5">
        <f>Table1[[#This Row],[Estimated Hours]]*Table1[[#This Row],[Hourly rate]]*1.15</f>
        <v>7969.4999999999991</v>
      </c>
      <c r="L22" s="43" t="s">
        <v>232</v>
      </c>
      <c r="M22" s="44" t="s">
        <v>95</v>
      </c>
      <c r="N22" s="4">
        <v>29685283</v>
      </c>
      <c r="O22" s="2">
        <v>44917</v>
      </c>
      <c r="P22" s="1" t="s">
        <v>230</v>
      </c>
      <c r="Q22" s="6" t="s">
        <v>229</v>
      </c>
      <c r="R22" s="1">
        <v>45.594031999999999</v>
      </c>
      <c r="S22" s="1">
        <v>-73.743847000000002</v>
      </c>
      <c r="T22" s="12" t="s">
        <v>227</v>
      </c>
      <c r="U22" s="6" t="s">
        <v>233</v>
      </c>
      <c r="X22" s="1">
        <f>_xlfn.XLOOKUP(Table13[[#This Row],[Project Number]],'Projets Jerome'!$L$2:$L$26,'Projets Jerome'!$AC$2:$AC$26)</f>
        <v>45.594031999999999</v>
      </c>
      <c r="Y22" s="1">
        <f>_xlfn.XLOOKUP(Table13[[#This Row],[Project Number]],'Projets Jerome'!$L$2:$L$26,'Projets Jerome'!$AD$2:$AD$26)</f>
        <v>-73.743847000000002</v>
      </c>
      <c r="AB22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&lt;destination_address&gt;990 Rue Bergar, Laval, QC H7L 5A1, Canada&lt;/destination_address&gt;
 &lt;row&gt;
  &lt;element&gt;
   &lt;status&gt;OK&lt;/status&gt;
   &lt;duration&gt;
    &lt;value&gt;9233&lt;/value&gt;
    &lt;text&gt;2 hours 34 mins&lt;/text&gt;
   &lt;/duration&gt;
   &lt;distance&gt;
    &lt;value&gt;256592&lt;/value&gt;
    &lt;text&gt;257 km&lt;/text&gt;
   &lt;/distance&gt;
  &lt;/element&gt;
 &lt;/row&gt;
&lt;/DistanceMatrixResponse&gt;
</v>
      </c>
      <c r="AC22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&lt;destination_address&gt;990 Rue Bergar, Laval, QC H7L 5A1, Canada&lt;/destination_address&gt;
 &lt;row&gt;
  &lt;element&gt;
   &lt;status&gt;OK&lt;/status&gt;
   &lt;duration&gt;
    &lt;value&gt;1416&lt;/value&gt;
    &lt;text&gt;24 mins&lt;/text&gt;
   &lt;/duration&gt;
   &lt;distance&gt;
    &lt;value&gt;18004&lt;/value&gt;
    &lt;text&gt;18.0 km&lt;/text&gt;
   &lt;/distance&gt;
  &lt;/element&gt;
 &lt;/row&gt;
&lt;/DistanceMatrixResponse&gt;
</v>
      </c>
      <c r="AD22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&lt;destination_address&gt;990 Rue Bergar, Laval, QC H7L 5A1, Canada&lt;/destination_address&gt;
 &lt;row&gt;
  &lt;element&gt;
   &lt;status&gt;OK&lt;/status&gt;
   &lt;duration&gt;
    &lt;value&gt;161450&lt;/value&gt;
    &lt;text&gt;1 day 21 hours&lt;/text&gt;
   &lt;/duration&gt;
   &lt;distance&gt;
    &lt;value&gt;4555925&lt;/value&gt;
    &lt;text&gt;4,556 km&lt;/text&gt;
   &lt;/distance&gt;
  &lt;/element&gt;
 &lt;/row&gt;
&lt;/DistanceMatrixResponse&gt;
</v>
      </c>
      <c r="AE22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&lt;destination_address&gt;990 Rue Bergar, Laval, QC H7L 5A1, Canada&lt;/destination_address&gt;
 &lt;row&gt;
  &lt;element&gt;
   &lt;status&gt;OK&lt;/status&gt;
   &lt;duration&gt;
    &lt;value&gt;18822&lt;/value&gt;
    &lt;text&gt;5 hours 14 mins&lt;/text&gt;
   &lt;/duration&gt;
   &lt;distance&gt;
    &lt;value&gt;549287&lt;/value&gt;
    &lt;text&gt;549 km&lt;/text&gt;
   &lt;/distance&gt;
  &lt;/element&gt;
 &lt;/row&gt;
&lt;/DistanceMatrixResponse&gt;
</v>
      </c>
      <c r="AF22" s="1" cm="1">
        <f t="array" ref="AF22">_xlfn.FILTERXML(AB22,"//distance/value")/1000</f>
        <v>256.59199999999998</v>
      </c>
      <c r="AG22" s="1" cm="1">
        <f t="array" ref="AG22">_xlfn.FILTERXML(AC22,"//distance/value")/1000</f>
        <v>18.004000000000001</v>
      </c>
      <c r="AH22" s="1" cm="1">
        <f t="array" ref="AH22">_xlfn.FILTERXML(AD22,"//distance/value")/1000</f>
        <v>4555.9250000000002</v>
      </c>
      <c r="AI22" s="1" cm="1">
        <f t="array" ref="AI22">_xlfn.FILTERXML(AE22,"//distance/value")/1000</f>
        <v>549.28700000000003</v>
      </c>
      <c r="AJ22" s="1">
        <f t="shared" si="4"/>
        <v>18.004000000000001</v>
      </c>
      <c r="AK22" s="39" cm="1">
        <f t="array" ref="AK22">_xlfn.FILTERXML(AB22,"//duration/value")/60/60/24</f>
        <v>0.10686342592592592</v>
      </c>
      <c r="AL22" s="39" cm="1">
        <f t="array" ref="AL22">_xlfn.FILTERXML(AC22,"//duration/value")/60/60/24</f>
        <v>1.638888888888889E-2</v>
      </c>
      <c r="AM22" s="39" cm="1">
        <f t="array" ref="AM22">_xlfn.FILTERXML(AD22,"//duration/value")/60/60/24</f>
        <v>1.8686342592592593</v>
      </c>
      <c r="AN22" s="39" cm="1">
        <f t="array" ref="AN22">_xlfn.FILTERXML(AE22,"//duration/value")/60/60/24</f>
        <v>0.21784722222222222</v>
      </c>
      <c r="AO22" s="4" t="str">
        <f t="shared" si="5"/>
        <v>Montreal</v>
      </c>
      <c r="AP22" s="4" t="str">
        <f t="shared" si="6"/>
        <v>Montreal</v>
      </c>
      <c r="AQ22" s="39" cm="1">
        <f t="array" ref="AQ22">_xlfn.FILTERXML(_xlfn.XLOOKUP(AJ22,$AF22:$AI22,AB22:AE22),"//duration/value")/60/60/24</f>
        <v>1.638888888888889E-2</v>
      </c>
      <c r="AS22" s="1" t="s">
        <v>351</v>
      </c>
      <c r="AT22" s="1" t="s">
        <v>352</v>
      </c>
      <c r="AU22" s="1" t="s">
        <v>353</v>
      </c>
      <c r="AV22" s="1" t="s">
        <v>354</v>
      </c>
      <c r="AW22" s="1">
        <v>256.59199999999998</v>
      </c>
      <c r="AX22" s="1">
        <v>18.004000000000001</v>
      </c>
      <c r="AY22" s="1">
        <v>4555.9250000000002</v>
      </c>
      <c r="AZ22" s="1">
        <v>549.28700000000003</v>
      </c>
      <c r="BA22" s="1">
        <v>18.004000000000001</v>
      </c>
      <c r="BB22" s="39">
        <v>0.10686342592592592</v>
      </c>
      <c r="BC22" s="39">
        <v>1.638888888888889E-2</v>
      </c>
      <c r="BD22" s="39">
        <v>1.8686342592592593</v>
      </c>
      <c r="BE22" s="39">
        <v>0.21784722222222222</v>
      </c>
      <c r="BF22" s="4" t="s">
        <v>285</v>
      </c>
      <c r="BG22" s="4" t="s">
        <v>285</v>
      </c>
      <c r="BH22" s="39">
        <v>1.638888888888889E-2</v>
      </c>
    </row>
    <row r="23" spans="1:60" ht="28.8">
      <c r="A23" s="1" t="s">
        <v>42</v>
      </c>
      <c r="B23" s="1" t="s">
        <v>160</v>
      </c>
      <c r="C23" s="1" t="s">
        <v>134</v>
      </c>
      <c r="D23" s="37">
        <v>44858</v>
      </c>
      <c r="E23" s="37">
        <v>45016</v>
      </c>
      <c r="F23" s="1" t="s">
        <v>36</v>
      </c>
      <c r="G23" s="4">
        <v>166</v>
      </c>
      <c r="H23" s="4">
        <v>1</v>
      </c>
      <c r="I23" s="4">
        <v>165</v>
      </c>
      <c r="J23" s="4" t="s">
        <v>27</v>
      </c>
      <c r="K23" s="38">
        <f>Table1[[#This Row],[Estimated Hours]]*Table1[[#This Row],[Hourly rate]]*1.15</f>
        <v>31498.499999999996</v>
      </c>
      <c r="L23" s="4" t="s">
        <v>161</v>
      </c>
      <c r="M23" s="1" t="s">
        <v>160</v>
      </c>
      <c r="N23" s="4">
        <v>29685255</v>
      </c>
      <c r="O23" s="37">
        <v>44858</v>
      </c>
      <c r="P23" s="1" t="s">
        <v>81</v>
      </c>
      <c r="Q23" s="6" t="s">
        <v>136</v>
      </c>
      <c r="R23" s="1">
        <v>45.157066800000003</v>
      </c>
      <c r="S23" s="1">
        <v>-71.801298099999997</v>
      </c>
      <c r="T23" s="12" t="s">
        <v>137</v>
      </c>
      <c r="U23" s="6" t="s">
        <v>234</v>
      </c>
      <c r="X23" s="1">
        <f>_xlfn.XLOOKUP(Table13[[#This Row],[Project Number]],'Projets Jerome'!$L$2:$L$26,'Projets Jerome'!$AC$2:$AC$26)</f>
        <v>45.157066800000003</v>
      </c>
      <c r="Y23" s="1">
        <f>_xlfn.XLOOKUP(Table13[[#This Row],[Project Number]],'Projets Jerome'!$L$2:$L$26,'Projets Jerome'!$AD$2:$AD$26)</f>
        <v>-71.801298099999997</v>
      </c>
      <c r="AB23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&lt;destination_address&gt;1000 Rue Child, Coaticook, QC J1A 2S5, Canada&lt;/destination_address&gt;
 &lt;row&gt;
  &lt;element&gt;
   &lt;status&gt;OK&lt;/status&gt;
   &lt;duration&gt;
    &lt;value&gt;9185&lt;/value&gt;
    &lt;text&gt;2 hours 33 mins&lt;/text&gt;
   &lt;/duration&gt;
   &lt;distance&gt;
    &lt;value&gt;257374&lt;/value&gt;
    &lt;text&gt;257 km&lt;/text&gt;
   &lt;/distance&gt;
  &lt;/element&gt;
 &lt;/row&gt;
&lt;/DistanceMatrixResponse&gt;
</v>
      </c>
      <c r="AC23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&lt;destination_address&gt;1000 Rue Child, Coaticook, QC J1A 2S5, Canada&lt;/destination_address&gt;
 &lt;row&gt;
  &lt;element&gt;
   &lt;status&gt;OK&lt;/status&gt;
   &lt;duration&gt;
    &lt;value&gt;7585&lt;/value&gt;
    &lt;text&gt;2 hours 6 mins&lt;/text&gt;
   &lt;/duration&gt;
   &lt;distance&gt;
    &lt;value&gt;174813&lt;/value&gt;
    &lt;text&gt;175 km&lt;/text&gt;
   &lt;/distance&gt;
  &lt;/element&gt;
 &lt;/row&gt;
&lt;/DistanceMatrixResponse&gt;
</v>
      </c>
      <c r="AD23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&lt;destination_address&gt;1000 Rue Child, Coaticook, QC J1A 2S5, Canada&lt;/destination_address&gt;
 &lt;row&gt;
  &lt;element&gt;
   &lt;status&gt;OK&lt;/status&gt;
   &lt;duration&gt;
    &lt;value&gt;167532&lt;/value&gt;
    &lt;text&gt;1 day 23 hours&lt;/text&gt;
   &lt;/duration&gt;
   &lt;distance&gt;
    &lt;value&gt;4716670&lt;/value&gt;
    &lt;text&gt;4,717 km&lt;/text&gt;
   &lt;/distance&gt;
  &lt;/element&gt;
 &lt;/row&gt;
&lt;/DistanceMatrixResponse&gt;
</v>
      </c>
      <c r="AE23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&lt;destination_address&gt;1000 Rue Child, Coaticook, QC J1A 2S5, Canada&lt;/destination_address&gt;
 &lt;row&gt;
  &lt;element&gt;
   &lt;status&gt;OK&lt;/status&gt;
   &lt;duration&gt;
    &lt;value&gt;24645&lt;/value&gt;
    &lt;text&gt;6 hours 51 mins&lt;/text&gt;
   &lt;/duration&gt;
   &lt;distance&gt;
    &lt;value&gt;711018&lt;/value&gt;
    &lt;text&gt;711 km&lt;/text&gt;
   &lt;/distance&gt;
  &lt;/element&gt;
 &lt;/row&gt;
&lt;/DistanceMatrixResponse&gt;
</v>
      </c>
      <c r="AF23" s="1" cm="1">
        <f t="array" ref="AF23">_xlfn.FILTERXML(AB23,"//distance/value")/1000</f>
        <v>257.37400000000002</v>
      </c>
      <c r="AG23" s="1" cm="1">
        <f t="array" ref="AG23">_xlfn.FILTERXML(AC23,"//distance/value")/1000</f>
        <v>174.81299999999999</v>
      </c>
      <c r="AH23" s="1" cm="1">
        <f t="array" ref="AH23">_xlfn.FILTERXML(AD23,"//distance/value")/1000</f>
        <v>4716.67</v>
      </c>
      <c r="AI23" s="1" cm="1">
        <f t="array" ref="AI23">_xlfn.FILTERXML(AE23,"//distance/value")/1000</f>
        <v>711.01800000000003</v>
      </c>
      <c r="AJ23" s="1">
        <f t="shared" si="4"/>
        <v>174.81299999999999</v>
      </c>
      <c r="AK23" s="39" cm="1">
        <f t="array" ref="AK23">_xlfn.FILTERXML(AB23,"//duration/value")/60/60/24</f>
        <v>0.10630787037037037</v>
      </c>
      <c r="AL23" s="39" cm="1">
        <f t="array" ref="AL23">_xlfn.FILTERXML(AC23,"//duration/value")/60/60/24</f>
        <v>8.7789351851851868E-2</v>
      </c>
      <c r="AM23" s="39" cm="1">
        <f t="array" ref="AM23">_xlfn.FILTERXML(AD23,"//duration/value")/60/60/24</f>
        <v>1.9390277777777776</v>
      </c>
      <c r="AN23" s="39" cm="1">
        <f t="array" ref="AN23">_xlfn.FILTERXML(AE23,"//duration/value")/60/60/24</f>
        <v>0.28524305555555557</v>
      </c>
      <c r="AO23" s="4" t="str">
        <f t="shared" si="5"/>
        <v>Montreal</v>
      </c>
      <c r="AP23" s="4" t="str">
        <f t="shared" si="6"/>
        <v>Montreal</v>
      </c>
      <c r="AQ23" s="39" cm="1">
        <f t="array" ref="AQ23">_xlfn.FILTERXML(_xlfn.XLOOKUP(AJ23,$AF23:$AI23,AB23:AE23),"//duration/value")/60/60/24</f>
        <v>8.7789351851851868E-2</v>
      </c>
      <c r="AS23" s="1" t="s">
        <v>339</v>
      </c>
      <c r="AT23" s="1" t="s">
        <v>340</v>
      </c>
      <c r="AU23" s="1" t="s">
        <v>341</v>
      </c>
      <c r="AV23" s="1" t="s">
        <v>342</v>
      </c>
      <c r="AW23" s="1">
        <v>257.37400000000002</v>
      </c>
      <c r="AX23" s="1">
        <v>174.81299999999999</v>
      </c>
      <c r="AY23" s="1">
        <v>4716.67</v>
      </c>
      <c r="AZ23" s="1">
        <v>711.01800000000003</v>
      </c>
      <c r="BA23" s="1">
        <v>174.81299999999999</v>
      </c>
      <c r="BB23" s="39">
        <v>0.10630787037037037</v>
      </c>
      <c r="BC23" s="39">
        <v>8.7789351851851868E-2</v>
      </c>
      <c r="BD23" s="39">
        <v>1.9390277777777776</v>
      </c>
      <c r="BE23" s="39">
        <v>0.28524305555555557</v>
      </c>
      <c r="BF23" s="4" t="s">
        <v>285</v>
      </c>
      <c r="BG23" s="4" t="s">
        <v>285</v>
      </c>
      <c r="BH23" s="39">
        <v>8.7789351851851868E-2</v>
      </c>
    </row>
    <row r="24" spans="1:60" ht="28.8">
      <c r="A24" s="1" t="s">
        <v>23</v>
      </c>
      <c r="B24" s="1" t="s">
        <v>162</v>
      </c>
      <c r="C24" s="1" t="s">
        <v>163</v>
      </c>
      <c r="D24" s="37">
        <v>44866</v>
      </c>
      <c r="E24" s="37">
        <v>45291</v>
      </c>
      <c r="F24" s="1" t="s">
        <v>36</v>
      </c>
      <c r="G24" s="4">
        <v>815</v>
      </c>
      <c r="H24" s="4">
        <v>1</v>
      </c>
      <c r="I24" s="4">
        <v>170</v>
      </c>
      <c r="J24" s="4" t="s">
        <v>27</v>
      </c>
      <c r="K24" s="38">
        <f>Table1[[#This Row],[Estimated Hours]]*Table1[[#This Row],[Hourly rate]]*1.15</f>
        <v>159332.5</v>
      </c>
      <c r="L24" s="4" t="s">
        <v>164</v>
      </c>
      <c r="M24" s="1" t="s">
        <v>165</v>
      </c>
      <c r="N24" s="4">
        <v>29685265</v>
      </c>
      <c r="O24" s="37">
        <v>44876</v>
      </c>
      <c r="P24" s="1" t="s">
        <v>30</v>
      </c>
      <c r="Q24" s="6" t="s">
        <v>166</v>
      </c>
      <c r="R24" s="1">
        <v>45.929332700000003</v>
      </c>
      <c r="S24" s="1">
        <v>-73.016694200000003</v>
      </c>
      <c r="T24" s="12" t="s">
        <v>167</v>
      </c>
      <c r="U24" s="6" t="s">
        <v>168</v>
      </c>
      <c r="X24" s="1">
        <f>_xlfn.XLOOKUP(Table13[[#This Row],[Project Number]],'Projets Jerome'!$L$2:$L$26,'Projets Jerome'!$AC$2:$AC$26)</f>
        <v>45.929332700000003</v>
      </c>
      <c r="Y24" s="1">
        <f>_xlfn.XLOOKUP(Table13[[#This Row],[Project Number]],'Projets Jerome'!$L$2:$L$26,'Projets Jerome'!$AD$2:$AD$26)</f>
        <v>-73.016694200000003</v>
      </c>
      <c r="AB24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&lt;destination_address&gt;235 Chemin de St Robert, Saint-Robert, QC J0G 1S0, Canada&lt;/destination_address&gt;
 &lt;row&gt;
  &lt;element&gt;
   &lt;status&gt;OK&lt;/status&gt;
   &lt;duration&gt;
    &lt;value&gt;7383&lt;/value&gt;
    &lt;text&gt;2 hours 3 mins&lt;/text&gt;
   &lt;/duration&gt;
   &lt;distance&gt;
    &lt;value&gt;197815&lt;/value&gt;
    &lt;text&gt;198 km&lt;/text&gt;
   &lt;/distance&gt;
  &lt;/element&gt;
 &lt;/row&gt;
&lt;/DistanceMatrixResponse&gt;
</v>
      </c>
      <c r="AC24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&lt;destination_address&gt;235 Chemin de St Robert, Saint-Robert, QC J0G 1S0, Canada&lt;/destination_address&gt;
 &lt;row&gt;
  &lt;element&gt;
   &lt;status&gt;OK&lt;/status&gt;
   &lt;duration&gt;
    &lt;value&gt;5007&lt;/value&gt;
    &lt;text&gt;1 hour 23 mins&lt;/text&gt;
   &lt;/duration&gt;
   &lt;distance&gt;
    &lt;value&gt;102671&lt;/value&gt;
    &lt;text&gt;103 km&lt;/text&gt;
   &lt;/distance&gt;
  &lt;/element&gt;
 &lt;/row&gt;
&lt;/DistanceMatrixResponse&gt;
</v>
      </c>
      <c r="AD24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&lt;destination_address&gt;235 Chemin de St Robert, Saint-Robert, QC J0G 1S0, Canada&lt;/destination_address&gt;
 &lt;row&gt;
  &lt;element&gt;
   &lt;status&gt;OK&lt;/status&gt;
   &lt;duration&gt;
    &lt;value&gt;165232&lt;/value&gt;
    &lt;text&gt;1 day 22 hours&lt;/text&gt;
   &lt;/duration&gt;
   &lt;distance&gt;
    &lt;value&gt;4650402&lt;/value&gt;
    &lt;text&gt;4,650 km&lt;/text&gt;
   &lt;/distance&gt;
  &lt;/element&gt;
 &lt;/row&gt;
&lt;/DistanceMatrixResponse&gt;
</v>
      </c>
      <c r="AE24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&lt;destination_address&gt;235 Chemin de St Robert, Saint-Robert, QC J0G 1S0, Canada&lt;/destination_address&gt;
 &lt;row&gt;
  &lt;element&gt;
   &lt;status&gt;OK&lt;/status&gt;
   &lt;duration&gt;
    &lt;value&gt;22356&lt;/value&gt;
    &lt;text&gt;6 hours 13 mins&lt;/text&gt;
   &lt;/duration&gt;
   &lt;distance&gt;
    &lt;value&gt;651958&lt;/value&gt;
    &lt;text&gt;652 km&lt;/text&gt;
   &lt;/distance&gt;
  &lt;/element&gt;
 &lt;/row&gt;
&lt;/DistanceMatrixResponse&gt;
</v>
      </c>
      <c r="AF24" s="1" cm="1">
        <f t="array" ref="AF24">_xlfn.FILTERXML(AB24,"//distance/value")/1000</f>
        <v>197.815</v>
      </c>
      <c r="AG24" s="1" cm="1">
        <f t="array" ref="AG24">_xlfn.FILTERXML(AC24,"//distance/value")/1000</f>
        <v>102.67100000000001</v>
      </c>
      <c r="AH24" s="1" cm="1">
        <f t="array" ref="AH24">_xlfn.FILTERXML(AD24,"//distance/value")/1000</f>
        <v>4650.402</v>
      </c>
      <c r="AI24" s="1" cm="1">
        <f t="array" ref="AI24">_xlfn.FILTERXML(AE24,"//distance/value")/1000</f>
        <v>651.95799999999997</v>
      </c>
      <c r="AJ24" s="1">
        <f t="shared" si="4"/>
        <v>102.67100000000001</v>
      </c>
      <c r="AK24" s="39" cm="1">
        <f t="array" ref="AK24">_xlfn.FILTERXML(AB24,"//duration/value")/60/60/24</f>
        <v>8.5451388888888882E-2</v>
      </c>
      <c r="AL24" s="39" cm="1">
        <f t="array" ref="AL24">_xlfn.FILTERXML(AC24,"//duration/value")/60/60/24</f>
        <v>5.7951388888888893E-2</v>
      </c>
      <c r="AM24" s="39" cm="1">
        <f t="array" ref="AM24">_xlfn.FILTERXML(AD24,"//duration/value")/60/60/24</f>
        <v>1.9124074074074076</v>
      </c>
      <c r="AN24" s="39" cm="1">
        <f t="array" ref="AN24">_xlfn.FILTERXML(AE24,"//duration/value")/60/60/24</f>
        <v>0.25874999999999998</v>
      </c>
      <c r="AO24" s="4" t="str">
        <f t="shared" si="5"/>
        <v>Montreal</v>
      </c>
      <c r="AP24" s="4" t="str">
        <f t="shared" si="6"/>
        <v>Montreal</v>
      </c>
      <c r="AQ24" s="39" cm="1">
        <f t="array" ref="AQ24">_xlfn.FILTERXML(_xlfn.XLOOKUP(AJ24,$AF24:$AI24,AB24:AE24),"//duration/value")/60/60/24</f>
        <v>5.7951388888888893E-2</v>
      </c>
      <c r="AS24" s="1" t="s">
        <v>355</v>
      </c>
      <c r="AT24" s="1" t="s">
        <v>356</v>
      </c>
      <c r="AU24" s="1" t="s">
        <v>357</v>
      </c>
      <c r="AV24" s="1" t="s">
        <v>358</v>
      </c>
      <c r="AW24" s="1">
        <v>197.815</v>
      </c>
      <c r="AX24" s="1">
        <v>102.67100000000001</v>
      </c>
      <c r="AY24" s="1">
        <v>4650.402</v>
      </c>
      <c r="AZ24" s="1">
        <v>651.95799999999997</v>
      </c>
      <c r="BA24" s="1">
        <v>102.67100000000001</v>
      </c>
      <c r="BB24" s="39">
        <v>8.5451388888888882E-2</v>
      </c>
      <c r="BC24" s="39">
        <v>5.7951388888888893E-2</v>
      </c>
      <c r="BD24" s="39">
        <v>1.9124074074074076</v>
      </c>
      <c r="BE24" s="39">
        <v>0.25874999999999998</v>
      </c>
      <c r="BF24" s="4" t="s">
        <v>285</v>
      </c>
      <c r="BG24" s="4" t="s">
        <v>285</v>
      </c>
      <c r="BH24" s="39">
        <v>5.7951388888888893E-2</v>
      </c>
    </row>
    <row r="25" spans="1:60">
      <c r="A25" s="1" t="s">
        <v>23</v>
      </c>
      <c r="B25" s="1" t="s">
        <v>169</v>
      </c>
      <c r="C25" s="1" t="s">
        <v>170</v>
      </c>
      <c r="D25" s="37">
        <v>44846</v>
      </c>
      <c r="E25" s="37">
        <v>45289</v>
      </c>
      <c r="F25" s="1" t="s">
        <v>36</v>
      </c>
      <c r="G25" s="4">
        <v>981</v>
      </c>
      <c r="H25" s="4">
        <v>93.5</v>
      </c>
      <c r="I25" s="4">
        <v>165</v>
      </c>
      <c r="J25" s="4" t="s">
        <v>27</v>
      </c>
      <c r="K25" s="38">
        <f>Table1[[#This Row],[Estimated Hours]]*Table1[[#This Row],[Hourly rate]]*1.15</f>
        <v>186144.75</v>
      </c>
      <c r="L25" s="4" t="s">
        <v>171</v>
      </c>
      <c r="M25" s="1" t="s">
        <v>169</v>
      </c>
      <c r="N25" s="4">
        <v>29685241</v>
      </c>
      <c r="O25" s="45">
        <v>44846</v>
      </c>
      <c r="P25" s="1" t="s">
        <v>30</v>
      </c>
      <c r="Q25" s="6" t="s">
        <v>172</v>
      </c>
      <c r="R25" s="1">
        <v>45.529286800000001</v>
      </c>
      <c r="S25" s="1">
        <v>-73.664845299999996</v>
      </c>
      <c r="T25" s="41" t="s">
        <v>173</v>
      </c>
      <c r="U25" s="6" t="s">
        <v>174</v>
      </c>
      <c r="X25" s="1">
        <f>_xlfn.XLOOKUP(Table13[[#This Row],[Project Number]],'Projets Jerome'!$L$2:$L$26,'Projets Jerome'!$AC$2:$AC$26)</f>
        <v>45.529286800000001</v>
      </c>
      <c r="Y25" s="1">
        <f>_xlfn.XLOOKUP(Table13[[#This Row],[Project Number]],'Projets Jerome'!$L$2:$L$26,'Projets Jerome'!$AD$2:$AD$26)</f>
        <v>-73.664845299999996</v>
      </c>
      <c r="AB25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&lt;destination_address&gt;825 Rue Deslauriers, Saint-Laurent, QC H4N 1X3, Canada&lt;/destination_address&gt;
 &lt;row&gt;
  &lt;element&gt;
   &lt;status&gt;OK&lt;/status&gt;
   &lt;duration&gt;
    &lt;value&gt;9140&lt;/value&gt;
    &lt;text&gt;2 hours 32 mins&lt;/text&gt;
   &lt;/duration&gt;
   &lt;distance&gt;
    &lt;value&gt;249026&lt;/value&gt;
    &lt;text&gt;249 km&lt;/text&gt;
   &lt;/distance&gt;
  &lt;/element&gt;
 &lt;/row&gt;
&lt;/DistanceMatrixResponse&gt;
</v>
      </c>
      <c r="AC25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&lt;destination_address&gt;825 Rue Deslauriers, Saint-Laurent, QC H4N 1X3, Canada&lt;/destination_address&gt;
 &lt;row&gt;
  &lt;element&gt;
   &lt;status&gt;OK&lt;/status&gt;
   &lt;duration&gt;
    &lt;value&gt;939&lt;/value&gt;
    &lt;text&gt;16 mins&lt;/text&gt;
   &lt;/duration&gt;
   &lt;distance&gt;
    &lt;value&gt;6788&lt;/value&gt;
    &lt;text&gt;6.8 km&lt;/text&gt;
   &lt;/distance&gt;
  &lt;/element&gt;
 &lt;/row&gt;
&lt;/DistanceMatrixResponse&gt;
</v>
      </c>
      <c r="AD25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&lt;destination_address&gt;825 Rue Deslauriers, Saint-Laurent, QC H4N 1X3, Canada&lt;/destination_address&gt;
 &lt;row&gt;
  &lt;element&gt;
   &lt;status&gt;OK&lt;/status&gt;
   &lt;duration&gt;
    &lt;value&gt;161277&lt;/value&gt;
    &lt;text&gt;1 day 21 hours&lt;/text&gt;
   &lt;/duration&gt;
   &lt;distance&gt;
    &lt;value&gt;4549757&lt;/value&gt;
    &lt;text&gt;4,550 km&lt;/text&gt;
   &lt;/distance&gt;
  &lt;/element&gt;
 &lt;/row&gt;
&lt;/DistanceMatrixResponse&gt;
</v>
      </c>
      <c r="AE25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&lt;destination_address&gt;825 Rue Deslauriers, Saint-Laurent, QC H4N 1X3, Canada&lt;/destination_address&gt;
 &lt;row&gt;
  &lt;element&gt;
   &lt;status&gt;OK&lt;/status&gt;
   &lt;duration&gt;
    &lt;value&gt;18650&lt;/value&gt;
    &lt;text&gt;5 hours 11 mins&lt;/text&gt;
   &lt;/duration&gt;
   &lt;distance&gt;
    &lt;value&gt;543119&lt;/value&gt;
    &lt;text&gt;543 km&lt;/text&gt;
   &lt;/distance&gt;
  &lt;/element&gt;
 &lt;/row&gt;
&lt;/DistanceMatrixResponse&gt;
</v>
      </c>
      <c r="AF25" s="1" cm="1">
        <f t="array" ref="AF25">_xlfn.FILTERXML(AB25,"//distance/value")/1000</f>
        <v>249.02600000000001</v>
      </c>
      <c r="AG25" s="1" cm="1">
        <f t="array" ref="AG25">_xlfn.FILTERXML(AC25,"//distance/value")/1000</f>
        <v>6.7880000000000003</v>
      </c>
      <c r="AH25" s="1" cm="1">
        <f t="array" ref="AH25">_xlfn.FILTERXML(AD25,"//distance/value")/1000</f>
        <v>4549.7569999999996</v>
      </c>
      <c r="AI25" s="1" cm="1">
        <f t="array" ref="AI25">_xlfn.FILTERXML(AE25,"//distance/value")/1000</f>
        <v>543.11900000000003</v>
      </c>
      <c r="AJ25" s="1">
        <f t="shared" si="4"/>
        <v>6.7880000000000003</v>
      </c>
      <c r="AK25" s="39" cm="1">
        <f t="array" ref="AK25">_xlfn.FILTERXML(AB25,"//duration/value")/60/60/24</f>
        <v>0.10578703703703705</v>
      </c>
      <c r="AL25" s="39" cm="1">
        <f t="array" ref="AL25">_xlfn.FILTERXML(AC25,"//duration/value")/60/60/24</f>
        <v>1.0868055555555556E-2</v>
      </c>
      <c r="AM25" s="39" cm="1">
        <f t="array" ref="AM25">_xlfn.FILTERXML(AD25,"//duration/value")/60/60/24</f>
        <v>1.8666319444444444</v>
      </c>
      <c r="AN25" s="39" cm="1">
        <f t="array" ref="AN25">_xlfn.FILTERXML(AE25,"//duration/value")/60/60/24</f>
        <v>0.21585648148148148</v>
      </c>
      <c r="AO25" s="4" t="str">
        <f t="shared" si="5"/>
        <v>Montreal</v>
      </c>
      <c r="AP25" s="4" t="str">
        <f t="shared" si="6"/>
        <v>Montreal</v>
      </c>
      <c r="AQ25" s="39" cm="1">
        <f t="array" ref="AQ25">_xlfn.FILTERXML(_xlfn.XLOOKUP(AJ25,$AF25:$AI25,AB25:AE25),"//duration/value")/60/60/24</f>
        <v>1.0868055555555556E-2</v>
      </c>
      <c r="AS25" s="1" t="s">
        <v>359</v>
      </c>
      <c r="AT25" s="1" t="s">
        <v>360</v>
      </c>
      <c r="AU25" s="1" t="s">
        <v>361</v>
      </c>
      <c r="AV25" s="1" t="s">
        <v>362</v>
      </c>
      <c r="AW25" s="1">
        <v>249.02600000000001</v>
      </c>
      <c r="AX25" s="1">
        <v>6.7880000000000003</v>
      </c>
      <c r="AY25" s="1">
        <v>4549.7569999999996</v>
      </c>
      <c r="AZ25" s="1">
        <v>543.11900000000003</v>
      </c>
      <c r="BA25" s="1">
        <v>6.7880000000000003</v>
      </c>
      <c r="BB25" s="39">
        <v>0.10578703703703705</v>
      </c>
      <c r="BC25" s="39">
        <v>1.0868055555555556E-2</v>
      </c>
      <c r="BD25" s="39">
        <v>1.8666319444444444</v>
      </c>
      <c r="BE25" s="39">
        <v>0.21585648148148148</v>
      </c>
      <c r="BF25" s="4" t="s">
        <v>285</v>
      </c>
      <c r="BG25" s="4" t="s">
        <v>285</v>
      </c>
      <c r="BH25" s="39">
        <v>1.0868055555555556E-2</v>
      </c>
    </row>
    <row r="26" spans="1:60">
      <c r="A26" s="1" t="s">
        <v>42</v>
      </c>
      <c r="B26" s="1" t="s">
        <v>175</v>
      </c>
      <c r="C26" s="1" t="s">
        <v>176</v>
      </c>
      <c r="D26" s="37">
        <v>44881</v>
      </c>
      <c r="E26" s="37">
        <v>45052</v>
      </c>
      <c r="F26" s="1" t="s">
        <v>26</v>
      </c>
      <c r="G26" s="4">
        <v>33</v>
      </c>
      <c r="H26" s="4">
        <v>3.5</v>
      </c>
      <c r="I26" s="4">
        <v>170</v>
      </c>
      <c r="J26" s="4" t="s">
        <v>27</v>
      </c>
      <c r="K26" s="38">
        <f>Table1[[#This Row],[Estimated Hours]]*Table1[[#This Row],[Hourly rate]]*1.15</f>
        <v>6451.4999999999991</v>
      </c>
      <c r="L26" s="4" t="s">
        <v>177</v>
      </c>
      <c r="M26" s="1" t="s">
        <v>266</v>
      </c>
      <c r="N26" s="4">
        <v>29685304</v>
      </c>
      <c r="O26" s="46">
        <v>44886</v>
      </c>
      <c r="P26" s="1" t="s">
        <v>30</v>
      </c>
      <c r="Q26" s="6" t="s">
        <v>179</v>
      </c>
      <c r="R26" s="1">
        <v>45.2710103</v>
      </c>
      <c r="S26" s="1">
        <v>-73.607335899999995</v>
      </c>
      <c r="T26" s="41" t="s">
        <v>180</v>
      </c>
      <c r="U26" s="6" t="s">
        <v>265</v>
      </c>
      <c r="X26" s="1">
        <f>_xlfn.XLOOKUP(Table13[[#This Row],[Project Number]],'Projets Jerome'!$L$2:$L$26,'Projets Jerome'!$AC$2:$AC$26)</f>
        <v>45.2710103</v>
      </c>
      <c r="Y26" s="1">
        <f>_xlfn.XLOOKUP(Table13[[#This Row],[Project Number]],'Projets Jerome'!$L$2:$L$26,'Projets Jerome'!$AD$2:$AD$26)</f>
        <v>-73.607335899999995</v>
      </c>
      <c r="AB26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&lt;destination_address&gt;478 Rue Notre Dame, Saint-Rémi, QC J0L 2L0, Canada&lt;/destination_address&gt;
 &lt;row&gt;
  &lt;element&gt;
   &lt;status&gt;OK&lt;/status&gt;
   &lt;duration&gt;
    &lt;value&gt;9714&lt;/value&gt;
    &lt;text&gt;2 hours 42 mins&lt;/text&gt;
   &lt;/duration&gt;
   &lt;distance&gt;
    &lt;value&gt;271242&lt;/value&gt;
    &lt;text&gt;271 km&lt;/text&gt;
   &lt;/distance&gt;
  &lt;/element&gt;
 &lt;/row&gt;
&lt;/DistanceMatrixResponse&gt;
</v>
      </c>
      <c r="AC26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&lt;destination_address&gt;478 Rue Notre Dame, Saint-Rémi, QC J0L 2L0, Canada&lt;/destination_address&gt;
 &lt;row&gt;
  &lt;element&gt;
   &lt;status&gt;OK&lt;/status&gt;
   &lt;duration&gt;
    &lt;value&gt;2588&lt;/value&gt;
    &lt;text&gt;43 mins&lt;/text&gt;
   &lt;/duration&gt;
   &lt;distance&gt;
    &lt;value&gt;35259&lt;/value&gt;
    &lt;text&gt;35.3 km&lt;/text&gt;
   &lt;/distance&gt;
  &lt;/element&gt;
 &lt;/row&gt;
&lt;/DistanceMatrixResponse&gt;
</v>
      </c>
      <c r="AD26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&lt;destination_address&gt;478 Rue Notre Dame, Saint-Rémi, QC J0L 2L0, Canada&lt;/destination_address&gt;
 &lt;row&gt;
  &lt;element&gt;
   &lt;status&gt;OK&lt;/status&gt;
   &lt;duration&gt;
    &lt;value&gt;161640&lt;/value&gt;
    &lt;text&gt;1 day 21 hours&lt;/text&gt;
   &lt;/duration&gt;
   &lt;distance&gt;
    &lt;value&gt;4563946&lt;/value&gt;
    &lt;text&gt;4,564 km&lt;/text&gt;
   &lt;/distance&gt;
  &lt;/element&gt;
 &lt;/row&gt;
&lt;/DistanceMatrixResponse&gt;
</v>
      </c>
      <c r="AE26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&lt;destination_address&gt;478 Rue Notre Dame, Saint-Rémi, QC J0L 2L0, Canada&lt;/destination_address&gt;
 &lt;row&gt;
  &lt;element&gt;
   &lt;status&gt;OK&lt;/status&gt;
   &lt;duration&gt;
    &lt;value&gt;18648&lt;/value&gt;
    &lt;text&gt;5 hours 11 mins&lt;/text&gt;
   &lt;/duration&gt;
   &lt;distance&gt;
    &lt;value&gt;547113&lt;/value&gt;
    &lt;text&gt;547 km&lt;/text&gt;
   &lt;/distance&gt;
  &lt;/element&gt;
 &lt;/row&gt;
&lt;/DistanceMatrixResponse&gt;
</v>
      </c>
      <c r="AF26" s="1" cm="1">
        <f t="array" ref="AF26">_xlfn.FILTERXML(AB26,"//distance/value")/1000</f>
        <v>271.24200000000002</v>
      </c>
      <c r="AG26" s="1" cm="1">
        <f t="array" ref="AG26">_xlfn.FILTERXML(AC26,"//distance/value")/1000</f>
        <v>35.259</v>
      </c>
      <c r="AH26" s="1" cm="1">
        <f t="array" ref="AH26">_xlfn.FILTERXML(AD26,"//distance/value")/1000</f>
        <v>4563.9459999999999</v>
      </c>
      <c r="AI26" s="1" cm="1">
        <f t="array" ref="AI26">_xlfn.FILTERXML(AE26,"//distance/value")/1000</f>
        <v>547.11300000000006</v>
      </c>
      <c r="AJ26" s="1">
        <f t="shared" si="4"/>
        <v>35.259</v>
      </c>
      <c r="AK26" s="39" cm="1">
        <f t="array" ref="AK26">_xlfn.FILTERXML(AB26,"//duration/value")/60/60/24</f>
        <v>0.11243055555555555</v>
      </c>
      <c r="AL26" s="39" cm="1">
        <f t="array" ref="AL26">_xlfn.FILTERXML(AC26,"//duration/value")/60/60/24</f>
        <v>2.9953703703703705E-2</v>
      </c>
      <c r="AM26" s="39" cm="1">
        <f t="array" ref="AM26">_xlfn.FILTERXML(AD26,"//duration/value")/60/60/24</f>
        <v>1.8708333333333333</v>
      </c>
      <c r="AN26" s="39" cm="1">
        <f t="array" ref="AN26">_xlfn.FILTERXML(AE26,"//duration/value")/60/60/24</f>
        <v>0.21583333333333335</v>
      </c>
      <c r="AO26" s="4" t="str">
        <f t="shared" si="5"/>
        <v>Montreal</v>
      </c>
      <c r="AP26" s="4" t="str">
        <f t="shared" si="6"/>
        <v>Montreal</v>
      </c>
      <c r="AQ26" s="39" cm="1">
        <f t="array" ref="AQ26">_xlfn.FILTERXML(_xlfn.XLOOKUP(AJ26,$AF26:$AI26,AB26:AE26),"//duration/value")/60/60/24</f>
        <v>2.9953703703703705E-2</v>
      </c>
      <c r="AS26" s="1" t="s">
        <v>363</v>
      </c>
      <c r="AT26" s="1" t="s">
        <v>364</v>
      </c>
      <c r="AU26" s="1" t="s">
        <v>365</v>
      </c>
      <c r="AV26" s="1" t="s">
        <v>366</v>
      </c>
      <c r="AW26" s="1">
        <v>271.24200000000002</v>
      </c>
      <c r="AX26" s="1">
        <v>35.259</v>
      </c>
      <c r="AY26" s="1">
        <v>4563.9459999999999</v>
      </c>
      <c r="AZ26" s="1">
        <v>547.11300000000006</v>
      </c>
      <c r="BA26" s="1">
        <v>35.259</v>
      </c>
      <c r="BB26" s="39">
        <v>0.11243055555555555</v>
      </c>
      <c r="BC26" s="39">
        <v>2.9953703703703705E-2</v>
      </c>
      <c r="BD26" s="39">
        <v>1.8708333333333333</v>
      </c>
      <c r="BE26" s="39">
        <v>0.21583333333333335</v>
      </c>
      <c r="BF26" s="4" t="s">
        <v>285</v>
      </c>
      <c r="BG26" s="4" t="s">
        <v>285</v>
      </c>
      <c r="BH26" s="39">
        <v>2.9953703703703705E-2</v>
      </c>
    </row>
    <row r="27" spans="1:60">
      <c r="A27" s="1" t="s">
        <v>42</v>
      </c>
      <c r="B27" s="1" t="s">
        <v>267</v>
      </c>
      <c r="C27" s="1" t="s">
        <v>268</v>
      </c>
      <c r="D27" s="2">
        <v>44944</v>
      </c>
      <c r="E27" s="2">
        <v>45078</v>
      </c>
      <c r="F27" s="1" t="s">
        <v>26</v>
      </c>
      <c r="G27" s="4">
        <v>71.5</v>
      </c>
      <c r="H27" s="4">
        <v>0</v>
      </c>
      <c r="I27" s="4">
        <v>190</v>
      </c>
      <c r="J27" s="4" t="s">
        <v>27</v>
      </c>
      <c r="K27" s="38">
        <f>Table13[[#This Row],[Estimated Hours]]*Table13[[#This Row],[Hourly rate]]</f>
        <v>13585</v>
      </c>
      <c r="L27" s="47" t="s">
        <v>269</v>
      </c>
      <c r="M27" s="1" t="s">
        <v>270</v>
      </c>
      <c r="N27" s="4">
        <v>29685305</v>
      </c>
      <c r="O27" s="37">
        <v>44944</v>
      </c>
      <c r="P27" s="1" t="s">
        <v>271</v>
      </c>
      <c r="Q27" s="6" t="s">
        <v>280</v>
      </c>
      <c r="R27" s="1">
        <v>45.593649300000003</v>
      </c>
      <c r="S27" s="1">
        <v>-73.174735100000007</v>
      </c>
      <c r="T27" s="41" t="s">
        <v>279</v>
      </c>
      <c r="U27" s="6" t="s">
        <v>278</v>
      </c>
      <c r="X27" s="48">
        <v>45.593649300000003</v>
      </c>
      <c r="Y27" s="48">
        <v>-73.174735100000007</v>
      </c>
      <c r="AB27" s="1" t="str">
        <f>_xlfn.WEBSERVICE("https://maps.googleapis.com/maps/api/distancematrix/xml?destinations="&amp;$X27&amp;"%2C"&amp;$Y27&amp;"&amp;origins=46.7677269%2C-71.2887151&amp;key=AIzaSyCHth-wrbaKBruFJQMWpdpeHAtAzdbcKh4")</f>
        <v xml:space="preserve">&lt;?xml version="1.0" encoding="UTF-8"?&gt;
&lt;DistanceMatrixResponse&gt;
 &lt;status&gt;OK&lt;/status&gt;
 &lt;origin_address&gt;2828 Bd Laurier, Québec, QC G1V 0C1, Canada&lt;/origin_address&gt;
 &lt;destination_address&gt;150 Rue Brunet, Mont-Saint-Hilaire, QC J3G 4S6, Canada&lt;/destination_address&gt;
 &lt;row&gt;
  &lt;element&gt;
   &lt;status&gt;OK&lt;/status&gt;
   &lt;duration&gt;
    &lt;value&gt;7301&lt;/value&gt;
    &lt;text&gt;2 hours 2 mins&lt;/text&gt;
   &lt;/duration&gt;
   &lt;distance&gt;
    &lt;value&gt;206746&lt;/value&gt;
    &lt;text&gt;207 km&lt;/text&gt;
   &lt;/distance&gt;
  &lt;/element&gt;
 &lt;/row&gt;
&lt;/DistanceMatrixResponse&gt;
</v>
      </c>
      <c r="AC27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&lt;destination_address&gt;150 Rue Brunet, Mont-Saint-Hilaire, QC J3G 4S6, Canada&lt;/destination_address&gt;
 &lt;row&gt;
  &lt;element&gt;
   &lt;status&gt;OK&lt;/status&gt;
   &lt;duration&gt;
    &lt;value&gt;2671&lt;/value&gt;
    &lt;text&gt;45 mins&lt;/text&gt;
   &lt;/duration&gt;
   &lt;distance&gt;
    &lt;value&gt;41739&lt;/value&gt;
    &lt;text&gt;41.7 km&lt;/text&gt;
   &lt;/distance&gt;
  &lt;/element&gt;
 &lt;/row&gt;
&lt;/DistanceMatrixResponse&gt;
</v>
      </c>
      <c r="AD27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&lt;destination_address&gt;150 Rue Brunet, Mont-Saint-Hilaire, QC J3G 4S6, Canada&lt;/destination_address&gt;
 &lt;row&gt;
  &lt;element&gt;
   &lt;status&gt;OK&lt;/status&gt;
   &lt;duration&gt;
    &lt;value&gt;162896&lt;/value&gt;
    &lt;text&gt;1 day 21 hours&lt;/text&gt;
   &lt;/duration&gt;
   &lt;distance&gt;
    &lt;value&gt;4589470&lt;/value&gt;
    &lt;text&gt;4,589 km&lt;/text&gt;
   &lt;/distance&gt;
  &lt;/element&gt;
 &lt;/row&gt;
&lt;/DistanceMatrixResponse&gt;
</v>
      </c>
      <c r="AE27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&lt;destination_address&gt;150 Rue Brunet, Mont-Saint-Hilaire, QC J3G 4S6, Canada&lt;/destination_address&gt;
 &lt;row&gt;
  &lt;element&gt;
   &lt;status&gt;OK&lt;/status&gt;
   &lt;duration&gt;
    &lt;value&gt;20084&lt;/value&gt;
    &lt;text&gt;5 hours 35 mins&lt;/text&gt;
   &lt;/duration&gt;
   &lt;distance&gt;
    &lt;value&gt;591484&lt;/value&gt;
    &lt;text&gt;591 km&lt;/text&gt;
   &lt;/distance&gt;
  &lt;/element&gt;
 &lt;/row&gt;
&lt;/DistanceMatrixResponse&gt;
</v>
      </c>
      <c r="AF27" s="1" cm="1">
        <f t="array" ref="AF27">_xlfn.FILTERXML(AB27,"//distance/value")/1000</f>
        <v>206.74600000000001</v>
      </c>
      <c r="AG27" s="1" cm="1">
        <f t="array" ref="AG27">_xlfn.FILTERXML(AC27,"//distance/value")/1000</f>
        <v>41.738999999999997</v>
      </c>
      <c r="AH27" s="1" cm="1">
        <f t="array" ref="AH27">_xlfn.FILTERXML(AD27,"//distance/value")/1000</f>
        <v>4589.47</v>
      </c>
      <c r="AI27" s="1" cm="1">
        <f t="array" ref="AI27">_xlfn.FILTERXML(AE27,"//distance/value")/1000</f>
        <v>591.48400000000004</v>
      </c>
      <c r="AJ27" s="1">
        <f t="shared" ref="AJ27:AJ28" si="7">MIN(AF27:AI27)</f>
        <v>41.738999999999997</v>
      </c>
      <c r="AK27" s="39" cm="1">
        <f t="array" ref="AK27">_xlfn.FILTERXML(AB27,"//duration/value")/60/60/24</f>
        <v>8.4502314814814808E-2</v>
      </c>
      <c r="AL27" s="39" cm="1">
        <f t="array" ref="AL27">_xlfn.FILTERXML(AC27,"//duration/value")/60/60/24</f>
        <v>3.0914351851851849E-2</v>
      </c>
      <c r="AM27" s="39" cm="1">
        <f t="array" ref="AM27">_xlfn.FILTERXML(AD27,"//duration/value")/60/60/24</f>
        <v>1.8853703703703706</v>
      </c>
      <c r="AN27" s="39" cm="1">
        <f t="array" ref="AN27">_xlfn.FILTERXML(AE27,"//duration/value")/60/60/24</f>
        <v>0.23245370370370369</v>
      </c>
      <c r="AO27" s="4" t="str">
        <f t="shared" ref="AO27:AO28" si="8">REPLACE(_xlfn.XLOOKUP(AJ27,$AF27:$AI27,$AF$1:$AI$1), 1, 9, "")</f>
        <v>Montreal</v>
      </c>
      <c r="AP27" s="4" t="str">
        <f t="shared" ref="AP27:AP28" si="9">REPLACE(_xlfn.XLOOKUP(AQ27,$AK27:$AN27,$AF$1:$AI$1), 1, 9, "")</f>
        <v>Montreal</v>
      </c>
      <c r="AQ27" s="39" cm="1">
        <f t="array" ref="AQ27">_xlfn.FILTERXML(_xlfn.XLOOKUP(AJ27,$AF27:$AI27,AB27:AE27),"//duration/value")/60/60/24</f>
        <v>3.0914351851851849E-2</v>
      </c>
      <c r="AS27" s="1" t="s">
        <v>367</v>
      </c>
      <c r="AT27" s="1" t="s">
        <v>368</v>
      </c>
      <c r="AU27" s="1" t="s">
        <v>369</v>
      </c>
      <c r="AV27" s="1" t="s">
        <v>370</v>
      </c>
      <c r="AW27" s="1">
        <v>206.74600000000001</v>
      </c>
      <c r="AX27" s="1">
        <v>41.738999999999997</v>
      </c>
      <c r="AY27" s="1">
        <v>4589.47</v>
      </c>
      <c r="AZ27" s="1">
        <v>591.48400000000004</v>
      </c>
      <c r="BA27" s="1">
        <v>41.738999999999997</v>
      </c>
      <c r="BB27" s="39">
        <v>8.4502314814814808E-2</v>
      </c>
      <c r="BC27" s="39">
        <v>3.0914351851851849E-2</v>
      </c>
      <c r="BD27" s="39">
        <v>1.8853703703703706</v>
      </c>
      <c r="BE27" s="39">
        <v>0.23245370370370369</v>
      </c>
      <c r="BF27" s="4" t="s">
        <v>285</v>
      </c>
      <c r="BG27" s="4" t="s">
        <v>285</v>
      </c>
      <c r="BH27" s="39">
        <v>3.0914351851851849E-2</v>
      </c>
    </row>
    <row r="28" spans="1:60">
      <c r="A28" s="1" t="s">
        <v>203</v>
      </c>
      <c r="B28" s="1" t="s">
        <v>272</v>
      </c>
      <c r="C28" s="1" t="s">
        <v>273</v>
      </c>
      <c r="D28" s="2">
        <v>44972</v>
      </c>
      <c r="E28" s="2">
        <v>45291</v>
      </c>
      <c r="F28" s="1" t="s">
        <v>26</v>
      </c>
      <c r="G28" s="4">
        <v>923</v>
      </c>
      <c r="H28" s="4">
        <v>0</v>
      </c>
      <c r="I28" s="4">
        <v>175</v>
      </c>
      <c r="J28" s="4" t="s">
        <v>27</v>
      </c>
      <c r="K28" s="38">
        <v>226100</v>
      </c>
      <c r="L28" s="10" t="s">
        <v>274</v>
      </c>
      <c r="M28" s="1" t="s">
        <v>272</v>
      </c>
      <c r="N28" s="4">
        <v>29685300</v>
      </c>
      <c r="O28" s="37">
        <v>44936</v>
      </c>
      <c r="P28" s="1" t="s">
        <v>30</v>
      </c>
      <c r="Q28" s="6" t="s">
        <v>276</v>
      </c>
      <c r="R28" s="1">
        <v>45.7559173</v>
      </c>
      <c r="S28" s="1">
        <v>-73.992652300000003</v>
      </c>
      <c r="T28" s="41" t="s">
        <v>275</v>
      </c>
      <c r="U28" s="6" t="s">
        <v>277</v>
      </c>
      <c r="X28" s="49">
        <v>45.7559173</v>
      </c>
      <c r="Y28" s="49">
        <v>-73.992652300000003</v>
      </c>
      <c r="AB28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&lt;destination_address&gt;780 Rue Nobel, Saint-Jérôme, QC J7Z 7A3, Canada&lt;/destination_address&gt;
 &lt;row&gt;
  &lt;element&gt;
   &lt;status&gt;OK&lt;/status&gt;
   &lt;duration&gt;
    &lt;value&gt;9889&lt;/value&gt;
    &lt;text&gt;2 hours 45 mins&lt;/text&gt;
   &lt;/duration&gt;
   &lt;distance&gt;
    &lt;value&gt;284536&lt;/value&gt;
    &lt;text&gt;285 km&lt;/text&gt;
   &lt;/distance&gt;
  &lt;/element&gt;
 &lt;/row&gt;
&lt;/DistanceMatrixResponse&gt;
</v>
      </c>
      <c r="AC28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&lt;destination_address&gt;780 Rue Nobel, Saint-Jérôme, QC J7Z 7A3, Canada&lt;/destination_address&gt;
 &lt;row&gt;
  &lt;element&gt;
   &lt;status&gt;OK&lt;/status&gt;
   &lt;duration&gt;
    &lt;value&gt;2280&lt;/value&gt;
    &lt;text&gt;38 mins&lt;/text&gt;
   &lt;/duration&gt;
   &lt;distance&gt;
    &lt;value&gt;45375&lt;/value&gt;
    &lt;text&gt;45.4 km&lt;/text&gt;
   &lt;/distance&gt;
  &lt;/element&gt;
 &lt;/row&gt;
&lt;/DistanceMatrixResponse&gt;
</v>
      </c>
      <c r="AD28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&lt;destination_address&gt;780 Rue Nobel, Saint-Jérôme, QC J7Z 7A3, Canada&lt;/destination_address&gt;
 &lt;row&gt;
  &lt;element&gt;
   &lt;status&gt;OK&lt;/status&gt;
   &lt;duration&gt;
    &lt;value&gt;160925&lt;/value&gt;
    &lt;text&gt;1 day 21 hours&lt;/text&gt;
   &lt;/duration&gt;
   &lt;distance&gt;
    &lt;value&gt;4525402&lt;/value&gt;
    &lt;text&gt;4,525 km&lt;/text&gt;
   &lt;/distance&gt;
  &lt;/element&gt;
 &lt;/row&gt;
&lt;/DistanceMatrixResponse&gt;
</v>
      </c>
      <c r="AE28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&lt;destination_address&gt;780 Rue Nobel, Saint-Jérôme, QC J7Z 7A3, Canada&lt;/destination_address&gt;
 &lt;row&gt;
  &lt;element&gt;
   &lt;status&gt;OK&lt;/status&gt;
   &lt;duration&gt;
    &lt;value&gt;19546&lt;/value&gt;
    &lt;text&gt;5 hours 26 mins&lt;/text&gt;
   &lt;/duration&gt;
   &lt;distance&gt;
    &lt;value&gt;572694&lt;/value&gt;
    &lt;text&gt;573 km&lt;/text&gt;
   &lt;/distance&gt;
  &lt;/element&gt;
 &lt;/row&gt;
&lt;/DistanceMatrixResponse&gt;
</v>
      </c>
      <c r="AF28" s="1" cm="1">
        <f t="array" ref="AF28">_xlfn.FILTERXML(AB28,"//distance/value")/1000</f>
        <v>284.536</v>
      </c>
      <c r="AG28" s="1" cm="1">
        <f t="array" ref="AG28">_xlfn.FILTERXML(AC28,"//distance/value")/1000</f>
        <v>45.375</v>
      </c>
      <c r="AH28" s="1" cm="1">
        <f t="array" ref="AH28">_xlfn.FILTERXML(AD28,"//distance/value")/1000</f>
        <v>4525.402</v>
      </c>
      <c r="AI28" s="1" cm="1">
        <f t="array" ref="AI28">_xlfn.FILTERXML(AE28,"//distance/value")/1000</f>
        <v>572.69399999999996</v>
      </c>
      <c r="AJ28" s="1">
        <f t="shared" si="7"/>
        <v>45.375</v>
      </c>
      <c r="AK28" s="39" cm="1">
        <f t="array" ref="AK28">_xlfn.FILTERXML(AB28,"//duration/value")/60/60/24</f>
        <v>0.11445601851851851</v>
      </c>
      <c r="AL28" s="39" cm="1">
        <f t="array" ref="AL28">_xlfn.FILTERXML(AC28,"//duration/value")/60/60/24</f>
        <v>2.6388888888888889E-2</v>
      </c>
      <c r="AM28" s="39" cm="1">
        <f t="array" ref="AM28">_xlfn.FILTERXML(AD28,"//duration/value")/60/60/24</f>
        <v>1.8625578703703705</v>
      </c>
      <c r="AN28" s="39" cm="1">
        <f t="array" ref="AN28">_xlfn.FILTERXML(AE28,"//duration/value")/60/60/24</f>
        <v>0.22622685185185185</v>
      </c>
      <c r="AO28" s="4" t="str">
        <f t="shared" si="8"/>
        <v>Montreal</v>
      </c>
      <c r="AP28" s="4" t="str">
        <f t="shared" si="9"/>
        <v>Montreal</v>
      </c>
      <c r="AQ28" s="39" cm="1">
        <f t="array" ref="AQ28">_xlfn.FILTERXML(_xlfn.XLOOKUP(AJ28,$AF28:$AI28,AB28:AE28),"//duration/value")/60/60/24</f>
        <v>2.6388888888888889E-2</v>
      </c>
      <c r="AS28" s="1" t="s">
        <v>371</v>
      </c>
      <c r="AT28" s="1" t="s">
        <v>372</v>
      </c>
      <c r="AU28" s="1" t="s">
        <v>373</v>
      </c>
      <c r="AV28" s="1" t="s">
        <v>374</v>
      </c>
      <c r="AW28" s="1">
        <v>284.536</v>
      </c>
      <c r="AX28" s="1">
        <v>45.375</v>
      </c>
      <c r="AY28" s="1">
        <v>4525.402</v>
      </c>
      <c r="AZ28" s="1">
        <v>572.69399999999996</v>
      </c>
      <c r="BA28" s="1">
        <v>45.375</v>
      </c>
      <c r="BB28" s="39">
        <v>0.11445601851851851</v>
      </c>
      <c r="BC28" s="39">
        <v>2.6388888888888889E-2</v>
      </c>
      <c r="BD28" s="39">
        <v>1.8625578703703705</v>
      </c>
      <c r="BE28" s="39">
        <v>0.22622685185185185</v>
      </c>
      <c r="BF28" s="4" t="s">
        <v>285</v>
      </c>
      <c r="BG28" s="4" t="s">
        <v>285</v>
      </c>
      <c r="BH28" s="39">
        <v>2.6388888888888889E-2</v>
      </c>
    </row>
    <row r="29" spans="1:60">
      <c r="C29" s="1" t="s">
        <v>181</v>
      </c>
      <c r="D29" s="2"/>
      <c r="E29" s="2"/>
      <c r="K29" s="38">
        <f>Table1[[#This Row],[Estimated Hours]]*Table1[[#This Row],[Hourly rate]]*1.15</f>
        <v>0</v>
      </c>
      <c r="O29" s="37"/>
      <c r="Q29" s="6" t="s">
        <v>182</v>
      </c>
      <c r="R29" s="1">
        <v>46.767808299999999</v>
      </c>
      <c r="S29" s="1">
        <v>-71.288811699999997</v>
      </c>
      <c r="T29" s="41" t="s">
        <v>183</v>
      </c>
      <c r="X29" s="1">
        <f>_xlfn.XLOOKUP(Table13[[#This Row],[Company]],'Projets Jerome'!$C$29:$C$32,'Projets Jerome'!$AC$29:$AC$32)</f>
        <v>46.767808299999999</v>
      </c>
      <c r="Y29" s="1">
        <f>_xlfn.XLOOKUP(Table13[[#This Row],[Company]],'Projets Jerome'!$C$29:$C$32,'Projets Jerome'!$AD$29:$AD$32)</f>
        <v>-71.288811699999997</v>
      </c>
      <c r="AB29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&lt;destination_address&gt;2828 Bd Laurier, Québec, QC G1V 0B3, Canada&lt;/destination_address&gt;
 &lt;row&gt;
  &lt;element&gt;
   &lt;status&gt;OK&lt;/status&gt;
   &lt;duration&gt;
    &lt;value&gt;0&lt;/value&gt;
    &lt;text&gt;1 min&lt;/text&gt;
   &lt;/duration&gt;
   &lt;distance&gt;
    &lt;value&gt;0&lt;/value&gt;
    &lt;text&gt;1 m&lt;/text&gt;
   &lt;/distance&gt;
  &lt;/element&gt;
 &lt;/row&gt;
&lt;/DistanceMatrixResponse&gt;
</v>
      </c>
      <c r="AC29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&lt;destination_address&gt;2828 Bd Laurier, Québec, QC G1V 0B3, Canada&lt;/destination_address&gt;
 &lt;row&gt;
  &lt;element&gt;
   &lt;status&gt;OK&lt;/status&gt;
   &lt;duration&gt;
    &lt;value&gt;9823&lt;/value&gt;
    &lt;text&gt;2 hours 44 mins&lt;/text&gt;
   &lt;/duration&gt;
   &lt;distance&gt;
    &lt;value&gt;246276&lt;/value&gt;
    &lt;text&gt;246 km&lt;/text&gt;
   &lt;/distance&gt;
  &lt;/element&gt;
 &lt;/row&gt;
&lt;/DistanceMatrixResponse&gt;
</v>
      </c>
      <c r="AD29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&lt;destination_address&gt;2828 Bd Laurier, Québec, QC G1V 0B3, Canada&lt;/destination_address&gt;
 &lt;row&gt;
  &lt;element&gt;
   &lt;status&gt;OK&lt;/status&gt;
   &lt;duration&gt;
    &lt;value&gt;170048&lt;/value&gt;
    &lt;text&gt;1 day 23 hours&lt;/text&gt;
   &lt;/duration&gt;
   &lt;distance&gt;
    &lt;value&gt;4794007&lt;/value&gt;
    &lt;text&gt;4,794 km&lt;/text&gt;
   &lt;/distance&gt;
  &lt;/element&gt;
 &lt;/row&gt;
&lt;/DistanceMatrixResponse&gt;
</v>
      </c>
      <c r="AE29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&lt;destination_address&gt;2828 Bd Laurier, Québec, QC G1V 0B3, Canada&lt;/destination_address&gt;
 &lt;row&gt;
  &lt;element&gt;
   &lt;status&gt;OK&lt;/status&gt;
   &lt;duration&gt;
    &lt;value&gt;27236&lt;/value&gt;
    &lt;text&gt;7 hours 34 mins&lt;/text&gt;
   &lt;/duration&gt;
   &lt;distance&gt;
    &lt;value&gt;796021&lt;/value&gt;
    &lt;text&gt;796 km&lt;/text&gt;
   &lt;/distance&gt;
  &lt;/element&gt;
 &lt;/row&gt;
&lt;/DistanceMatrixResponse&gt;
</v>
      </c>
      <c r="AF29" s="1" cm="1">
        <f t="array" ref="AF29">_xlfn.FILTERXML(AB29,"//distance/value")/1000</f>
        <v>0</v>
      </c>
      <c r="AG29" s="1" cm="1">
        <f t="array" ref="AG29">_xlfn.FILTERXML(AC29,"//distance/value")/1000</f>
        <v>246.27600000000001</v>
      </c>
      <c r="AH29" s="1" cm="1">
        <f t="array" ref="AH29">_xlfn.FILTERXML(AD29,"//distance/value")/1000</f>
        <v>4794.0069999999996</v>
      </c>
      <c r="AI29" s="1" cm="1">
        <f t="array" ref="AI29">_xlfn.FILTERXML(AE29,"//distance/value")/1000</f>
        <v>796.02099999999996</v>
      </c>
      <c r="AJ29" s="1">
        <f t="shared" si="4"/>
        <v>0</v>
      </c>
      <c r="AK29" s="39" cm="1">
        <f t="array" ref="AK29">_xlfn.FILTERXML(AB29,"//duration/value")/60/60/24</f>
        <v>0</v>
      </c>
      <c r="AL29" s="39" cm="1">
        <f t="array" ref="AL29">_xlfn.FILTERXML(AC29,"//duration/value")/60/60/24</f>
        <v>0.11369212962962964</v>
      </c>
      <c r="AM29" s="39" cm="1">
        <f t="array" ref="AM29">_xlfn.FILTERXML(AD29,"//duration/value")/60/60/24</f>
        <v>1.9681481481481482</v>
      </c>
      <c r="AN29" s="39" cm="1">
        <f t="array" ref="AN29">_xlfn.FILTERXML(AE29,"//duration/value")/60/60/24</f>
        <v>0.3152314814814815</v>
      </c>
      <c r="AO29" s="4" t="str">
        <f t="shared" si="5"/>
        <v>Quebec</v>
      </c>
      <c r="AP29" s="4" t="str">
        <f t="shared" si="6"/>
        <v>Quebec</v>
      </c>
      <c r="AQ29" s="39" cm="1">
        <f t="array" ref="AQ29">_xlfn.FILTERXML(_xlfn.XLOOKUP(AJ29,$AF29:$AI29,AB29:AE29),"//duration/value")/60/60/24</f>
        <v>0</v>
      </c>
      <c r="AS29" s="1" t="s">
        <v>375</v>
      </c>
      <c r="AT29" s="1" t="s">
        <v>376</v>
      </c>
      <c r="AU29" s="1" t="s">
        <v>377</v>
      </c>
      <c r="AV29" s="1" t="s">
        <v>378</v>
      </c>
      <c r="AW29" s="1">
        <v>0</v>
      </c>
      <c r="AX29" s="1">
        <v>246.27600000000001</v>
      </c>
      <c r="AY29" s="1">
        <v>4794.0069999999996</v>
      </c>
      <c r="AZ29" s="1">
        <v>796.02099999999996</v>
      </c>
      <c r="BA29" s="1">
        <v>0</v>
      </c>
      <c r="BB29" s="39">
        <v>0</v>
      </c>
      <c r="BC29" s="39">
        <v>0.11369212962962964</v>
      </c>
      <c r="BD29" s="39">
        <v>1.9681481481481482</v>
      </c>
      <c r="BE29" s="39">
        <v>0.3152314814814815</v>
      </c>
      <c r="BF29" s="4" t="s">
        <v>290</v>
      </c>
      <c r="BG29" s="4" t="s">
        <v>290</v>
      </c>
      <c r="BH29" s="39">
        <v>0</v>
      </c>
    </row>
    <row r="30" spans="1:60">
      <c r="C30" s="1" t="s">
        <v>184</v>
      </c>
      <c r="D30" s="2"/>
      <c r="E30" s="2"/>
      <c r="K30" s="38">
        <f>Table1[[#This Row],[Estimated Hours]]*Table1[[#This Row],[Hourly rate]]*1.15</f>
        <v>0</v>
      </c>
      <c r="O30" s="37"/>
      <c r="Q30" s="6" t="s">
        <v>185</v>
      </c>
      <c r="R30" s="1">
        <v>45.521958400000003</v>
      </c>
      <c r="S30" s="1">
        <v>-73.613089599999995</v>
      </c>
      <c r="T30" s="50" t="s">
        <v>186</v>
      </c>
      <c r="X30" s="1">
        <f>_xlfn.XLOOKUP(Table13[[#This Row],[Company]],'Projets Jerome'!$C$29:$C$32,'Projets Jerome'!$AC$29:$AC$32)</f>
        <v>45.521958400000003</v>
      </c>
      <c r="Y30" s="1">
        <f>_xlfn.XLOOKUP(Table13[[#This Row],[Company]],'Projets Jerome'!$C$29:$C$32,'Projets Jerome'!$AD$29:$AD$32)</f>
        <v>-73.613089599999995</v>
      </c>
      <c r="AB30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&lt;destination_address&gt;797 Av Champagneur, Outremont, QC H2V 3P9, Canada&lt;/destination_address&gt;
 &lt;row&gt;
  &lt;element&gt;
   &lt;status&gt;OK&lt;/status&gt;
   &lt;duration&gt;
    &lt;value&gt;9645&lt;/value&gt;
    &lt;text&gt;2 hours 41 mins&lt;/text&gt;
   &lt;/duration&gt;
   &lt;distance&gt;
    &lt;value&gt;250778&lt;/value&gt;
    &lt;text&gt;251 km&lt;/text&gt;
   &lt;/distance&gt;
  &lt;/element&gt;
 &lt;/row&gt;
&lt;/DistanceMatrixResponse&gt;
</v>
      </c>
      <c r="AC30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&lt;destination_address&gt;797 Av Champagneur, Outremont, QC H2V 3P9, Canada&lt;/destination_address&gt;
 &lt;row&gt;
  &lt;element&gt;
   &lt;status&gt;OK&lt;/status&gt;
   &lt;duration&gt;
    &lt;value&gt;0&lt;/value&gt;
    &lt;text&gt;1 min&lt;/text&gt;
   &lt;/duration&gt;
   &lt;distance&gt;
    &lt;value&gt;0&lt;/value&gt;
    &lt;text&gt;1 m&lt;/text&gt;
   &lt;/distance&gt;
  &lt;/element&gt;
 &lt;/row&gt;
&lt;/DistanceMatrixResponse&gt;
</v>
      </c>
      <c r="AD30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&lt;destination_address&gt;797 Av Champagneur, Outremont, QC H2V 3P9, Canada&lt;/destination_address&gt;
 &lt;row&gt;
  &lt;element&gt;
   &lt;status&gt;OK&lt;/status&gt;
   &lt;duration&gt;
    &lt;value&gt;161555&lt;/value&gt;
    &lt;text&gt;1 day 21 hours&lt;/text&gt;
   &lt;/duration&gt;
   &lt;distance&gt;
    &lt;value&gt;4550142&lt;/value&gt;
    &lt;text&gt;4,550 km&lt;/text&gt;
   &lt;/distance&gt;
  &lt;/element&gt;
 &lt;/row&gt;
&lt;/DistanceMatrixResponse&gt;
</v>
      </c>
      <c r="AE30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&lt;destination_address&gt;797 Av Champagneur, Outremont, QC H2V 3P9, Canada&lt;/destination_address&gt;
 &lt;row&gt;
  &lt;element&gt;
   &lt;status&gt;OK&lt;/status&gt;
   &lt;duration&gt;
    &lt;value&gt;18927&lt;/value&gt;
    &lt;text&gt;5 hours 15 mins&lt;/text&gt;
   &lt;/duration&gt;
   &lt;distance&gt;
    &lt;value&gt;543504&lt;/value&gt;
    &lt;text&gt;544 km&lt;/text&gt;
   &lt;/distance&gt;
  &lt;/element&gt;
 &lt;/row&gt;
&lt;/DistanceMatrixResponse&gt;
</v>
      </c>
      <c r="AF30" s="1" cm="1">
        <f t="array" ref="AF30">_xlfn.FILTERXML(AB30,"//distance/value")/1000</f>
        <v>250.77799999999999</v>
      </c>
      <c r="AG30" s="1" cm="1">
        <f t="array" ref="AG30">_xlfn.FILTERXML(AC30,"//distance/value")/1000</f>
        <v>0</v>
      </c>
      <c r="AH30" s="1" cm="1">
        <f t="array" ref="AH30">_xlfn.FILTERXML(AD30,"//distance/value")/1000</f>
        <v>4550.1419999999998</v>
      </c>
      <c r="AI30" s="1" cm="1">
        <f t="array" ref="AI30">_xlfn.FILTERXML(AE30,"//distance/value")/1000</f>
        <v>543.50400000000002</v>
      </c>
      <c r="AJ30" s="1">
        <f t="shared" si="4"/>
        <v>0</v>
      </c>
      <c r="AK30" s="39" cm="1">
        <f t="array" ref="AK30">_xlfn.FILTERXML(AB30,"//duration/value")/60/60/24</f>
        <v>0.11163194444444445</v>
      </c>
      <c r="AL30" s="39" cm="1">
        <f t="array" ref="AL30">_xlfn.FILTERXML(AC30,"//duration/value")/60/60/24</f>
        <v>0</v>
      </c>
      <c r="AM30" s="39" cm="1">
        <f t="array" ref="AM30">_xlfn.FILTERXML(AD30,"//duration/value")/60/60/24</f>
        <v>1.8698495370370372</v>
      </c>
      <c r="AN30" s="39" cm="1">
        <f t="array" ref="AN30">_xlfn.FILTERXML(AE30,"//duration/value")/60/60/24</f>
        <v>0.21906249999999997</v>
      </c>
      <c r="AO30" s="4" t="str">
        <f t="shared" si="5"/>
        <v>Montreal</v>
      </c>
      <c r="AP30" s="4" t="str">
        <f t="shared" si="6"/>
        <v>Montreal</v>
      </c>
      <c r="AQ30" s="39" cm="1">
        <f t="array" ref="AQ30">_xlfn.FILTERXML(_xlfn.XLOOKUP(AJ30,$AF30:$AI30,AB30:AE30),"//duration/value")/60/60/24</f>
        <v>0</v>
      </c>
      <c r="AS30" s="1" t="s">
        <v>379</v>
      </c>
      <c r="AT30" s="1" t="s">
        <v>380</v>
      </c>
      <c r="AU30" s="1" t="s">
        <v>381</v>
      </c>
      <c r="AV30" s="1" t="s">
        <v>382</v>
      </c>
      <c r="AW30" s="1">
        <v>250.77799999999999</v>
      </c>
      <c r="AX30" s="1">
        <v>0</v>
      </c>
      <c r="AY30" s="1">
        <v>4550.1419999999998</v>
      </c>
      <c r="AZ30" s="1">
        <v>543.50400000000002</v>
      </c>
      <c r="BA30" s="1">
        <v>0</v>
      </c>
      <c r="BB30" s="39">
        <v>0.11163194444444445</v>
      </c>
      <c r="BC30" s="39">
        <v>0</v>
      </c>
      <c r="BD30" s="39">
        <v>1.8698495370370372</v>
      </c>
      <c r="BE30" s="39">
        <v>0.21906249999999997</v>
      </c>
      <c r="BF30" s="4" t="s">
        <v>285</v>
      </c>
      <c r="BG30" s="4" t="s">
        <v>285</v>
      </c>
      <c r="BH30" s="39">
        <v>0</v>
      </c>
    </row>
    <row r="31" spans="1:60" ht="28.8">
      <c r="C31" s="1" t="s">
        <v>187</v>
      </c>
      <c r="D31" s="2"/>
      <c r="E31" s="2"/>
      <c r="K31" s="38">
        <f>Table1[[#This Row],[Estimated Hours]]*Table1[[#This Row],[Hourly rate]]*1.15</f>
        <v>0</v>
      </c>
      <c r="O31" s="37"/>
      <c r="Q31" s="6" t="s">
        <v>188</v>
      </c>
      <c r="R31" s="1">
        <v>49.283854599999998</v>
      </c>
      <c r="S31" s="1">
        <v>-123.1196403</v>
      </c>
      <c r="T31" s="12" t="s">
        <v>189</v>
      </c>
      <c r="X31" s="1">
        <f>_xlfn.XLOOKUP(Table13[[#This Row],[Company]],'Projets Jerome'!$C$29:$C$32,'Projets Jerome'!$AC$29:$AC$32)</f>
        <v>49.283854599999998</v>
      </c>
      <c r="Y31" s="1">
        <f>_xlfn.XLOOKUP(Table13[[#This Row],[Company]],'Projets Jerome'!$C$29:$C$32,'Projets Jerome'!$AD$29:$AD$32)</f>
        <v>-123.1196403</v>
      </c>
      <c r="AB31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&lt;destination_address&gt;1500-885 W Georgia St, Vancouver, BC V6C 3E8, Canada&lt;/destination_address&gt;
 &lt;row&gt;
  &lt;element&gt;
   &lt;status&gt;OK&lt;/status&gt;
   &lt;duration&gt;
    &lt;value&gt;169765&lt;/value&gt;
    &lt;text&gt;1 day 23 hours&lt;/text&gt;
   &lt;/duration&gt;
   &lt;distance&gt;
    &lt;value&gt;4793125&lt;/value&gt;
    &lt;text&gt;4,793 km&lt;/text&gt;
   &lt;/distance&gt;
  &lt;/element&gt;
 &lt;/row&gt;
&lt;/DistanceMatrixResponse&gt;
</v>
      </c>
      <c r="AC31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&lt;destination_address&gt;1500-885 W Georgia St, Vancouver, BC V6C 3E8, Canada&lt;/destination_address&gt;
 &lt;row&gt;
  &lt;element&gt;
   &lt;status&gt;OK&lt;/status&gt;
   &lt;duration&gt;
    &lt;value&gt;161508&lt;/value&gt;
    &lt;text&gt;1 day 21 hours&lt;/text&gt;
   &lt;/duration&gt;
   &lt;distance&gt;
    &lt;value&gt;4550898&lt;/value&gt;
    &lt;text&gt;4,551 km&lt;/text&gt;
   &lt;/distance&gt;
  &lt;/element&gt;
 &lt;/row&gt;
&lt;/DistanceMatrixResponse&gt;
</v>
      </c>
      <c r="AD31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&lt;destination_address&gt;1500-885 W Georgia St, Vancouver, BC V6C 3E8, Canada&lt;/destination_address&gt;
 &lt;row&gt;
  &lt;element&gt;
   &lt;status&gt;OK&lt;/status&gt;
   &lt;duration&gt;
    &lt;value&gt;0&lt;/value&gt;
    &lt;text&gt;1 min&lt;/text&gt;
   &lt;/duration&gt;
   &lt;distance&gt;
    &lt;value&gt;0&lt;/value&gt;
    &lt;text&gt;1 m&lt;/text&gt;
   &lt;/distance&gt;
  &lt;/element&gt;
 &lt;/row&gt;
&lt;/DistanceMatrixResponse&gt;
</v>
      </c>
      <c r="AE31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&lt;destination_address&gt;1500-885 W Georgia St, Vancouver, BC V6C 3E8, Canada&lt;/destination_address&gt;
 &lt;row&gt;
  &lt;element&gt;
   &lt;status&gt;OK&lt;/status&gt;
   &lt;duration&gt;
    &lt;value&gt;144218&lt;/value&gt;
    &lt;text&gt;1 day 16 hours&lt;/text&gt;
   &lt;/duration&gt;
   &lt;distance&gt;
    &lt;value&gt;4373894&lt;/value&gt;
    &lt;text&gt;4,374 km&lt;/text&gt;
   &lt;/distance&gt;
  &lt;/element&gt;
 &lt;/row&gt;
&lt;/DistanceMatrixResponse&gt;
</v>
      </c>
      <c r="AF31" s="1" cm="1">
        <f t="array" ref="AF31">_xlfn.FILTERXML(AB31,"//distance/value")/1000</f>
        <v>4793.125</v>
      </c>
      <c r="AG31" s="1" cm="1">
        <f t="array" ref="AG31">_xlfn.FILTERXML(AC31,"//distance/value")/1000</f>
        <v>4550.8980000000001</v>
      </c>
      <c r="AH31" s="1" cm="1">
        <f t="array" ref="AH31">_xlfn.FILTERXML(AD31,"//distance/value")/1000</f>
        <v>0</v>
      </c>
      <c r="AI31" s="1" cm="1">
        <f t="array" ref="AI31">_xlfn.FILTERXML(AE31,"//distance/value")/1000</f>
        <v>4373.8940000000002</v>
      </c>
      <c r="AJ31" s="1">
        <f t="shared" si="4"/>
        <v>0</v>
      </c>
      <c r="AK31" s="39" cm="1">
        <f t="array" ref="AK31">_xlfn.FILTERXML(AB31,"//duration/value")/60/60/24</f>
        <v>1.964872685185185</v>
      </c>
      <c r="AL31" s="39" cm="1">
        <f t="array" ref="AL31">_xlfn.FILTERXML(AC31,"//duration/value")/60/60/24</f>
        <v>1.8693055555555558</v>
      </c>
      <c r="AM31" s="39" cm="1">
        <f t="array" ref="AM31">_xlfn.FILTERXML(AD31,"//duration/value")/60/60/24</f>
        <v>0</v>
      </c>
      <c r="AN31" s="39" cm="1">
        <f t="array" ref="AN31">_xlfn.FILTERXML(AE31,"//duration/value")/60/60/24</f>
        <v>1.6691898148148148</v>
      </c>
      <c r="AO31" s="4" t="str">
        <f t="shared" si="5"/>
        <v>BC</v>
      </c>
      <c r="AP31" s="4" t="str">
        <f t="shared" si="6"/>
        <v>BC</v>
      </c>
      <c r="AQ31" s="39" cm="1">
        <f t="array" ref="AQ31">_xlfn.FILTERXML(_xlfn.XLOOKUP(AJ31,$AF31:$AI31,AB31:AE31),"//duration/value")/60/60/24</f>
        <v>0</v>
      </c>
      <c r="AS31" s="1" t="s">
        <v>383</v>
      </c>
      <c r="AT31" s="1" t="s">
        <v>384</v>
      </c>
      <c r="AU31" s="1" t="s">
        <v>385</v>
      </c>
      <c r="AV31" s="1" t="s">
        <v>386</v>
      </c>
      <c r="AW31" s="1">
        <v>4793.125</v>
      </c>
      <c r="AX31" s="1">
        <v>4550.8980000000001</v>
      </c>
      <c r="AY31" s="1">
        <v>0</v>
      </c>
      <c r="AZ31" s="1">
        <v>4373.8940000000002</v>
      </c>
      <c r="BA31" s="1">
        <v>0</v>
      </c>
      <c r="BB31" s="39">
        <v>1.964872685185185</v>
      </c>
      <c r="BC31" s="39">
        <v>1.8693055555555558</v>
      </c>
      <c r="BD31" s="39">
        <v>0</v>
      </c>
      <c r="BE31" s="39">
        <v>1.6691898148148148</v>
      </c>
      <c r="BF31" s="4" t="s">
        <v>248</v>
      </c>
      <c r="BG31" s="4" t="s">
        <v>248</v>
      </c>
      <c r="BH31" s="39">
        <v>0</v>
      </c>
    </row>
    <row r="32" spans="1:60" ht="28.8">
      <c r="C32" s="1" t="s">
        <v>190</v>
      </c>
      <c r="D32" s="2"/>
      <c r="E32" s="2"/>
      <c r="K32" s="38">
        <f>Table1[[#This Row],[Estimated Hours]]*Table1[[#This Row],[Hourly rate]]*1.15</f>
        <v>0</v>
      </c>
      <c r="O32" s="37"/>
      <c r="Q32" s="6" t="s">
        <v>191</v>
      </c>
      <c r="R32" s="1">
        <v>43.641082500000003</v>
      </c>
      <c r="S32" s="1">
        <v>-79.378719599999997</v>
      </c>
      <c r="T32" s="12" t="s">
        <v>192</v>
      </c>
      <c r="X32" s="1">
        <f>_xlfn.XLOOKUP(Table13[[#This Row],[Company]],'Projets Jerome'!$C$29:$C$32,'Projets Jerome'!$AC$29:$AC$32)</f>
        <v>43.641082500000003</v>
      </c>
      <c r="Y32" s="1">
        <f>_xlfn.XLOOKUP(Table13[[#This Row],[Company]],'Projets Jerome'!$C$29:$C$32,'Projets Jerome'!$AD$29:$AD$32)</f>
        <v>-79.378719599999997</v>
      </c>
      <c r="AB32" s="1" t="str">
        <f t="shared" si="0"/>
        <v xml:space="preserve">&lt;?xml version="1.0" encoding="UTF-8"?&gt;
&lt;DistanceMatrixResponse&gt;
 &lt;status&gt;OK&lt;/status&gt;
 &lt;origin_address&gt;2828 Bd Laurier, Québec, QC G1V 0C1, Canada&lt;/origin_address&gt;
 &lt;destination_address&gt;2500-88 Queens Quay W, Toronto, ON M5J 0B8, Canada&lt;/destination_address&gt;
 &lt;row&gt;
  &lt;element&gt;
   &lt;status&gt;OK&lt;/status&gt;
   &lt;duration&gt;
    &lt;value&gt;27440&lt;/value&gt;
    &lt;text&gt;7 hours 37 mins&lt;/text&gt;
   &lt;/duration&gt;
   &lt;distance&gt;
    &lt;value&gt;797110&lt;/value&gt;
    &lt;text&gt;797 km&lt;/text&gt;
   &lt;/distance&gt;
  &lt;/element&gt;
 &lt;/row&gt;
&lt;/DistanceMatrixResponse&gt;
</v>
      </c>
      <c r="AC32" s="1" t="str">
        <f t="shared" si="1"/>
        <v xml:space="preserve">&lt;?xml version="1.0" encoding="UTF-8"?&gt;
&lt;DistanceMatrixResponse&gt;
 &lt;status&gt;OK&lt;/status&gt;
 &lt;origin_address&gt;797 Av Champagneur, Outremont, QC H2V 3P9, Canada&lt;/origin_address&gt;
 &lt;destination_address&gt;2500-88 Queens Quay W, Toronto, ON M5J 0B8, Canada&lt;/destination_address&gt;
 &lt;row&gt;
  &lt;element&gt;
   &lt;status&gt;OK&lt;/status&gt;
   &lt;duration&gt;
    &lt;value&gt;19335&lt;/value&gt;
    &lt;text&gt;5 hours 22 mins&lt;/text&gt;
   &lt;/duration&gt;
   &lt;distance&gt;
    &lt;value&gt;545090&lt;/value&gt;
    &lt;text&gt;545 km&lt;/text&gt;
   &lt;/distance&gt;
  &lt;/element&gt;
 &lt;/row&gt;
&lt;/DistanceMatrixResponse&gt;
</v>
      </c>
      <c r="AD32" s="1" t="str">
        <f t="shared" si="2"/>
        <v xml:space="preserve">&lt;?xml version="1.0" encoding="UTF-8"?&gt;
&lt;DistanceMatrixResponse&gt;
 &lt;status&gt;OK&lt;/status&gt;
 &lt;origin_address&gt;1500-885 W Georgia St, Vancouver, BC V6C 3E8, Canada&lt;/origin_address&gt;
 &lt;destination_address&gt;2500-88 Queens Quay W, Toronto, ON M5J 0B8, Canada&lt;/destination_address&gt;
 &lt;row&gt;
  &lt;element&gt;
   &lt;status&gt;OK&lt;/status&gt;
   &lt;duration&gt;
    &lt;value&gt;144451&lt;/value&gt;
    &lt;text&gt;1 day 16 hours&lt;/text&gt;
   &lt;/duration&gt;
   &lt;distance&gt;
    &lt;value&gt;4381317&lt;/value&gt;
    &lt;text&gt;4,381 km&lt;/text&gt;
   &lt;/distance&gt;
  &lt;/element&gt;
 &lt;/row&gt;
&lt;/DistanceMatrixResponse&gt;
</v>
      </c>
      <c r="AE32" s="1" t="str">
        <f t="shared" si="3"/>
        <v xml:space="preserve">&lt;?xml version="1.0" encoding="UTF-8"?&gt;
&lt;DistanceMatrixResponse&gt;
 &lt;status&gt;OK&lt;/status&gt;
 &lt;origin_address&gt;2500-88 Queens Quay W, Toronto, ON M5J 0B8, Canada&lt;/origin_address&gt;
 &lt;destination_address&gt;2500-88 Queens Quay W, Toronto, ON M5J 0B8, Canada&lt;/destination_address&gt;
 &lt;row&gt;
  &lt;element&gt;
   &lt;status&gt;OK&lt;/status&gt;
   &lt;duration&gt;
    &lt;value&gt;0&lt;/value&gt;
    &lt;text&gt;1 min&lt;/text&gt;
   &lt;/duration&gt;
   &lt;distance&gt;
    &lt;value&gt;0&lt;/value&gt;
    &lt;text&gt;1 m&lt;/text&gt;
   &lt;/distance&gt;
  &lt;/element&gt;
 &lt;/row&gt;
&lt;/DistanceMatrixResponse&gt;
</v>
      </c>
      <c r="AF32" s="1" cm="1">
        <f t="array" ref="AF32">_xlfn.FILTERXML(AB32,"//distance/value")/1000</f>
        <v>797.11</v>
      </c>
      <c r="AG32" s="1" cm="1">
        <f t="array" ref="AG32">_xlfn.FILTERXML(AC32,"//distance/value")/1000</f>
        <v>545.09</v>
      </c>
      <c r="AH32" s="1" cm="1">
        <f t="array" ref="AH32">_xlfn.FILTERXML(AD32,"//distance/value")/1000</f>
        <v>4381.317</v>
      </c>
      <c r="AI32" s="1" cm="1">
        <f t="array" ref="AI32">_xlfn.FILTERXML(AE32,"//distance/value")/1000</f>
        <v>0</v>
      </c>
      <c r="AJ32" s="1">
        <f t="shared" si="4"/>
        <v>0</v>
      </c>
      <c r="AK32" s="39" cm="1">
        <f t="array" ref="AK32">_xlfn.FILTERXML(AB32,"//duration/value")/60/60/24</f>
        <v>0.31759259259259259</v>
      </c>
      <c r="AL32" s="39" cm="1">
        <f t="array" ref="AL32">_xlfn.FILTERXML(AC32,"//duration/value")/60/60/24</f>
        <v>0.22378472222222223</v>
      </c>
      <c r="AM32" s="39" cm="1">
        <f t="array" ref="AM32">_xlfn.FILTERXML(AD32,"//duration/value")/60/60/24</f>
        <v>1.6718865740740743</v>
      </c>
      <c r="AN32" s="39" cm="1">
        <f t="array" ref="AN32">_xlfn.FILTERXML(AE32,"//duration/value")/60/60/24</f>
        <v>0</v>
      </c>
      <c r="AO32" s="4" t="str">
        <f t="shared" si="5"/>
        <v>ON</v>
      </c>
      <c r="AP32" s="4" t="str">
        <f t="shared" si="6"/>
        <v>ON</v>
      </c>
      <c r="AQ32" s="39" cm="1">
        <f t="array" ref="AQ32">_xlfn.FILTERXML(_xlfn.XLOOKUP(AJ32,$AF32:$AI32,AB32:AE32),"//duration/value")/60/60/24</f>
        <v>0</v>
      </c>
      <c r="AS32" s="1" t="s">
        <v>387</v>
      </c>
      <c r="AT32" s="1" t="s">
        <v>388</v>
      </c>
      <c r="AU32" s="1" t="s">
        <v>389</v>
      </c>
      <c r="AV32" s="1" t="s">
        <v>390</v>
      </c>
      <c r="AW32" s="1">
        <v>797.11</v>
      </c>
      <c r="AX32" s="1">
        <v>545.09</v>
      </c>
      <c r="AY32" s="1">
        <v>4381.317</v>
      </c>
      <c r="AZ32" s="1">
        <v>0</v>
      </c>
      <c r="BA32" s="1">
        <v>0</v>
      </c>
      <c r="BB32" s="39">
        <v>0.31759259259259259</v>
      </c>
      <c r="BC32" s="39">
        <v>0.22378472222222223</v>
      </c>
      <c r="BD32" s="39">
        <v>1.6718865740740743</v>
      </c>
      <c r="BE32" s="39">
        <v>0</v>
      </c>
      <c r="BF32" s="4" t="s">
        <v>249</v>
      </c>
      <c r="BG32" s="4" t="s">
        <v>249</v>
      </c>
      <c r="BH32" s="39">
        <v>0</v>
      </c>
    </row>
    <row r="34" spans="45:46">
      <c r="AT34" s="1" t="s">
        <v>254</v>
      </c>
    </row>
    <row r="35" spans="45:46">
      <c r="AS35" s="1" t="s">
        <v>246</v>
      </c>
      <c r="AT35" s="1" t="str">
        <f>"https://maps.googleapis.com/maps/api/distancematrix/xml?destinations="&amp;"40.659569"&amp;"%2C"&amp;"-73.933783"&amp;"&amp;origins="&amp;$R29&amp;"%2C"&amp;$S29&amp;"&amp;key=AIzaSyCHth-wrbaKBruFJQMWpdpeHAtAzdbcKh4"</f>
        <v>https://maps.googleapis.com/maps/api/distancematrix/xml?destinations=40.659569%2C-73.933783&amp;origins=46.7678083%2C-71.2888117&amp;key=AIzaSyCHth-wrbaKBruFJQMWpdpeHAtAzdbcKh4</v>
      </c>
    </row>
    <row r="36" spans="45:46">
      <c r="AS36" s="1" t="s">
        <v>247</v>
      </c>
      <c r="AT36" s="1" t="str">
        <f>"https://maps.googleapis.com/maps/api/distancematrix/xml?destinations="&amp;"40.659569"&amp;"%2C"&amp;"-73.933783"&amp;"&amp;origins="&amp;$R30&amp;"%2C"&amp;$S30&amp;"&amp;key=AIzaSyCHth-wrbaKBruFJQMWpdpeHAtAzdbcKh4"</f>
        <v>https://maps.googleapis.com/maps/api/distancematrix/xml?destinations=40.659569%2C-73.933783&amp;origins=45.5219584%2C-73.6130896&amp;key=AIzaSyCHth-wrbaKBruFJQMWpdpeHAtAzdbcKh4</v>
      </c>
    </row>
    <row r="37" spans="45:46">
      <c r="AS37" s="1" t="s">
        <v>248</v>
      </c>
      <c r="AT37" s="1" t="str">
        <f>"https://maps.googleapis.com/maps/api/distancematrix/xml?destinations="&amp;"40.659569"&amp;"%2C"&amp;"-73.933783"&amp;"&amp;origins="&amp;$R31&amp;"%2C"&amp;$S31&amp;"&amp;key=AIzaSyCHth-wrbaKBruFJQMWpdpeHAtAzdbcKh4"</f>
        <v>https://maps.googleapis.com/maps/api/distancematrix/xml?destinations=40.659569%2C-73.933783&amp;origins=49.2838546%2C-123.1196403&amp;key=AIzaSyCHth-wrbaKBruFJQMWpdpeHAtAzdbcKh4</v>
      </c>
    </row>
    <row r="38" spans="45:46">
      <c r="AS38" s="1" t="s">
        <v>249</v>
      </c>
      <c r="AT38" s="1" t="str">
        <f>"https://maps.googleapis.com/maps/api/distancematrix/xml?destinations="&amp;"40.659569"&amp;"%2C"&amp;"-73.933783"&amp;"&amp;origins="&amp;$R32&amp;"%2C"&amp;$S32&amp;"&amp;key=AIzaSyCHth-wrbaKBruFJQMWpdpeHAtAzdbcKh4"</f>
        <v>https://maps.googleapis.com/maps/api/distancematrix/xml?destinations=40.659569%2C-73.933783&amp;origins=43.6410825%2C-79.3787196&amp;key=AIzaSyCHth-wrbaKBruFJQMWpdpeHAtAzdbcKh4</v>
      </c>
    </row>
    <row r="41" spans="45:46">
      <c r="AS41" s="1" t="s">
        <v>246</v>
      </c>
      <c r="AT41" s="1" t="s">
        <v>255</v>
      </c>
    </row>
    <row r="42" spans="45:46">
      <c r="AS42" s="1" t="s">
        <v>247</v>
      </c>
      <c r="AT42" s="1" t="s">
        <v>256</v>
      </c>
    </row>
    <row r="43" spans="45:46">
      <c r="AS43" s="1" t="s">
        <v>248</v>
      </c>
      <c r="AT43" s="1" t="s">
        <v>257</v>
      </c>
    </row>
    <row r="44" spans="45:46">
      <c r="AS44" s="1" t="s">
        <v>249</v>
      </c>
      <c r="AT44" s="1" t="s">
        <v>258</v>
      </c>
    </row>
    <row r="46" spans="45:46">
      <c r="AS46" s="1" t="s">
        <v>246</v>
      </c>
      <c r="AT46" s="1" t="s">
        <v>255</v>
      </c>
    </row>
    <row r="47" spans="45:46">
      <c r="AS47" s="1" t="s">
        <v>247</v>
      </c>
      <c r="AT47" s="1" t="s">
        <v>256</v>
      </c>
    </row>
    <row r="48" spans="45:46">
      <c r="AS48" s="1" t="s">
        <v>248</v>
      </c>
      <c r="AT48" s="1" t="s">
        <v>257</v>
      </c>
    </row>
    <row r="49" spans="45:46">
      <c r="AS49" s="1" t="s">
        <v>249</v>
      </c>
      <c r="AT49" s="1" t="s">
        <v>258</v>
      </c>
    </row>
    <row r="51" spans="45:46">
      <c r="AS51" s="1" t="s">
        <v>246</v>
      </c>
      <c r="AT51" s="1" t="str">
        <f>"https://maps.googleapis.com/maps/api/distancematrix/xml?destinations="&amp;"40.659569"&amp;"%2C"&amp;"-73.933783"&amp;"&amp;origins=46.7677269%2C-71.2887151&amp;key=AIzaSyCHth-wrbaKBruFJQMWpdpeHAtAzdbcKh4"</f>
        <v>https://maps.googleapis.com/maps/api/distancematrix/xml?destinations=40.659569%2C-73.933783&amp;origins=46.7677269%2C-71.2887151&amp;key=AIzaSyCHth-wrbaKBruFJQMWpdpeHAtAzdbcKh4</v>
      </c>
    </row>
    <row r="52" spans="45:46">
      <c r="AS52" s="1" t="s">
        <v>247</v>
      </c>
      <c r="AT52" s="1" t="str">
        <f>"https://maps.googleapis.com/maps/api/distancematrix/xml?destinations="&amp;"40.659569"&amp;"%2C"&amp;"-73.933783"&amp;"&amp;origins=45.52193%2C-73.6130697&amp;key=AIzaSyCHth-wrbaKBruFJQMWpdpeHAtAzdbcKh4"</f>
        <v>https://maps.googleapis.com/maps/api/distancematrix/xml?destinations=40.659569%2C-73.933783&amp;origins=45.52193%2C-73.6130697&amp;key=AIzaSyCHth-wrbaKBruFJQMWpdpeHAtAzdbcKh4</v>
      </c>
    </row>
    <row r="53" spans="45:46">
      <c r="AS53" s="1" t="s">
        <v>248</v>
      </c>
      <c r="AT53" s="1" t="str">
        <f>"https://maps.googleapis.com/maps/api/distancematrix/xml?destinations="&amp;"40.659569"&amp;"%2C"&amp;"-73.933783"&amp;"&amp;origins=49.2838546%2C-123.1196403&amp;key=AIzaSyCHth-wrbaKBruFJQMWpdpeHAtAzdbcKh4"</f>
        <v>https://maps.googleapis.com/maps/api/distancematrix/xml?destinations=40.659569%2C-73.933783&amp;origins=49.2838546%2C-123.1196403&amp;key=AIzaSyCHth-wrbaKBruFJQMWpdpeHAtAzdbcKh4</v>
      </c>
    </row>
    <row r="54" spans="45:46">
      <c r="AS54" s="1" t="s">
        <v>249</v>
      </c>
      <c r="AT54" s="1" t="str">
        <f>"https://maps.googleapis.com/maps/api/distancematrix/xml?destinations="&amp;"40.659569"&amp;"%2C"&amp;"-73.933783"&amp;"&amp;origins=43.6410825%2C-79.3787196&amp;key=AIzaSyCHth-wrbaKBruFJQMWpdpeHAtAzdbcKh4"</f>
        <v>https://maps.googleapis.com/maps/api/distancematrix/xml?destinations=40.659569%2C-73.933783&amp;origins=43.6410825%2C-79.3787196&amp;key=AIzaSyCHth-wrbaKBruFJQMWpdpeHAtAzdbcKh4</v>
      </c>
    </row>
  </sheetData>
  <phoneticPr fontId="18" type="noConversion"/>
  <conditionalFormatting sqref="AO2:AP32">
    <cfRule type="cellIs" dxfId="25" priority="3" operator="equal">
      <formula>"Montreal"</formula>
    </cfRule>
  </conditionalFormatting>
  <conditionalFormatting sqref="AR2:AR32">
    <cfRule type="cellIs" dxfId="24" priority="2" operator="equal">
      <formula>"Montreal"</formula>
    </cfRule>
  </conditionalFormatting>
  <conditionalFormatting sqref="BF2:BG32">
    <cfRule type="cellIs" dxfId="23" priority="1" operator="equal">
      <formula>"Montreal"</formula>
    </cfRule>
  </conditionalFormatting>
  <hyperlinks>
    <hyperlink ref="Q11" r:id="rId1" display="https://www.google.fr/maps/place/6226+Danville+Rd,+Mississauga,+ON+L5T+2H7/@43.6421185,-79.6747931,18z/data=!4m13!1m7!3m6!1s0x882b3f69ec62ad99:0xe801a6135638fab9!2s6226+Danville+Rd,+Mississauga,+ON+L5T+2H7!3b1!8m2!3d43.6421169!4d-79.6738909!3m4!1s0x882b3f69ec62ad99:0xe801a6135638fab9!8m2!3d43.6421169!4d-79.6738909!5m1!1e1?hl=fr" xr:uid="{93B46A03-FFA0-40E3-9EBF-C76D5A98599E}"/>
    <hyperlink ref="Q5" r:id="rId2" xr:uid="{D153A2DC-8016-4D09-BE63-854B3D6E0255}"/>
    <hyperlink ref="Q24" r:id="rId3" xr:uid="{768C7B79-0EB2-4858-9F0E-E6EF385437A7}"/>
    <hyperlink ref="Q9" r:id="rId4" xr:uid="{03ADF0D1-6B89-4057-B8E2-56D6CB3561B1}"/>
    <hyperlink ref="Q12" r:id="rId5" xr:uid="{2BE23043-4C50-4DDF-85C9-D44B94FF3D8A}"/>
    <hyperlink ref="Q13" r:id="rId6" xr:uid="{2121BD46-AA48-4DA1-A87B-0438FEC2A56F}"/>
    <hyperlink ref="Q7" r:id="rId7" display="https://www.google.fr/maps/place/Les+Entreprises+Tzanet/@45.563041,-73.7008035,13z/data=!4m9!1m2!2m1!1stzanet!3m5!1s0x4cc918f3f22a80a9:0xc62c2032f37672a4!8m2!3d45.5332363!4d-73.6628473!15sCgZ0emFuZXQiA4gBAVoIIgZ0emFuZXSSARRraXRjaGVuX3N1cHBseV9zdG9yZeABAA!5m1!1e1?hl=fr" xr:uid="{15786409-8DD6-47C4-99D0-3DB8B7AB529A}"/>
    <hyperlink ref="Q6" r:id="rId8" xr:uid="{3E562ED7-13B4-460F-9DB4-1FCD43EB0D7E}"/>
    <hyperlink ref="Q23" r:id="rId9" xr:uid="{9514C42F-51DC-42BF-B102-917FA23D3603}"/>
    <hyperlink ref="Q17" r:id="rId10" xr:uid="{935D8167-972F-4296-9B4B-645B09FF44B9}"/>
    <hyperlink ref="Q8" r:id="rId11" display="https://www.google.fr/maps/place/84+Easton+Rd,+Brantford,+ON+N3P+1J5/@43.1783099,-80.2439915,17z/data=!4m13!1m7!3m6!1s0x882c65a8c719a50d:0x6f23799d6a1e608!2s84+Easton+Rd,+Brantford,+ON+N3P+1J5!3b1!8m2!3d43.178306!4d-80.2418028!3m4!1s0x882c65a8c719a50d:0x6f23799d6a1e608!8m2!3d43.178306!4d-80.2418028!5m1!1e1?hl=fr" xr:uid="{AAC79657-2CAC-48D6-A596-E0662D31DD52}"/>
    <hyperlink ref="Q3" r:id="rId12" xr:uid="{C69661FD-28D2-4541-9F3C-FC81668802AB}"/>
    <hyperlink ref="Q29" r:id="rId13" xr:uid="{5A2AF7A8-7C11-4C04-BCF7-BD1FE8E80AC0}"/>
    <hyperlink ref="Q30" r:id="rId14" xr:uid="{62A0B26E-6718-4378-B8A4-ED207EB1F45C}"/>
    <hyperlink ref="Q31" r:id="rId15" display="https://www.google.fr/maps/place/Forgestik+Inc+-+Vancouver/@49.2838546,-123.121829,17z/data=!3m1!5s0x548671a3d041e691:0x16e05f12b932f59a!4m12!1m6!3m5!1s0x54867181e140b2c3:0x3257d5499dc7de7c!2sForgestik+Inc+-+Vancouver!8m2!3d49.2838546!4d-123.1196403!3m4!1s0x54867181e140b2c3:0x3257d5499dc7de7c!8m2!3d49.2838546!4d-123.1196403!5m1!1e1?hl=fr " xr:uid="{FC536304-8974-4E38-82C8-7AE5006A8425}"/>
    <hyperlink ref="Q32" r:id="rId16" display="https://www.google.fr/maps/place/Forgestik+Inc.+-+Toronto/@43.6410825,-79.3809083,17z/data=!3m1!5s0x882b3757de085e91:0xc359f58994eb5f5!4m12!1m6!3m5!1s0x89d4cb2ae8a1ac2d:0xe007d130adfb1a56!2sForgestik+Inc.+-+Toronto!8m2!3d43.6410825!4d-79.3787196!3m4!1s0x89d4cb2ae8a1ac2d:0xe007d130adfb1a56!8m2!3d43.6410825!4d-79.3787196!5m1!1e1?hl=fr " xr:uid="{375E5D96-8419-454C-8586-147FD112299B}"/>
    <hyperlink ref="Q4" r:id="rId17" display="https://www.google.fr/maps/place/LES+%C3%89DITIONS+CHOUETTE+(1987)+inc./@45.6108288,-73.8582806,17z/data=!4m12!1m6!3m5!1s0x4cc91142da3d61ff:0xb55087171593262f!2sLES+%C3%89DITIONS+CHOUETTE+(1987)+inc.!8m2!3d45.6110368!4d-73.8562293!3m4!1s0x4cc91142da3d61ff:0xb55087171593262f!8m2!3d45.6110368!4d-73.8562293!5m1!1e1?hl=fr " xr:uid="{C5730619-95F6-483D-BA98-3B53273CE82F}"/>
    <hyperlink ref="Q2" r:id="rId18" display="https://www.google.fr/maps/place/Distribution+GVA+Inc./@45.5853088,-73.7116445,17z/data=!4m13!1m7!3m6!1s0x4cc9219b39d4d33b:0x961f6a106a81006b!2s1950+Boulevard+des+Laurentides,+Laval,+QC+H7M+2Y9!3b1!8m2!3d45.5853088!4d-73.7094558!3m4!1s0x41aacc371c0c6853:0x7e5ed2e830a314af!8m2!3d45.5852879!4d-73.7094431!5m1!1e1?hl=fr " xr:uid="{F42D57C1-2F77-4012-B684-5767B6ABFA4D}"/>
    <hyperlink ref="Q10" r:id="rId19" xr:uid="{4F3A9892-94DA-42C3-98E5-D91FFC5DC6FD}"/>
    <hyperlink ref="Q18" r:id="rId20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599FE63E-67BB-4EBC-AA26-356950BF215B}"/>
    <hyperlink ref="Q19" r:id="rId21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8CC4AC24-5700-4386-9FB0-463850A358C9}"/>
    <hyperlink ref="Q20" r:id="rId22" display="https://www.google.com/maps/place/Federal+Steel+Equipment+Ltd/@45.438671,-73.6842559,17z/data=!4m12!1m6!3m5!1s0x4cc916ed91b1a055:0x25f4359a9b7f9fcd!2sFederal+Steel+Equipment+Ltd!8m2!3d45.4386681!4d-73.6822375!3m4!1s0x4cc916ed91b1a055:0x25f4359a9b7f9fcd!8m2!3d45.4386681!4d-73.6822375 " xr:uid="{85F7013A-355A-4104-9589-0AA6DAAEA453}"/>
    <hyperlink ref="Q16" r:id="rId23" display="https://www.google.fr/maps/place/Mega+Star+Electronics/@45.5959339,-73.6251983,17z/data=!4m13!1m7!3m6!1s0x4cc91f0eb603ccf1:0x98b53f098eaf6dc4!2s5061+Rue+d'Amiens,+Montr%C3%A9al-Nord,+QC+H1G+3G2!3b1!8m2!3d45.5959339!4d-73.6230096!3m4!1s0x4cc91f0eb6183d4d:0x160e294c414f78c1!8m2!3d45.5960346!4d-73.6228044!5m1!1e1?hl=fr " xr:uid="{211A9A14-2C55-4842-B2EF-0B4947A32C0B}"/>
    <hyperlink ref="Q14" r:id="rId24" xr:uid="{B22308BF-5E9B-4324-B8BD-FDD33A26EED3}"/>
    <hyperlink ref="Q15" r:id="rId25" display="https://www.google.fr/maps/place/LOVATO+Electric/@37.3473706,-76.2287809,7z/data=!4m5!3m4!1s0x0:0x2d8afaab31ba084e!8m2!3d36.7918965!4d-76.2460442!5m1!1e1?hl=fr" xr:uid="{2B47C1D7-09F1-478B-99BF-84BB577B8313}"/>
    <hyperlink ref="U25" r:id="rId26" xr:uid="{A56B0661-D53D-4C6B-B6A3-B333F7E050DD}"/>
    <hyperlink ref="U24" r:id="rId27" xr:uid="{674B2958-9142-4247-93D9-2B199DEBCD81}"/>
    <hyperlink ref="U12" r:id="rId28" xr:uid="{63252B0E-968D-4903-85E9-AE26C020D1C7}"/>
    <hyperlink ref="U8" r:id="rId29" xr:uid="{15C9796E-B70B-477A-8C97-57BA71FB77B7}"/>
    <hyperlink ref="U17" r:id="rId30" xr:uid="{4A619612-2B71-498A-ABCF-8C99B29DD011}"/>
    <hyperlink ref="U11" r:id="rId31" xr:uid="{8144DB44-4A3D-4EE9-BC66-DCF6985C1389}"/>
    <hyperlink ref="U9" r:id="rId32" xr:uid="{0F3CAF0E-D472-4CFF-A59E-36F93C514F31}"/>
    <hyperlink ref="U10" r:id="rId33" xr:uid="{A9BE4C8D-9B3F-4B59-81B1-B27BB5B0101B}"/>
    <hyperlink ref="U2" r:id="rId34" xr:uid="{E97220D9-0FDA-435A-A97E-1C814244BA51}"/>
    <hyperlink ref="U4" r:id="rId35" xr:uid="{4C447D64-4252-46FD-8DEB-664F14891728}"/>
    <hyperlink ref="U20" r:id="rId36" xr:uid="{4F2026DB-7B33-4E1B-9156-D271E6CC2001}"/>
    <hyperlink ref="U18" r:id="rId37" xr:uid="{6439A4DC-A6D4-4F69-A269-9BCAE60DCB0C}"/>
    <hyperlink ref="U19" r:id="rId38" xr:uid="{C276DADC-3515-44F8-9906-F7C0458497BC}"/>
    <hyperlink ref="U13" r:id="rId39" xr:uid="{F8A58757-361C-487F-A7FE-BC99C9F056AB}"/>
    <hyperlink ref="U21" r:id="rId40" xr:uid="{A4A9CC2E-7D8C-4B19-A473-DA652DA2A3F2}"/>
    <hyperlink ref="U15" r:id="rId41" xr:uid="{1C19E2B7-802C-4A23-86A7-B5490C4D974D}"/>
    <hyperlink ref="U16" r:id="rId42" xr:uid="{BD8F9356-6F9D-49FB-9260-862D66144BEE}"/>
    <hyperlink ref="U5" r:id="rId43" xr:uid="{5F214BBD-354C-47D4-90A4-B25C3A2CBD64}"/>
    <hyperlink ref="U3" r:id="rId44" xr:uid="{B37C2440-3F37-45E2-AFE3-589A1835DA83}"/>
    <hyperlink ref="U6" r:id="rId45" xr:uid="{4F4C3A78-4A4C-4BE7-896B-81CF2C8B6458}"/>
    <hyperlink ref="U7" r:id="rId46" xr:uid="{396406FC-0BA6-4D94-93AD-0D5ADEDBB037}"/>
    <hyperlink ref="U14" r:id="rId47" xr:uid="{113F999D-ACC9-4AB6-A6AB-8975BCEC01D2}"/>
    <hyperlink ref="Q22" r:id="rId48" display="https://www.google.fr/maps/place/Produits+Electrolation+Inc/@45.594032,-73.7443942,19z/data=!4m12!1m6!3m5!1s0x4cc92143ec29647d:0x9f89ab8988471bbd!2sProduits+Electrolation+Inc!8m2!3d45.5943373!4d-73.7441876!3m4!1s0x4cc92143ec29647d:0x9f89ab8988471bbd!8m2!3d45.5943373!4d-73.7441876!5m1!1e1?hl=fr" xr:uid="{E0E4E55E-CCEB-4C94-97F3-C49BCEE74DD5}"/>
    <hyperlink ref="U23" r:id="rId49" xr:uid="{3EEE83CF-B9B5-40BB-8F69-0239421DABA2}"/>
    <hyperlink ref="U28" r:id="rId50" xr:uid="{FAEF13DB-80BF-43C9-A27C-3642ABF353E4}"/>
    <hyperlink ref="U27" r:id="rId51" xr:uid="{D46827CC-02E4-4DC3-A34D-B416D13253B8}"/>
  </hyperlinks>
  <pageMargins left="0.7" right="0.7" top="0.75" bottom="0.75" header="0.3" footer="0.3"/>
  <pageSetup orientation="portrait" r:id="rId52"/>
  <tableParts count="1">
    <tablePart r:id="rId5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Projets Jerome</vt:lpstr>
      <vt:lpstr>import</vt:lpstr>
      <vt:lpstr>Projets Jerome_2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Jérôme Cholewa</dc:creator>
  <cp:keywords/>
  <dc:description/>
  <cp:lastModifiedBy>Jérôme Cholewa</cp:lastModifiedBy>
  <cp:revision/>
  <dcterms:created xsi:type="dcterms:W3CDTF">2022-11-16T16:04:21Z</dcterms:created>
  <dcterms:modified xsi:type="dcterms:W3CDTF">2023-01-20T17:26:16Z</dcterms:modified>
  <cp:category/>
  <cp:contentStatus/>
</cp:coreProperties>
</file>