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gestik0-my.sharepoint.com/personal/jcholewa_forgestik_com/Documents/Documents/Projects/"/>
    </mc:Choice>
  </mc:AlternateContent>
  <xr:revisionPtr revIDLastSave="1233" documentId="13_ncr:40009_{E1EA40D9-8353-4A57-9899-E0EE1F2B4E26}" xr6:coauthVersionLast="47" xr6:coauthVersionMax="47" xr10:uidLastSave="{D7990CD0-BE76-42F5-B42A-ED3236F27024}"/>
  <bookViews>
    <workbookView xWindow="-26910" yWindow="-6180" windowWidth="25530" windowHeight="13245" activeTab="3" xr2:uid="{00000000-000D-0000-FFFF-FFFF00000000}"/>
  </bookViews>
  <sheets>
    <sheet name="Projets Jerome" sheetId="1" r:id="rId1"/>
    <sheet name="import" sheetId="2" r:id="rId2"/>
    <sheet name="Projets Jerome_2" sheetId="3" r:id="rId3"/>
    <sheet name="Projets Jerome_2_test" sheetId="9" r:id="rId4"/>
    <sheet name="Projets_cherif" sheetId="4" r:id="rId5"/>
    <sheet name="Projets_nathalie" sheetId="6" r:id="rId6"/>
  </sheets>
  <definedNames>
    <definedName name="_xlnm._FilterDatabase" localSheetId="1" hidden="1">import!$A$1:$Q$22</definedName>
    <definedName name="_xlnm._FilterDatabase" localSheetId="0" hidden="1">'Projets Jerome'!$A$1:$AF$37</definedName>
    <definedName name="_xlnm._FilterDatabase" localSheetId="2" hidden="1">'Projets Jerome_2'!$A$1:$N$37</definedName>
    <definedName name="_xlnm._FilterDatabase" localSheetId="3" hidden="1">'Projets Jerome_2_test'!$A$1:$BH$37</definedName>
    <definedName name="_xlnm._FilterDatabase" localSheetId="4" hidden="1">Projets_cherif!$A$1:$N$10</definedName>
    <definedName name="_xlnm._FilterDatabase" localSheetId="5" hidden="1">Projets_nathalie!$A$1:$N$7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9" l="1"/>
  <c r="I31" i="3"/>
  <c r="I3" i="9"/>
  <c r="AT59" i="9"/>
  <c r="AT58" i="9"/>
  <c r="AT57" i="9"/>
  <c r="AT56" i="9"/>
  <c r="AT43" i="9"/>
  <c r="AT42" i="9"/>
  <c r="AT41" i="9"/>
  <c r="AT40" i="9"/>
  <c r="Y37" i="9"/>
  <c r="X37" i="9"/>
  <c r="AD36" i="9"/>
  <c r="AC36" i="9"/>
  <c r="Y36" i="9"/>
  <c r="X36" i="9"/>
  <c r="AE36" i="9" s="1"/>
  <c r="Y35" i="9"/>
  <c r="X35" i="9"/>
  <c r="AB35" i="9" s="1"/>
  <c r="AK35" i="9" s="1" a="1"/>
  <c r="AK35" i="9" s="1"/>
  <c r="Y34" i="9"/>
  <c r="X34" i="9"/>
  <c r="Y31" i="9"/>
  <c r="AD31" i="9" s="1"/>
  <c r="X31" i="9"/>
  <c r="I31" i="9"/>
  <c r="Y19" i="9"/>
  <c r="X19" i="9"/>
  <c r="AC19" i="9" s="1"/>
  <c r="AG19" i="9" s="1" a="1"/>
  <c r="AG19" i="9" s="1"/>
  <c r="I19" i="9"/>
  <c r="Y3" i="9"/>
  <c r="X3" i="9"/>
  <c r="AE3" i="9" s="1"/>
  <c r="AN3" i="9" s="1" a="1"/>
  <c r="AN3" i="9" s="1"/>
  <c r="Y30" i="9"/>
  <c r="X30" i="9"/>
  <c r="AD30" i="9" s="1"/>
  <c r="AM30" i="9" s="1" a="1"/>
  <c r="AM30" i="9" s="1"/>
  <c r="I30" i="9"/>
  <c r="AD14" i="9"/>
  <c r="AM14" i="9" s="1" a="1"/>
  <c r="AM14" i="9" s="1"/>
  <c r="Y14" i="9"/>
  <c r="X14" i="9"/>
  <c r="I14" i="9"/>
  <c r="Y21" i="9"/>
  <c r="X21" i="9"/>
  <c r="I21" i="9"/>
  <c r="Y12" i="9"/>
  <c r="X12" i="9"/>
  <c r="AB12" i="9" s="1"/>
  <c r="AK12" i="9" s="1" a="1"/>
  <c r="AK12" i="9" s="1"/>
  <c r="I12" i="9"/>
  <c r="AE33" i="9"/>
  <c r="AI33" i="9" s="1" a="1"/>
  <c r="AI33" i="9" s="1"/>
  <c r="AB33" i="9"/>
  <c r="Y33" i="9"/>
  <c r="X33" i="9"/>
  <c r="AC33" i="9" s="1"/>
  <c r="AL33" i="9" s="1" a="1"/>
  <c r="AL33" i="9" s="1"/>
  <c r="I33" i="9"/>
  <c r="Y20" i="9"/>
  <c r="X20" i="9"/>
  <c r="I20" i="9"/>
  <c r="Y2" i="9"/>
  <c r="X2" i="9"/>
  <c r="AE2" i="9" s="1"/>
  <c r="AI2" i="9" s="1" a="1"/>
  <c r="AI2" i="9" s="1"/>
  <c r="I2" i="9"/>
  <c r="Y4" i="9"/>
  <c r="X4" i="9"/>
  <c r="AD5" i="9"/>
  <c r="Y5" i="9"/>
  <c r="X5" i="9"/>
  <c r="AB5" i="9" s="1"/>
  <c r="AF5" i="9" s="1" a="1"/>
  <c r="AF5" i="9" s="1"/>
  <c r="AJ5" i="9" s="1"/>
  <c r="I5" i="9"/>
  <c r="Y6" i="9"/>
  <c r="X6" i="9"/>
  <c r="AB6" i="9" s="1"/>
  <c r="AK6" i="9" s="1" a="1"/>
  <c r="AK6" i="9" s="1"/>
  <c r="I6" i="9"/>
  <c r="AE18" i="9"/>
  <c r="AN18" i="9" s="1" a="1"/>
  <c r="AN18" i="9" s="1"/>
  <c r="AB18" i="9"/>
  <c r="Y18" i="9"/>
  <c r="X18" i="9"/>
  <c r="AC18" i="9" s="1"/>
  <c r="AL18" i="9" s="1" a="1"/>
  <c r="AL18" i="9" s="1"/>
  <c r="I18" i="9"/>
  <c r="Y22" i="9"/>
  <c r="X22" i="9"/>
  <c r="AE22" i="9" s="1"/>
  <c r="AI22" i="9" s="1" a="1"/>
  <c r="AI22" i="9" s="1"/>
  <c r="I22" i="9"/>
  <c r="AE27" i="9"/>
  <c r="AC27" i="9"/>
  <c r="AG27" i="9" s="1" a="1"/>
  <c r="AG27" i="9" s="1"/>
  <c r="Y27" i="9"/>
  <c r="X27" i="9"/>
  <c r="I27" i="9"/>
  <c r="Y26" i="9"/>
  <c r="AE26" i="9" s="1"/>
  <c r="AI26" i="9" s="1" a="1"/>
  <c r="AI26" i="9" s="1"/>
  <c r="X26" i="9"/>
  <c r="I26" i="9"/>
  <c r="Y32" i="9"/>
  <c r="AB32" i="9" s="1"/>
  <c r="X32" i="9"/>
  <c r="AE32" i="9" s="1"/>
  <c r="I32" i="9"/>
  <c r="Y23" i="9"/>
  <c r="X23" i="9"/>
  <c r="I23" i="9"/>
  <c r="Y9" i="9"/>
  <c r="X9" i="9"/>
  <c r="AE9" i="9" s="1"/>
  <c r="AN9" i="9" s="1" a="1"/>
  <c r="AN9" i="9" s="1"/>
  <c r="I9" i="9"/>
  <c r="Y15" i="9"/>
  <c r="X15" i="9"/>
  <c r="I15" i="9"/>
  <c r="AE29" i="9"/>
  <c r="AC29" i="9"/>
  <c r="AG29" i="9" s="1" a="1"/>
  <c r="AG29" i="9" s="1"/>
  <c r="Y29" i="9"/>
  <c r="X29" i="9"/>
  <c r="I29" i="9"/>
  <c r="Y16" i="9"/>
  <c r="AE16" i="9" s="1"/>
  <c r="X16" i="9"/>
  <c r="I16" i="9"/>
  <c r="Y25" i="9"/>
  <c r="X25" i="9"/>
  <c r="AE25" i="9" s="1"/>
  <c r="I25" i="9"/>
  <c r="Y8" i="9"/>
  <c r="X8" i="9"/>
  <c r="AC8" i="9" s="1"/>
  <c r="I8" i="9"/>
  <c r="Y28" i="9"/>
  <c r="X28" i="9"/>
  <c r="I28" i="9"/>
  <c r="Y24" i="9"/>
  <c r="X24" i="9"/>
  <c r="AB24" i="9" s="1"/>
  <c r="AK24" i="9" s="1" a="1"/>
  <c r="AK24" i="9" s="1"/>
  <c r="I24" i="9"/>
  <c r="Y13" i="9"/>
  <c r="X13" i="9"/>
  <c r="AC13" i="9" s="1"/>
  <c r="I13" i="9"/>
  <c r="Y17" i="9"/>
  <c r="X17" i="9"/>
  <c r="I17" i="9"/>
  <c r="Y7" i="9"/>
  <c r="X7" i="9"/>
  <c r="AE7" i="9" s="1"/>
  <c r="AN7" i="9" s="1" a="1"/>
  <c r="AN7" i="9" s="1"/>
  <c r="I7" i="9"/>
  <c r="Y11" i="9"/>
  <c r="AE11" i="9" s="1"/>
  <c r="X11" i="9"/>
  <c r="I11" i="9"/>
  <c r="Y10" i="9"/>
  <c r="X10" i="9"/>
  <c r="I10" i="9"/>
  <c r="AD9" i="9" l="1"/>
  <c r="AH9" i="9" s="1" a="1"/>
  <c r="AH9" i="9" s="1"/>
  <c r="AB22" i="9"/>
  <c r="AK22" i="9" s="1" a="1"/>
  <c r="AK22" i="9" s="1"/>
  <c r="AC12" i="9"/>
  <c r="AL12" i="9" s="1" a="1"/>
  <c r="AL12" i="9" s="1"/>
  <c r="AB26" i="9"/>
  <c r="AC22" i="9"/>
  <c r="AG22" i="9" s="1" a="1"/>
  <c r="AG22" i="9" s="1"/>
  <c r="AC31" i="9"/>
  <c r="AD15" i="9"/>
  <c r="AC32" i="9"/>
  <c r="AG32" i="9" s="1" a="1"/>
  <c r="AG32" i="9" s="1"/>
  <c r="AB29" i="9"/>
  <c r="AF29" i="9" s="1" a="1"/>
  <c r="AF29" i="9" s="1"/>
  <c r="AJ29" i="9" s="1"/>
  <c r="AO29" i="9" s="1"/>
  <c r="AD26" i="9"/>
  <c r="AH26" i="9" s="1" a="1"/>
  <c r="AH26" i="9" s="1"/>
  <c r="AD22" i="9"/>
  <c r="AC20" i="9"/>
  <c r="AL20" i="9" s="1" a="1"/>
  <c r="AL20" i="9" s="1"/>
  <c r="AE37" i="9"/>
  <c r="AE12" i="9"/>
  <c r="AI12" i="9" s="1" a="1"/>
  <c r="AI12" i="9" s="1"/>
  <c r="AB23" i="9"/>
  <c r="AF23" i="9" s="1" a="1"/>
  <c r="AF23" i="9" s="1"/>
  <c r="AJ23" i="9" s="1"/>
  <c r="AQ23" i="9" s="1" a="1"/>
  <c r="AQ23" i="9" s="1"/>
  <c r="AP23" i="9" s="1"/>
  <c r="AC5" i="9"/>
  <c r="AG5" i="9" s="1" a="1"/>
  <c r="AG5" i="9" s="1"/>
  <c r="AD21" i="9"/>
  <c r="AH21" i="9" s="1" a="1"/>
  <c r="AH21" i="9" s="1"/>
  <c r="AE34" i="9"/>
  <c r="AI34" i="9" s="1" a="1"/>
  <c r="AI34" i="9" s="1"/>
  <c r="AC21" i="9"/>
  <c r="AG21" i="9" s="1" a="1"/>
  <c r="AG21" i="9" s="1"/>
  <c r="AC34" i="9"/>
  <c r="AE5" i="9"/>
  <c r="AI5" i="9" s="1" a="1"/>
  <c r="AI5" i="9" s="1"/>
  <c r="AD8" i="9"/>
  <c r="AH8" i="9" s="1" a="1"/>
  <c r="AH8" i="9" s="1"/>
  <c r="AD27" i="9"/>
  <c r="AM27" i="9" s="1" a="1"/>
  <c r="AM27" i="9" s="1"/>
  <c r="AE21" i="9"/>
  <c r="AI21" i="9" s="1" a="1"/>
  <c r="AI21" i="9" s="1"/>
  <c r="AD3" i="9"/>
  <c r="AD34" i="9"/>
  <c r="AM34" i="9" s="1" a="1"/>
  <c r="AM34" i="9" s="1"/>
  <c r="AE4" i="9"/>
  <c r="AE19" i="9"/>
  <c r="AC35" i="9"/>
  <c r="AD2" i="9"/>
  <c r="AH2" i="9" s="1" a="1"/>
  <c r="AH2" i="9" s="1"/>
  <c r="AF12" i="9" a="1"/>
  <c r="AF12" i="9" s="1"/>
  <c r="AJ12" i="9" s="1"/>
  <c r="AO12" i="9" s="1"/>
  <c r="AF24" i="9" a="1"/>
  <c r="AF24" i="9" s="1"/>
  <c r="AJ24" i="9" s="1"/>
  <c r="AQ24" i="9" s="1" a="1"/>
  <c r="AQ24" i="9" s="1"/>
  <c r="AP24" i="9" s="1"/>
  <c r="AF6" i="9" a="1"/>
  <c r="AF6" i="9" s="1"/>
  <c r="AJ6" i="9" s="1"/>
  <c r="AO6" i="9" s="1"/>
  <c r="AL27" i="9" a="1"/>
  <c r="AL27" i="9" s="1"/>
  <c r="AL32" i="9" a="1"/>
  <c r="AL32" i="9" s="1"/>
  <c r="AL21" i="9" a="1"/>
  <c r="AL21" i="9" s="1"/>
  <c r="AN26" i="9" a="1"/>
  <c r="AN26" i="9" s="1"/>
  <c r="AN22" i="9" a="1"/>
  <c r="AN22" i="9" s="1"/>
  <c r="AG12" i="9" a="1"/>
  <c r="AG12" i="9" s="1"/>
  <c r="AL19" i="9" a="1"/>
  <c r="AL19" i="9" s="1"/>
  <c r="AG33" i="9" a="1"/>
  <c r="AG33" i="9" s="1"/>
  <c r="AI4" i="9" a="1"/>
  <c r="AI4" i="9" s="1"/>
  <c r="AN4" i="9" a="1"/>
  <c r="AN4" i="9" s="1"/>
  <c r="AG8" i="9" a="1"/>
  <c r="AG8" i="9" s="1"/>
  <c r="AL8" i="9" a="1"/>
  <c r="AL8" i="9" s="1"/>
  <c r="AF32" i="9" a="1"/>
  <c r="AF32" i="9" s="1"/>
  <c r="AJ32" i="9" s="1"/>
  <c r="AK32" i="9" a="1"/>
  <c r="AK32" i="9" s="1"/>
  <c r="AL13" i="9" a="1"/>
  <c r="AL13" i="9" s="1"/>
  <c r="AG13" i="9" a="1"/>
  <c r="AG13" i="9" s="1"/>
  <c r="AQ5" i="9" a="1"/>
  <c r="AQ5" i="9" s="1"/>
  <c r="AP5" i="9" s="1"/>
  <c r="AO5" i="9"/>
  <c r="AN11" i="9" a="1"/>
  <c r="AN11" i="9" s="1"/>
  <c r="AI11" i="9" a="1"/>
  <c r="AI11" i="9" s="1"/>
  <c r="AH15" i="9" a="1"/>
  <c r="AH15" i="9" s="1"/>
  <c r="AM15" i="9" a="1"/>
  <c r="AM15" i="9" s="1"/>
  <c r="AI16" i="9" a="1"/>
  <c r="AI16" i="9" s="1"/>
  <c r="AN16" i="9" a="1"/>
  <c r="AN16" i="9" s="1"/>
  <c r="AF22" i="9" a="1"/>
  <c r="AF22" i="9" s="1"/>
  <c r="AJ22" i="9" s="1"/>
  <c r="AB11" i="9"/>
  <c r="AD11" i="9"/>
  <c r="AC11" i="9"/>
  <c r="AD29" i="9"/>
  <c r="AE15" i="9"/>
  <c r="AD32" i="9"/>
  <c r="AD18" i="9"/>
  <c r="AK5" i="9" a="1"/>
  <c r="AK5" i="9" s="1"/>
  <c r="AH30" i="9" a="1"/>
  <c r="AH30" i="9" s="1"/>
  <c r="AI29" i="9" a="1"/>
  <c r="AI29" i="9" s="1"/>
  <c r="AN29" i="9" a="1"/>
  <c r="AN29" i="9" s="1"/>
  <c r="AM9" i="9" a="1"/>
  <c r="AM9" i="9" s="1"/>
  <c r="AF26" i="9" a="1"/>
  <c r="AF26" i="9" s="1"/>
  <c r="AJ26" i="9" s="1"/>
  <c r="AK26" i="9" a="1"/>
  <c r="AK26" i="9" s="1"/>
  <c r="AI25" i="9" a="1"/>
  <c r="AI25" i="9" s="1"/>
  <c r="AN25" i="9" a="1"/>
  <c r="AN25" i="9" s="1"/>
  <c r="AK23" i="9" a="1"/>
  <c r="AK23" i="9" s="1"/>
  <c r="AL5" i="9" a="1"/>
  <c r="AL5" i="9" s="1"/>
  <c r="AC28" i="9"/>
  <c r="AE28" i="9"/>
  <c r="AB16" i="9"/>
  <c r="AL29" i="9" a="1"/>
  <c r="AL29" i="9" s="1"/>
  <c r="AI32" i="9" a="1"/>
  <c r="AI32" i="9" s="1"/>
  <c r="AN32" i="9" a="1"/>
  <c r="AN32" i="9" s="1"/>
  <c r="AE24" i="9"/>
  <c r="AD24" i="9"/>
  <c r="AB15" i="9"/>
  <c r="AD7" i="9"/>
  <c r="AC7" i="9"/>
  <c r="AB25" i="9"/>
  <c r="AC15" i="9"/>
  <c r="AC9" i="9"/>
  <c r="AL22" i="9" a="1"/>
  <c r="AL22" i="9" s="1"/>
  <c r="AG18" i="9" a="1"/>
  <c r="AG18" i="9" s="1"/>
  <c r="AC6" i="9"/>
  <c r="AB20" i="9"/>
  <c r="AN33" i="9" a="1"/>
  <c r="AN33" i="9" s="1"/>
  <c r="AI3" i="9" a="1"/>
  <c r="AI3" i="9" s="1"/>
  <c r="AL34" i="9" a="1"/>
  <c r="AL34" i="9" s="1"/>
  <c r="AG34" i="9" a="1"/>
  <c r="AG34" i="9" s="1"/>
  <c r="AD20" i="9"/>
  <c r="AB13" i="9"/>
  <c r="AE13" i="9"/>
  <c r="AD13" i="9"/>
  <c r="AC25" i="9"/>
  <c r="AI18" i="9" a="1"/>
  <c r="AI18" i="9" s="1"/>
  <c r="AD6" i="9"/>
  <c r="AB7" i="9"/>
  <c r="AC24" i="9"/>
  <c r="AD25" i="9"/>
  <c r="AC16" i="9"/>
  <c r="AK29" i="9" a="1"/>
  <c r="AK29" i="9" s="1"/>
  <c r="AB9" i="9"/>
  <c r="AE6" i="9"/>
  <c r="AE20" i="9"/>
  <c r="AN34" i="9" a="1"/>
  <c r="AN34" i="9" s="1"/>
  <c r="AI27" i="9" a="1"/>
  <c r="AI27" i="9" s="1"/>
  <c r="AN27" i="9" a="1"/>
  <c r="AN27" i="9" s="1"/>
  <c r="AG31" i="9" a="1"/>
  <c r="AG31" i="9" s="1"/>
  <c r="AL31" i="9" a="1"/>
  <c r="AL31" i="9" s="1"/>
  <c r="AH31" i="9" a="1"/>
  <c r="AH31" i="9" s="1"/>
  <c r="AM31" i="9" a="1"/>
  <c r="AM31" i="9" s="1"/>
  <c r="AF33" i="9" a="1"/>
  <c r="AF33" i="9" s="1"/>
  <c r="AJ33" i="9" s="1"/>
  <c r="AK33" i="9" a="1"/>
  <c r="AK33" i="9" s="1"/>
  <c r="AN12" i="9" a="1"/>
  <c r="AN12" i="9" s="1"/>
  <c r="AC10" i="9"/>
  <c r="AD10" i="9"/>
  <c r="AB10" i="9"/>
  <c r="AB28" i="9"/>
  <c r="AD16" i="9"/>
  <c r="AC23" i="9"/>
  <c r="AH14" i="9" a="1"/>
  <c r="AH14" i="9" s="1"/>
  <c r="AC17" i="9"/>
  <c r="AE17" i="9"/>
  <c r="AD17" i="9"/>
  <c r="AD4" i="9"/>
  <c r="AI19" i="9" a="1"/>
  <c r="AI19" i="9" s="1"/>
  <c r="AN19" i="9" a="1"/>
  <c r="AN19" i="9" s="1"/>
  <c r="AH5" i="9" a="1"/>
  <c r="AH5" i="9" s="1"/>
  <c r="AM5" i="9" a="1"/>
  <c r="AM5" i="9" s="1"/>
  <c r="AI7" i="9" a="1"/>
  <c r="AI7" i="9" s="1"/>
  <c r="AB17" i="9"/>
  <c r="AD28" i="9"/>
  <c r="AI9" i="9" a="1"/>
  <c r="AI9" i="9" s="1"/>
  <c r="AD23" i="9"/>
  <c r="AH22" i="9" a="1"/>
  <c r="AH22" i="9" s="1"/>
  <c r="AM22" i="9" a="1"/>
  <c r="AM22" i="9" s="1"/>
  <c r="AE10" i="9"/>
  <c r="AB8" i="9"/>
  <c r="AE8" i="9"/>
  <c r="AE23" i="9"/>
  <c r="AN2" i="9" a="1"/>
  <c r="AN2" i="9" s="1"/>
  <c r="AF18" i="9" a="1"/>
  <c r="AF18" i="9" s="1"/>
  <c r="AJ18" i="9" s="1"/>
  <c r="AK18" i="9" a="1"/>
  <c r="AK18" i="9" s="1"/>
  <c r="AH36" i="9" a="1"/>
  <c r="AH36" i="9" s="1"/>
  <c r="AM36" i="9" a="1"/>
  <c r="AM36" i="9" s="1"/>
  <c r="AN37" i="9" a="1"/>
  <c r="AN37" i="9" s="1"/>
  <c r="AI37" i="9" a="1"/>
  <c r="AI37" i="9" s="1"/>
  <c r="AG35" i="9" a="1"/>
  <c r="AG35" i="9" s="1"/>
  <c r="AL35" i="9" a="1"/>
  <c r="AL35" i="9" s="1"/>
  <c r="AF35" i="9" a="1"/>
  <c r="AF35" i="9" s="1"/>
  <c r="AB19" i="9"/>
  <c r="AC14" i="9"/>
  <c r="AB30" i="9"/>
  <c r="AD19" i="9"/>
  <c r="AB3" i="9"/>
  <c r="AC4" i="9"/>
  <c r="AB2" i="9"/>
  <c r="AB21" i="9"/>
  <c r="AB14" i="9"/>
  <c r="AC30" i="9"/>
  <c r="AC3" i="9"/>
  <c r="AI36" i="9" a="1"/>
  <c r="AI36" i="9" s="1"/>
  <c r="AN36" i="9" a="1"/>
  <c r="AN36" i="9" s="1"/>
  <c r="AH3" i="9" a="1"/>
  <c r="AH3" i="9" s="1"/>
  <c r="AM3" i="9" a="1"/>
  <c r="AM3" i="9" s="1"/>
  <c r="AE31" i="9"/>
  <c r="AB31" i="9"/>
  <c r="AC26" i="9"/>
  <c r="AB27" i="9"/>
  <c r="AB4" i="9"/>
  <c r="AC2" i="9"/>
  <c r="AD33" i="9"/>
  <c r="AD12" i="9"/>
  <c r="AE14" i="9"/>
  <c r="AE30" i="9"/>
  <c r="AG36" i="9" a="1"/>
  <c r="AG36" i="9" s="1"/>
  <c r="AL36" i="9" a="1"/>
  <c r="AL36" i="9" s="1"/>
  <c r="AD35" i="9"/>
  <c r="AE35" i="9"/>
  <c r="AB36" i="9"/>
  <c r="AB37" i="9"/>
  <c r="AC37" i="9"/>
  <c r="AD37" i="9"/>
  <c r="AB34" i="9"/>
  <c r="I23" i="3"/>
  <c r="I33" i="1"/>
  <c r="I32" i="1"/>
  <c r="I30" i="1"/>
  <c r="I29" i="1"/>
  <c r="I28" i="1"/>
  <c r="I27" i="1"/>
  <c r="I26" i="1"/>
  <c r="I25" i="1"/>
  <c r="I31" i="1"/>
  <c r="I24" i="1"/>
  <c r="I23" i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4" i="3"/>
  <c r="I25" i="3"/>
  <c r="I26" i="3"/>
  <c r="I27" i="3"/>
  <c r="I28" i="3"/>
  <c r="I29" i="3"/>
  <c r="I30" i="3"/>
  <c r="I32" i="3"/>
  <c r="I33" i="3"/>
  <c r="I2" i="3"/>
  <c r="AM8" i="9" l="1" a="1"/>
  <c r="AM8" i="9" s="1"/>
  <c r="AH27" i="9" a="1"/>
  <c r="AH27" i="9" s="1"/>
  <c r="AM21" i="9" a="1"/>
  <c r="AM21" i="9" s="1"/>
  <c r="AN5" i="9" a="1"/>
  <c r="AN5" i="9" s="1"/>
  <c r="AQ29" i="9" a="1"/>
  <c r="AQ29" i="9" s="1"/>
  <c r="AP29" i="9" s="1"/>
  <c r="AO23" i="9"/>
  <c r="AM26" i="9" a="1"/>
  <c r="AM26" i="9" s="1"/>
  <c r="AH34" i="9" a="1"/>
  <c r="AH34" i="9" s="1"/>
  <c r="AM2" i="9" a="1"/>
  <c r="AM2" i="9" s="1"/>
  <c r="AG20" i="9" a="1"/>
  <c r="AG20" i="9" s="1"/>
  <c r="AN21" i="9" a="1"/>
  <c r="AN21" i="9" s="1"/>
  <c r="AQ12" i="9" a="1"/>
  <c r="AQ12" i="9" s="1"/>
  <c r="AP12" i="9" s="1"/>
  <c r="AO24" i="9"/>
  <c r="AQ6" i="9" a="1"/>
  <c r="AQ6" i="9" s="1"/>
  <c r="AP6" i="9" s="1"/>
  <c r="AL4" i="9" a="1"/>
  <c r="AL4" i="9" s="1"/>
  <c r="AG4" i="9" a="1"/>
  <c r="AG4" i="9" s="1"/>
  <c r="AH4" i="9" a="1"/>
  <c r="AH4" i="9" s="1"/>
  <c r="AM4" i="9" a="1"/>
  <c r="AM4" i="9" s="1"/>
  <c r="AM13" i="9" a="1"/>
  <c r="AM13" i="9" s="1"/>
  <c r="AH13" i="9" a="1"/>
  <c r="AH13" i="9" s="1"/>
  <c r="AF16" i="9" a="1"/>
  <c r="AF16" i="9" s="1"/>
  <c r="AJ16" i="9" s="1"/>
  <c r="AK16" i="9" a="1"/>
  <c r="AK16" i="9" s="1"/>
  <c r="AK34" i="9" a="1"/>
  <c r="AK34" i="9" s="1"/>
  <c r="AF34" i="9" a="1"/>
  <c r="AF34" i="9" s="1"/>
  <c r="AJ34" i="9" s="1"/>
  <c r="AH17" i="9" a="1"/>
  <c r="AH17" i="9" s="1"/>
  <c r="AM17" i="9" a="1"/>
  <c r="AM17" i="9" s="1"/>
  <c r="AQ33" i="9" a="1"/>
  <c r="AQ33" i="9" s="1"/>
  <c r="AP33" i="9" s="1"/>
  <c r="AO33" i="9"/>
  <c r="AI20" i="9" a="1"/>
  <c r="AI20" i="9" s="1"/>
  <c r="AN20" i="9" a="1"/>
  <c r="AN20" i="9" s="1"/>
  <c r="AN13" i="9" a="1"/>
  <c r="AN13" i="9" s="1"/>
  <c r="AI13" i="9" a="1"/>
  <c r="AI13" i="9" s="1"/>
  <c r="AG9" i="9" a="1"/>
  <c r="AG9" i="9" s="1"/>
  <c r="AL9" i="9" a="1"/>
  <c r="AL9" i="9" s="1"/>
  <c r="AN28" i="9" a="1"/>
  <c r="AN28" i="9" s="1"/>
  <c r="AI28" i="9" a="1"/>
  <c r="AI28" i="9" s="1"/>
  <c r="AH37" i="9" a="1"/>
  <c r="AH37" i="9" s="1"/>
  <c r="AM37" i="9" a="1"/>
  <c r="AM37" i="9" s="1"/>
  <c r="AH35" i="9" a="1"/>
  <c r="AH35" i="9" s="1"/>
  <c r="AJ35" i="9" s="1"/>
  <c r="AM35" i="9" a="1"/>
  <c r="AM35" i="9" s="1"/>
  <c r="AH23" i="9" a="1"/>
  <c r="AH23" i="9" s="1"/>
  <c r="AM23" i="9" a="1"/>
  <c r="AM23" i="9" s="1"/>
  <c r="AN17" i="9" a="1"/>
  <c r="AN17" i="9" s="1"/>
  <c r="AI17" i="9" a="1"/>
  <c r="AI17" i="9" s="1"/>
  <c r="AI6" i="9" a="1"/>
  <c r="AI6" i="9" s="1"/>
  <c r="AN6" i="9" a="1"/>
  <c r="AN6" i="9" s="1"/>
  <c r="AF13" i="9" a="1"/>
  <c r="AF13" i="9" s="1"/>
  <c r="AJ13" i="9" s="1"/>
  <c r="AK13" i="9" a="1"/>
  <c r="AK13" i="9" s="1"/>
  <c r="AG15" i="9" a="1"/>
  <c r="AG15" i="9" s="1"/>
  <c r="AL15" i="9" a="1"/>
  <c r="AL15" i="9" s="1"/>
  <c r="AG28" i="9" a="1"/>
  <c r="AG28" i="9" s="1"/>
  <c r="AL28" i="9" a="1"/>
  <c r="AL28" i="9" s="1"/>
  <c r="AF36" i="9" a="1"/>
  <c r="AF36" i="9" s="1"/>
  <c r="AJ36" i="9" s="1"/>
  <c r="AK36" i="9" a="1"/>
  <c r="AK36" i="9" s="1"/>
  <c r="AN31" i="9" a="1"/>
  <c r="AN31" i="9" s="1"/>
  <c r="AI31" i="9" a="1"/>
  <c r="AI31" i="9" s="1"/>
  <c r="AH19" i="9" a="1"/>
  <c r="AH19" i="9" s="1"/>
  <c r="AM19" i="9" a="1"/>
  <c r="AM19" i="9" s="1"/>
  <c r="AG17" i="9" a="1"/>
  <c r="AG17" i="9" s="1"/>
  <c r="AL17" i="9" a="1"/>
  <c r="AL17" i="9" s="1"/>
  <c r="AF9" i="9" a="1"/>
  <c r="AF9" i="9" s="1"/>
  <c r="AJ9" i="9" s="1"/>
  <c r="AK9" i="9" a="1"/>
  <c r="AK9" i="9" s="1"/>
  <c r="AH20" i="9" a="1"/>
  <c r="AH20" i="9" s="1"/>
  <c r="AM20" i="9" a="1"/>
  <c r="AM20" i="9" s="1"/>
  <c r="AF25" i="9" a="1"/>
  <c r="AF25" i="9" s="1"/>
  <c r="AJ25" i="9" s="1"/>
  <c r="AK25" i="9" a="1"/>
  <c r="AK25" i="9" s="1"/>
  <c r="AG26" i="9" a="1"/>
  <c r="AG26" i="9" s="1"/>
  <c r="AL26" i="9" a="1"/>
  <c r="AL26" i="9" s="1"/>
  <c r="AK3" i="9" a="1"/>
  <c r="AK3" i="9" s="1"/>
  <c r="AF3" i="9" a="1"/>
  <c r="AF3" i="9" s="1"/>
  <c r="AJ3" i="9" s="1"/>
  <c r="AK30" i="9" a="1"/>
  <c r="AK30" i="9" s="1"/>
  <c r="AF30" i="9" a="1"/>
  <c r="AF30" i="9" s="1"/>
  <c r="AJ30" i="9" s="1"/>
  <c r="AM28" i="9" a="1"/>
  <c r="AM28" i="9" s="1"/>
  <c r="AH28" i="9" a="1"/>
  <c r="AH28" i="9" s="1"/>
  <c r="AL7" i="9" a="1"/>
  <c r="AL7" i="9" s="1"/>
  <c r="AG7" i="9" a="1"/>
  <c r="AG7" i="9" s="1"/>
  <c r="AH18" i="9" a="1"/>
  <c r="AH18" i="9" s="1"/>
  <c r="AM18" i="9" a="1"/>
  <c r="AM18" i="9" s="1"/>
  <c r="AH12" i="9" a="1"/>
  <c r="AH12" i="9" s="1"/>
  <c r="AM12" i="9" a="1"/>
  <c r="AM12" i="9" s="1"/>
  <c r="AK31" i="9" a="1"/>
  <c r="AK31" i="9" s="1"/>
  <c r="AF31" i="9" a="1"/>
  <c r="AF31" i="9" s="1"/>
  <c r="AJ31" i="9" s="1"/>
  <c r="AI30" i="9" a="1"/>
  <c r="AI30" i="9" s="1"/>
  <c r="AN30" i="9" a="1"/>
  <c r="AN30" i="9" s="1"/>
  <c r="AL14" i="9" a="1"/>
  <c r="AL14" i="9" s="1"/>
  <c r="AG14" i="9" a="1"/>
  <c r="AG14" i="9" s="1"/>
  <c r="AQ18" i="9" a="1"/>
  <c r="AQ18" i="9" s="1"/>
  <c r="AP18" i="9" s="1"/>
  <c r="AO18" i="9"/>
  <c r="AF17" i="9" a="1"/>
  <c r="AF17" i="9" s="1"/>
  <c r="AJ17" i="9" s="1"/>
  <c r="AK17" i="9" a="1"/>
  <c r="AK17" i="9" s="1"/>
  <c r="AG23" i="9" a="1"/>
  <c r="AG23" i="9" s="1"/>
  <c r="AL23" i="9" a="1"/>
  <c r="AL23" i="9" s="1"/>
  <c r="AG16" i="9" a="1"/>
  <c r="AG16" i="9" s="1"/>
  <c r="AL16" i="9" a="1"/>
  <c r="AL16" i="9" s="1"/>
  <c r="AH7" i="9" a="1"/>
  <c r="AH7" i="9" s="1"/>
  <c r="AM7" i="9" a="1"/>
  <c r="AM7" i="9" s="1"/>
  <c r="AH32" i="9" a="1"/>
  <c r="AH32" i="9" s="1"/>
  <c r="AM32" i="9" a="1"/>
  <c r="AM32" i="9" s="1"/>
  <c r="AI35" i="9" a="1"/>
  <c r="AI35" i="9" s="1"/>
  <c r="AN35" i="9" a="1"/>
  <c r="AN35" i="9" s="1"/>
  <c r="AI14" i="9" a="1"/>
  <c r="AI14" i="9" s="1"/>
  <c r="AN14" i="9" a="1"/>
  <c r="AN14" i="9" s="1"/>
  <c r="AF19" i="9" a="1"/>
  <c r="AF19" i="9" s="1"/>
  <c r="AJ19" i="9" s="1"/>
  <c r="AK19" i="9" a="1"/>
  <c r="AK19" i="9" s="1"/>
  <c r="AH16" i="9" a="1"/>
  <c r="AH16" i="9" s="1"/>
  <c r="AM16" i="9" a="1"/>
  <c r="AM16" i="9" s="1"/>
  <c r="AH25" i="9" a="1"/>
  <c r="AH25" i="9" s="1"/>
  <c r="AM25" i="9" a="1"/>
  <c r="AM25" i="9" s="1"/>
  <c r="AF15" i="9" a="1"/>
  <c r="AF15" i="9" s="1"/>
  <c r="AJ15" i="9" s="1"/>
  <c r="AK15" i="9" a="1"/>
  <c r="AK15" i="9" s="1"/>
  <c r="AN15" i="9" a="1"/>
  <c r="AN15" i="9" s="1"/>
  <c r="AI15" i="9" a="1"/>
  <c r="AI15" i="9" s="1"/>
  <c r="AL3" i="9" a="1"/>
  <c r="AL3" i="9" s="1"/>
  <c r="AG3" i="9" a="1"/>
  <c r="AG3" i="9" s="1"/>
  <c r="AN23" i="9" a="1"/>
  <c r="AN23" i="9" s="1"/>
  <c r="AI23" i="9" a="1"/>
  <c r="AI23" i="9" s="1"/>
  <c r="AF28" i="9" a="1"/>
  <c r="AF28" i="9" s="1"/>
  <c r="AJ28" i="9" s="1"/>
  <c r="AK28" i="9" a="1"/>
  <c r="AK28" i="9" s="1"/>
  <c r="AG24" i="9" a="1"/>
  <c r="AG24" i="9" s="1"/>
  <c r="AL24" i="9" a="1"/>
  <c r="AL24" i="9" s="1"/>
  <c r="AH24" i="9" a="1"/>
  <c r="AH24" i="9" s="1"/>
  <c r="AM24" i="9" a="1"/>
  <c r="AM24" i="9" s="1"/>
  <c r="AM29" i="9" a="1"/>
  <c r="AM29" i="9" s="1"/>
  <c r="AH29" i="9" a="1"/>
  <c r="AH29" i="9" s="1"/>
  <c r="AO32" i="9"/>
  <c r="AQ32" i="9" a="1"/>
  <c r="AQ32" i="9" s="1"/>
  <c r="AP32" i="9" s="1"/>
  <c r="AM33" i="9" a="1"/>
  <c r="AM33" i="9" s="1"/>
  <c r="AH33" i="9" a="1"/>
  <c r="AH33" i="9" s="1"/>
  <c r="AL30" i="9" a="1"/>
  <c r="AL30" i="9" s="1"/>
  <c r="AG30" i="9" a="1"/>
  <c r="AG30" i="9" s="1"/>
  <c r="AF10" i="9" a="1"/>
  <c r="AF10" i="9" s="1"/>
  <c r="AJ10" i="9" s="1"/>
  <c r="AK10" i="9" a="1"/>
  <c r="AK10" i="9" s="1"/>
  <c r="AF7" i="9" a="1"/>
  <c r="AF7" i="9" s="1"/>
  <c r="AJ7" i="9" s="1"/>
  <c r="AK7" i="9" a="1"/>
  <c r="AK7" i="9" s="1"/>
  <c r="AI24" i="9" a="1"/>
  <c r="AI24" i="9" s="1"/>
  <c r="AN24" i="9" a="1"/>
  <c r="AN24" i="9" s="1"/>
  <c r="AG11" i="9" a="1"/>
  <c r="AG11" i="9" s="1"/>
  <c r="AL11" i="9" a="1"/>
  <c r="AL11" i="9" s="1"/>
  <c r="AN8" i="9" a="1"/>
  <c r="AN8" i="9" s="1"/>
  <c r="AI8" i="9" a="1"/>
  <c r="AI8" i="9" s="1"/>
  <c r="AM10" i="9" a="1"/>
  <c r="AM10" i="9" s="1"/>
  <c r="AH10" i="9" a="1"/>
  <c r="AH10" i="9" s="1"/>
  <c r="AH6" i="9" a="1"/>
  <c r="AH6" i="9" s="1"/>
  <c r="AM6" i="9" a="1"/>
  <c r="AM6" i="9" s="1"/>
  <c r="AK20" i="9" a="1"/>
  <c r="AK20" i="9" s="1"/>
  <c r="AF20" i="9" a="1"/>
  <c r="AF20" i="9" s="1"/>
  <c r="AJ20" i="9" s="1"/>
  <c r="AM11" i="9" a="1"/>
  <c r="AM11" i="9" s="1"/>
  <c r="AH11" i="9" a="1"/>
  <c r="AH11" i="9" s="1"/>
  <c r="AF14" i="9" a="1"/>
  <c r="AF14" i="9" s="1"/>
  <c r="AJ14" i="9" s="1"/>
  <c r="AK14" i="9" a="1"/>
  <c r="AK14" i="9" s="1"/>
  <c r="AF4" i="9" a="1"/>
  <c r="AF4" i="9" s="1"/>
  <c r="AJ4" i="9" s="1"/>
  <c r="AK4" i="9" a="1"/>
  <c r="AK4" i="9" s="1"/>
  <c r="AK21" i="9" a="1"/>
  <c r="AK21" i="9" s="1"/>
  <c r="AF21" i="9" a="1"/>
  <c r="AF21" i="9" s="1"/>
  <c r="AJ21" i="9" s="1"/>
  <c r="AF8" i="9" a="1"/>
  <c r="AF8" i="9" s="1"/>
  <c r="AJ8" i="9" s="1"/>
  <c r="AK8" i="9" a="1"/>
  <c r="AK8" i="9" s="1"/>
  <c r="AL10" i="9" a="1"/>
  <c r="AL10" i="9" s="1"/>
  <c r="AG10" i="9" a="1"/>
  <c r="AG10" i="9" s="1"/>
  <c r="AG6" i="9" a="1"/>
  <c r="AG6" i="9" s="1"/>
  <c r="AL6" i="9" a="1"/>
  <c r="AL6" i="9" s="1"/>
  <c r="AO26" i="9"/>
  <c r="AQ26" i="9" a="1"/>
  <c r="AQ26" i="9" s="1"/>
  <c r="AP26" i="9" s="1"/>
  <c r="AF11" i="9" a="1"/>
  <c r="AF11" i="9" s="1"/>
  <c r="AJ11" i="9" s="1"/>
  <c r="AK11" i="9" a="1"/>
  <c r="AK11" i="9" s="1"/>
  <c r="AL2" i="9" a="1"/>
  <c r="AL2" i="9" s="1"/>
  <c r="AG2" i="9" a="1"/>
  <c r="AG2" i="9" s="1"/>
  <c r="AG37" i="9" a="1"/>
  <c r="AG37" i="9" s="1"/>
  <c r="AL37" i="9" a="1"/>
  <c r="AL37" i="9" s="1"/>
  <c r="AF37" i="9" a="1"/>
  <c r="AF37" i="9" s="1"/>
  <c r="AK37" i="9" a="1"/>
  <c r="AK37" i="9" s="1"/>
  <c r="AK27" i="9" a="1"/>
  <c r="AK27" i="9" s="1"/>
  <c r="AF27" i="9" a="1"/>
  <c r="AF27" i="9" s="1"/>
  <c r="AJ27" i="9" s="1"/>
  <c r="AK2" i="9" a="1"/>
  <c r="AK2" i="9" s="1"/>
  <c r="AF2" i="9" a="1"/>
  <c r="AF2" i="9" s="1"/>
  <c r="AJ2" i="9" s="1"/>
  <c r="AN10" i="9" a="1"/>
  <c r="AN10" i="9" s="1"/>
  <c r="AI10" i="9" a="1"/>
  <c r="AI10" i="9" s="1"/>
  <c r="AG25" i="9" a="1"/>
  <c r="AG25" i="9" s="1"/>
  <c r="AL25" i="9" a="1"/>
  <c r="AL25" i="9" s="1"/>
  <c r="AQ22" i="9" a="1"/>
  <c r="AQ22" i="9" s="1"/>
  <c r="AP22" i="9" s="1"/>
  <c r="AO22" i="9"/>
  <c r="AQ35" i="9" l="1" a="1"/>
  <c r="AQ35" i="9" s="1"/>
  <c r="AP35" i="9" s="1"/>
  <c r="AO35" i="9"/>
  <c r="AJ37" i="9"/>
  <c r="AO8" i="9"/>
  <c r="AQ8" i="9" a="1"/>
  <c r="AQ8" i="9" s="1"/>
  <c r="AP8" i="9" s="1"/>
  <c r="AO10" i="9"/>
  <c r="AQ10" i="9" a="1"/>
  <c r="AQ10" i="9" s="1"/>
  <c r="AP10" i="9" s="1"/>
  <c r="AQ15" i="9" a="1"/>
  <c r="AQ15" i="9" s="1"/>
  <c r="AP15" i="9" s="1"/>
  <c r="AO15" i="9"/>
  <c r="AQ9" i="9" a="1"/>
  <c r="AQ9" i="9" s="1"/>
  <c r="AP9" i="9" s="1"/>
  <c r="AO9" i="9"/>
  <c r="AO21" i="9"/>
  <c r="AQ21" i="9" a="1"/>
  <c r="AQ21" i="9" s="1"/>
  <c r="AP21" i="9" s="1"/>
  <c r="AO30" i="9"/>
  <c r="AQ30" i="9" a="1"/>
  <c r="AQ30" i="9" s="1"/>
  <c r="AP30" i="9" s="1"/>
  <c r="AQ34" i="9" a="1"/>
  <c r="AQ34" i="9" s="1"/>
  <c r="AP34" i="9" s="1"/>
  <c r="AO34" i="9"/>
  <c r="AQ28" i="9" a="1"/>
  <c r="AQ28" i="9" s="1"/>
  <c r="AP28" i="9" s="1"/>
  <c r="AO28" i="9"/>
  <c r="AO13" i="9"/>
  <c r="AQ13" i="9" a="1"/>
  <c r="AQ13" i="9" s="1"/>
  <c r="AP13" i="9" s="1"/>
  <c r="AO31" i="9"/>
  <c r="AQ31" i="9" a="1"/>
  <c r="AQ31" i="9" s="1"/>
  <c r="AP31" i="9" s="1"/>
  <c r="AQ3" i="9" a="1"/>
  <c r="AQ3" i="9" s="1"/>
  <c r="AP3" i="9" s="1"/>
  <c r="AO3" i="9"/>
  <c r="AO11" i="9"/>
  <c r="AQ11" i="9" a="1"/>
  <c r="AQ11" i="9" s="1"/>
  <c r="AP11" i="9" s="1"/>
  <c r="AQ4" i="9" a="1"/>
  <c r="AQ4" i="9" s="1"/>
  <c r="AP4" i="9" s="1"/>
  <c r="AO4" i="9"/>
  <c r="AQ16" i="9" a="1"/>
  <c r="AQ16" i="9" s="1"/>
  <c r="AP16" i="9" s="1"/>
  <c r="AO16" i="9"/>
  <c r="AO2" i="9"/>
  <c r="AQ2" i="9" a="1"/>
  <c r="AQ2" i="9" s="1"/>
  <c r="AP2" i="9" s="1"/>
  <c r="AQ14" i="9" a="1"/>
  <c r="AQ14" i="9" s="1"/>
  <c r="AP14" i="9" s="1"/>
  <c r="AO14" i="9"/>
  <c r="AQ19" i="9" a="1"/>
  <c r="AQ19" i="9" s="1"/>
  <c r="AP19" i="9" s="1"/>
  <c r="AO19" i="9"/>
  <c r="AO27" i="9"/>
  <c r="AQ27" i="9" a="1"/>
  <c r="AQ27" i="9" s="1"/>
  <c r="AP27" i="9" s="1"/>
  <c r="AQ17" i="9" a="1"/>
  <c r="AQ17" i="9" s="1"/>
  <c r="AP17" i="9" s="1"/>
  <c r="AO17" i="9"/>
  <c r="AQ25" i="9" a="1"/>
  <c r="AQ25" i="9" s="1"/>
  <c r="AP25" i="9" s="1"/>
  <c r="AO25" i="9"/>
  <c r="AQ36" i="9" a="1"/>
  <c r="AQ36" i="9" s="1"/>
  <c r="AP36" i="9" s="1"/>
  <c r="AO36" i="9"/>
  <c r="AQ20" i="9" a="1"/>
  <c r="AQ20" i="9" s="1"/>
  <c r="AP20" i="9" s="1"/>
  <c r="AO20" i="9"/>
  <c r="AQ37" i="9" a="1"/>
  <c r="AQ37" i="9" s="1"/>
  <c r="AP37" i="9" s="1"/>
  <c r="AO37" i="9"/>
  <c r="AQ7" i="9" a="1"/>
  <c r="AQ7" i="9" s="1"/>
  <c r="AP7" i="9" s="1"/>
  <c r="AO7" i="9"/>
  <c r="AT29" i="6" l="1"/>
  <c r="AT28" i="6"/>
  <c r="AT27" i="6"/>
  <c r="AT26" i="6"/>
  <c r="AT13" i="6"/>
  <c r="AT12" i="6"/>
  <c r="AT11" i="6"/>
  <c r="AT10" i="6"/>
  <c r="Y7" i="6"/>
  <c r="X7" i="6"/>
  <c r="Y6" i="6"/>
  <c r="X6" i="6"/>
  <c r="Y5" i="6"/>
  <c r="X5" i="6"/>
  <c r="Y4" i="6"/>
  <c r="X4" i="6"/>
  <c r="Y3" i="6"/>
  <c r="X3" i="6"/>
  <c r="I3" i="6"/>
  <c r="Y2" i="6"/>
  <c r="X2" i="6"/>
  <c r="I2" i="6"/>
  <c r="X30" i="3"/>
  <c r="Y30" i="3"/>
  <c r="X31" i="3"/>
  <c r="Y31" i="3"/>
  <c r="X32" i="3"/>
  <c r="Y32" i="3"/>
  <c r="X33" i="3"/>
  <c r="Y33" i="3"/>
  <c r="AB24" i="1"/>
  <c r="AB33" i="1"/>
  <c r="AE33" i="1" s="1" a="1"/>
  <c r="AE33" i="1" s="1"/>
  <c r="AB32" i="1"/>
  <c r="AE32" i="1" s="1" a="1"/>
  <c r="AE32" i="1" s="1"/>
  <c r="AB31" i="1"/>
  <c r="AF31" i="1" s="1" a="1"/>
  <c r="AF31" i="1" s="1"/>
  <c r="AB30" i="1"/>
  <c r="AE30" i="1" s="1" a="1"/>
  <c r="AE30" i="1" s="1"/>
  <c r="AB18" i="1"/>
  <c r="AB29" i="1"/>
  <c r="Z30" i="1"/>
  <c r="AA30" i="1"/>
  <c r="Z31" i="1"/>
  <c r="AA31" i="1"/>
  <c r="Z32" i="1"/>
  <c r="AA32" i="1"/>
  <c r="Z33" i="1"/>
  <c r="AA33" i="1"/>
  <c r="AE4" i="6" l="1"/>
  <c r="AI4" i="6" s="1" a="1"/>
  <c r="AI4" i="6" s="1"/>
  <c r="AB5" i="6"/>
  <c r="AK5" i="6" s="1" a="1"/>
  <c r="AK5" i="6" s="1"/>
  <c r="AB33" i="3"/>
  <c r="AF33" i="3" s="1" a="1"/>
  <c r="AF33" i="3" s="1"/>
  <c r="AC6" i="6"/>
  <c r="AG6" i="6" s="1" a="1"/>
  <c r="AG6" i="6" s="1"/>
  <c r="AC30" i="3"/>
  <c r="AG30" i="3" s="1" a="1"/>
  <c r="AG30" i="3" s="1"/>
  <c r="AB32" i="3"/>
  <c r="AK32" i="3" s="1" a="1"/>
  <c r="AK32" i="3" s="1"/>
  <c r="AE31" i="3"/>
  <c r="AI31" i="3" s="1" a="1"/>
  <c r="AI31" i="3" s="1"/>
  <c r="AE7" i="6"/>
  <c r="AN7" i="6" s="1" a="1"/>
  <c r="AN7" i="6" s="1"/>
  <c r="AB2" i="6"/>
  <c r="AF2" i="6" s="1" a="1"/>
  <c r="AF2" i="6" s="1"/>
  <c r="AE6" i="6"/>
  <c r="AI6" i="6" s="1" a="1"/>
  <c r="AI6" i="6" s="1"/>
  <c r="AC2" i="6"/>
  <c r="AG2" i="6" s="1" a="1"/>
  <c r="AG2" i="6" s="1"/>
  <c r="AD6" i="6"/>
  <c r="AH6" i="6" s="1" a="1"/>
  <c r="AH6" i="6" s="1"/>
  <c r="AE2" i="6"/>
  <c r="AI2" i="6" s="1" a="1"/>
  <c r="AI2" i="6" s="1"/>
  <c r="AC4" i="6"/>
  <c r="AL4" i="6" s="1" a="1"/>
  <c r="AL4" i="6" s="1"/>
  <c r="AD4" i="6"/>
  <c r="AH4" i="6" s="1" a="1"/>
  <c r="AH4" i="6" s="1"/>
  <c r="AC5" i="6"/>
  <c r="AG5" i="6" s="1" a="1"/>
  <c r="AG5" i="6" s="1"/>
  <c r="AD5" i="6"/>
  <c r="AH5" i="6" s="1" a="1"/>
  <c r="AH5" i="6" s="1"/>
  <c r="AE5" i="6"/>
  <c r="AI5" i="6" s="1" a="1"/>
  <c r="AI5" i="6" s="1"/>
  <c r="AB6" i="6"/>
  <c r="AF6" i="6" s="1" a="1"/>
  <c r="AF6" i="6" s="1"/>
  <c r="AN4" i="6" a="1"/>
  <c r="AN4" i="6" s="1"/>
  <c r="AD2" i="6"/>
  <c r="AE3" i="6"/>
  <c r="AD3" i="6"/>
  <c r="AC3" i="6"/>
  <c r="AB3" i="6"/>
  <c r="AB7" i="6"/>
  <c r="AC7" i="6"/>
  <c r="AD7" i="6"/>
  <c r="AB4" i="6"/>
  <c r="AC31" i="3"/>
  <c r="AE33" i="3"/>
  <c r="AI33" i="3" s="1" a="1"/>
  <c r="AI33" i="3" s="1"/>
  <c r="AD33" i="3"/>
  <c r="AH33" i="3" s="1" a="1"/>
  <c r="AH33" i="3" s="1"/>
  <c r="AC33" i="3"/>
  <c r="AL33" i="3" s="1" a="1"/>
  <c r="AL33" i="3" s="1"/>
  <c r="AE32" i="3"/>
  <c r="AN32" i="3" s="1" a="1"/>
  <c r="AN32" i="3" s="1"/>
  <c r="AD32" i="3"/>
  <c r="AM32" i="3" s="1" a="1"/>
  <c r="AM32" i="3" s="1"/>
  <c r="AB30" i="3"/>
  <c r="AF30" i="3" s="1" a="1"/>
  <c r="AF30" i="3" s="1"/>
  <c r="AD31" i="3"/>
  <c r="AM31" i="3" s="1" a="1"/>
  <c r="AM31" i="3" s="1"/>
  <c r="AE30" i="3"/>
  <c r="AN30" i="3" s="1" a="1"/>
  <c r="AN30" i="3" s="1"/>
  <c r="AD30" i="3"/>
  <c r="AM30" i="3" s="1" a="1"/>
  <c r="AM30" i="3" s="1"/>
  <c r="AC32" i="3"/>
  <c r="AG32" i="3" s="1" a="1"/>
  <c r="AG32" i="3" s="1"/>
  <c r="AB31" i="3"/>
  <c r="AF31" i="3" s="1" a="1"/>
  <c r="AF31" i="3" s="1"/>
  <c r="AF33" i="1" a="1"/>
  <c r="AF33" i="1" s="1"/>
  <c r="AE31" i="1" a="1"/>
  <c r="AE31" i="1" s="1"/>
  <c r="AF32" i="1" a="1"/>
  <c r="AF32" i="1" s="1"/>
  <c r="AF30" i="1" a="1"/>
  <c r="AF30" i="1" s="1"/>
  <c r="X3" i="3"/>
  <c r="Y3" i="3"/>
  <c r="X4" i="3"/>
  <c r="Y4" i="3"/>
  <c r="X5" i="3"/>
  <c r="Y5" i="3"/>
  <c r="X6" i="3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X14" i="3"/>
  <c r="Y14" i="3"/>
  <c r="X15" i="3"/>
  <c r="AD15" i="3" s="1"/>
  <c r="AM15" i="3" s="1" a="1"/>
  <c r="AM15" i="3" s="1"/>
  <c r="Y15" i="3"/>
  <c r="X16" i="3"/>
  <c r="Y16" i="3"/>
  <c r="X17" i="3"/>
  <c r="Y17" i="3"/>
  <c r="X18" i="3"/>
  <c r="Y18" i="3"/>
  <c r="X19" i="3"/>
  <c r="Y19" i="3"/>
  <c r="X20" i="3"/>
  <c r="Y20" i="3"/>
  <c r="X21" i="3"/>
  <c r="Y21" i="3"/>
  <c r="X22" i="3"/>
  <c r="Y22" i="3"/>
  <c r="X23" i="3"/>
  <c r="Y23" i="3"/>
  <c r="X24" i="3"/>
  <c r="Y24" i="3"/>
  <c r="X25" i="3"/>
  <c r="Y25" i="3"/>
  <c r="X26" i="3"/>
  <c r="Y26" i="3"/>
  <c r="X27" i="3"/>
  <c r="Y27" i="3"/>
  <c r="X28" i="3"/>
  <c r="Y28" i="3"/>
  <c r="X29" i="3"/>
  <c r="Y29" i="3"/>
  <c r="X34" i="3"/>
  <c r="Y34" i="3"/>
  <c r="X35" i="3"/>
  <c r="Y35" i="3"/>
  <c r="X36" i="3"/>
  <c r="Y36" i="3"/>
  <c r="X37" i="3"/>
  <c r="Y37" i="3"/>
  <c r="Y2" i="3"/>
  <c r="X2" i="3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AB11" i="1"/>
  <c r="AB12" i="1"/>
  <c r="AB13" i="1"/>
  <c r="AB14" i="1"/>
  <c r="AB15" i="1"/>
  <c r="AB16" i="1"/>
  <c r="AF16" i="1" s="1" a="1"/>
  <c r="AF16" i="1" s="1"/>
  <c r="AB17" i="1"/>
  <c r="AE17" i="1" s="1" a="1"/>
  <c r="AE17" i="1" s="1"/>
  <c r="AE18" i="1" a="1"/>
  <c r="AE18" i="1" s="1"/>
  <c r="AB19" i="1"/>
  <c r="AE19" i="1" s="1" a="1"/>
  <c r="AE19" i="1" s="1"/>
  <c r="AB20" i="1"/>
  <c r="AE20" i="1" s="1" a="1"/>
  <c r="AE20" i="1" s="1"/>
  <c r="AB21" i="1"/>
  <c r="AE21" i="1" s="1" a="1"/>
  <c r="AE21" i="1" s="1"/>
  <c r="AB22" i="1"/>
  <c r="AE22" i="1" s="1" a="1"/>
  <c r="AE22" i="1" s="1"/>
  <c r="AB23" i="1"/>
  <c r="AE23" i="1" s="1" a="1"/>
  <c r="AE23" i="1" s="1"/>
  <c r="AE24" i="1" a="1"/>
  <c r="AE24" i="1" s="1"/>
  <c r="AB25" i="1"/>
  <c r="AE25" i="1" s="1" a="1"/>
  <c r="AE25" i="1" s="1"/>
  <c r="AB26" i="1"/>
  <c r="AE26" i="1" s="1" a="1"/>
  <c r="AE26" i="1" s="1"/>
  <c r="AB27" i="1"/>
  <c r="AE27" i="1" s="1" a="1"/>
  <c r="AE27" i="1" s="1"/>
  <c r="AB28" i="1"/>
  <c r="AF28" i="1" s="1" a="1"/>
  <c r="AF28" i="1" s="1"/>
  <c r="AE29" i="1" a="1"/>
  <c r="AE29" i="1" s="1"/>
  <c r="AT32" i="4"/>
  <c r="AT31" i="4"/>
  <c r="AT30" i="4"/>
  <c r="AT29" i="4"/>
  <c r="AT16" i="4"/>
  <c r="AT15" i="4"/>
  <c r="AT14" i="4"/>
  <c r="AT13" i="4"/>
  <c r="Y10" i="4"/>
  <c r="X10" i="4"/>
  <c r="Y9" i="4"/>
  <c r="X9" i="4"/>
  <c r="Y8" i="4"/>
  <c r="X8" i="4"/>
  <c r="Y7" i="4"/>
  <c r="X7" i="4"/>
  <c r="AE6" i="4"/>
  <c r="AN6" i="4" s="1" a="1"/>
  <c r="AN6" i="4" s="1"/>
  <c r="AD6" i="4"/>
  <c r="AC6" i="4"/>
  <c r="AG6" i="4" s="1" a="1"/>
  <c r="AG6" i="4" s="1"/>
  <c r="AB6" i="4"/>
  <c r="AK6" i="4" s="1" a="1"/>
  <c r="AK6" i="4" s="1"/>
  <c r="I6" i="4"/>
  <c r="Y5" i="4"/>
  <c r="X5" i="4"/>
  <c r="I5" i="4"/>
  <c r="Y4" i="4"/>
  <c r="X4" i="4"/>
  <c r="I4" i="4"/>
  <c r="Y3" i="4"/>
  <c r="X3" i="4"/>
  <c r="I3" i="4"/>
  <c r="Y2" i="4"/>
  <c r="X2" i="4"/>
  <c r="I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4" i="1"/>
  <c r="I35" i="1"/>
  <c r="I36" i="1"/>
  <c r="I37" i="1"/>
  <c r="I2" i="1"/>
  <c r="AF5" i="6" l="1" a="1"/>
  <c r="AF5" i="6" s="1"/>
  <c r="AJ5" i="6" s="1"/>
  <c r="AQ5" i="6" s="1" a="1"/>
  <c r="AQ5" i="6" s="1"/>
  <c r="AP5" i="6" s="1"/>
  <c r="AC37" i="3"/>
  <c r="AL37" i="3" s="1" a="1"/>
  <c r="AL37" i="3" s="1"/>
  <c r="AC27" i="3"/>
  <c r="AL27" i="3" s="1" a="1"/>
  <c r="AL27" i="3" s="1"/>
  <c r="AE15" i="3"/>
  <c r="AN15" i="3" s="1" a="1"/>
  <c r="AN15" i="3" s="1"/>
  <c r="AB10" i="3"/>
  <c r="AF10" i="3" s="1" a="1"/>
  <c r="AF10" i="3" s="1"/>
  <c r="AC29" i="3"/>
  <c r="AL29" i="3" s="1" a="1"/>
  <c r="AL29" i="3" s="1"/>
  <c r="AD17" i="3"/>
  <c r="AH17" i="3" s="1" a="1"/>
  <c r="AH17" i="3" s="1"/>
  <c r="AF32" i="3" a="1"/>
  <c r="AF32" i="3" s="1"/>
  <c r="AN31" i="3" a="1"/>
  <c r="AN31" i="3" s="1"/>
  <c r="AK33" i="3" a="1"/>
  <c r="AK33" i="3" s="1"/>
  <c r="AD34" i="3"/>
  <c r="AH34" i="3" s="1" a="1"/>
  <c r="AH34" i="3" s="1"/>
  <c r="AB6" i="3"/>
  <c r="AK6" i="3" s="1" a="1"/>
  <c r="AK6" i="3" s="1"/>
  <c r="AC4" i="3"/>
  <c r="AL4" i="3" s="1" a="1"/>
  <c r="AL4" i="3" s="1"/>
  <c r="AE37" i="3"/>
  <c r="AN37" i="3" s="1" a="1"/>
  <c r="AN37" i="3" s="1"/>
  <c r="AC19" i="3"/>
  <c r="AG19" i="3" s="1" a="1"/>
  <c r="AG19" i="3" s="1"/>
  <c r="AN6" i="6" a="1"/>
  <c r="AN6" i="6" s="1"/>
  <c r="AB15" i="3"/>
  <c r="AK15" i="3" s="1" a="1"/>
  <c r="AK15" i="3" s="1"/>
  <c r="AK2" i="6" a="1"/>
  <c r="AK2" i="6" s="1"/>
  <c r="AL6" i="6" a="1"/>
  <c r="AL6" i="6" s="1"/>
  <c r="AL30" i="3" a="1"/>
  <c r="AL30" i="3" s="1"/>
  <c r="AB4" i="3"/>
  <c r="AF4" i="3" s="1" a="1"/>
  <c r="AF4" i="3" s="1"/>
  <c r="AC35" i="3"/>
  <c r="AL35" i="3" s="1" a="1"/>
  <c r="AL35" i="3" s="1"/>
  <c r="AB19" i="3"/>
  <c r="AF19" i="3" s="1" a="1"/>
  <c r="AF19" i="3" s="1"/>
  <c r="AD13" i="3"/>
  <c r="AH13" i="3" s="1" a="1"/>
  <c r="AH13" i="3" s="1"/>
  <c r="AC34" i="3"/>
  <c r="AG34" i="3" s="1" a="1"/>
  <c r="AG34" i="3" s="1"/>
  <c r="AD24" i="3"/>
  <c r="AM24" i="3" s="1" a="1"/>
  <c r="AM24" i="3" s="1"/>
  <c r="AB18" i="3"/>
  <c r="AK18" i="3" s="1" a="1"/>
  <c r="AK18" i="3" s="1"/>
  <c r="AC12" i="3"/>
  <c r="AL12" i="3" s="1" a="1"/>
  <c r="AL12" i="3" s="1"/>
  <c r="AC6" i="3"/>
  <c r="AL6" i="3" s="1" a="1"/>
  <c r="AL6" i="3" s="1"/>
  <c r="AE19" i="3"/>
  <c r="AN19" i="3" s="1" a="1"/>
  <c r="AN19" i="3" s="1"/>
  <c r="AC8" i="4"/>
  <c r="AL8" i="4" s="1" a="1"/>
  <c r="AL8" i="4" s="1"/>
  <c r="AD28" i="3"/>
  <c r="AM28" i="3" s="1" a="1"/>
  <c r="AM28" i="3" s="1"/>
  <c r="AD22" i="3"/>
  <c r="AH22" i="3" s="1" a="1"/>
  <c r="AH22" i="3" s="1"/>
  <c r="AB16" i="3"/>
  <c r="AF16" i="3" s="1" a="1"/>
  <c r="AF16" i="3" s="1"/>
  <c r="AD10" i="3"/>
  <c r="AM10" i="3" s="1" a="1"/>
  <c r="AM10" i="3" s="1"/>
  <c r="AD4" i="3"/>
  <c r="AM4" i="3" s="1" a="1"/>
  <c r="AM4" i="3" s="1"/>
  <c r="AD37" i="3"/>
  <c r="AM37" i="3" s="1" a="1"/>
  <c r="AM37" i="3" s="1"/>
  <c r="AD27" i="3"/>
  <c r="AM27" i="3" s="1" a="1"/>
  <c r="AM27" i="3" s="1"/>
  <c r="AE36" i="3"/>
  <c r="AN36" i="3" s="1" a="1"/>
  <c r="AN36" i="3" s="1"/>
  <c r="AB26" i="3"/>
  <c r="AF26" i="3" s="1" a="1"/>
  <c r="AF26" i="3" s="1"/>
  <c r="AE14" i="3"/>
  <c r="AN14" i="3" s="1" a="1"/>
  <c r="AN14" i="3" s="1"/>
  <c r="AE22" i="3"/>
  <c r="AI22" i="3" s="1" a="1"/>
  <c r="AI22" i="3" s="1"/>
  <c r="AD21" i="3"/>
  <c r="AH21" i="3" s="1" a="1"/>
  <c r="AH21" i="3" s="1"/>
  <c r="AC9" i="3"/>
  <c r="AG9" i="3" s="1" a="1"/>
  <c r="AG9" i="3" s="1"/>
  <c r="AD20" i="3"/>
  <c r="AH20" i="3" s="1" a="1"/>
  <c r="AH20" i="3" s="1"/>
  <c r="AD19" i="3"/>
  <c r="AM19" i="3" s="1" a="1"/>
  <c r="AM19" i="3" s="1"/>
  <c r="AC15" i="3"/>
  <c r="AG15" i="3" s="1" a="1"/>
  <c r="AG15" i="3" s="1"/>
  <c r="AC24" i="3"/>
  <c r="AG24" i="3" s="1" a="1"/>
  <c r="AG24" i="3" s="1"/>
  <c r="AD6" i="3"/>
  <c r="AM6" i="3" s="1" a="1"/>
  <c r="AM6" i="3" s="1"/>
  <c r="AE34" i="3"/>
  <c r="AI34" i="3" s="1" a="1"/>
  <c r="AI34" i="3" s="1"/>
  <c r="AD29" i="3"/>
  <c r="AM29" i="3" s="1" a="1"/>
  <c r="AM29" i="3" s="1"/>
  <c r="AD36" i="3"/>
  <c r="AM36" i="3" s="1" a="1"/>
  <c r="AM36" i="3" s="1"/>
  <c r="AC28" i="3"/>
  <c r="AL28" i="3" s="1" a="1"/>
  <c r="AL28" i="3" s="1"/>
  <c r="AE6" i="3"/>
  <c r="AN6" i="3" s="1" a="1"/>
  <c r="AN6" i="3" s="1"/>
  <c r="AC36" i="3"/>
  <c r="AG36" i="3" s="1" a="1"/>
  <c r="AG36" i="3" s="1"/>
  <c r="AB22" i="3"/>
  <c r="AF22" i="3" s="1" a="1"/>
  <c r="AF22" i="3" s="1"/>
  <c r="AC22" i="3"/>
  <c r="AG22" i="3" s="1" a="1"/>
  <c r="AG22" i="3" s="1"/>
  <c r="AB21" i="3"/>
  <c r="AF21" i="3" s="1" a="1"/>
  <c r="AF21" i="3" s="1"/>
  <c r="AB35" i="3"/>
  <c r="AF35" i="3" s="1" a="1"/>
  <c r="AF35" i="3" s="1"/>
  <c r="AE20" i="3"/>
  <c r="AN20" i="3" s="1" a="1"/>
  <c r="AN20" i="3" s="1"/>
  <c r="AB12" i="3"/>
  <c r="AF12" i="3" s="1" a="1"/>
  <c r="AF12" i="3" s="1"/>
  <c r="AC10" i="3"/>
  <c r="AG10" i="3" s="1" a="1"/>
  <c r="AG10" i="3" s="1"/>
  <c r="AD9" i="3"/>
  <c r="AH9" i="3" s="1" a="1"/>
  <c r="AH9" i="3" s="1"/>
  <c r="AD16" i="3"/>
  <c r="AM16" i="3" s="1" a="1"/>
  <c r="AM16" i="3" s="1"/>
  <c r="AE11" i="3"/>
  <c r="AN11" i="3" s="1" a="1"/>
  <c r="AN11" i="3" s="1"/>
  <c r="AE5" i="3"/>
  <c r="AN5" i="3" s="1" a="1"/>
  <c r="AN5" i="3" s="1"/>
  <c r="AI7" i="6" a="1"/>
  <c r="AI7" i="6" s="1"/>
  <c r="AL2" i="6" a="1"/>
  <c r="AL2" i="6" s="1"/>
  <c r="AK6" i="6" a="1"/>
  <c r="AK6" i="6" s="1"/>
  <c r="AN5" i="6" a="1"/>
  <c r="AN5" i="6" s="1"/>
  <c r="AM6" i="6" a="1"/>
  <c r="AM6" i="6" s="1"/>
  <c r="AM4" i="6" a="1"/>
  <c r="AM4" i="6" s="1"/>
  <c r="AM5" i="6" a="1"/>
  <c r="AM5" i="6" s="1"/>
  <c r="AJ6" i="6"/>
  <c r="AQ6" i="6" s="1" a="1"/>
  <c r="AQ6" i="6" s="1"/>
  <c r="AP6" i="6" s="1"/>
  <c r="AN2" i="6" a="1"/>
  <c r="AN2" i="6" s="1"/>
  <c r="AL5" i="6" a="1"/>
  <c r="AL5" i="6" s="1"/>
  <c r="AG4" i="6" a="1"/>
  <c r="AG4" i="6" s="1"/>
  <c r="AG7" i="6" a="1"/>
  <c r="AG7" i="6" s="1"/>
  <c r="AL7" i="6" a="1"/>
  <c r="AL7" i="6" s="1"/>
  <c r="AH7" i="6" a="1"/>
  <c r="AH7" i="6" s="1"/>
  <c r="AM7" i="6" a="1"/>
  <c r="AM7" i="6" s="1"/>
  <c r="AM2" i="6" a="1"/>
  <c r="AM2" i="6" s="1"/>
  <c r="AH2" i="6" a="1"/>
  <c r="AH2" i="6" s="1"/>
  <c r="AJ2" i="6" s="1"/>
  <c r="AF7" i="6" a="1"/>
  <c r="AF7" i="6" s="1"/>
  <c r="AK7" i="6" a="1"/>
  <c r="AK7" i="6" s="1"/>
  <c r="AK3" i="6" a="1"/>
  <c r="AK3" i="6" s="1"/>
  <c r="AF3" i="6" a="1"/>
  <c r="AF3" i="6" s="1"/>
  <c r="AK4" i="6" a="1"/>
  <c r="AK4" i="6" s="1"/>
  <c r="AF4" i="6" a="1"/>
  <c r="AF4" i="6" s="1"/>
  <c r="AG3" i="6" a="1"/>
  <c r="AG3" i="6" s="1"/>
  <c r="AL3" i="6" a="1"/>
  <c r="AL3" i="6" s="1"/>
  <c r="AM3" i="6" a="1"/>
  <c r="AM3" i="6" s="1"/>
  <c r="AH3" i="6" a="1"/>
  <c r="AH3" i="6" s="1"/>
  <c r="AN3" i="6" a="1"/>
  <c r="AN3" i="6" s="1"/>
  <c r="AI3" i="6" a="1"/>
  <c r="AI3" i="6" s="1"/>
  <c r="AN33" i="3" a="1"/>
  <c r="AN33" i="3" s="1"/>
  <c r="AK31" i="3" a="1"/>
  <c r="AK31" i="3" s="1"/>
  <c r="AL32" i="3" a="1"/>
  <c r="AL32" i="3" s="1"/>
  <c r="AH30" i="3" a="1"/>
  <c r="AH30" i="3" s="1"/>
  <c r="AJ30" i="3" s="1"/>
  <c r="AM33" i="3" a="1"/>
  <c r="AM33" i="3" s="1"/>
  <c r="AK30" i="3" a="1"/>
  <c r="AK30" i="3" s="1"/>
  <c r="AH31" i="3" a="1"/>
  <c r="AH31" i="3" s="1"/>
  <c r="AG33" i="3" a="1"/>
  <c r="AG33" i="3" s="1"/>
  <c r="AJ33" i="3" s="1"/>
  <c r="AI32" i="3" a="1"/>
  <c r="AI32" i="3" s="1"/>
  <c r="AI30" i="3" a="1"/>
  <c r="AI30" i="3" s="1"/>
  <c r="AH32" i="3" a="1"/>
  <c r="AH32" i="3" s="1"/>
  <c r="AG31" i="3" a="1"/>
  <c r="AG31" i="3" s="1"/>
  <c r="AL31" i="3" a="1"/>
  <c r="AL31" i="3" s="1"/>
  <c r="AE8" i="3"/>
  <c r="AN8" i="3" s="1" a="1"/>
  <c r="AN8" i="3" s="1"/>
  <c r="AE24" i="3"/>
  <c r="AN24" i="3" s="1" a="1"/>
  <c r="AN24" i="3" s="1"/>
  <c r="AC13" i="3"/>
  <c r="AG13" i="3" s="1" a="1"/>
  <c r="AG13" i="3" s="1"/>
  <c r="AE28" i="3"/>
  <c r="AI28" i="3" s="1" a="1"/>
  <c r="AI28" i="3" s="1"/>
  <c r="AE18" i="3"/>
  <c r="AN18" i="3" s="1" a="1"/>
  <c r="AN18" i="3" s="1"/>
  <c r="AE12" i="3"/>
  <c r="AN12" i="3" s="1" a="1"/>
  <c r="AN12" i="3" s="1"/>
  <c r="AC18" i="3"/>
  <c r="AL18" i="3" s="1" a="1"/>
  <c r="AL18" i="3" s="1"/>
  <c r="AD12" i="3"/>
  <c r="AH12" i="3" s="1" a="1"/>
  <c r="AH12" i="3" s="1"/>
  <c r="AE27" i="3"/>
  <c r="AI27" i="3" s="1" a="1"/>
  <c r="AI27" i="3" s="1"/>
  <c r="AE21" i="3"/>
  <c r="AN21" i="3" s="1" a="1"/>
  <c r="AN21" i="3" s="1"/>
  <c r="AC16" i="3"/>
  <c r="AL16" i="3" s="1" a="1"/>
  <c r="AL16" i="3" s="1"/>
  <c r="AE10" i="3"/>
  <c r="AI10" i="3" s="1" a="1"/>
  <c r="AI10" i="3" s="1"/>
  <c r="AB36" i="3"/>
  <c r="AF36" i="3" s="1" a="1"/>
  <c r="AF36" i="3" s="1"/>
  <c r="AE35" i="3"/>
  <c r="AI35" i="3" s="1" a="1"/>
  <c r="AI35" i="3" s="1"/>
  <c r="AC21" i="3"/>
  <c r="AG21" i="3" s="1" a="1"/>
  <c r="AG21" i="3" s="1"/>
  <c r="AB3" i="3"/>
  <c r="AF3" i="3" s="1" a="1"/>
  <c r="AF3" i="3" s="1"/>
  <c r="AE29" i="3"/>
  <c r="AI29" i="3" s="1" a="1"/>
  <c r="AI29" i="3" s="1"/>
  <c r="AB13" i="3"/>
  <c r="AK13" i="3" s="1" a="1"/>
  <c r="AK13" i="3" s="1"/>
  <c r="AD7" i="3"/>
  <c r="AH7" i="3" s="1" a="1"/>
  <c r="AH7" i="3" s="1"/>
  <c r="AD18" i="3"/>
  <c r="AH18" i="3" s="1" a="1"/>
  <c r="AH18" i="3" s="1"/>
  <c r="AE13" i="3"/>
  <c r="AN13" i="3" s="1" a="1"/>
  <c r="AN13" i="3" s="1"/>
  <c r="AE9" i="3"/>
  <c r="AI9" i="3" s="1" a="1"/>
  <c r="AI9" i="3" s="1"/>
  <c r="AD35" i="3"/>
  <c r="AH35" i="3" s="1" a="1"/>
  <c r="AH35" i="3" s="1"/>
  <c r="AB9" i="3"/>
  <c r="AF9" i="3" s="1" a="1"/>
  <c r="AF9" i="3" s="1"/>
  <c r="AE7" i="3"/>
  <c r="AN7" i="3" s="1" a="1"/>
  <c r="AN7" i="3" s="1"/>
  <c r="AC7" i="3"/>
  <c r="AL7" i="3" s="1" a="1"/>
  <c r="AL7" i="3" s="1"/>
  <c r="AB7" i="3"/>
  <c r="AF7" i="3" s="1" a="1"/>
  <c r="AF7" i="3" s="1"/>
  <c r="AE3" i="3"/>
  <c r="AN3" i="3" s="1" a="1"/>
  <c r="AN3" i="3" s="1"/>
  <c r="AD3" i="3"/>
  <c r="AM3" i="3" s="1" a="1"/>
  <c r="AM3" i="3" s="1"/>
  <c r="AC3" i="3"/>
  <c r="AL3" i="3" s="1" a="1"/>
  <c r="AL3" i="3" s="1"/>
  <c r="AB29" i="3"/>
  <c r="AK29" i="3" s="1" a="1"/>
  <c r="AK29" i="3" s="1"/>
  <c r="AB27" i="3"/>
  <c r="AF27" i="3" s="1" a="1"/>
  <c r="AF27" i="3" s="1"/>
  <c r="AB37" i="3"/>
  <c r="AK37" i="3" s="1" a="1"/>
  <c r="AK37" i="3" s="1"/>
  <c r="AB23" i="3"/>
  <c r="AK23" i="3" s="1" a="1"/>
  <c r="AK23" i="3" s="1"/>
  <c r="AB17" i="3"/>
  <c r="AK17" i="3" s="1" a="1"/>
  <c r="AK17" i="3" s="1"/>
  <c r="AB11" i="3"/>
  <c r="AF11" i="3" s="1" a="1"/>
  <c r="AF11" i="3" s="1"/>
  <c r="AB34" i="3"/>
  <c r="AK34" i="3" s="1" a="1"/>
  <c r="AK34" i="3" s="1"/>
  <c r="AB25" i="3"/>
  <c r="AK25" i="3" s="1" a="1"/>
  <c r="AK25" i="3" s="1"/>
  <c r="AB28" i="3"/>
  <c r="AK28" i="3" s="1" a="1"/>
  <c r="AK28" i="3" s="1"/>
  <c r="AB24" i="3"/>
  <c r="AF24" i="3" s="1" a="1"/>
  <c r="AF24" i="3" s="1"/>
  <c r="AB5" i="3"/>
  <c r="AK5" i="3" s="1" a="1"/>
  <c r="AK5" i="3" s="1"/>
  <c r="I50" i="1"/>
  <c r="AE23" i="3"/>
  <c r="AN23" i="3" s="1" a="1"/>
  <c r="AN23" i="3" s="1"/>
  <c r="AD23" i="3"/>
  <c r="AM23" i="3" s="1" a="1"/>
  <c r="AM23" i="3" s="1"/>
  <c r="AE16" i="3"/>
  <c r="AI16" i="3" s="1" a="1"/>
  <c r="AI16" i="3" s="1"/>
  <c r="AE4" i="3"/>
  <c r="AN4" i="3" s="1" a="1"/>
  <c r="AN4" i="3" s="1"/>
  <c r="AE17" i="3"/>
  <c r="AN17" i="3" s="1" a="1"/>
  <c r="AN17" i="3" s="1"/>
  <c r="AC25" i="3"/>
  <c r="AG25" i="3" s="1" a="1"/>
  <c r="AG25" i="3" s="1"/>
  <c r="AB20" i="3"/>
  <c r="AK20" i="3" s="1" a="1"/>
  <c r="AK20" i="3" s="1"/>
  <c r="AB14" i="3"/>
  <c r="AF14" i="3" s="1" a="1"/>
  <c r="AF14" i="3" s="1"/>
  <c r="AB8" i="3"/>
  <c r="AK8" i="3" s="1" a="1"/>
  <c r="AK8" i="3" s="1"/>
  <c r="AG37" i="3" a="1"/>
  <c r="AG37" i="3" s="1"/>
  <c r="AC23" i="3"/>
  <c r="AL23" i="3" s="1" a="1"/>
  <c r="AL23" i="3" s="1"/>
  <c r="AC20" i="3"/>
  <c r="AG20" i="3" s="1" a="1"/>
  <c r="AG20" i="3" s="1"/>
  <c r="AC17" i="3"/>
  <c r="AL17" i="3" s="1" a="1"/>
  <c r="AL17" i="3" s="1"/>
  <c r="AD14" i="3"/>
  <c r="AM14" i="3" s="1" a="1"/>
  <c r="AM14" i="3" s="1"/>
  <c r="AD11" i="3"/>
  <c r="AM11" i="3" s="1" a="1"/>
  <c r="AM11" i="3" s="1"/>
  <c r="AD8" i="3"/>
  <c r="AH8" i="3" s="1" a="1"/>
  <c r="AH8" i="3" s="1"/>
  <c r="AD5" i="3"/>
  <c r="AM5" i="3" s="1" a="1"/>
  <c r="AM5" i="3" s="1"/>
  <c r="AC14" i="3"/>
  <c r="AC11" i="3"/>
  <c r="AL11" i="3" s="1" a="1"/>
  <c r="AL11" i="3" s="1"/>
  <c r="AC8" i="3"/>
  <c r="AL8" i="3" s="1" a="1"/>
  <c r="AL8" i="3" s="1"/>
  <c r="AC5" i="3"/>
  <c r="AL5" i="3" s="1" a="1"/>
  <c r="AL5" i="3" s="1"/>
  <c r="AK10" i="3" a="1"/>
  <c r="AK10" i="3" s="1"/>
  <c r="AM17" i="3" a="1"/>
  <c r="AM17" i="3" s="1"/>
  <c r="AH15" i="3" a="1"/>
  <c r="AH15" i="3" s="1"/>
  <c r="AD26" i="3"/>
  <c r="AE26" i="3"/>
  <c r="AI26" i="3" s="1" a="1"/>
  <c r="AI26" i="3" s="1"/>
  <c r="AC26" i="3"/>
  <c r="AG27" i="3" a="1"/>
  <c r="AG27" i="3" s="1"/>
  <c r="AE25" i="3"/>
  <c r="AN25" i="3" s="1" a="1"/>
  <c r="AN25" i="3" s="1"/>
  <c r="AD25" i="3"/>
  <c r="AF20" i="1" a="1"/>
  <c r="AF20" i="1" s="1"/>
  <c r="AE16" i="1" a="1"/>
  <c r="AE16" i="1" s="1"/>
  <c r="AF19" i="1" a="1"/>
  <c r="AF19" i="1" s="1"/>
  <c r="AF22" i="1" a="1"/>
  <c r="AF22" i="1" s="1"/>
  <c r="AF18" i="1" a="1"/>
  <c r="AF18" i="1" s="1"/>
  <c r="AF17" i="1" a="1"/>
  <c r="AF17" i="1" s="1"/>
  <c r="AF21" i="1" a="1"/>
  <c r="AF21" i="1" s="1"/>
  <c r="AF26" i="1" a="1"/>
  <c r="AF26" i="1" s="1"/>
  <c r="AF24" i="1" a="1"/>
  <c r="AF24" i="1" s="1"/>
  <c r="AE28" i="1" a="1"/>
  <c r="AE28" i="1" s="1"/>
  <c r="AF29" i="1" a="1"/>
  <c r="AF29" i="1" s="1"/>
  <c r="AF25" i="1" a="1"/>
  <c r="AF25" i="1" s="1"/>
  <c r="AF27" i="1" a="1"/>
  <c r="AF27" i="1" s="1"/>
  <c r="AF23" i="1" a="1"/>
  <c r="AF23" i="1" s="1"/>
  <c r="AI15" i="3" a="1"/>
  <c r="AI15" i="3" s="1"/>
  <c r="AL9" i="3" a="1"/>
  <c r="AL9" i="3" s="1"/>
  <c r="AF6" i="3" a="1"/>
  <c r="AF6" i="3" s="1"/>
  <c r="AE10" i="4"/>
  <c r="AI10" i="4" s="1" a="1"/>
  <c r="AI10" i="4" s="1"/>
  <c r="AC9" i="4"/>
  <c r="AG9" i="4" s="1" a="1"/>
  <c r="AG9" i="4" s="1"/>
  <c r="AB2" i="4"/>
  <c r="AF2" i="4" s="1" a="1"/>
  <c r="AF2" i="4" s="1"/>
  <c r="AJ2" i="4" s="1"/>
  <c r="AD3" i="4"/>
  <c r="AM3" i="4" s="1" a="1"/>
  <c r="AM3" i="4" s="1"/>
  <c r="AE4" i="4"/>
  <c r="AN4" i="4" s="1" a="1"/>
  <c r="AN4" i="4" s="1"/>
  <c r="AE8" i="4"/>
  <c r="AN8" i="4" s="1" a="1"/>
  <c r="AN8" i="4" s="1"/>
  <c r="AC3" i="4"/>
  <c r="AG3" i="4" s="1" a="1"/>
  <c r="AG3" i="4" s="1"/>
  <c r="AF6" i="4" a="1"/>
  <c r="AF6" i="4" s="1"/>
  <c r="AJ6" i="4" s="1"/>
  <c r="AQ6" i="4" s="1" a="1"/>
  <c r="AQ6" i="4" s="1"/>
  <c r="AP6" i="4" s="1"/>
  <c r="AI6" i="4" a="1"/>
  <c r="AI6" i="4" s="1"/>
  <c r="AD9" i="4"/>
  <c r="AH9" i="4" s="1" a="1"/>
  <c r="AH9" i="4" s="1"/>
  <c r="AD10" i="4"/>
  <c r="AH10" i="4" s="1" a="1"/>
  <c r="AH10" i="4" s="1"/>
  <c r="AB3" i="4"/>
  <c r="AF3" i="4" s="1" a="1"/>
  <c r="AF3" i="4" s="1"/>
  <c r="AJ3" i="4" s="1"/>
  <c r="AQ3" i="4" s="1" a="1"/>
  <c r="AQ3" i="4" s="1"/>
  <c r="AP3" i="4" s="1"/>
  <c r="AD2" i="4"/>
  <c r="AM2" i="4" s="1" a="1"/>
  <c r="AM2" i="4" s="1"/>
  <c r="AC2" i="4"/>
  <c r="AG2" i="4" s="1" a="1"/>
  <c r="AG2" i="4" s="1"/>
  <c r="AE5" i="4"/>
  <c r="AN5" i="4" s="1" a="1"/>
  <c r="AN5" i="4" s="1"/>
  <c r="AE2" i="4"/>
  <c r="AI2" i="4" s="1" a="1"/>
  <c r="AI2" i="4" s="1"/>
  <c r="AE7" i="4"/>
  <c r="AI7" i="4" s="1" a="1"/>
  <c r="AI7" i="4" s="1"/>
  <c r="AE9" i="4"/>
  <c r="AI9" i="4" s="1" a="1"/>
  <c r="AI9" i="4" s="1"/>
  <c r="AD8" i="4"/>
  <c r="AE3" i="4"/>
  <c r="AB9" i="4"/>
  <c r="AF9" i="4" s="1" a="1"/>
  <c r="AF9" i="4" s="1"/>
  <c r="AJ9" i="4" s="1"/>
  <c r="AQ9" i="4" s="1" a="1"/>
  <c r="AQ9" i="4" s="1"/>
  <c r="AP9" i="4" s="1"/>
  <c r="AB8" i="4"/>
  <c r="AB5" i="4"/>
  <c r="AC5" i="4"/>
  <c r="AD5" i="4"/>
  <c r="AD4" i="4"/>
  <c r="AC4" i="4"/>
  <c r="AB4" i="4"/>
  <c r="AL6" i="4" a="1"/>
  <c r="AL6" i="4" s="1"/>
  <c r="AH6" i="4" a="1"/>
  <c r="AH6" i="4" s="1"/>
  <c r="AM6" i="4" a="1"/>
  <c r="AM6" i="4" s="1"/>
  <c r="AB10" i="4"/>
  <c r="AC10" i="4"/>
  <c r="AB7" i="4"/>
  <c r="AC7" i="4"/>
  <c r="AD7" i="4"/>
  <c r="AT59" i="3"/>
  <c r="AT58" i="3"/>
  <c r="AT57" i="3"/>
  <c r="AT56" i="3"/>
  <c r="AT43" i="3"/>
  <c r="AT42" i="3"/>
  <c r="AT41" i="3"/>
  <c r="AT40" i="3"/>
  <c r="AB3" i="1"/>
  <c r="AB4" i="1"/>
  <c r="AB5" i="1"/>
  <c r="AB6" i="1"/>
  <c r="AB7" i="1"/>
  <c r="AB8" i="1"/>
  <c r="AB9" i="1"/>
  <c r="AB10" i="1"/>
  <c r="AB34" i="1"/>
  <c r="AB35" i="1"/>
  <c r="AB36" i="1"/>
  <c r="AB37" i="1"/>
  <c r="AB2" i="1"/>
  <c r="AG8" i="4" l="1" a="1"/>
  <c r="AG8" i="4" s="1"/>
  <c r="AI19" i="3" a="1"/>
  <c r="AI19" i="3" s="1"/>
  <c r="AG35" i="3" a="1"/>
  <c r="AG35" i="3" s="1"/>
  <c r="AK4" i="3" a="1"/>
  <c r="AK4" i="3" s="1"/>
  <c r="AM34" i="3" a="1"/>
  <c r="AM34" i="3" s="1"/>
  <c r="AL24" i="3" a="1"/>
  <c r="AL24" i="3" s="1"/>
  <c r="AG29" i="3" a="1"/>
  <c r="AG29" i="3" s="1"/>
  <c r="AF18" i="3" a="1"/>
  <c r="AF18" i="3" s="1"/>
  <c r="AI36" i="3" a="1"/>
  <c r="AI36" i="3" s="1"/>
  <c r="AG4" i="3" a="1"/>
  <c r="AG4" i="3" s="1"/>
  <c r="AF15" i="3" a="1"/>
  <c r="AF15" i="3" s="1"/>
  <c r="AJ15" i="3" s="1"/>
  <c r="AO15" i="3" s="1"/>
  <c r="AI37" i="3" a="1"/>
  <c r="AI37" i="3" s="1"/>
  <c r="AL19" i="3" a="1"/>
  <c r="AL19" i="3" s="1"/>
  <c r="AH37" i="3" a="1"/>
  <c r="AH37" i="3" s="1"/>
  <c r="AJ32" i="3"/>
  <c r="AO32" i="3" s="1"/>
  <c r="AK26" i="3" a="1"/>
  <c r="AK26" i="3" s="1"/>
  <c r="AF13" i="3" a="1"/>
  <c r="AF13" i="3" s="1"/>
  <c r="AK21" i="3" a="1"/>
  <c r="AK21" i="3" s="1"/>
  <c r="AH19" i="3" a="1"/>
  <c r="AH19" i="3" s="1"/>
  <c r="AM21" i="3" a="1"/>
  <c r="AM21" i="3" s="1"/>
  <c r="AH28" i="3" a="1"/>
  <c r="AH28" i="3" s="1"/>
  <c r="AI20" i="3" a="1"/>
  <c r="AI20" i="3" s="1"/>
  <c r="AM20" i="3" a="1"/>
  <c r="AM20" i="3" s="1"/>
  <c r="AL34" i="3" a="1"/>
  <c r="AL34" i="3" s="1"/>
  <c r="AN22" i="3" a="1"/>
  <c r="AN22" i="3" s="1"/>
  <c r="AI6" i="3" a="1"/>
  <c r="AI6" i="3" s="1"/>
  <c r="AH6" i="3" a="1"/>
  <c r="AH6" i="3" s="1"/>
  <c r="AL22" i="3" a="1"/>
  <c r="AL22" i="3" s="1"/>
  <c r="AH29" i="3" a="1"/>
  <c r="AH29" i="3" s="1"/>
  <c r="AL15" i="3" a="1"/>
  <c r="AL15" i="3" s="1"/>
  <c r="AH4" i="3" a="1"/>
  <c r="AH4" i="3" s="1"/>
  <c r="AM22" i="3" a="1"/>
  <c r="AM22" i="3" s="1"/>
  <c r="AG12" i="3" a="1"/>
  <c r="AG12" i="3" s="1"/>
  <c r="AH10" i="3" a="1"/>
  <c r="AH10" i="3" s="1"/>
  <c r="AK16" i="3" a="1"/>
  <c r="AK16" i="3" s="1"/>
  <c r="AM13" i="3" a="1"/>
  <c r="AM13" i="3" s="1"/>
  <c r="AJ19" i="3"/>
  <c r="AO19" i="3" s="1"/>
  <c r="AK19" i="3" a="1"/>
  <c r="AK19" i="3" s="1"/>
  <c r="AH16" i="3" a="1"/>
  <c r="AH16" i="3" s="1"/>
  <c r="AH36" i="3" a="1"/>
  <c r="AH36" i="3" s="1"/>
  <c r="AL36" i="3" a="1"/>
  <c r="AL36" i="3" s="1"/>
  <c r="AI14" i="3" a="1"/>
  <c r="AI14" i="3" s="1"/>
  <c r="AN34" i="3" a="1"/>
  <c r="AN34" i="3" s="1"/>
  <c r="AH27" i="3" a="1"/>
  <c r="AH27" i="3" s="1"/>
  <c r="AG28" i="3" a="1"/>
  <c r="AG28" i="3" s="1"/>
  <c r="AH24" i="3" a="1"/>
  <c r="AH24" i="3" s="1"/>
  <c r="AJ24" i="3" s="1"/>
  <c r="AQ24" i="3" s="1" a="1"/>
  <c r="AQ24" i="3" s="1"/>
  <c r="AG6" i="3" a="1"/>
  <c r="AG6" i="3" s="1"/>
  <c r="AM9" i="3" a="1"/>
  <c r="AM9" i="3" s="1"/>
  <c r="AK35" i="3" a="1"/>
  <c r="AK35" i="3" s="1"/>
  <c r="AI11" i="3" a="1"/>
  <c r="AI11" i="3" s="1"/>
  <c r="AK12" i="3" a="1"/>
  <c r="AK12" i="3" s="1"/>
  <c r="AN28" i="3" a="1"/>
  <c r="AN28" i="3" s="1"/>
  <c r="AI18" i="3" a="1"/>
  <c r="AI18" i="3" s="1"/>
  <c r="AI5" i="3" a="1"/>
  <c r="AI5" i="3" s="1"/>
  <c r="AL10" i="3" a="1"/>
  <c r="AL10" i="3" s="1"/>
  <c r="AK36" i="3" a="1"/>
  <c r="AK36" i="3" s="1"/>
  <c r="AJ22" i="3"/>
  <c r="AO22" i="3" s="1"/>
  <c r="AK22" i="3" a="1"/>
  <c r="AK22" i="3" s="1"/>
  <c r="AN35" i="3" a="1"/>
  <c r="AN35" i="3" s="1"/>
  <c r="AO5" i="6"/>
  <c r="AO6" i="6"/>
  <c r="AJ4" i="6"/>
  <c r="AQ4" i="6" s="1" a="1"/>
  <c r="AQ4" i="6" s="1"/>
  <c r="AP4" i="6" s="1"/>
  <c r="AJ3" i="6"/>
  <c r="AO3" i="6" s="1"/>
  <c r="AQ2" i="6" a="1"/>
  <c r="AQ2" i="6" s="1"/>
  <c r="AP2" i="6" s="1"/>
  <c r="AO2" i="6"/>
  <c r="AJ7" i="6"/>
  <c r="AQ7" i="6" s="1" a="1"/>
  <c r="AQ7" i="6" s="1"/>
  <c r="AP7" i="6" s="1"/>
  <c r="AJ31" i="3"/>
  <c r="AQ31" i="3" s="1" a="1"/>
  <c r="AQ31" i="3" s="1"/>
  <c r="AP31" i="3" s="1"/>
  <c r="AO30" i="3"/>
  <c r="AQ30" i="3" a="1"/>
  <c r="AQ30" i="3" s="1"/>
  <c r="AP30" i="3" s="1"/>
  <c r="AQ33" i="3" a="1"/>
  <c r="AQ33" i="3" s="1"/>
  <c r="AP33" i="3" s="1"/>
  <c r="AO33" i="3"/>
  <c r="AM7" i="3" a="1"/>
  <c r="AM7" i="3" s="1"/>
  <c r="AI12" i="3" a="1"/>
  <c r="AI12" i="3" s="1"/>
  <c r="AJ12" i="3" s="1"/>
  <c r="AQ12" i="3" s="1" a="1"/>
  <c r="AQ12" i="3" s="1"/>
  <c r="AP12" i="3" s="1"/>
  <c r="AI21" i="3" a="1"/>
  <c r="AI21" i="3" s="1"/>
  <c r="AJ21" i="3" s="1"/>
  <c r="AN9" i="3" a="1"/>
  <c r="AN9" i="3" s="1"/>
  <c r="AJ9" i="3"/>
  <c r="AQ9" i="3" s="1" a="1"/>
  <c r="AQ9" i="3" s="1"/>
  <c r="AJ10" i="3"/>
  <c r="AO10" i="3" s="1"/>
  <c r="AN10" i="3" a="1"/>
  <c r="AN10" i="3" s="1"/>
  <c r="AM12" i="3" a="1"/>
  <c r="AM12" i="3" s="1"/>
  <c r="AL21" i="3" a="1"/>
  <c r="AL21" i="3" s="1"/>
  <c r="AK3" i="3" a="1"/>
  <c r="AK3" i="3" s="1"/>
  <c r="AL13" i="3" a="1"/>
  <c r="AL13" i="3" s="1"/>
  <c r="AG16" i="3" a="1"/>
  <c r="AG16" i="3" s="1"/>
  <c r="AJ16" i="3" s="1"/>
  <c r="AO16" i="3" s="1"/>
  <c r="AG18" i="3" a="1"/>
  <c r="AG18" i="3" s="1"/>
  <c r="AI24" i="3" a="1"/>
  <c r="AI24" i="3" s="1"/>
  <c r="AJ35" i="3"/>
  <c r="AQ35" i="3" s="1" a="1"/>
  <c r="AQ35" i="3" s="1"/>
  <c r="AI8" i="3" a="1"/>
  <c r="AI8" i="3" s="1"/>
  <c r="AJ36" i="3"/>
  <c r="AO36" i="3" s="1"/>
  <c r="AN27" i="3" a="1"/>
  <c r="AN27" i="3" s="1"/>
  <c r="AG7" i="3" a="1"/>
  <c r="AG7" i="3" s="1"/>
  <c r="AJ7" i="3" s="1"/>
  <c r="AQ7" i="3" s="1" a="1"/>
  <c r="AQ7" i="3" s="1"/>
  <c r="AP7" i="3" s="1"/>
  <c r="AN29" i="3" a="1"/>
  <c r="AN29" i="3" s="1"/>
  <c r="AM18" i="3" a="1"/>
  <c r="AM18" i="3" s="1"/>
  <c r="AG3" i="3" a="1"/>
  <c r="AG3" i="3" s="1"/>
  <c r="AF29" i="3" a="1"/>
  <c r="AF29" i="3" s="1"/>
  <c r="AJ29" i="3" s="1"/>
  <c r="AO29" i="3" s="1"/>
  <c r="AI3" i="3" a="1"/>
  <c r="AI3" i="3" s="1"/>
  <c r="AK27" i="3" a="1"/>
  <c r="AK27" i="3" s="1"/>
  <c r="AI13" i="3" a="1"/>
  <c r="AI13" i="3" s="1"/>
  <c r="AK9" i="3" a="1"/>
  <c r="AK9" i="3" s="1"/>
  <c r="AK7" i="3" a="1"/>
  <c r="AK7" i="3" s="1"/>
  <c r="AM35" i="3" a="1"/>
  <c r="AM35" i="3" s="1"/>
  <c r="AI7" i="3" a="1"/>
  <c r="AI7" i="3" s="1"/>
  <c r="AH3" i="3" a="1"/>
  <c r="AH3" i="3" s="1"/>
  <c r="AF37" i="3" a="1"/>
  <c r="AF37" i="3" s="1"/>
  <c r="AJ37" i="3" s="1"/>
  <c r="AQ37" i="3" s="1" a="1"/>
  <c r="AQ37" i="3" s="1"/>
  <c r="AP37" i="3" s="1"/>
  <c r="AF23" i="3" a="1"/>
  <c r="AF23" i="3" s="1"/>
  <c r="AF28" i="3" a="1"/>
  <c r="AF28" i="3" s="1"/>
  <c r="AJ28" i="3" s="1"/>
  <c r="AQ28" i="3" s="1" a="1"/>
  <c r="AQ28" i="3" s="1"/>
  <c r="AP28" i="3" s="1"/>
  <c r="AF34" i="3" a="1"/>
  <c r="AF34" i="3" s="1"/>
  <c r="AJ34" i="3" s="1"/>
  <c r="AO34" i="3" s="1"/>
  <c r="AH14" i="3" a="1"/>
  <c r="AH14" i="3" s="1"/>
  <c r="AK11" i="3" a="1"/>
  <c r="AK11" i="3" s="1"/>
  <c r="AF17" i="3" a="1"/>
  <c r="AF17" i="3" s="1"/>
  <c r="AK24" i="3" a="1"/>
  <c r="AK24" i="3" s="1"/>
  <c r="AF5" i="3" a="1"/>
  <c r="AF5" i="3" s="1"/>
  <c r="AH23" i="3" a="1"/>
  <c r="AH23" i="3" s="1"/>
  <c r="AL20" i="3" a="1"/>
  <c r="AL20" i="3" s="1"/>
  <c r="AI23" i="3" a="1"/>
  <c r="AI23" i="3" s="1"/>
  <c r="AI8" i="4" a="1"/>
  <c r="AI8" i="4" s="1"/>
  <c r="AI4" i="3" a="1"/>
  <c r="AI4" i="3" s="1"/>
  <c r="AJ4" i="3" s="1"/>
  <c r="AQ4" i="3" s="1" a="1"/>
  <c r="AQ4" i="3" s="1"/>
  <c r="AP4" i="3" s="1"/>
  <c r="AG5" i="3" a="1"/>
  <c r="AG5" i="3" s="1"/>
  <c r="AG11" i="3" a="1"/>
  <c r="AG11" i="3" s="1"/>
  <c r="AL25" i="3" a="1"/>
  <c r="AL25" i="3" s="1"/>
  <c r="AI17" i="3" a="1"/>
  <c r="AI17" i="3" s="1"/>
  <c r="AN10" i="4" a="1"/>
  <c r="AN10" i="4" s="1"/>
  <c r="AL9" i="4" a="1"/>
  <c r="AL9" i="4" s="1"/>
  <c r="AF8" i="3" a="1"/>
  <c r="AF8" i="3" s="1"/>
  <c r="AK14" i="3" a="1"/>
  <c r="AK14" i="3" s="1"/>
  <c r="AF20" i="3" a="1"/>
  <c r="AF20" i="3" s="1"/>
  <c r="AJ20" i="3" s="1"/>
  <c r="AQ20" i="3" s="1" a="1"/>
  <c r="AQ20" i="3" s="1"/>
  <c r="AP20" i="3" s="1"/>
  <c r="AN16" i="3" a="1"/>
  <c r="AN16" i="3" s="1"/>
  <c r="AH5" i="3" a="1"/>
  <c r="AH5" i="3" s="1"/>
  <c r="AG8" i="3" a="1"/>
  <c r="AG8" i="3" s="1"/>
  <c r="AJ6" i="3"/>
  <c r="AO6" i="3" s="1"/>
  <c r="AM8" i="3" a="1"/>
  <c r="AM8" i="3" s="1"/>
  <c r="AG23" i="3" a="1"/>
  <c r="AG23" i="3" s="1"/>
  <c r="AH11" i="3" a="1"/>
  <c r="AH11" i="3" s="1"/>
  <c r="AG14" i="3" a="1"/>
  <c r="AG14" i="3" s="1"/>
  <c r="AL14" i="3" a="1"/>
  <c r="AL14" i="3" s="1"/>
  <c r="AG17" i="3" a="1"/>
  <c r="AG17" i="3" s="1"/>
  <c r="AI25" i="3" a="1"/>
  <c r="AI25" i="3" s="1"/>
  <c r="AJ27" i="3"/>
  <c r="AO27" i="3" s="1"/>
  <c r="AN26" i="3" a="1"/>
  <c r="AN26" i="3" s="1"/>
  <c r="AM25" i="3" a="1"/>
  <c r="AM25" i="3" s="1"/>
  <c r="AH25" i="3" a="1"/>
  <c r="AH25" i="3" s="1"/>
  <c r="AF25" i="3" a="1"/>
  <c r="AF25" i="3" s="1"/>
  <c r="AG26" i="3" a="1"/>
  <c r="AG26" i="3" s="1"/>
  <c r="AL26" i="3" a="1"/>
  <c r="AL26" i="3" s="1"/>
  <c r="AM26" i="3" a="1"/>
  <c r="AM26" i="3" s="1"/>
  <c r="AH26" i="3" a="1"/>
  <c r="AH26" i="3" s="1"/>
  <c r="AH3" i="4" a="1"/>
  <c r="AH3" i="4" s="1"/>
  <c r="AK2" i="4" a="1"/>
  <c r="AK2" i="4" s="1"/>
  <c r="AI5" i="4" a="1"/>
  <c r="AI5" i="4" s="1"/>
  <c r="AK9" i="4" a="1"/>
  <c r="AK9" i="4" s="1"/>
  <c r="AI4" i="4" a="1"/>
  <c r="AI4" i="4" s="1"/>
  <c r="AL3" i="4" a="1"/>
  <c r="AL3" i="4" s="1"/>
  <c r="AN9" i="4" a="1"/>
  <c r="AN9" i="4" s="1"/>
  <c r="AM10" i="4" a="1"/>
  <c r="AM10" i="4" s="1"/>
  <c r="AN2" i="4" a="1"/>
  <c r="AN2" i="4" s="1"/>
  <c r="AM9" i="4" a="1"/>
  <c r="AM9" i="4" s="1"/>
  <c r="AO6" i="4"/>
  <c r="AH2" i="4" a="1"/>
  <c r="AH2" i="4" s="1"/>
  <c r="AN7" i="4" a="1"/>
  <c r="AN7" i="4" s="1"/>
  <c r="AO3" i="4"/>
  <c r="AK3" i="4" a="1"/>
  <c r="AK3" i="4" s="1"/>
  <c r="AO9" i="4"/>
  <c r="AL2" i="4" a="1"/>
  <c r="AL2" i="4" s="1"/>
  <c r="AK8" i="4" a="1"/>
  <c r="AK8" i="4" s="1"/>
  <c r="AF8" i="4" a="1"/>
  <c r="AF8" i="4" s="1"/>
  <c r="AJ8" i="4" s="1"/>
  <c r="AI3" i="4" a="1"/>
  <c r="AI3" i="4" s="1"/>
  <c r="AN3" i="4" a="1"/>
  <c r="AN3" i="4" s="1"/>
  <c r="AH8" i="4" a="1"/>
  <c r="AH8" i="4" s="1"/>
  <c r="AM8" i="4" a="1"/>
  <c r="AM8" i="4" s="1"/>
  <c r="AK7" i="4" a="1"/>
  <c r="AK7" i="4" s="1"/>
  <c r="AF7" i="4" a="1"/>
  <c r="AF7" i="4" s="1"/>
  <c r="AJ7" i="4" s="1"/>
  <c r="AO2" i="4"/>
  <c r="AQ2" i="4" a="1"/>
  <c r="AQ2" i="4" s="1"/>
  <c r="AP2" i="4" s="1"/>
  <c r="AL7" i="4" a="1"/>
  <c r="AL7" i="4" s="1"/>
  <c r="AG7" i="4" a="1"/>
  <c r="AG7" i="4" s="1"/>
  <c r="AF10" i="4" a="1"/>
  <c r="AF10" i="4" s="1"/>
  <c r="AJ10" i="4" s="1"/>
  <c r="AK10" i="4" a="1"/>
  <c r="AK10" i="4" s="1"/>
  <c r="AK4" i="4" a="1"/>
  <c r="AK4" i="4" s="1"/>
  <c r="AF4" i="4" a="1"/>
  <c r="AF4" i="4" s="1"/>
  <c r="AJ4" i="4" s="1"/>
  <c r="AK5" i="4" a="1"/>
  <c r="AK5" i="4" s="1"/>
  <c r="AF5" i="4" a="1"/>
  <c r="AF5" i="4" s="1"/>
  <c r="AJ5" i="4" s="1"/>
  <c r="AH5" i="4" a="1"/>
  <c r="AH5" i="4" s="1"/>
  <c r="AM5" i="4" a="1"/>
  <c r="AM5" i="4" s="1"/>
  <c r="AG10" i="4" a="1"/>
  <c r="AG10" i="4" s="1"/>
  <c r="AL10" i="4" a="1"/>
  <c r="AL10" i="4" s="1"/>
  <c r="AG4" i="4" a="1"/>
  <c r="AG4" i="4" s="1"/>
  <c r="AL4" i="4" a="1"/>
  <c r="AL4" i="4" s="1"/>
  <c r="AM4" i="4" a="1"/>
  <c r="AM4" i="4" s="1"/>
  <c r="AH4" i="4" a="1"/>
  <c r="AH4" i="4" s="1"/>
  <c r="AG5" i="4" a="1"/>
  <c r="AG5" i="4" s="1"/>
  <c r="AL5" i="4" a="1"/>
  <c r="AL5" i="4" s="1"/>
  <c r="AM7" i="4" a="1"/>
  <c r="AM7" i="4" s="1"/>
  <c r="AH7" i="4" a="1"/>
  <c r="AH7" i="4" s="1"/>
  <c r="AE5" i="1" a="1"/>
  <c r="AE5" i="1" s="1"/>
  <c r="AE9" i="1" a="1"/>
  <c r="AE9" i="1" s="1"/>
  <c r="AF9" i="1" a="1"/>
  <c r="AF9" i="1" s="1"/>
  <c r="AE10" i="1" a="1"/>
  <c r="AE10" i="1" s="1"/>
  <c r="AF10" i="1" a="1"/>
  <c r="AF10" i="1" s="1"/>
  <c r="AE11" i="1" a="1"/>
  <c r="AE11" i="1" s="1"/>
  <c r="AF11" i="1" a="1"/>
  <c r="AF11" i="1" s="1"/>
  <c r="AE12" i="1" a="1"/>
  <c r="AE12" i="1" s="1"/>
  <c r="AF2" i="1" a="1"/>
  <c r="AF2" i="1" s="1"/>
  <c r="AE2" i="1" a="1"/>
  <c r="AE2" i="1" s="1"/>
  <c r="AE37" i="1" a="1"/>
  <c r="AE37" i="1" s="1"/>
  <c r="AF36" i="1" a="1"/>
  <c r="AF36" i="1" s="1"/>
  <c r="AE35" i="1" a="1"/>
  <c r="AE35" i="1" s="1"/>
  <c r="AE34" i="1" a="1"/>
  <c r="AE34" i="1" s="1"/>
  <c r="AE15" i="1" a="1"/>
  <c r="AE15" i="1" s="1"/>
  <c r="AE14" i="1" a="1"/>
  <c r="AE14" i="1" s="1"/>
  <c r="AE13" i="1" a="1"/>
  <c r="AE13" i="1" s="1"/>
  <c r="AF12" i="1" a="1"/>
  <c r="AF12" i="1" s="1"/>
  <c r="AE8" i="1" a="1"/>
  <c r="AE8" i="1" s="1"/>
  <c r="AE7" i="1" a="1"/>
  <c r="AE7" i="1" s="1"/>
  <c r="AE6" i="1" a="1"/>
  <c r="AE6" i="1" s="1"/>
  <c r="AF5" i="1" a="1"/>
  <c r="AF5" i="1" s="1"/>
  <c r="AF4" i="1" a="1"/>
  <c r="AF4" i="1" s="1"/>
  <c r="AE3" i="1" a="1"/>
  <c r="AE3" i="1" s="1"/>
  <c r="AJ13" i="3" l="1"/>
  <c r="AQ13" i="3" s="1" a="1"/>
  <c r="AQ13" i="3" s="1"/>
  <c r="AP13" i="3" s="1"/>
  <c r="AQ32" i="3" a="1"/>
  <c r="AQ32" i="3" s="1"/>
  <c r="AP32" i="3" s="1"/>
  <c r="AQ19" i="3" a="1"/>
  <c r="AQ19" i="3" s="1"/>
  <c r="AP19" i="3" s="1"/>
  <c r="AO9" i="3"/>
  <c r="AP35" i="3"/>
  <c r="AJ3" i="3"/>
  <c r="AQ3" i="3" s="1" a="1"/>
  <c r="AQ3" i="3" s="1"/>
  <c r="AP3" i="3" s="1"/>
  <c r="AP9" i="3"/>
  <c r="AO12" i="3"/>
  <c r="AJ18" i="3"/>
  <c r="AO18" i="3" s="1"/>
  <c r="AO35" i="3"/>
  <c r="AQ22" i="3" a="1"/>
  <c r="AQ22" i="3" s="1"/>
  <c r="AP22" i="3" s="1"/>
  <c r="AQ10" i="3" a="1"/>
  <c r="AQ10" i="3" s="1"/>
  <c r="AP10" i="3" s="1"/>
  <c r="AO31" i="3"/>
  <c r="AO4" i="6"/>
  <c r="AO7" i="6"/>
  <c r="AQ3" i="6" a="1"/>
  <c r="AQ3" i="6" s="1"/>
  <c r="AP3" i="6" s="1"/>
  <c r="AJ14" i="3"/>
  <c r="AO14" i="3" s="1"/>
  <c r="AJ11" i="3"/>
  <c r="AO11" i="3" s="1"/>
  <c r="AQ21" i="3" a="1"/>
  <c r="AQ21" i="3" s="1"/>
  <c r="AP21" i="3" s="1"/>
  <c r="AO21" i="3"/>
  <c r="AP24" i="3"/>
  <c r="AO7" i="3"/>
  <c r="AJ17" i="3"/>
  <c r="AQ17" i="3" s="1" a="1"/>
  <c r="AQ17" i="3" s="1"/>
  <c r="AP17" i="3" s="1"/>
  <c r="AQ36" i="3" a="1"/>
  <c r="AQ36" i="3" s="1"/>
  <c r="AP36" i="3" s="1"/>
  <c r="AJ23" i="3"/>
  <c r="AO23" i="3" s="1"/>
  <c r="AQ34" i="3" a="1"/>
  <c r="AQ34" i="3" s="1"/>
  <c r="AP34" i="3" s="1"/>
  <c r="AJ5" i="3"/>
  <c r="AO5" i="3" s="1"/>
  <c r="AO24" i="3"/>
  <c r="AJ8" i="3"/>
  <c r="AO8" i="3" s="1"/>
  <c r="AO20" i="3"/>
  <c r="AQ6" i="3" a="1"/>
  <c r="AQ6" i="3" s="1"/>
  <c r="AP6" i="3" s="1"/>
  <c r="AQ15" i="3" a="1"/>
  <c r="AQ15" i="3" s="1"/>
  <c r="AP15" i="3" s="1"/>
  <c r="AO4" i="3"/>
  <c r="AJ26" i="3"/>
  <c r="AO26" i="3" s="1"/>
  <c r="AJ25" i="3"/>
  <c r="AO25" i="3" s="1"/>
  <c r="AQ27" i="3" a="1"/>
  <c r="AQ27" i="3" s="1"/>
  <c r="AP27" i="3" s="1"/>
  <c r="AO28" i="3"/>
  <c r="AQ29" i="3" a="1"/>
  <c r="AQ29" i="3" s="1"/>
  <c r="AP29" i="3" s="1"/>
  <c r="AQ16" i="3" a="1"/>
  <c r="AQ16" i="3" s="1"/>
  <c r="AP16" i="3" s="1"/>
  <c r="AO37" i="3"/>
  <c r="AQ8" i="4" a="1"/>
  <c r="AQ8" i="4" s="1"/>
  <c r="AP8" i="4" s="1"/>
  <c r="AO8" i="4"/>
  <c r="AQ4" i="4" a="1"/>
  <c r="AQ4" i="4" s="1"/>
  <c r="AP4" i="4" s="1"/>
  <c r="AO4" i="4"/>
  <c r="AO5" i="4"/>
  <c r="AQ5" i="4" a="1"/>
  <c r="AQ5" i="4" s="1"/>
  <c r="AP5" i="4" s="1"/>
  <c r="AQ10" i="4" a="1"/>
  <c r="AQ10" i="4" s="1"/>
  <c r="AP10" i="4" s="1"/>
  <c r="AO10" i="4"/>
  <c r="AQ7" i="4" a="1"/>
  <c r="AQ7" i="4" s="1"/>
  <c r="AP7" i="4" s="1"/>
  <c r="AO7" i="4"/>
  <c r="AB2" i="3"/>
  <c r="AC2" i="3"/>
  <c r="AE2" i="3"/>
  <c r="AD2" i="3"/>
  <c r="AF37" i="1" a="1"/>
  <c r="AF37" i="1" s="1"/>
  <c r="AF6" i="1" a="1"/>
  <c r="AF6" i="1" s="1"/>
  <c r="AE36" i="1" a="1"/>
  <c r="AE36" i="1" s="1"/>
  <c r="AE4" i="1" a="1"/>
  <c r="AE4" i="1" s="1"/>
  <c r="AF35" i="1" a="1"/>
  <c r="AF35" i="1" s="1"/>
  <c r="AF14" i="1" a="1"/>
  <c r="AF14" i="1" s="1"/>
  <c r="AF8" i="1" a="1"/>
  <c r="AF8" i="1" s="1"/>
  <c r="AF3" i="1" a="1"/>
  <c r="AF3" i="1" s="1"/>
  <c r="AF15" i="1" a="1"/>
  <c r="AF15" i="1" s="1"/>
  <c r="AF34" i="1" a="1"/>
  <c r="AF34" i="1" s="1"/>
  <c r="AF13" i="1" a="1"/>
  <c r="AF13" i="1" s="1"/>
  <c r="AF7" i="1" a="1"/>
  <c r="AF7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0" i="1"/>
  <c r="L21" i="1"/>
  <c r="L22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9" i="1"/>
  <c r="AA19" i="1"/>
  <c r="Z18" i="1"/>
  <c r="AA18" i="1"/>
  <c r="Z20" i="1"/>
  <c r="AA20" i="1"/>
  <c r="Z34" i="1"/>
  <c r="AA34" i="1"/>
  <c r="Z35" i="1"/>
  <c r="AA35" i="1"/>
  <c r="Z36" i="1"/>
  <c r="AA36" i="1"/>
  <c r="Z37" i="1"/>
  <c r="AA37" i="1"/>
  <c r="AA2" i="1"/>
  <c r="Z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AO13" i="3" l="1"/>
  <c r="AO3" i="3"/>
  <c r="AQ18" i="3" a="1"/>
  <c r="AQ18" i="3" s="1"/>
  <c r="AP18" i="3" s="1"/>
  <c r="AQ14" i="3" a="1"/>
  <c r="AQ14" i="3" s="1"/>
  <c r="AP14" i="3" s="1"/>
  <c r="AQ11" i="3" a="1"/>
  <c r="AQ11" i="3" s="1"/>
  <c r="AP11" i="3" s="1"/>
  <c r="AO17" i="3"/>
  <c r="AQ5" i="3" a="1"/>
  <c r="AQ5" i="3" s="1"/>
  <c r="AP5" i="3" s="1"/>
  <c r="AQ23" i="3" a="1"/>
  <c r="AQ23" i="3" s="1"/>
  <c r="AP23" i="3" s="1"/>
  <c r="AQ8" i="3" a="1"/>
  <c r="AQ8" i="3" s="1"/>
  <c r="AP8" i="3" s="1"/>
  <c r="AQ25" i="3" a="1"/>
  <c r="AQ25" i="3" s="1"/>
  <c r="AP25" i="3" s="1"/>
  <c r="AQ26" i="3" a="1"/>
  <c r="AQ26" i="3" s="1"/>
  <c r="AP26" i="3" s="1"/>
  <c r="AH2" i="3" a="1"/>
  <c r="AH2" i="3" s="1"/>
  <c r="AM2" i="3" a="1"/>
  <c r="AM2" i="3" s="1"/>
  <c r="AI2" i="3" a="1"/>
  <c r="AI2" i="3" s="1"/>
  <c r="AN2" i="3" a="1"/>
  <c r="AN2" i="3" s="1"/>
  <c r="AG2" i="3" a="1"/>
  <c r="AG2" i="3" s="1"/>
  <c r="AL2" i="3" a="1"/>
  <c r="AL2" i="3" s="1"/>
  <c r="AF2" i="3" a="1"/>
  <c r="AF2" i="3" s="1"/>
  <c r="AK2" i="3" a="1"/>
  <c r="AK2" i="3" s="1"/>
  <c r="H50" i="1"/>
  <c r="G50" i="1"/>
  <c r="AJ2" i="3" l="1"/>
  <c r="AQ2" i="3" s="1" a="1"/>
  <c r="AQ2" i="3" s="1"/>
  <c r="AP2" i="3" s="1"/>
  <c r="AO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<sst xmlns="http://schemas.openxmlformats.org/spreadsheetml/2006/main" count="2267" uniqueCount="506">
  <si>
    <t>Classification</t>
  </si>
  <si>
    <t>Project Name</t>
  </si>
  <si>
    <t>Company</t>
  </si>
  <si>
    <t>Start Date</t>
  </si>
  <si>
    <t>End Date</t>
  </si>
  <si>
    <t>Status</t>
  </si>
  <si>
    <t>Estimated Hours</t>
  </si>
  <si>
    <t>Total Hours Worked</t>
  </si>
  <si>
    <t>Hourly rate</t>
  </si>
  <si>
    <t>Currency</t>
  </si>
  <si>
    <t>Estimated Revenue</t>
  </si>
  <si>
    <t>Project Number</t>
  </si>
  <si>
    <t>Contract</t>
  </si>
  <si>
    <t>ContractID</t>
  </si>
  <si>
    <t>Create Date</t>
  </si>
  <si>
    <t>Account Manager</t>
  </si>
  <si>
    <t>Location</t>
  </si>
  <si>
    <t>Lat</t>
  </si>
  <si>
    <t>Long</t>
  </si>
  <si>
    <t>Adresse</t>
  </si>
  <si>
    <t>Autotask</t>
  </si>
  <si>
    <t>check comp</t>
  </si>
  <si>
    <t>check proj</t>
  </si>
  <si>
    <t>En implantation</t>
  </si>
  <si>
    <t>Implantation SAP HANA Azure + We Go Trade</t>
  </si>
  <si>
    <t>Distribution GVA</t>
  </si>
  <si>
    <t>New</t>
  </si>
  <si>
    <t>CAD</t>
  </si>
  <si>
    <t>P20201009.0001</t>
  </si>
  <si>
    <t>Distribution GVA implantation SAP</t>
  </si>
  <si>
    <t>Dufour, Daniel</t>
  </si>
  <si>
    <t xml:space="preserve">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</t>
  </si>
  <si>
    <r>
      <t xml:space="preserve">1950 </t>
    </r>
    <r>
      <rPr>
        <sz val="9"/>
        <color theme="1"/>
        <rFont val="Calibri"/>
        <family val="2"/>
        <scheme val="minor"/>
      </rPr>
      <t xml:space="preserve">BOUL. </t>
    </r>
    <r>
      <rPr>
        <sz val="11"/>
        <color theme="1"/>
        <rFont val="Calibri"/>
        <family val="2"/>
        <scheme val="minor"/>
      </rPr>
      <t xml:space="preserve">des Laurentides, Laval, QC, H7M </t>
    </r>
    <r>
      <rPr>
        <sz val="9"/>
        <color theme="1"/>
        <rFont val="Calibri"/>
        <family val="2"/>
        <scheme val="minor"/>
      </rPr>
      <t>2Y5</t>
    </r>
  </si>
  <si>
    <t>https://ww14.autotask.net/Mvc/Projects/ProjectDetail.mvc/ProjectDetail?gridConfiguration=Outline&amp;initialContentPage=Summary&amp;projectId=561</t>
  </si>
  <si>
    <t>Implantation SAP SQL Produmex</t>
  </si>
  <si>
    <t>SIT Mauricie</t>
  </si>
  <si>
    <t>In Progress</t>
  </si>
  <si>
    <t>P20210411.0002</t>
  </si>
  <si>
    <t>Projet Implantation SIT</t>
  </si>
  <si>
    <t>https://www.google.fr/maps/place/Sit+Mauricie/@46.3399901,-72.5556003,18.91z/data=!4m5!3m4!1s0x0:0xfecea68a17e43c36!8m2!3d46.3399946!4d-72.5550643!5m1!1e1?hl=fr</t>
  </si>
  <si>
    <t>1090 Rue de la Vérendrye, Trois-Rivières, QC G9A 2S8</t>
  </si>
  <si>
    <t>https://ww14.autotask.net/Mvc/Projects/ProjectDetail.mvc/ProjectDetail?gridConfiguration=Outline&amp;initialContentPage=Summary&amp;projectId=640</t>
  </si>
  <si>
    <t>ServicesPLUS</t>
  </si>
  <si>
    <t>Implantation Editions Chouette</t>
  </si>
  <si>
    <t>Éditions Chouette</t>
  </si>
  <si>
    <t>P20210714.0001</t>
  </si>
  <si>
    <t>Editions Chouette-Retainer</t>
  </si>
  <si>
    <t xml:space="preserve">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</t>
  </si>
  <si>
    <t>2515 Av. de la Renaissance, Boisbriand, QC J7H 1T9</t>
  </si>
  <si>
    <t>https://ww14.autotask.net/Mvc/Projects/ProjectDetail.mvc/ProjectDetail?gridConfiguration=Outline&amp;initialContentPage=Summary&amp;projectId=679</t>
  </si>
  <si>
    <t>Implementation SAP HANA Versago</t>
  </si>
  <si>
    <t>O&amp;T Farms</t>
  </si>
  <si>
    <t>P20210715.0001</t>
  </si>
  <si>
    <t>O&amp;T Farms Implementation project</t>
  </si>
  <si>
    <t>https://www.google.fr/maps/place/O+%26+T+Farms+Ltd/@48.1142644,-97.5674125,5z/data=!4m5!3m4!1s0x0:0x8d1b22cb14efb697!8m2!3d50.4836299!4d-104.7133565!5m1!1e1?hl=fr</t>
  </si>
  <si>
    <t>Sherwood Drive and, Pinkie Rd, Regina, SK S4R 8R7</t>
  </si>
  <si>
    <t>https://ww14.autotask.net/Mvc/Projects/ProjectDetail.mvc/ProjectDetail?gridConfiguration=Outline&amp;initialContentPage=Summary&amp;projectId=680</t>
  </si>
  <si>
    <t>Implantation WMS</t>
  </si>
  <si>
    <t>Entreprise Tenzo inc.</t>
  </si>
  <si>
    <t>P20210804.0002</t>
  </si>
  <si>
    <t>Projet WMS</t>
  </si>
  <si>
    <t>Mcenaney, Tracy</t>
  </si>
  <si>
    <t>https://www.google.fr/maps/place/T%C3%ABnzo+Fine+Plomberie/@45.5975069,-73.2210645,17z/data=!3m1!4b1!4m5!3m4!1s0x4cc8555dfcbc8aeb:0xa5269fb26ea18829!8m2!3d45.5975032!4d-73.2165798!5m1!1e1?hl=fr</t>
  </si>
  <si>
    <t>1101 Rue Louis-Marchand, Beloeil, QC J3G 6S4</t>
  </si>
  <si>
    <t>https://ww14.autotask.net/Mvc/Projects/ProjectDetail.mvc/ProjectDetail?gridConfiguration=Outline&amp;initialContentPage=Summary&amp;projectId=686</t>
  </si>
  <si>
    <t>Tzanet</t>
  </si>
  <si>
    <t>P20210922.0001</t>
  </si>
  <si>
    <t>Retainer Tzanet- Projet Produmex WMS</t>
  </si>
  <si>
    <t>https://www.google.fr/maps/place/Les+Entreprises+Tzanet/@45.563041,-73.7008035,13z/data=!4m9!1m2!2m1!1stzanet!3m5!1s0x4cc918f3f22a80a9:0xc62c2032f37672a4!8m2!3d45.5332363!4d-73.6628473!15sCgZ0emFuZXQiA4gBAVoIIgZ0emFuZXSSARRraXRjaGVuX3N1cHBseV9zdG9yZeABAA!5m1!1e1?hl=fr</t>
  </si>
  <si>
    <t>1375 Rue de Louvain O, Montréal, QC H4N 1G6</t>
  </si>
  <si>
    <t>https://ww14.autotask.net/Mvc/Projects/ProjectDetail.mvc/ProjectDetail?gridConfiguration=Outline&amp;initialContentPage=Summary&amp;projectId=702</t>
  </si>
  <si>
    <t>CMBB SAP Implementation</t>
  </si>
  <si>
    <t>CMBB Bakeware Canada Inc.</t>
  </si>
  <si>
    <t>P20211119.0001</t>
  </si>
  <si>
    <t>Project SAP Implementation</t>
  </si>
  <si>
    <t>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</t>
  </si>
  <si>
    <t>84 Easton Road,Brantford Ontario N3P 1J5</t>
  </si>
  <si>
    <t>https://ww14.autotask.net/Mvc/Projects/ProjectDetail.mvc/ProjectDetail?gridConfiguration=Outline&amp;initialContentPage=Summary&amp;projectId=716</t>
  </si>
  <si>
    <t>Migration SAP V10</t>
  </si>
  <si>
    <t>Cowper Inc.</t>
  </si>
  <si>
    <t>P20211202.0001</t>
  </si>
  <si>
    <t>Champoux, Daniel</t>
  </si>
  <si>
    <t>https://www.google.fr/maps/place/Cowper+Inc./@45.5056385,-73.8453642,11.77z/data=!4m5!3m4!1s0x0:0x4c8bb1af0ea42de6!8m2!3d45.4413746!4d-73.670454!5m1!1e1?hl=fr</t>
  </si>
  <si>
    <t>677 7th avenue, Lachine, QC</t>
  </si>
  <si>
    <t>https://ww14.autotask.net/Mvc/Projects/ProjectDetail.mvc/ProjectDetail?gridConfiguration=Outline&amp;initialContentPage=Summary&amp;projectId=722</t>
  </si>
  <si>
    <t>Implantation Produmex Scan</t>
  </si>
  <si>
    <t>P20221128.0003</t>
  </si>
  <si>
    <t>Produmex Scan</t>
  </si>
  <si>
    <t>SAP HANA Implementation</t>
  </si>
  <si>
    <t>Coco Bakery Inc.</t>
  </si>
  <si>
    <t>P20211206.0001</t>
  </si>
  <si>
    <t>SAP implementation project</t>
  </si>
  <si>
    <t>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</t>
  </si>
  <si>
    <t>6226 Danville Road, Mississauga, ON L5T 2H7</t>
  </si>
  <si>
    <t>https://ww14.autotask.net/Mvc/Projects/ProjectDetail.mvc/ProjectDetail?gridConfiguration=Outline&amp;initialContentPage=Summary&amp;projectId=725</t>
  </si>
  <si>
    <t>Migration V10 SQL</t>
  </si>
  <si>
    <t>Les Aliments CDS inc.</t>
  </si>
  <si>
    <t>P20220104.0002</t>
  </si>
  <si>
    <t>Projet Migration V10 SQL</t>
  </si>
  <si>
    <t>https://www.google.fr/maps/place/Les+Aliments+CDS+Foods+Inc./@45.5275469,-73.6519625,14.4z/data=!4m5!3m4!1s0x0:0x9e5bd2d32605e06d!8m2!3d45.5284002!4d-73.6657747!5m1!1e1?hl=fr</t>
  </si>
  <si>
    <t>775 Bd Lebeau, Saint-Laurent, QC H4N 1S5</t>
  </si>
  <si>
    <t>https://ww14.autotask.net/Mvc/Projects/ProjectDetail.mvc/ProjectDetail?gridConfiguration=Outline&amp;initialContentPage=Summary&amp;projectId=740</t>
  </si>
  <si>
    <t>ServicesPLUS &amp; ServicesTECH</t>
  </si>
  <si>
    <t>Implantation SAP phase 1 et 2</t>
  </si>
  <si>
    <t>Gazebo Penguin Inc.</t>
  </si>
  <si>
    <t>P20220110.0002</t>
  </si>
  <si>
    <t>Projet implantation SAP</t>
  </si>
  <si>
    <t>https://www.google.fr/maps/place/Gazebo+Penguin+Inc/@45.4710799,-73.6971059,17z/data=!3m1!4b1!4m5!3m4!1s0x4cc917bb885b926d:0x4e4996129610b8c4!8m2!3d45.4710762!4d-73.6949172!5m1!1e1?hl=fr</t>
  </si>
  <si>
    <t>4660 Rue Hickmore, Saint-Laurent, QC H4T 1K2</t>
  </si>
  <si>
    <t>https://ww14.autotask.net/Mvc/Projects/ProjectDetail.mvc/ProjectDetail?gridConfiguration=Outline&amp;initialContentPage=Summary&amp;projectId=744</t>
  </si>
  <si>
    <t>Fixed assets implementation</t>
  </si>
  <si>
    <t>Walt's Wholesale Meats</t>
  </si>
  <si>
    <t>USD</t>
  </si>
  <si>
    <t>P20220215.0001</t>
  </si>
  <si>
    <t>2022 - Walt's Wholesale Meats (PLUS)</t>
  </si>
  <si>
    <t>Frandsen, Scott</t>
  </si>
  <si>
    <t xml:space="preserve">https://www.google.fr/maps/place/350+S+Pekin+Rd,+Woodland,+WA+98674,+%C3%89tats-Unis/@45.8913918,-122.7452506,17z/data=!3m1!4b1!4m5!3m4!1s0x54944f1f45f97411:0xfa635b6193402016!8m2!3d45.8913918!4d-122.7430619!5m1!1e1?hl=fr </t>
  </si>
  <si>
    <t>350 S Pekin Rd , Woodland WA 98674</t>
  </si>
  <si>
    <t>https://ww14.autotask.net/Mvc/Projects/ProjectDetail.mvc/ProjectDetail?gridConfiguration=Outline&amp;initialContentPage=Summary&amp;projectId=762</t>
  </si>
  <si>
    <t>Implementation SAP HANA</t>
  </si>
  <si>
    <t>Lovato Electric Inc. (USA)</t>
  </si>
  <si>
    <t>P20220515.0001</t>
  </si>
  <si>
    <t>Implementation PROJECT</t>
  </si>
  <si>
    <t>https://www.google.fr/maps/place/LOVATO+Electric/@36.7919655,-76.2459392,16.59z/data=!4m5!3m4!1s0x0:0x2d8afaab31ba084e!8m2!3d36.7918965!4d-76.2460442!5m1!1e1?hl=fr</t>
  </si>
  <si>
    <t>2017 Georgetown Blvd, Chesapeake, VA 23325, États-Unis</t>
  </si>
  <si>
    <t>https://ww14.autotask.net/Mvc/Projects/ProjectDetail.mvc/ProjectDetail?gridConfiguration=Outline&amp;initialContentPage=Summary&amp;projectId=791</t>
  </si>
  <si>
    <t>Implantation SAP</t>
  </si>
  <si>
    <t>Megastar Électroniques Inc.</t>
  </si>
  <si>
    <t>P20220916.0001</t>
  </si>
  <si>
    <t>Projet MegaStar</t>
  </si>
  <si>
    <t xml:space="preserve">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</t>
  </si>
  <si>
    <t>5061 Rue d'Amiens, Montréal-Nord, QC H1G 3G2</t>
  </si>
  <si>
    <t>https://ww14.autotask.net/Mvc/Projects/ProjectDetail.mvc/ProjectDetail?gridConfiguration=Outline&amp;initialContentPage=Summary&amp;projectId=829</t>
  </si>
  <si>
    <t>Migration SAP V10 SQL</t>
  </si>
  <si>
    <t>Laiterie de Coaticook ltée</t>
  </si>
  <si>
    <t>P20220922.0001</t>
  </si>
  <si>
    <t>https://www.google.fr/maps/place/Laiterie+de+Coaticook+Lt%C3%A9e/@45.1569719,-71.8032584,17z/data=!3m1!4b1!4m5!3m4!1s0x4cb658f0bcef7741:0xb18492fd3db72d09!8m2!3d45.1569295!4d-71.8010503!5m1!1e1?hl=fr</t>
  </si>
  <si>
    <t>1000 Rue Child, Coaticook, QC J1A 2S5</t>
  </si>
  <si>
    <t>https://ww14.autotask.net/Mvc/Projects/ProjectDetail.mvc/ProjectDetail?gridConfiguration=Outline&amp;initialContentPage=Summary&amp;projectId=830&amp;restoreworkspacekey=</t>
  </si>
  <si>
    <t>SAP V10 Migration</t>
  </si>
  <si>
    <t>Federal Steel Equipment Ltd.</t>
  </si>
  <si>
    <t>P20221005.0002</t>
  </si>
  <si>
    <t>Projet migration</t>
  </si>
  <si>
    <t xml:space="preserve">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</t>
  </si>
  <si>
    <t>540 20e Avenue, Lachine, QC H8S 3T1</t>
  </si>
  <si>
    <t>https://ww14.autotask.net/Mvc/Projects/ProjectDetail.mvc/ProjectDetail?gridConfiguration=Outline&amp;initialContentPage=Summary&amp;projectId=835</t>
  </si>
  <si>
    <t>Installation serveur</t>
  </si>
  <si>
    <t>P20221124.0001</t>
  </si>
  <si>
    <t>Installation d'un nouveau serveur</t>
  </si>
  <si>
    <t>https://ww14.autotask.net/Mvc/Projects/ProjectDetail.mvc/ProjectDetail?gridConfiguration=Outline&amp;initialContentPage=Summary&amp;projectId=856</t>
  </si>
  <si>
    <t>Support pour questions</t>
  </si>
  <si>
    <t>P20220802.0001</t>
  </si>
  <si>
    <t>Formation générale 2022 - Support AdHoc</t>
  </si>
  <si>
    <t>https://ww14.autotask.net/Mvc/Projects/ProjectDetail.mvc/ProjectDetail?gridConfiguration=Outline&amp;initialContentPage=Summary&amp;projectId=810</t>
  </si>
  <si>
    <t>Groupe Pro-Fab</t>
  </si>
  <si>
    <t>P20221212.0001</t>
  </si>
  <si>
    <t>Migration SAP B1 V9.1 vers V10</t>
  </si>
  <si>
    <t>https://www.google.fr/maps/place/Groupe+Pro-Fab+-+Si%C3%A8ge+social/@46.6231521,-71.5027654,17z/data=!4m5!3m4!1s0x0:0x46eb83a9a3cadc17!8m2!3d46.6235537!4d-71.5004496!5m1!1e1?hl=fr</t>
  </si>
  <si>
    <t>294 Rue Laurier, Saint-Apollinaire, QC G0S 2E0</t>
  </si>
  <si>
    <t>https://ww14.autotask.net/Mvc/Projects/ProjectDetail.mvc/ProjectDetail?gridConfiguration=Outline&amp;initialContentPage=Summary&amp;projectId=864</t>
  </si>
  <si>
    <t>Produmex WMS</t>
  </si>
  <si>
    <t>P20221024.0001</t>
  </si>
  <si>
    <t>Implantation SAP B1 &amp; Process Force</t>
  </si>
  <si>
    <t>Fromagerie Polyethnique Inc</t>
  </si>
  <si>
    <t>P20221111.0001</t>
  </si>
  <si>
    <t>Projet implantation SAP B1</t>
  </si>
  <si>
    <t>https://www.google.fr/maps/place/Fromagerie+Polyethnique+Inc./@45.9439944,-73.0552781,12.05z/data=!4m5!3m4!1s0x0:0xef280bcfed15fb50!8m2!3d45.9290294!4d-73.0172073!5m1!1e1?hl=fr</t>
  </si>
  <si>
    <t>235 Chemin de St Robert, Saint-Robert, QC J0G 1S0</t>
  </si>
  <si>
    <t>https://ww14.autotask.net/Mvc/Projects/ProjectDetail.mvc/ProjectDetail?gridConfiguration=Outline&amp;initialContentPage=Summary&amp;projectId=852</t>
  </si>
  <si>
    <t>Projet implantation SAP et WMS</t>
  </si>
  <si>
    <t>Groupe Carreaux Céragrès Inc.</t>
  </si>
  <si>
    <t>P20221012.0001</t>
  </si>
  <si>
    <t>https://www.google.fr/maps/place/825+Rue+Deslauriers,+Saint-Laurent,+QC+H4N+1X3/@45.5292868,-73.667034,17z/data=!4m12!1m6!3m5!1s0x4cc9185f4cc42355:0xad548e4af066f4c6!2sGroupe+Carreaux+C%C3%A9ragr%C3%A8s+Inc.+(si%C3%A8ge+social)+-+Ceragres+Tile+Group+Inc.+(head+office)!8m2!3d45.5292868!4d-73.6648453!3m4!1s0x4cc9185f5a99d0af:0xb101086266c8cfcb!8m2!3d45.5292868!4d-73.6648453!5m1!1e1?hl=fr</t>
  </si>
  <si>
    <t>825 Deslaurier, Montreal QC H4N 1X3</t>
  </si>
  <si>
    <t>https://ww14.autotask.net/Mvc/Projects/ProjectDetail.mvc/ProjectDetail?gridConfiguration=Outline&amp;initialContentPage=Summary&amp;projectId=837</t>
  </si>
  <si>
    <t>Dubois Agrinovations - Archivage</t>
  </si>
  <si>
    <t>Dubois Agrinovation Inc.</t>
  </si>
  <si>
    <t>P20221121.0001</t>
  </si>
  <si>
    <t>2022 - Standard - Dubois Agrinovation (PLUS)</t>
  </si>
  <si>
    <t>https://www.google.fr/maps/place/Dubois+Agrinovation+-+%C3%89quipement+%26+Outils+d'Irrigation+et+Agricole/@45.2710103,-73.6095246,17z/data=!4m13!1m7!3m6!1s0x4cc97240123b9b5d:0x405a2402c5924169!2s478+Rue+Notre+Dame,+Saint-R%C3%A9mi,+QC+J0L+2L0!3b1!8m2!3d45.2710103!4d-73.6073359!3m4!1s0x4cc97240004f7b63:0xa00d36f88582c8ce!8m2!3d45.2708914!4d-73.607322!5m1!1e1?hl=fr</t>
  </si>
  <si>
    <t>478 Rue Notre Dame, Saint-Rémi, QC J0L 2L0</t>
  </si>
  <si>
    <t>Forgestik - Quebec</t>
  </si>
  <si>
    <t xml:space="preserve">https://www.google.fr/maps/place/Forgestik+Inc.+-+Qu%C3%A9bec/@46.7678083,-71.2910004,17z/data=!4m5!3m4!1s0x0:0x3410c520d6b20abc!8m2!3d46.7677269!4d-71.2887151!5m1!1e1?hl=fr </t>
  </si>
  <si>
    <t>2828 Bd Laurier #700, Québec, QC G1V 0B9</t>
  </si>
  <si>
    <t>Forgestik-Montreal</t>
  </si>
  <si>
    <t xml:space="preserve">https://www.google.fr/maps/place/Forgestik+Inc+-+Montreal+Head+Office/@45.5219334,-73.6152552,17z/data=!3m1!4b1!4m5!3m4!1s0x4cc9199df6b7f653:0x801060272b57c4f4!8m2!3d45.52193!4d-73.6130697!5m1!1e1?hl=fr </t>
  </si>
  <si>
    <t>797 Champagneur Avenue, Outremont, Quebec, H2V 3P9</t>
  </si>
  <si>
    <t>Forgestik - Vancouver</t>
  </si>
  <si>
    <t xml:space="preserve">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</t>
  </si>
  <si>
    <t>885 W Georgia St #1500, Vancouver, BC V6C 3E8</t>
  </si>
  <si>
    <t>Forgestik - Toronto</t>
  </si>
  <si>
    <t xml:space="preserve">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</t>
  </si>
  <si>
    <t>88 Queens Quay W #2500, Toronto, ON M5J 0B9</t>
  </si>
  <si>
    <t>TOTAL</t>
  </si>
  <si>
    <t>Contract ID</t>
  </si>
  <si>
    <t>check num proj</t>
  </si>
  <si>
    <t>19/11/2021</t>
  </si>
  <si>
    <t>30/12/2022</t>
  </si>
  <si>
    <t>19/11/2021 12:00 AM</t>
  </si>
  <si>
    <t>31/12/2022</t>
  </si>
  <si>
    <t>28/11/2022</t>
  </si>
  <si>
    <t>15/06/2023</t>
  </si>
  <si>
    <t>28/11/2022 12:00 AM</t>
  </si>
  <si>
    <t>En implantation / Implementation</t>
  </si>
  <si>
    <t>16/11/2022</t>
  </si>
  <si>
    <t>21/11/2022 12:00 AM</t>
  </si>
  <si>
    <t>28/06/2021</t>
  </si>
  <si>
    <t>14/07/2021 12:00 AM</t>
  </si>
  <si>
    <t>31/12/2023</t>
  </si>
  <si>
    <t>29/12/2023</t>
  </si>
  <si>
    <t>24/10/2022</t>
  </si>
  <si>
    <t>31/03/2023</t>
  </si>
  <si>
    <t>24/10/2022 12:00 AM</t>
  </si>
  <si>
    <t>16/09/2022</t>
  </si>
  <si>
    <t>22/09/2022 12:00 AM</t>
  </si>
  <si>
    <t>27/01/2023</t>
  </si>
  <si>
    <t>28/02/2023</t>
  </si>
  <si>
    <t>15/05/2022 12:00 AM</t>
  </si>
  <si>
    <t>28/04/2023</t>
  </si>
  <si>
    <t>16/09/2022 12:00 AM</t>
  </si>
  <si>
    <t>15/07/2021</t>
  </si>
  <si>
    <t>15/07/2021 12:00 AM</t>
  </si>
  <si>
    <t>22/09/2021 12:00 AM</t>
  </si>
  <si>
    <t>15/02/2022</t>
  </si>
  <si>
    <t>30/04/2022</t>
  </si>
  <si>
    <t>15/02/2022 12:00 AM</t>
  </si>
  <si>
    <t>Complete</t>
  </si>
  <si>
    <t>990 Rue Bergar
Laval QC H7L 5A1
CANADA</t>
  </si>
  <si>
    <t>Produit Electrolation</t>
  </si>
  <si>
    <t>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</t>
  </si>
  <si>
    <t>Carriere, Daniel</t>
  </si>
  <si>
    <t>Migration SAP B1 V10 SQL</t>
  </si>
  <si>
    <t>P20221222.0001</t>
  </si>
  <si>
    <t>https://ww14.autotask.net/Mvc/Projects/ProjectDetail.mvc/ProjectDetail?gridConfiguration=Outline&amp;initialContentPage=Summary&amp;projectId=866</t>
  </si>
  <si>
    <t>https://ww14.autotask.net/Mvc/Projects/ProjectDetail.mvc/ProjectDetail?gridConfiguration=Outline&amp;initialContentPage=Summary&amp;projectId=840</t>
  </si>
  <si>
    <t>XML</t>
  </si>
  <si>
    <t>LAT</t>
  </si>
  <si>
    <t>LONG</t>
  </si>
  <si>
    <t>LAT2</t>
  </si>
  <si>
    <t>LONG2</t>
  </si>
  <si>
    <t>Distance_BC</t>
  </si>
  <si>
    <t>Distance_Quebec</t>
  </si>
  <si>
    <t>Distance_ON</t>
  </si>
  <si>
    <t>Min_distance</t>
  </si>
  <si>
    <t>Closest_office</t>
  </si>
  <si>
    <t>Tps_parcours</t>
  </si>
  <si>
    <t>QC</t>
  </si>
  <si>
    <t>MTL</t>
  </si>
  <si>
    <t>BC</t>
  </si>
  <si>
    <t>ON</t>
  </si>
  <si>
    <t>WS_Quebec</t>
  </si>
  <si>
    <t>WS_ Montreal</t>
  </si>
  <si>
    <t>WS_BC</t>
  </si>
  <si>
    <t>WS_ON</t>
  </si>
  <si>
    <t>https://maps.googleapis.com/maps/api/distancematrix/xml?destinations=40.659569%2C-73.933783&amp;origins=40.6655101%2C-73.89188969999998&amp;key=AIzaSyCHth-wrbaKBruFJQMWpdpeHAtAzdbcKh4</t>
  </si>
  <si>
    <t>https://maps.googleapis.com/maps/api/distancematrix/xml?destinations=40.659569%2C-73.933783&amp;origins=46.7677269%2C-71.2887151&amp;key=AIzaSyCHth-wrbaKBruFJQMWpdpeHAtAzdbcKh4</t>
  </si>
  <si>
    <t>https://maps.googleapis.com/maps/api/distancematrix/xml?destinations=40.659569%2C-73.933783&amp;origins=45.52193%2C-73.6130697&amp;key=AIzaSyCHth-wrbaKBruFJQMWpdpeHAtAzdbcKh4</t>
  </si>
  <si>
    <t>https://maps.googleapis.com/maps/api/distancematrix/xml?destinations=40.659569%2C-73.933783&amp;origins=49.2838546%2C-123.1196403&amp;key=AIzaSyCHth-wrbaKBruFJQMWpdpeHAtAzdbcKh4</t>
  </si>
  <si>
    <t>https://maps.googleapis.com/maps/api/distancematrix/xml?destinations=40.659569%2C-73.933783&amp;origins=43.6410825%2C-79.3787196&amp;key=AIzaSyCHth-wrbaKBruFJQMWpdpeHAtAzdbcKh4</t>
  </si>
  <si>
    <t>Tps_Quebec</t>
  </si>
  <si>
    <t>Tps_ Montreal</t>
  </si>
  <si>
    <t>Tps_BC</t>
  </si>
  <si>
    <t>Tps_ON</t>
  </si>
  <si>
    <t>Distance_Montreal</t>
  </si>
  <si>
    <t>Office_tps_plus_court</t>
  </si>
  <si>
    <t>https://ww14.autotask.net/Mvc/Projects/ProjectDetail.mvc/ProjectDetail?gridConfiguration=Outline&amp;initialContentPage=Summary&amp;projectId=855</t>
  </si>
  <si>
    <t>Dubois Agrinovation - archivage</t>
  </si>
  <si>
    <t>Migration SAP V10 Hana</t>
  </si>
  <si>
    <t>Drainvac International 2006 Inc.</t>
  </si>
  <si>
    <t>P20230118.0002</t>
  </si>
  <si>
    <t>Migration 9.3 a V10 Hana</t>
  </si>
  <si>
    <t>Beauchesne, Carl</t>
  </si>
  <si>
    <t>Implantation SAP Hana B1UP P&amp;D WMS</t>
  </si>
  <si>
    <t>RBF INTERNATIONAL LTÉE</t>
  </si>
  <si>
    <t>P20230110.0001</t>
  </si>
  <si>
    <t xml:space="preserve">780 rue Nobel, Saint-Jérôme QC J7Z 7A3 </t>
  </si>
  <si>
    <t>https://www.google.fr/maps/place/RBF+International+Ltd/@45.7559173,-73.994841,17z/data=!4m13!1m7!3m6!1s0x4cc8d4b4bc9a58ef:0x7b9413ab6bfc9b1b!2s780+Rue+Nobel,+Saint-J%C3%A9r%C3%B4me,+QC+J7Z+7A3!3b1!8m2!3d45.7559173!4d-73.9926523!3m4!1s0x4cc8d4b467ed8d71:0x977c628c9088c173!8m2!3d45.7561448!4d-73.9925594!5m1!1e1?hl=fr</t>
  </si>
  <si>
    <t>https://ww14.autotask.net/Mvc/Projects/ProjectDetail.mvc/ProjectDetail?gridConfiguration=Outline&amp;initialContentPage=Summary&amp;projectId=868</t>
  </si>
  <si>
    <t>https://ww14.autotask.net/Mvc/Projects/ProjectDetail.mvc/ProjectDetail?gridConfiguration=Outline&amp;initialContentPage=Schedule&amp;projectId=873</t>
  </si>
  <si>
    <t>150 rue Brunet,  Mont-Saint-Hilaire QC J3G 4S6</t>
  </si>
  <si>
    <t>https://www.google.fr/maps/place/Drainvac+international/@45.5942734,-73.1786002,16z/data=!4m13!1m7!3m6!1s0x4cc8551fdfd58667:0x233cef13ce226737!2s150+Rue+Brunet,+Mont-Saint-Hilaire,+QC+J3G+4S6!3b1!8m2!3d45.5936493!4d-73.1747351!3m4!1s0x4cc8551fdef27af3:0xb4752815aa13a6d0!8m2!3d45.5938434!4d-73.1749142!5m1!1e1?hl=fr</t>
  </si>
  <si>
    <t>Montreal</t>
  </si>
  <si>
    <t xml:space="preserve">&lt;?xml version="1.0" encoding="UTF-8"?&gt;
&lt;DistanceMatrixResponse&gt;
 &lt;status&gt;OK&lt;/status&gt;
 &lt;origin_address&gt;2828 Bd Laurier, Québec, QC G1V 0C1, Canada&lt;/origin_address&gt;
 &lt;destination_address&gt;1090 Rue de la Vérendrye, Trois-Rivières, QC G9A 2S8, Canada&lt;/destination_address&gt;
 &lt;row&gt;
  &lt;element&gt;
   &lt;status&gt;OK&lt;/status&gt;
   &lt;duration&gt;
    &lt;value&gt;4422&lt;/value&gt;
    &lt;text&gt;1 hour 14 mins&lt;/text&gt;
   &lt;/duration&gt;
   &lt;distance&gt;
    &lt;value&gt;123801&lt;/value&gt;
    &lt;text&gt;124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</si>
  <si>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&lt;destination_address&gt;1090 Rue de la Vérendrye, Trois-Rivières, QC G9A 2S8, Canada&lt;/destination_address&gt;
 &lt;row&gt;
  &lt;element&gt;
   &lt;status&gt;OK&lt;/status&gt;
   &lt;duration&gt;
    &lt;value&gt;5572&lt;/value&gt;
    &lt;text&gt;1 hour 33 mins&lt;/text&gt;
   &lt;/duration&gt;
   &lt;distance&gt;
    &lt;value&gt;139415&lt;/value&gt;
    &lt;text&gt;139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</si>
  <si>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&lt;destination_address&gt;1090 Rue de la Vérendrye, Trois-Rivières, QC G9A 2S8, Canada&lt;/destination_address&gt;
 &lt;row&gt;
  &lt;element&gt;
   &lt;status&gt;OK&lt;/status&gt;
   &lt;duration&gt;
    &lt;value&gt;165843&lt;/value&gt;
    &lt;text&gt;1 day 22 hours&lt;/text&gt;
   &lt;/duration&gt;
   &lt;distance&gt;
    &lt;value&gt;4682381&lt;/value&gt;
    &lt;text&gt;4,682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</si>
  <si>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&lt;destination_address&gt;1090 Rue de la Vérendrye, Trois-Rivières, QC G9A 2S8, Canada&lt;/destination_address&gt;
 &lt;row&gt;
  &lt;element&gt;
   &lt;status&gt;OK&lt;/status&gt;
   &lt;duration&gt;
    &lt;value&gt;23215&lt;/value&gt;
    &lt;text&gt;6 hours 27 mins&lt;/text&gt;
   &lt;/duration&gt;
   &lt;distance&gt;
    &lt;value&gt;675743&lt;/value&gt;
    &lt;text&gt;676 km&lt;/text&gt;
   &lt;/distance&gt;
  &lt;/element&gt;
 &lt;/row&gt;
&lt;/DistanceMatrixResponse&gt;
</t>
  </si>
  <si>
    <t>Quebec</t>
  </si>
  <si>
    <t xml:space="preserve">&lt;?xml version="1.0" encoding="UTF-8"?&gt;
&lt;DistanceMatrixResponse&gt;
 &lt;status&gt;OK&lt;/status&gt;
 &lt;origin_address&gt;2828 Bd Laurier, Québec, QC G1V 0C1, Canada&lt;/origin_address&gt;
 &lt;destination_address&gt;1101b Rue Joseph Parent, Beloeil, QC J3G 6S4, Canada&lt;/destination_address&gt;
 &lt;row&gt;
  &lt;element&gt;
   &lt;status&gt;OK&lt;/status&gt;
   &lt;duration&gt;
    &lt;value&gt;7324&lt;/value&gt;
    &lt;text&gt;2 hours 2 mins&lt;/text&gt;
   &lt;/duration&gt;
   &lt;distance&gt;
    &lt;value&gt;208306&lt;/value&gt;
    &lt;text&gt;208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</si>
  <si>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&lt;destination_address&gt;1101b Rue Joseph Parent, Beloeil, QC J3G 6S4, Canada&lt;/destination_address&gt;
 &lt;row&gt;
  &lt;element&gt;
   &lt;status&gt;OK&lt;/status&gt;
   &lt;duration&gt;
    &lt;value&gt;2715&lt;/value&gt;
    &lt;text&gt;45 mins&lt;/text&gt;
   &lt;/duration&gt;
   &lt;distance&gt;
    &lt;value&gt;40302&lt;/value&gt;
    &lt;text&gt;40.3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</si>
  <si>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&lt;destination_address&gt;1101b Rue Joseph Parent, Beloeil, QC J3G 6S4, Canada&lt;/destination_address&gt;
 &lt;row&gt;
  &lt;element&gt;
   &lt;status&gt;OK&lt;/status&gt;
   &lt;duration&gt;
    &lt;value&gt;162940&lt;/value&gt;
    &lt;text&gt;1 day 21 hours&lt;/text&gt;
   &lt;/duration&gt;
   &lt;distance&gt;
    &lt;value&gt;4588033&lt;/value&gt;
    &lt;text&gt;4,588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</si>
  <si>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&lt;destination_address&gt;1101b Rue Joseph Parent, Beloeil, QC J3G 6S4, Canada&lt;/destination_address&gt;
 &lt;row&gt;
  &lt;element&gt;
   &lt;status&gt;OK&lt;/status&gt;
   &lt;duration&gt;
    &lt;value&gt;20128&lt;/value&gt;
    &lt;text&gt;5 hours 35 mins&lt;/text&gt;
   &lt;/duration&gt;
   &lt;distance&gt;
    &lt;value&gt;590046&lt;/value&gt;
    &lt;text&gt;590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</si>
  <si>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&lt;destination_address&gt;990 Rue Bergar, Laval, QC H7L 5A1, Canada&lt;/destination_address&gt;
 &lt;row&gt;
  &lt;element&gt;
   &lt;status&gt;OK&lt;/status&gt;
   &lt;duration&gt;
    &lt;value&gt;9233&lt;/value&gt;
    &lt;text&gt;2 hours 34 mins&lt;/text&gt;
   &lt;/duration&gt;
   &lt;distance&gt;
    &lt;value&gt;256592&lt;/value&gt;
    &lt;text&gt;257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</si>
  <si>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&lt;destination_address&gt;990 Rue Bergar, Laval, QC H7L 5A1, Canada&lt;/destination_address&gt;
 &lt;row&gt;
  &lt;element&gt;
   &lt;status&gt;OK&lt;/status&gt;
   &lt;duration&gt;
    &lt;value&gt;1416&lt;/value&gt;
    &lt;text&gt;24 mins&lt;/text&gt;
   &lt;/duration&gt;
   &lt;distance&gt;
    &lt;value&gt;18004&lt;/value&gt;
    &lt;text&gt;18.0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</si>
  <si>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&lt;destination_address&gt;990 Rue Bergar, Laval, QC H7L 5A1, Canada&lt;/destination_address&gt;
 &lt;row&gt;
  &lt;element&gt;
   &lt;status&gt;OK&lt;/status&gt;
   &lt;duration&gt;
    &lt;value&gt;161450&lt;/value&gt;
    &lt;text&gt;1 day 21 hours&lt;/text&gt;
   &lt;/duration&gt;
   &lt;distance&gt;
    &lt;value&gt;4555925&lt;/value&gt;
    &lt;text&gt;4,556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</si>
  <si>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&lt;destination_address&gt;990 Rue Bergar, Laval, QC H7L 5A1, Canada&lt;/destination_address&gt;
 &lt;row&gt;
  &lt;element&gt;
   &lt;status&gt;OK&lt;/status&gt;
   &lt;duration&gt;
    &lt;value&gt;18822&lt;/value&gt;
    &lt;text&gt;5 hours 14 mins&lt;/text&gt;
   &lt;/duration&gt;
   &lt;distance&gt;
    &lt;value&gt;549287&lt;/value&gt;
    &lt;text&gt;549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</si>
  <si>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&lt;destination_address&gt;478 Rue Notre Dame, Saint-Rémi, QC J0L 2L0, Canada&lt;/destination_address&gt;
 &lt;row&gt;
  &lt;element&gt;
   &lt;status&gt;OK&lt;/status&gt;
   &lt;duration&gt;
    &lt;value&gt;9714&lt;/value&gt;
    &lt;text&gt;2 hours 42 mins&lt;/text&gt;
   &lt;/duration&gt;
   &lt;distance&gt;
    &lt;value&gt;271242&lt;/value&gt;
    &lt;text&gt;271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</si>
  <si>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&lt;destination_address&gt;478 Rue Notre Dame, Saint-Rémi, QC J0L 2L0, Canada&lt;/destination_address&gt;
 &lt;row&gt;
  &lt;element&gt;
   &lt;status&gt;OK&lt;/status&gt;
   &lt;duration&gt;
    &lt;value&gt;2588&lt;/value&gt;
    &lt;text&gt;43 mins&lt;/text&gt;
   &lt;/duration&gt;
   &lt;distance&gt;
    &lt;value&gt;35259&lt;/value&gt;
    &lt;text&gt;35.3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</si>
  <si>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&lt;destination_address&gt;478 Rue Notre Dame, Saint-Rémi, QC J0L 2L0, Canada&lt;/destination_address&gt;
 &lt;row&gt;
  &lt;element&gt;
   &lt;status&gt;OK&lt;/status&gt;
   &lt;duration&gt;
    &lt;value&gt;161640&lt;/value&gt;
    &lt;text&gt;1 day 21 hours&lt;/text&gt;
   &lt;/duration&gt;
   &lt;distance&gt;
    &lt;value&gt;4563946&lt;/value&gt;
    &lt;text&gt;4,564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</si>
  <si>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&lt;destination_address&gt;478 Rue Notre Dame, Saint-Rémi, QC J0L 2L0, Canada&lt;/destination_address&gt;
 &lt;row&gt;
  &lt;element&gt;
   &lt;status&gt;OK&lt;/status&gt;
   &lt;duration&gt;
    &lt;value&gt;18648&lt;/value&gt;
    &lt;text&gt;5 hours 11 mins&lt;/text&gt;
   &lt;/duration&gt;
   &lt;distance&gt;
    &lt;value&gt;547113&lt;/value&gt;
    &lt;text&gt;547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</si>
  <si>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&lt;destination_address&gt;150 Rue Brunet, Mont-Saint-Hilaire, QC J3G 4S6, Canada&lt;/destination_address&gt;
 &lt;row&gt;
  &lt;element&gt;
   &lt;status&gt;OK&lt;/status&gt;
   &lt;duration&gt;
    &lt;value&gt;7301&lt;/value&gt;
    &lt;text&gt;2 hours 2 mins&lt;/text&gt;
   &lt;/duration&gt;
   &lt;distance&gt;
    &lt;value&gt;206746&lt;/value&gt;
    &lt;text&gt;207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</si>
  <si>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&lt;destination_address&gt;150 Rue Brunet, Mont-Saint-Hilaire, QC J3G 4S6, Canada&lt;/destination_address&gt;
 &lt;row&gt;
  &lt;element&gt;
   &lt;status&gt;OK&lt;/status&gt;
   &lt;duration&gt;
    &lt;value&gt;2671&lt;/value&gt;
    &lt;text&gt;45 mins&lt;/text&gt;
   &lt;/duration&gt;
   &lt;distance&gt;
    &lt;value&gt;41739&lt;/value&gt;
    &lt;text&gt;41.7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</si>
  <si>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&lt;destination_address&gt;150 Rue Brunet, Mont-Saint-Hilaire, QC J3G 4S6, Canada&lt;/destination_address&gt;
 &lt;row&gt;
  &lt;element&gt;
   &lt;status&gt;OK&lt;/status&gt;
   &lt;duration&gt;
    &lt;value&gt;162896&lt;/value&gt;
    &lt;text&gt;1 day 21 hours&lt;/text&gt;
   &lt;/duration&gt;
   &lt;distance&gt;
    &lt;value&gt;4589470&lt;/value&gt;
    &lt;text&gt;4,589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</si>
  <si>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&lt;destination_address&gt;150 Rue Brunet, Mont-Saint-Hilaire, QC J3G 4S6, Canada&lt;/destination_address&gt;
 &lt;row&gt;
  &lt;element&gt;
   &lt;status&gt;OK&lt;/status&gt;
   &lt;duration&gt;
    &lt;value&gt;20084&lt;/value&gt;
    &lt;text&gt;5 hours 35 mins&lt;/text&gt;
   &lt;/duration&gt;
   &lt;distance&gt;
    &lt;value&gt;591484&lt;/value&gt;
    &lt;text&gt;591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</si>
  <si>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&lt;destination_address&gt;2828 Bd Laurier, Québec, QC G1V 0B3,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</si>
  <si>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&lt;destination_address&gt;2828 Bd Laurier, Québec, QC G1V 0B3, Canada&lt;/destination_address&gt;
 &lt;row&gt;
  &lt;element&gt;
   &lt;status&gt;OK&lt;/status&gt;
   &lt;duration&gt;
    &lt;value&gt;9823&lt;/value&gt;
    &lt;text&gt;2 hours 44 mins&lt;/text&gt;
   &lt;/duration&gt;
   &lt;distance&gt;
    &lt;value&gt;246276&lt;/value&gt;
    &lt;text&gt;246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</si>
  <si>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&lt;destination_address&gt;2828 Bd Laurier, Québec, QC G1V 0B3, Canada&lt;/destination_address&gt;
 &lt;row&gt;
  &lt;element&gt;
   &lt;status&gt;OK&lt;/status&gt;
   &lt;duration&gt;
    &lt;value&gt;170048&lt;/value&gt;
    &lt;text&gt;1 day 23 hours&lt;/text&gt;
   &lt;/duration&gt;
   &lt;distance&gt;
    &lt;value&gt;4794007&lt;/value&gt;
    &lt;text&gt;4,794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</si>
  <si>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&lt;destination_address&gt;2828 Bd Laurier, Québec, QC G1V 0B3, Canada&lt;/destination_address&gt;
 &lt;row&gt;
  &lt;element&gt;
   &lt;status&gt;OK&lt;/status&gt;
   &lt;duration&gt;
    &lt;value&gt;27236&lt;/value&gt;
    &lt;text&gt;7 hours 34 mins&lt;/text&gt;
   &lt;/duration&gt;
   &lt;distance&gt;
    &lt;value&gt;796021&lt;/value&gt;
    &lt;text&gt;796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</si>
  <si>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&lt;destination_address&gt;797 Av Champagneur, Outremont, QC H2V 3P9, Canada&lt;/destination_address&gt;
 &lt;row&gt;
  &lt;element&gt;
   &lt;status&gt;OK&lt;/status&gt;
   &lt;duration&gt;
    &lt;value&gt;9645&lt;/value&gt;
    &lt;text&gt;2 hours 41 mins&lt;/text&gt;
   &lt;/duration&gt;
   &lt;distance&gt;
    &lt;value&gt;250778&lt;/value&gt;
    &lt;text&gt;251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</si>
  <si>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&lt;destination_address&gt;797 Av Champagneur, Outremont, QC H2V 3P9,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</si>
  <si>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&lt;destination_address&gt;797 Av Champagneur, Outremont, QC H2V 3P9, Canada&lt;/destination_address&gt;
 &lt;row&gt;
  &lt;element&gt;
   &lt;status&gt;OK&lt;/status&gt;
   &lt;duration&gt;
    &lt;value&gt;161555&lt;/value&gt;
    &lt;text&gt;1 day 21 hours&lt;/text&gt;
   &lt;/duration&gt;
   &lt;distance&gt;
    &lt;value&gt;4550142&lt;/value&gt;
    &lt;text&gt;4,550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</si>
  <si>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&lt;destination_address&gt;797 Av Champagneur, Outremont, QC H2V 3P9, Canada&lt;/destination_address&gt;
 &lt;row&gt;
  &lt;element&gt;
   &lt;status&gt;OK&lt;/status&gt;
   &lt;duration&gt;
    &lt;value&gt;18927&lt;/value&gt;
    &lt;text&gt;5 hours 15 mins&lt;/text&gt;
   &lt;/duration&gt;
   &lt;distance&gt;
    &lt;value&gt;543504&lt;/value&gt;
    &lt;text&gt;544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</si>
  <si>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&lt;destination_address&gt;1500-885 W Georgia St, Vancouver, BC V6C 3E8, Canada&lt;/destination_address&gt;
 &lt;row&gt;
  &lt;element&gt;
   &lt;status&gt;OK&lt;/status&gt;
   &lt;duration&gt;
    &lt;value&gt;169765&lt;/value&gt;
    &lt;text&gt;1 day 23 hours&lt;/text&gt;
   &lt;/duration&gt;
   &lt;distance&gt;
    &lt;value&gt;4793125&lt;/value&gt;
    &lt;text&gt;4,793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</si>
  <si>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&lt;destination_address&gt;1500-885 W Georgia St, Vancouver, BC V6C 3E8, Canada&lt;/destination_address&gt;
 &lt;row&gt;
  &lt;element&gt;
   &lt;status&gt;OK&lt;/status&gt;
   &lt;duration&gt;
    &lt;value&gt;161508&lt;/value&gt;
    &lt;text&gt;1 day 21 hours&lt;/text&gt;
   &lt;/duration&gt;
   &lt;distance&gt;
    &lt;value&gt;4550898&lt;/value&gt;
    &lt;text&gt;4,551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</si>
  <si>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&lt;destination_address&gt;1500-885 W Georgia St, Vancouver, BC V6C 3E8,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</si>
  <si>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&lt;destination_address&gt;1500-885 W Georgia St, Vancouver, BC V6C 3E8, Canada&lt;/destination_address&gt;
 &lt;row&gt;
  &lt;element&gt;
   &lt;status&gt;OK&lt;/status&gt;
   &lt;duration&gt;
    &lt;value&gt;144218&lt;/value&gt;
    &lt;text&gt;1 day 16 hours&lt;/text&gt;
   &lt;/duration&gt;
   &lt;distance&gt;
    &lt;value&gt;4373894&lt;/value&gt;
    &lt;text&gt;4,374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</si>
  <si>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&lt;destination_address&gt;2500-88 Queens Quay W, Toronto, ON M5J 0B8, Canada&lt;/destination_address&gt;
 &lt;row&gt;
  &lt;element&gt;
   &lt;status&gt;OK&lt;/status&gt;
   &lt;duration&gt;
    &lt;value&gt;27440&lt;/value&gt;
    &lt;text&gt;7 hours 37 mins&lt;/text&gt;
   &lt;/duration&gt;
   &lt;distance&gt;
    &lt;value&gt;797110&lt;/value&gt;
    &lt;text&gt;797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</si>
  <si>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&lt;destination_address&gt;2500-88 Queens Quay W, Toronto, ON M5J 0B8, Canada&lt;/destination_address&gt;
 &lt;row&gt;
  &lt;element&gt;
   &lt;status&gt;OK&lt;/status&gt;
   &lt;duration&gt;
    &lt;value&gt;19335&lt;/value&gt;
    &lt;text&gt;5 hours 22 mins&lt;/text&gt;
   &lt;/duration&gt;
   &lt;distance&gt;
    &lt;value&gt;545090&lt;/value&gt;
    &lt;text&gt;545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</si>
  <si>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&lt;destination_address&gt;2500-88 Queens Quay W, Toronto, ON M5J 0B8, Canada&lt;/destination_address&gt;
 &lt;row&gt;
  &lt;element&gt;
   &lt;status&gt;OK&lt;/status&gt;
   &lt;duration&gt;
    &lt;value&gt;144451&lt;/value&gt;
    &lt;text&gt;1 day 16 hours&lt;/text&gt;
   &lt;/duration&gt;
   &lt;distance&gt;
    &lt;value&gt;4381317&lt;/value&gt;
    &lt;text&gt;4,381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</si>
  <si>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&lt;destination_address&gt;2500-88 Queens Quay W, Toronto, ON M5J 0B8,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</si>
  <si>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>Hourly rate1</t>
  </si>
  <si>
    <t>Currency1</t>
  </si>
  <si>
    <t>Hourly Rate</t>
  </si>
  <si>
    <t>Implantation SAP HANA Azure/Produmex</t>
  </si>
  <si>
    <t>Gestion de production</t>
  </si>
  <si>
    <t>Confiserie Mondoux</t>
  </si>
  <si>
    <t>Cosme Inc.</t>
  </si>
  <si>
    <t>P20220808.0003</t>
  </si>
  <si>
    <t>P20230112.0001</t>
  </si>
  <si>
    <t>Implantation SAP HANA Azure</t>
  </si>
  <si>
    <t>Produmex scan implementation</t>
  </si>
  <si>
    <t>CR Wall</t>
  </si>
  <si>
    <t>P20201009.0003</t>
  </si>
  <si>
    <t>Produmex Scan implementation</t>
  </si>
  <si>
    <t>ServicesMAX</t>
  </si>
  <si>
    <t>Italbec</t>
  </si>
  <si>
    <t>P20221128.0002</t>
  </si>
  <si>
    <t>DEFAUT- Italbec (MAX)</t>
  </si>
  <si>
    <t>Implantation SAP SQL FSM</t>
  </si>
  <si>
    <t>Labmed Solutions Inc. / Analytiqs Inc.</t>
  </si>
  <si>
    <t>P20210603.0001</t>
  </si>
  <si>
    <t>Projet Analytiqs</t>
  </si>
  <si>
    <t>Implantation SAP B1</t>
  </si>
  <si>
    <t>Topring</t>
  </si>
  <si>
    <t>P20210611.0001</t>
  </si>
  <si>
    <t>Projet implantation Topring</t>
  </si>
  <si>
    <t>Migration SAP version 10</t>
  </si>
  <si>
    <t>Groupe Dissan Inc.</t>
  </si>
  <si>
    <t>P20211217.0001</t>
  </si>
  <si>
    <t>WMS-Produmex</t>
  </si>
  <si>
    <t>P20220817.0001</t>
  </si>
  <si>
    <t>https://ww14.autotask.net/Mvc/Projects/ProjectDetail.mvc/ProjectDetail?gridConfiguration=Outline&amp;initialContentPage=Summary&amp;projectId=818</t>
  </si>
  <si>
    <t>https://ww14.autotask.net/Mvc/Projects/ProjectDetail.mvc/ProjectDetail?gridConfiguration=Outline&amp;initialContentPage=Summary&amp;projectId=736</t>
  </si>
  <si>
    <t>9900 boul du Golf, Anjou, QC H1J 2Y7, Canada</t>
  </si>
  <si>
    <t>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</t>
  </si>
  <si>
    <t xml:space="preserve"> 9452 Boul Du Golf, Anjou, QC H1J 3A1</t>
  </si>
  <si>
    <t>https://ww14.autotask.net/Mvc/Projects/ProjectDetail.mvc/ProjectDetail?gridConfiguration=Outline&amp;initialContentPage=Summary&amp;projectId=668</t>
  </si>
  <si>
    <t>https://www.google.fr/maps/place/Analytiqs/@45.6235276,-73.5649666,17z/data=!4m15!1m8!3m7!1s0x4cc91e228bc87bdd:0x9b397edc77775001!2s9452+Bd+du+Golf,+Anjou,+QC+H1J+3A1!3b1!8m2!3d45.6235239!4d-73.5627779!16s%2Fg%2F11fm_j64v3!3m5!1s0x4cc93d1f247c8655:0x70a58a469c4f2f9!8m2!3d45.6235309!4d-73.5627718!16s%2Fg%2F1tfsmm1t?hl=en</t>
  </si>
  <si>
    <t>8500 St-Patrick, Lasalle, QC H8N 1V1, Canada</t>
  </si>
  <si>
    <t>https://www.google.fr/maps/place/Cosme+Inc/@45.440882,-73.6453492,17z/data=!4m13!1m7!3m6!1s0x4cc916d2b7db13a3:0xb50dfb44b7a5031!2s8500+Rue+Saint-Patrick,+LaSalle,+QC+H8N+1V1!3b1!8m2!3d45.440882!4d-73.6431605!3m4!1s0x4cc916d2dd48cfe3:0x972626215612887!8m2!3d45.4409834!4d-73.643482!5m1!1e1?hl=fr</t>
  </si>
  <si>
    <t>https://ww14.autotask.net/Mvc/Projects/ProjectDetail.mvc/ProjectDetail?gridConfiguration=Outline&amp;initialContentPage=Summary&amp;projectId=870</t>
  </si>
  <si>
    <t>55 Thompson Drive, Cambridge, ON N1T 2E4</t>
  </si>
  <si>
    <t>https://www.google.fr/maps/place/Eclipse+Automation/@43.4101677,-80.3161492,17z/data=!4m13!1m7!3m6!1s0x882b886f8982a0cf:0xcccd96ce1e4e4160!2s55+Thompson+Dr,+Cambridge,+ON+N1T+2E4!3b1!8m2!3d43.4064259!4d-80.2896422!3m4!1s0x0:0xce04b5739fe00d09!8m2!3d43.410176!4d-80.3139658!5m1!1e1?hl=fr</t>
  </si>
  <si>
    <t>https://ww14.autotask.net/Mvc/Projects/ProjectDetail.mvc/ProjectDetail?gridConfiguration=Outline&amp;initialContentPage=Summary&amp;projectId=563</t>
  </si>
  <si>
    <t>1020 Boul. Industriel, Granby, Québec J2J 1A4, Canada</t>
  </si>
  <si>
    <t>https://ww14.autotask.net/Mvc/Projects/ProjectDetail.mvc/ProjectDetail?gridConfiguration=Outline&amp;initialContentPage=Summary&amp;projectId=673</t>
  </si>
  <si>
    <t>https://www.google.fr/maps/place/TOPRING/@45.3788677,-72.7690516,17z/data=!4m15!1m8!3m7!1s0x4cc9cf0bb8b0756f:0xed9eec7ac969ad34!2s1020+Bd+Industriel,+Granby,+QC+J2J+1A4!3b1!8m2!3d45.3788677!4d-72.7690516!16s%2Fg%2F11c291j81s!3m5!1s0x4cc9cf09b578d063:0x1fedf6d8697dac27!8m2!3d45.3788528!4d-72.7689056!16s%2Fg%2F1tw_mw3l!5m1!1e1?hl=fr</t>
  </si>
  <si>
    <t>375 rue de Liège O, Montreal, QC H2P1H6, Canada</t>
  </si>
  <si>
    <t>https://www.google.fr/maps/place/Italbec/@45.5350222,-73.6431419,17z/data=!3m1!4b1!4m6!3m5!1s0x4cc918fd5c781af5:0xf5a8fb909b01c6c0!8m2!3d45.5350185!4d-73.6409532!16s%2Fg%2F1vntjhzv!5m1!1e1?hl=fr</t>
  </si>
  <si>
    <t>https://ww14.autotask.net/Mvc/Projects/ProjectDetail.mvc/ProjectDetail?gridConfiguration=Outline&amp;initialContentPage=Summary&amp;projectId=860</t>
  </si>
  <si>
    <t>https://ww14.autotask.net/Mvc/Projects/ProjectDetail.mvc/ProjectDetail?gridConfiguration=Outline&amp;initialContentPage=Summary&amp;projectId=850</t>
  </si>
  <si>
    <t>1610 place de Lierre,Laval QC H7G 4X7</t>
  </si>
  <si>
    <t>https://www.google.fr/maps/place/Confiserie+Mondoux+Inc/@45.5921454,-73.7006491,17z/data=!4m15!1m8!3m7!1s0x4cc92197c4b8211d:0xf4bf09b9eafcba18!2s1610+Pl.+de+Lierre,+Laval,+QC+H7G+4X7!3b1!8m2!3d45.5921417!4d-73.6984604!16s%2Fg%2F11c2gh5y4w!3m5!1s0x4cc921bd45c595c3:0x655aafaeb284e8c0!8m2!3d45.5921417!4d-73.6984604!16s%2Fg%2F1tg5tnvj!5m1!1e1?hl=fr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</si>
  <si>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&lt;destination_address&gt;1950 Boulevard des Laurentides, Laval, QC H7M 2Y9, Canada&lt;/destination_address&gt;
 &lt;row&gt;
  &lt;element&gt;
   &lt;status&gt;OK&lt;/status&gt;
   &lt;duration&gt;
    &lt;value&gt;9220&lt;/value&gt;
    &lt;text&gt;2 hours 34 mins&lt;/text&gt;
   &lt;/duration&gt;
   &lt;distance&gt;
    &lt;value&gt;255217&lt;/value&gt;
    &lt;text&gt;255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</si>
  <si>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&lt;destination_address&gt;1950 Boulevard des Laurentides, Laval, QC H7M 2Y9, Canada&lt;/destination_address&gt;
 &lt;row&gt;
  &lt;element&gt;
   &lt;status&gt;OK&lt;/status&gt;
   &lt;duration&gt;
    &lt;value&gt;1392&lt;/value&gt;
    &lt;text&gt;23 mins&lt;/text&gt;
   &lt;/duration&gt;
   &lt;distance&gt;
    &lt;value&gt;18956&lt;/value&gt;
    &lt;text&gt;19.0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</si>
  <si>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&lt;destination_address&gt;1950 Boulevard des Laurentides, Laval, QC H7M 2Y9, Canada&lt;/destination_address&gt;
 &lt;row&gt;
  &lt;element&gt;
   &lt;status&gt;OK&lt;/status&gt;
   &lt;duration&gt;
    &lt;value&gt;163627&lt;/value&gt;
    &lt;text&gt;1 day 21 hours&lt;/text&gt;
   &lt;/duration&gt;
   &lt;distance&gt;
    &lt;value&gt;4876705&lt;/value&gt;
    &lt;text&gt;4,877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</si>
  <si>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&lt;destination_address&gt;1950 Boulevard des Laurentides, Laval, QC H7M 2Y9, Canada&lt;/destination_address&gt;
 &lt;row&gt;
  &lt;element&gt;
   &lt;status&gt;OK&lt;/status&gt;
   &lt;duration&gt;
    &lt;value&gt;18830&lt;/value&gt;
    &lt;text&gt;5 hours 14 mins&lt;/text&gt;
   &lt;/duration&gt;
   &lt;distance&gt;
    &lt;value&gt;550348&lt;/value&gt;
    &lt;text&gt;550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</si>
  <si>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&lt;destination_address&gt;2515 Av. de la Renaissance, Boisbriand, QC J7H 1T9, Canada&lt;/destination_address&gt;
 &lt;row&gt;
  &lt;element&gt;
   &lt;status&gt;OK&lt;/status&gt;
   &lt;duration&gt;
    &lt;value&gt;9470&lt;/value&gt;
    &lt;text&gt;2 hours 38 mins&lt;/text&gt;
   &lt;/duration&gt;
   &lt;distance&gt;
    &lt;value&gt;266890&lt;/value&gt;
    &lt;text&gt;267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</si>
  <si>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&lt;destination_address&gt;2515 Av. de la Renaissance, Boisbriand, QC J7H 1T9, Canada&lt;/destination_address&gt;
 &lt;row&gt;
  &lt;element&gt;
   &lt;status&gt;OK&lt;/status&gt;
   &lt;duration&gt;
    &lt;value&gt;1824&lt;/value&gt;
    &lt;text&gt;30 mins&lt;/text&gt;
   &lt;/duration&gt;
   &lt;distance&gt;
    &lt;value&gt;27878&lt;/value&gt;
    &lt;text&gt;27.9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</si>
  <si>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&lt;destination_address&gt;2515 Av. de la Renaissance, Boisbriand, QC J7H 1T9, Canada&lt;/destination_address&gt;
 &lt;row&gt;
  &lt;element&gt;
   &lt;status&gt;OK&lt;/status&gt;
   &lt;duration&gt;
    &lt;value&gt;163780&lt;/value&gt;
    &lt;text&gt;1 day 21 hours&lt;/text&gt;
   &lt;/duration&gt;
   &lt;distance&gt;
    &lt;value&gt;4878772&lt;/value&gt;
    &lt;text&gt;4,879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</si>
  <si>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&lt;destination_address&gt;2515 Av. de la Renaissance, Boisbriand, QC J7H 1T9, Canada&lt;/destination_address&gt;
 &lt;row&gt;
  &lt;element&gt;
   &lt;status&gt;OK&lt;/status&gt;
   &lt;duration&gt;
    &lt;value&gt;18983&lt;/value&gt;
    &lt;text&gt;5 hours 16 mins&lt;/text&gt;
   &lt;/duration&gt;
   &lt;distance&gt;
    &lt;value&gt;552415&lt;/value&gt;
    &lt;text&gt;552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</si>
  <si>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&lt;destination_address&gt;18 Pinkie Rd, Pense, SK S0G 3W0, Canada&lt;/destination_address&gt;
 &lt;row&gt;
  &lt;element&gt;
   &lt;status&gt;OK&lt;/status&gt;
   &lt;duration&gt;
    &lt;value&gt;116834&lt;/value&gt;
    &lt;text&gt;1 day 8 hours&lt;/text&gt;
   &lt;/duration&gt;
   &lt;distance&gt;
    &lt;value&gt;3091401&lt;/value&gt;
    &lt;text&gt;3,091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</si>
  <si>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&lt;destination_address&gt;18 Pinkie Rd, Pense, SK S0G 3W0, Canada&lt;/destination_address&gt;
 &lt;row&gt;
  &lt;element&gt;
   &lt;status&gt;OK&lt;/status&gt;
   &lt;duration&gt;
    &lt;value&gt;109125&lt;/value&gt;
    &lt;text&gt;1 day 6 hours&lt;/text&gt;
   &lt;/duration&gt;
   &lt;distance&gt;
    &lt;value&gt;2852243&lt;/value&gt;
    &lt;text&gt;2,852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</si>
  <si>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&lt;destination_address&gt;18 Pinkie Rd, Pense, SK S0G 3W0, Canada&lt;/destination_address&gt;
 &lt;row&gt;
  &lt;element&gt;
   &lt;status&gt;OK&lt;/status&gt;
   &lt;duration&gt;
    &lt;value&gt;64375&lt;/value&gt;
    &lt;text&gt;17 hours 53 mins&lt;/text&gt;
   &lt;/duration&gt;
   &lt;distance&gt;
    &lt;value&gt;1722544&lt;/value&gt;
    &lt;text&gt;1,723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</si>
  <si>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&lt;destination_address&gt;18 Pinkie Rd, Pense, SK S0G 3W0, Canada&lt;/destination_address&gt;
 &lt;row&gt;
  &lt;element&gt;
   &lt;status&gt;OK&lt;/status&gt;
   &lt;duration&gt;
    &lt;value&gt;91520&lt;/value&gt;
    &lt;text&gt;1 day 1 hour&lt;/text&gt;
   &lt;/duration&gt;
   &lt;distance&gt;
    &lt;value&gt;2692695&lt;/value&gt;
    &lt;text&gt;2,693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</si>
  <si>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&lt;destination_address&gt;1375 Rue de Louvain O, Montréal, QC H4N 1G6, Canada&lt;/destination_address&gt;
 &lt;row&gt;
  &lt;element&gt;
   &lt;status&gt;OK&lt;/status&gt;
   &lt;duration&gt;
    &lt;value&gt;9177&lt;/value&gt;
    &lt;text&gt;2 hours 33 mins&lt;/text&gt;
   &lt;/duration&gt;
   &lt;distance&gt;
    &lt;value&gt;248018&lt;/value&gt;
    &lt;text&gt;248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</si>
  <si>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&lt;destination_address&gt;1375 Rue de Louvain O, Montréal, QC H4N 1G6, Canada&lt;/destination_address&gt;
 &lt;row&gt;
  &lt;element&gt;
   &lt;status&gt;OK&lt;/status&gt;
   &lt;duration&gt;
    &lt;value&gt;1025&lt;/value&gt;
    &lt;text&gt;17 mins&lt;/text&gt;
   &lt;/duration&gt;
   &lt;distance&gt;
    &lt;value&gt;5666&lt;/value&gt;
    &lt;text&gt;5.7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</si>
  <si>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&lt;destination_address&gt;1375 Rue de Louvain O, Montréal, QC H4N 1G6, Canada&lt;/destination_address&gt;
 &lt;row&gt;
  &lt;element&gt;
   &lt;status&gt;OK&lt;/status&gt;
   &lt;duration&gt;
    &lt;value&gt;163507&lt;/value&gt;
    &lt;text&gt;1 day 21 hours&lt;/text&gt;
   &lt;/duration&gt;
   &lt;distance&gt;
    &lt;value&gt;4869698&lt;/value&gt;
    &lt;text&gt;4,870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</si>
  <si>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&lt;destination_address&gt;1375 Rue de Louvain O, Montréal, QC H4N 1G6, Canada&lt;/destination_address&gt;
 &lt;row&gt;
  &lt;element&gt;
   &lt;status&gt;OK&lt;/status&gt;
   &lt;duration&gt;
    &lt;value&gt;18710&lt;/value&gt;
    &lt;text&gt;5 hours 12 mins&lt;/text&gt;
   &lt;/duration&gt;
   &lt;distance&gt;
    &lt;value&gt;543341&lt;/value&gt;
    &lt;text&gt;543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</si>
  <si>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&lt;destination_address&gt;84 Easton Rd, Brantford, ON N3P 1J5, Canada&lt;/destination_address&gt;
 &lt;row&gt;
  &lt;element&gt;
   &lt;status&gt;OK&lt;/status&gt;
   &lt;duration&gt;
    &lt;value&gt;30533&lt;/value&gt;
    &lt;text&gt;8 hours 29 mins&lt;/text&gt;
   &lt;/duration&gt;
   &lt;distance&gt;
    &lt;value&gt;893513&lt;/value&gt;
    &lt;text&gt;894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</si>
  <si>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&lt;destination_address&gt;84 Easton Rd, Brantford, ON N3P 1J5, Canada&lt;/destination_address&gt;
 &lt;row&gt;
  &lt;element&gt;
   &lt;status&gt;OK&lt;/status&gt;
   &lt;duration&gt;
    &lt;value&gt;22424&lt;/value&gt;
    &lt;text&gt;6 hours 14 mins&lt;/text&gt;
   &lt;/duration&gt;
   &lt;distance&gt;
    &lt;value&gt;639922&lt;/value&gt;
    &lt;text&gt;640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</si>
  <si>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&lt;destination_address&gt;84 Easton Rd, Brantford, ON N3P 1J5, Canada&lt;/destination_address&gt;
 &lt;row&gt;
  &lt;element&gt;
   &lt;status&gt;OK&lt;/status&gt;
   &lt;duration&gt;
    &lt;value&gt;142362&lt;/value&gt;
    &lt;text&gt;1 day 16 hours&lt;/text&gt;
   &lt;/duration&gt;
   &lt;distance&gt;
    &lt;value&gt;4244543&lt;/value&gt;
    &lt;text&gt;4,245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</si>
  <si>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&lt;destination_address&gt;84 Easton Rd, Brantford, ON N3P 1J5, Canada&lt;/destination_address&gt;
 &lt;row&gt;
  &lt;element&gt;
   &lt;status&gt;OK&lt;/status&gt;
   &lt;duration&gt;
    &lt;value&gt;3727&lt;/value&gt;
    &lt;text&gt;1 hour 2 mins&lt;/text&gt;
   &lt;/duration&gt;
   &lt;distance&gt;
    &lt;value&gt;97985&lt;/value&gt;
    &lt;text&gt;98.0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</si>
  <si>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&lt;destination_address&gt;700 32e Avenue, Lachine, QC H8T 1Y5, Canada&lt;/destination_address&gt;
 &lt;row&gt;
  &lt;element&gt;
   &lt;status&gt;OK&lt;/status&gt;
   &lt;duration&gt;
    &lt;value&gt;9427&lt;/value&gt;
    &lt;text&gt;2 hours 37 mins&lt;/text&gt;
   &lt;/duration&gt;
   &lt;distance&gt;
    &lt;value&gt;260741&lt;/value&gt;
    &lt;text&gt;261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</si>
  <si>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&lt;destination_address&gt;700 32e Avenue, Lachine, QC H8T 1Y5, Canada&lt;/destination_address&gt;
 &lt;row&gt;
  &lt;element&gt;
   &lt;status&gt;OK&lt;/status&gt;
   &lt;duration&gt;
    &lt;value&gt;1598&lt;/value&gt;
    &lt;text&gt;27 mins&lt;/text&gt;
   &lt;/duration&gt;
   &lt;distance&gt;
    &lt;value&gt;20283&lt;/value&gt;
    &lt;text&gt;20.3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</si>
  <si>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&lt;destination_address&gt;700 32e Avenue, Lachine, QC H8T 1Y5, Canada&lt;/destination_address&gt;
 &lt;row&gt;
  &lt;element&gt;
   &lt;status&gt;OK&lt;/status&gt;
   &lt;duration&gt;
    &lt;value&gt;163090&lt;/value&gt;
    &lt;text&gt;1 day 21 hours&lt;/text&gt;
   &lt;/duration&gt;
   &lt;distance&gt;
    &lt;value&gt;4855968&lt;/value&gt;
    &lt;text&gt;4,856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</si>
  <si>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&lt;destination_address&gt;700 32e Avenue, Lachine, QC H8T 1Y5, Canada&lt;/destination_address&gt;
 &lt;row&gt;
  &lt;element&gt;
   &lt;status&gt;OK&lt;/status&gt;
   &lt;duration&gt;
    &lt;value&gt;18293&lt;/value&gt;
    &lt;text&gt;5 hours 5 mins&lt;/text&gt;
   &lt;/duration&gt;
   &lt;distance&gt;
    &lt;value&gt;529612&lt;/value&gt;
    &lt;text&gt;530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</si>
  <si>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&lt;destination_address&gt;6626 Danville Rd, Mississauga, ON L5T 2H7, Canada&lt;/destination_address&gt;
 &lt;row&gt;
  &lt;element&gt;
   &lt;status&gt;OK&lt;/status&gt;
   &lt;duration&gt;
    &lt;value&gt;27942&lt;/value&gt;
    &lt;text&gt;7 hours 46 mins&lt;/text&gt;
   &lt;/duration&gt;
   &lt;distance&gt;
    &lt;value&gt;813992&lt;/value&gt;
    &lt;text&gt;814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</si>
  <si>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&lt;destination_address&gt;6626 Danville Rd, Mississauga, ON L5T 2H7, Canada&lt;/destination_address&gt;
 &lt;row&gt;
  &lt;element&gt;
   &lt;status&gt;OK&lt;/status&gt;
   &lt;duration&gt;
    &lt;value&gt;19834&lt;/value&gt;
    &lt;text&gt;5 hours 31 mins&lt;/text&gt;
   &lt;/duration&gt;
   &lt;distance&gt;
    &lt;value&gt;560401&lt;/value&gt;
    &lt;text&gt;560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</si>
  <si>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&lt;destination_address&gt;6626 Danville Rd, Mississauga, ON L5T 2H7, Canada&lt;/destination_address&gt;
 &lt;row&gt;
  &lt;element&gt;
   &lt;status&gt;OK&lt;/status&gt;
   &lt;duration&gt;
    &lt;value&gt;144767&lt;/value&gt;
    &lt;text&gt;1 day 16 hours&lt;/text&gt;
   &lt;/duration&gt;
   &lt;distance&gt;
    &lt;value&gt;4313979&lt;/value&gt;
    &lt;text&gt;4,314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</si>
  <si>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&lt;destination_address&gt;6626 Danville Rd, Mississauga, ON L5T 2H7, Canada&lt;/destination_address&gt;
 &lt;row&gt;
  &lt;element&gt;
   &lt;status&gt;OK&lt;/status&gt;
   &lt;duration&gt;
    &lt;value&gt;1571&lt;/value&gt;
    &lt;text&gt;26 mins&lt;/text&gt;
   &lt;/duration&gt;
   &lt;distance&gt;
    &lt;value&gt;33376&lt;/value&gt;
    &lt;text&gt;33.4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</si>
  <si>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&lt;destination_address&gt;775 Bd Lebeau, Saint-Laurent, QC H4N 1S5, Canada&lt;/destination_address&gt;
 &lt;row&gt;
  &lt;element&gt;
   &lt;status&gt;OK&lt;/status&gt;
   &lt;duration&gt;
    &lt;value&gt;9135&lt;/value&gt;
    &lt;text&gt;2 hours 32 mins&lt;/text&gt;
   &lt;/duration&gt;
   &lt;distance&gt;
    &lt;value&gt;248996&lt;/value&gt;
    &lt;text&gt;249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</si>
  <si>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&lt;destination_address&gt;775 Bd Lebeau, Saint-Laurent, QC H4N 1S5, Canada&lt;/destination_address&gt;
 &lt;row&gt;
  &lt;element&gt;
   &lt;status&gt;OK&lt;/status&gt;
   &lt;duration&gt;
    &lt;value&gt;951&lt;/value&gt;
    &lt;text&gt;16 mins&lt;/text&gt;
   &lt;/duration&gt;
   &lt;distance&gt;
    &lt;value&gt;6759&lt;/value&gt;
    &lt;text&gt;6.8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</si>
  <si>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&lt;destination_address&gt;775 Bd Lebeau, Saint-Laurent, QC H4N 1S5, Canada&lt;/destination_address&gt;
 &lt;row&gt;
  &lt;element&gt;
   &lt;status&gt;OK&lt;/status&gt;
   &lt;duration&gt;
    &lt;value&gt;163507&lt;/value&gt;
    &lt;text&gt;1 day 21 hours&lt;/text&gt;
   &lt;/duration&gt;
   &lt;distance&gt;
    &lt;value&gt;4869447&lt;/value&gt;
    &lt;text&gt;4,869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</si>
  <si>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&lt;destination_address&gt;775 Bd Lebeau, Saint-Laurent, QC H4N 1S5, Canada&lt;/destination_address&gt;
 &lt;row&gt;
  &lt;element&gt;
   &lt;status&gt;OK&lt;/status&gt;
   &lt;duration&gt;
    &lt;value&gt;18709&lt;/value&gt;
    &lt;text&gt;5 hours 12 mins&lt;/text&gt;
   &lt;/duration&gt;
   &lt;distance&gt;
    &lt;value&gt;543090&lt;/value&gt;
    &lt;text&gt;543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</si>
  <si>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&lt;destination_address&gt;4660 Rue Hickmore, Saint-Laurent, QC H4T 1K2, Canada&lt;/destination_address&gt;
 &lt;row&gt;
  &lt;element&gt;
   &lt;status&gt;OK&lt;/status&gt;
   &lt;duration&gt;
    &lt;value&gt;9508&lt;/value&gt;
    &lt;text&gt;2 hours 38 mins&lt;/text&gt;
   &lt;/duration&gt;
   &lt;distance&gt;
    &lt;value&gt;262874&lt;/value&gt;
    &lt;text&gt;263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</si>
  <si>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&lt;destination_address&gt;4660 Rue Hickmore, Saint-Laurent, QC H4T 1K2, Canada&lt;/destination_address&gt;
 &lt;row&gt;
  &lt;element&gt;
   &lt;status&gt;OK&lt;/status&gt;
   &lt;duration&gt;
    &lt;value&gt;1416&lt;/value&gt;
    &lt;text&gt;24 mins&lt;/text&gt;
   &lt;/duration&gt;
   &lt;distance&gt;
    &lt;value&gt;10915&lt;/value&gt;
    &lt;text&gt;10.9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</si>
  <si>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&lt;destination_address&gt;4660 Rue Hickmore, Saint-Laurent, QC H4T 1K2, Canada&lt;/destination_address&gt;
 &lt;row&gt;
  &lt;element&gt;
   &lt;status&gt;OK&lt;/status&gt;
   &lt;duration&gt;
    &lt;value&gt;163196&lt;/value&gt;
    &lt;text&gt;1 day 21 hours&lt;/text&gt;
   &lt;/duration&gt;
   &lt;distance&gt;
    &lt;value&gt;4862311&lt;/value&gt;
    &lt;text&gt;4,862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</si>
  <si>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&lt;destination_address&gt;4660 Rue Hickmore, Saint-Laurent, QC H4T 1K2, Canada&lt;/destination_address&gt;
 &lt;row&gt;
  &lt;element&gt;
   &lt;status&gt;OK&lt;/status&gt;
   &lt;duration&gt;
    &lt;value&gt;18399&lt;/value&gt;
    &lt;text&gt;5 hours 7 mins&lt;/text&gt;
   &lt;/duration&gt;
   &lt;distance&gt;
    &lt;value&gt;535955&lt;/value&gt;
    &lt;text&gt;536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</si>
  <si>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&lt;destination_address&gt;350 S Pekin Rd, Woodland, WA 98674, USA&lt;/destination_address&gt;
 &lt;row&gt;
  &lt;element&gt;
   &lt;status&gt;OK&lt;/status&gt;
   &lt;duration&gt;
    &lt;value&gt;166539&lt;/value&gt;
    &lt;text&gt;1 day 22 hours&lt;/text&gt;
   &lt;/duration&gt;
   &lt;distance&gt;
    &lt;value&gt;5037849&lt;/value&gt;
    &lt;text&gt;5,038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</si>
  <si>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&lt;destination_address&gt;350 S Pekin Rd, Woodland, WA 98674, USA&lt;/destination_address&gt;
 &lt;row&gt;
  &lt;element&gt;
   &lt;status&gt;OK&lt;/status&gt;
   &lt;duration&gt;
    &lt;value&gt;158431&lt;/value&gt;
    &lt;text&gt;1 day 20 hours&lt;/text&gt;
   &lt;/duration&gt;
   &lt;distance&gt;
    &lt;value&gt;4784259&lt;/value&gt;
    &lt;text&gt;4,784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</si>
  <si>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&lt;destination_address&gt;350 S Pekin Rd, Woodland, WA 98674, USA&lt;/destination_address&gt;
 &lt;row&gt;
  &lt;element&gt;
   &lt;status&gt;OK&lt;/status&gt;
   &lt;duration&gt;
    &lt;value&gt;17587&lt;/value&gt;
    &lt;text&gt;4 hours 53 mins&lt;/text&gt;
   &lt;/duration&gt;
   &lt;distance&gt;
    &lt;value&gt;465057&lt;/value&gt;
    &lt;text&gt;465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</si>
  <si>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&lt;destination_address&gt;350 S Pekin Rd, Woodland, WA 98674, USA&lt;/destination_address&gt;
 &lt;row&gt;
  &lt;element&gt;
   &lt;status&gt;OK&lt;/status&gt;
   &lt;duration&gt;
    &lt;value&gt;140108&lt;/value&gt;
    &lt;text&gt;1 day 15 hours&lt;/text&gt;
   &lt;/duration&gt;
   &lt;distance&gt;
    &lt;value&gt;4254411&lt;/value&gt;
    &lt;text&gt;4,254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</si>
  <si>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&lt;destination_address&gt;2017 Georgetown Blvd, Chesapeake, VA 23325, USA&lt;/destination_address&gt;
 &lt;row&gt;
  &lt;element&gt;
   &lt;status&gt;OK&lt;/status&gt;
   &lt;duration&gt;
    &lt;value&gt;49685&lt;/value&gt;
    &lt;text&gt;13 hours 48 mins&lt;/text&gt;
   &lt;/duration&gt;
   &lt;distance&gt;
    &lt;value&gt;1390205&lt;/value&gt;
    &lt;text&gt;1,390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</si>
  <si>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&lt;destination_address&gt;2017 Georgetown Blvd, Chesapeake, VA 23325, USA&lt;/destination_address&gt;
 &lt;row&gt;
  &lt;element&gt;
   &lt;status&gt;OK&lt;/status&gt;
   &lt;duration&gt;
    &lt;value&gt;43035&lt;/value&gt;
    &lt;text&gt;11 hours 57 mins&lt;/text&gt;
   &lt;/duration&gt;
   &lt;distance&gt;
    &lt;value&gt;1170986&lt;/value&gt;
    &lt;text&gt;1,171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</si>
  <si>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&lt;destination_address&gt;2017 Georgetown Blvd, Chesapeake, VA 23325, USA&lt;/destination_address&gt;
 &lt;row&gt;
  &lt;element&gt;
   &lt;status&gt;OK&lt;/status&gt;
   &lt;duration&gt;
    &lt;value&gt;166244&lt;/value&gt;
    &lt;text&gt;1 day 22 hours&lt;/text&gt;
   &lt;/duration&gt;
   &lt;distance&gt;
    &lt;value&gt;4939923&lt;/value&gt;
    &lt;text&gt;4,940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</si>
  <si>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&lt;destination_address&gt;2017 Georgetown Blvd, Chesapeake, VA 23325, USA&lt;/destination_address&gt;
 &lt;row&gt;
  &lt;element&gt;
   &lt;status&gt;OK&lt;/status&gt;
   &lt;duration&gt;
    &lt;value&gt;40239&lt;/value&gt;
    &lt;text&gt;11 hours 11 mins&lt;/text&gt;
   &lt;/duration&gt;
   &lt;distance&gt;
    &lt;value&gt;1083854&lt;/value&gt;
    &lt;text&gt;1,084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</si>
  <si>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&lt;destination_address&gt;5061 Rue d'Amiens, Montréal-Nord, QC H1G 3G2, Canada&lt;/destination_address&gt;
 &lt;row&gt;
  &lt;element&gt;
   &lt;status&gt;OK&lt;/status&gt;
   &lt;duration&gt;
    &lt;value&gt;9082&lt;/value&gt;
    &lt;text&gt;2 hours 31 mins&lt;/text&gt;
   &lt;/duration&gt;
   &lt;distance&gt;
    &lt;value&gt;243283&lt;/value&gt;
    &lt;text&gt;243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</si>
  <si>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&lt;destination_address&gt;5061 Rue d'Amiens, Montréal-Nord, QC H1G 3G2, Canada&lt;/destination_address&gt;
 &lt;row&gt;
  &lt;element&gt;
   &lt;status&gt;OK&lt;/status&gt;
   &lt;duration&gt;
    &lt;value&gt;1644&lt;/value&gt;
    &lt;text&gt;27 mins&lt;/text&gt;
   &lt;/duration&gt;
   &lt;distance&gt;
    &lt;value&gt;14951&lt;/value&gt;
    &lt;text&gt;15.0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</si>
  <si>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&lt;destination_address&gt;5061 Rue d'Amiens, Montréal-Nord, QC H1G 3G2, Canada&lt;/destination_address&gt;
 &lt;row&gt;
  &lt;element&gt;
   &lt;status&gt;OK&lt;/status&gt;
   &lt;duration&gt;
    &lt;value&gt;164126&lt;/value&gt;
    &lt;text&gt;1 day 22 hours&lt;/text&gt;
   &lt;/duration&gt;
   &lt;distance&gt;
    &lt;value&gt;4877636&lt;/value&gt;
    &lt;text&gt;4,878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</si>
  <si>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&lt;destination_address&gt;5061 Rue d'Amiens, Montréal-Nord, QC H1G 3G2, Canada&lt;/destination_address&gt;
 &lt;row&gt;
  &lt;element&gt;
   &lt;status&gt;OK&lt;/status&gt;
   &lt;duration&gt;
    &lt;value&gt;19329&lt;/value&gt;
    &lt;text&gt;5 hours 22 mins&lt;/text&gt;
   &lt;/duration&gt;
   &lt;distance&gt;
    &lt;value&gt;551280&lt;/value&gt;
    &lt;text&gt;551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</si>
  <si>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&lt;destination_address&gt;1000 Rue Child, Coaticook, QC J1A 2S5, Canada&lt;/destination_address&gt;
 &lt;row&gt;
  &lt;element&gt;
   &lt;status&gt;OK&lt;/status&gt;
   &lt;duration&gt;
    &lt;value&gt;9202&lt;/value&gt;
    &lt;text&gt;2 hours 33 mins&lt;/text&gt;
   &lt;/duration&gt;
   &lt;distance&gt;
    &lt;value&gt;257374&lt;/value&gt;
    &lt;text&gt;257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</si>
  <si>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&lt;destination_address&gt;1000 Rue Child, Coaticook, QC J1A 2S5, Canada&lt;/destination_address&gt;
 &lt;row&gt;
  &lt;element&gt;
   &lt;status&gt;OK&lt;/status&gt;
   &lt;duration&gt;
    &lt;value&gt;7575&lt;/value&gt;
    &lt;text&gt;2 hours 6 mins&lt;/text&gt;
   &lt;/duration&gt;
   &lt;distance&gt;
    &lt;value&gt;174813&lt;/value&gt;
    &lt;text&gt;175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</si>
  <si>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&lt;destination_address&gt;1000 Rue Child, Coaticook, QC J1A 2S5, Canada&lt;/destination_address&gt;
 &lt;row&gt;
  &lt;element&gt;
   &lt;status&gt;OK&lt;/status&gt;
   &lt;duration&gt;
    &lt;value&gt;169477&lt;/value&gt;
    &lt;text&gt;1 day 23 hours&lt;/text&gt;
   &lt;/duration&gt;
   &lt;distance&gt;
    &lt;value&gt;5037377&lt;/value&gt;
    &lt;text&gt;5,037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</si>
  <si>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&lt;destination_address&gt;1000 Rue Child, Coaticook, QC J1A 2S5, Canada&lt;/destination_address&gt;
 &lt;row&gt;
  &lt;element&gt;
   &lt;status&gt;OK&lt;/status&gt;
   &lt;duration&gt;
    &lt;value&gt;24679&lt;/value&gt;
    &lt;text&gt;6 hours 51 mins&lt;/text&gt;
   &lt;/duration&gt;
   &lt;distance&gt;
    &lt;value&gt;711020&lt;/value&gt;
    &lt;text&gt;711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</si>
  <si>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&lt;destination_address&gt;540 20e Avenue, Lachine, QC H8S 3T1, Canada&lt;/destination_address&gt;
 &lt;row&gt;
  &lt;element&gt;
   &lt;status&gt;OK&lt;/status&gt;
   &lt;duration&gt;
    &lt;value&gt;9624&lt;/value&gt;
    &lt;text&gt;2 hours 40 mins&lt;/text&gt;
   &lt;/duration&gt;
   &lt;distance&gt;
    &lt;value&gt;261886&lt;/value&gt;
    &lt;text&gt;262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</si>
  <si>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&lt;destination_address&gt;540 20e Avenue, Lachine, QC H8S 3T1, Canada&lt;/destination_address&gt;
 &lt;row&gt;
  &lt;element&gt;
   &lt;status&gt;OK&lt;/status&gt;
   &lt;duration&gt;
    &lt;value&gt;1796&lt;/value&gt;
    &lt;text&gt;30 mins&lt;/text&gt;
   &lt;/duration&gt;
   &lt;distance&gt;
    &lt;value&gt;21428&lt;/value&gt;
    &lt;text&gt;21.4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</si>
  <si>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&lt;destination_address&gt;540 20e Avenue, Lachine, QC H8S 3T1, Canada&lt;/destination_address&gt;
 &lt;row&gt;
  &lt;element&gt;
   &lt;status&gt;OK&lt;/status&gt;
   &lt;duration&gt;
    &lt;value&gt;163288&lt;/value&gt;
    &lt;text&gt;1 day 21 hours&lt;/text&gt;
   &lt;/duration&gt;
   &lt;distance&gt;
    &lt;value&gt;4857113&lt;/value&gt;
    &lt;text&gt;4,857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</si>
  <si>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&lt;destination_address&gt;540 20e Avenue, Lachine, QC H8S 3T1, Canada&lt;/destination_address&gt;
 &lt;row&gt;
  &lt;element&gt;
   &lt;status&gt;OK&lt;/status&gt;
   &lt;duration&gt;
    &lt;value&gt;18491&lt;/value&gt;
    &lt;text&gt;5 hours 8 mins&lt;/text&gt;
   &lt;/duration&gt;
   &lt;distance&gt;
    &lt;value&gt;530757&lt;/value&gt;
    &lt;text&gt;531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</si>
  <si>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&lt;destination_address&gt;290 Rue Laurier, Saint-Apollinaire, QC G0S 2E0, Canada&lt;/destination_address&gt;
 &lt;row&gt;
  &lt;element&gt;
   &lt;status&gt;OK&lt;/status&gt;
   &lt;duration&gt;
    &lt;value&gt;1255&lt;/value&gt;
    &lt;text&gt;21 mins&lt;/text&gt;
   &lt;/duration&gt;
   &lt;distance&gt;
    &lt;value&gt;29159&lt;/value&gt;
    &lt;text&gt;29.2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</si>
  <si>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&lt;destination_address&gt;290 Rue Laurier, Saint-Apollinaire, QC G0S 2E0, Canada&lt;/destination_address&gt;
 &lt;row&gt;
  &lt;element&gt;
   &lt;status&gt;OK&lt;/status&gt;
   &lt;duration&gt;
    &lt;value&gt;8753&lt;/value&gt;
    &lt;text&gt;2 hours 26 mins&lt;/text&gt;
   &lt;/duration&gt;
   &lt;distance&gt;
    &lt;value&gt;220113&lt;/value&gt;
    &lt;text&gt;220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</si>
  <si>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&lt;destination_address&gt;290 Rue Laurier, Saint-Apollinaire, QC G0S 2E0, Canada&lt;/destination_address&gt;
 &lt;row&gt;
  &lt;element&gt;
   &lt;status&gt;OK&lt;/status&gt;
   &lt;duration&gt;
    &lt;value&gt;171041&lt;/value&gt;
    &lt;text&gt;2 days 0 hours&lt;/text&gt;
   &lt;/duration&gt;
   &lt;distance&gt;
    &lt;value&gt;5096215&lt;/value&gt;
    &lt;text&gt;5,096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</si>
  <si>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&lt;destination_address&gt;290 Rue Laurier, Saint-Apollinaire, QC G0S 2E0, Canada&lt;/destination_address&gt;
 &lt;row&gt;
  &lt;element&gt;
   &lt;status&gt;OK&lt;/status&gt;
   &lt;duration&gt;
    &lt;value&gt;26244&lt;/value&gt;
    &lt;text&gt;7 hours 17 mins&lt;/text&gt;
   &lt;/duration&gt;
   &lt;distance&gt;
    &lt;value&gt;769859&lt;/value&gt;
    &lt;text&gt;770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</si>
  <si>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&lt;destination_address&gt;235 Chemin de St Robert, Saint-Robert, QC J0G 1S0, Canada&lt;/destination_address&gt;
 &lt;row&gt;
  &lt;element&gt;
   &lt;status&gt;OK&lt;/status&gt;
   &lt;duration&gt;
    &lt;value&gt;7340&lt;/value&gt;
    &lt;text&gt;2 hours 2 mins&lt;/text&gt;
   &lt;/duration&gt;
   &lt;distance&gt;
    &lt;value&gt;197815&lt;/value&gt;
    &lt;text&gt;198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</si>
  <si>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&lt;destination_address&gt;235 Chemin de St Robert, Saint-Robert, QC J0G 1S0, Canada&lt;/destination_address&gt;
 &lt;row&gt;
  &lt;element&gt;
   &lt;status&gt;OK&lt;/status&gt;
   &lt;duration&gt;
    &lt;value&gt;5010&lt;/value&gt;
    &lt;text&gt;1 hour 24 mins&lt;/text&gt;
   &lt;/duration&gt;
   &lt;distance&gt;
    &lt;value&gt;102672&lt;/value&gt;
    &lt;text&gt;103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</si>
  <si>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&lt;destination_address&gt;235 Chemin de St Robert, Saint-Robert, QC J0G 1S0, Canada&lt;/destination_address&gt;
 &lt;row&gt;
  &lt;element&gt;
   &lt;status&gt;OK&lt;/status&gt;
   &lt;duration&gt;
    &lt;value&gt;167232&lt;/value&gt;
    &lt;text&gt;1 day 22 hours&lt;/text&gt;
   &lt;/duration&gt;
   &lt;distance&gt;
    &lt;value&gt;4978315&lt;/value&gt;
    &lt;text&gt;4,978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</si>
  <si>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&lt;destination_address&gt;235 Chemin de St Robert, Saint-Robert, QC J0G 1S0, Canada&lt;/destination_address&gt;
 &lt;row&gt;
  &lt;element&gt;
   &lt;status&gt;OK&lt;/status&gt;
   &lt;duration&gt;
    &lt;value&gt;22435&lt;/value&gt;
    &lt;text&gt;6 hours 14 mins&lt;/text&gt;
   &lt;/duration&gt;
   &lt;distance&gt;
    &lt;value&gt;651958&lt;/value&gt;
    &lt;text&gt;652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</si>
  <si>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&lt;destination_address&gt;825 Rue Deslauriers, Saint-Laurent, QC H4N 1X3, Canada&lt;/destination_address&gt;
 &lt;row&gt;
  &lt;element&gt;
   &lt;status&gt;OK&lt;/status&gt;
   &lt;duration&gt;
    &lt;value&gt;9131&lt;/value&gt;
    &lt;text&gt;2 hours 32 mins&lt;/text&gt;
   &lt;/duration&gt;
   &lt;distance&gt;
    &lt;value&gt;249025&lt;/value&gt;
    &lt;text&gt;249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</si>
  <si>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&lt;destination_address&gt;825 Rue Deslauriers, Saint-Laurent, QC H4N 1X3, Canada&lt;/destination_address&gt;
 &lt;row&gt;
  &lt;element&gt;
   &lt;status&gt;OK&lt;/status&gt;
   &lt;duration&gt;
    &lt;value&gt;947&lt;/value&gt;
    &lt;text&gt;16 mins&lt;/text&gt;
   &lt;/duration&gt;
   &lt;distance&gt;
    &lt;value&gt;6788&lt;/value&gt;
    &lt;text&gt;6.8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</si>
  <si>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&lt;destination_address&gt;825 Rue Deslauriers, Saint-Laurent, QC H4N 1X3, Canada&lt;/destination_address&gt;
 &lt;row&gt;
  &lt;element&gt;
   &lt;status&gt;OK&lt;/status&gt;
   &lt;duration&gt;
    &lt;value&gt;163502&lt;/value&gt;
    &lt;text&gt;1 day 21 hours&lt;/text&gt;
   &lt;/duration&gt;
   &lt;distance&gt;
    &lt;value&gt;4869475&lt;/value&gt;
    &lt;text&gt;4,869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</si>
  <si>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&lt;destination_address&gt;825 Rue Deslauriers, Saint-Laurent, QC H4N 1X3, Canada&lt;/destination_address&gt;
 &lt;row&gt;
  &lt;element&gt;
   &lt;status&gt;OK&lt;/status&gt;
   &lt;duration&gt;
    &lt;value&gt;18705&lt;/value&gt;
    &lt;text&gt;5 hours 12 mins&lt;/text&gt;
   &lt;/duration&gt;
   &lt;distance&gt;
    &lt;value&gt;543119&lt;/value&gt;
    &lt;text&gt;543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</si>
  <si>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&lt;destination_address&gt;780 Rue Nobel, Saint-Jérôme, QC J7Z 7A3, Canada&lt;/destination_address&gt;
 &lt;row&gt;
  &lt;element&gt;
   &lt;status&gt;OK&lt;/status&gt;
   &lt;duration&gt;
    &lt;value&gt;10006&lt;/value&gt;
    &lt;text&gt;2 hours 47 mins&lt;/text&gt;
   &lt;/duration&gt;
   &lt;distance&gt;
    &lt;value&gt;284533&lt;/value&gt;
    &lt;text&gt;285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</si>
  <si>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&lt;destination_address&gt;780 Rue Nobel, Saint-Jérôme, QC J7Z 7A3, Canada&lt;/destination_address&gt;
 &lt;row&gt;
  &lt;element&gt;
   &lt;status&gt;OK&lt;/status&gt;
   &lt;duration&gt;
    &lt;value&gt;2297&lt;/value&gt;
    &lt;text&gt;38 mins&lt;/text&gt;
   &lt;/duration&gt;
   &lt;distance&gt;
    &lt;value&gt;45375&lt;/value&gt;
    &lt;text&gt;45.4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</si>
  <si>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&lt;destination_address&gt;780 Rue Nobel, Saint-Jérôme, QC J7Z 7A3, Canada&lt;/destination_address&gt;
 &lt;row&gt;
  &lt;element&gt;
   &lt;status&gt;OK&lt;/status&gt;
   &lt;duration&gt;
    &lt;value&gt;164412&lt;/value&gt;
    &lt;text&gt;1 day 22 hours&lt;/text&gt;
   &lt;/duration&gt;
   &lt;distance&gt;
    &lt;value&gt;4899051&lt;/value&gt;
    &lt;text&gt;4,899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</si>
  <si>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&lt;destination_address&gt;780 Rue Nobel, Saint-Jérôme, QC J7Z 7A3, Canada&lt;/destination_address&gt;
 &lt;row&gt;
  &lt;element&gt;
   &lt;status&gt;OK&lt;/status&gt;
   &lt;duration&gt;
    &lt;value&gt;19614&lt;/value&gt;
    &lt;text&gt;5 hours 27 mins&lt;/text&gt;
   &lt;/duration&gt;
   &lt;distance&gt;
    &lt;value&gt;572694&lt;/value&gt;
    &lt;text&gt;573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</si>
  <si>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&lt;destination_address&gt;1610 Pl. de Lierre, Laval, QC H7G 4X7, Canada&lt;/destination_address&gt;
 &lt;row&gt;
  &lt;element&gt;
   &lt;status&gt;OK&lt;/status&gt;
   &lt;duration&gt;
    &lt;value&gt;9199&lt;/value&gt;
    &lt;text&gt;2 hours 33 mins&lt;/text&gt;
   &lt;/duration&gt;
   &lt;distance&gt;
    &lt;value&gt;254420&lt;/value&gt;
    &lt;text&gt;254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</si>
  <si>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&lt;destination_address&gt;1610 Pl. de Lierre, Laval, QC H7G 4X7, Canada&lt;/destination_address&gt;
 &lt;row&gt;
  &lt;element&gt;
   &lt;status&gt;OK&lt;/status&gt;
   &lt;duration&gt;
    &lt;value&gt;1551&lt;/value&gt;
    &lt;text&gt;26 mins&lt;/text&gt;
   &lt;/duration&gt;
   &lt;distance&gt;
    &lt;value&gt;22019&lt;/value&gt;
    &lt;text&gt;22.0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</si>
  <si>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&lt;destination_address&gt;1610 Pl. de Lierre, Laval, QC H7G 4X7, Canada&lt;/destination_address&gt;
 &lt;row&gt;
  &lt;element&gt;
   &lt;status&gt;OK&lt;/status&gt;
   &lt;duration&gt;
    &lt;value&gt;163786&lt;/value&gt;
    &lt;text&gt;1 day 21 hours&lt;/text&gt;
   &lt;/duration&gt;
   &lt;distance&gt;
    &lt;value&gt;4879768&lt;/value&gt;
    &lt;text&gt;4,880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</si>
  <si>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&lt;destination_address&gt;1610 Pl. de Lierre, Laval, QC H7G 4X7, Canada&lt;/destination_address&gt;
 &lt;row&gt;
  &lt;element&gt;
   &lt;status&gt;OK&lt;/status&gt;
   &lt;duration&gt;
    &lt;value&gt;18989&lt;/value&gt;
    &lt;text&gt;5 hours 16 mins&lt;/text&gt;
   &lt;/duration&gt;
   &lt;distance&gt;
    &lt;value&gt;553411&lt;/value&gt;
    &lt;text&gt;553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</si>
  <si>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&lt;destination_address&gt;8500 Rue Saint-Patrick, LaSalle, QC H8N 1V1, Canada&lt;/destination_address&gt;
 &lt;row&gt;
  &lt;element&gt;
   &lt;status&gt;OK&lt;/status&gt;
   &lt;duration&gt;
    &lt;value&gt;9346&lt;/value&gt;
    &lt;text&gt;2 hours 36 mins&lt;/text&gt;
   &lt;/duration&gt;
   &lt;distance&gt;
    &lt;value&gt;257126&lt;/value&gt;
    &lt;text&gt;257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</si>
  <si>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&lt;destination_address&gt;8500 Rue Saint-Patrick, LaSalle, QC H8N 1V1, Canada&lt;/destination_address&gt;
 &lt;row&gt;
  &lt;element&gt;
   &lt;status&gt;OK&lt;/status&gt;
   &lt;duration&gt;
    &lt;value&gt;1628&lt;/value&gt;
    &lt;text&gt;27 mins&lt;/text&gt;
   &lt;/duration&gt;
   &lt;distance&gt;
    &lt;value&gt;13699&lt;/value&gt;
    &lt;text&gt;13.7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</si>
  <si>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&lt;destination_address&gt;8500 Rue Saint-Patrick, LaSalle, QC H8N 1V1, Canada&lt;/destination_address&gt;
 &lt;row&gt;
  &lt;element&gt;
   &lt;status&gt;OK&lt;/status&gt;
   &lt;duration&gt;
    &lt;value&gt;163404&lt;/value&gt;
    &lt;text&gt;1 day 21 hours&lt;/text&gt;
   &lt;/duration&gt;
   &lt;distance&gt;
    &lt;value&gt;4861034&lt;/value&gt;
    &lt;text&gt;4,861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</si>
  <si>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&lt;destination_address&gt;8500 Rue Saint-Patrick, LaSalle, QC H8N 1V1, Canada&lt;/destination_address&gt;
 &lt;row&gt;
  &lt;element&gt;
   &lt;status&gt;OK&lt;/status&gt;
   &lt;duration&gt;
    &lt;value&gt;18606&lt;/value&gt;
    &lt;text&gt;5 hours 10 mins&lt;/text&gt;
   &lt;/duration&gt;
   &lt;distance&gt;
    &lt;value&gt;534677&lt;/value&gt;
    &lt;text&gt;535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</si>
  <si>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&lt;destination_address&gt;55 Thompson Dr, Cambridge, ON N1T 2E4, Canada&lt;/destination_address&gt;
 &lt;row&gt;
  &lt;element&gt;
   &lt;status&gt;OK&lt;/status&gt;
   &lt;duration&gt;
    &lt;value&gt;29750&lt;/value&gt;
    &lt;text&gt;8 hours 16 mins&lt;/text&gt;
   &lt;/duration&gt;
   &lt;distance&gt;
    &lt;value&gt;870298&lt;/value&gt;
    &lt;text&gt;870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</si>
  <si>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&lt;destination_address&gt;55 Thompson Dr, Cambridge, ON N1T 2E4, Canada&lt;/destination_address&gt;
 &lt;row&gt;
  &lt;element&gt;
   &lt;status&gt;OK&lt;/status&gt;
   &lt;duration&gt;
    &lt;value&gt;21642&lt;/value&gt;
    &lt;text&gt;6 hours 1 min&lt;/text&gt;
   &lt;/duration&gt;
   &lt;distance&gt;
    &lt;value&gt;616708&lt;/value&gt;
    &lt;text&gt;617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</si>
  <si>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&lt;destination_address&gt;55 Thompson Dr, Cambridge, ON N1T 2E4, Canada&lt;/destination_address&gt;
 &lt;row&gt;
  &lt;element&gt;
   &lt;status&gt;OK&lt;/status&gt;
   &lt;duration&gt;
    &lt;value&gt;142725&lt;/value&gt;
    &lt;text&gt;1 day 16 hours&lt;/text&gt;
   &lt;/duration&gt;
   &lt;distance&gt;
    &lt;value&gt;4255506&lt;/value&gt;
    &lt;text&gt;4,256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</si>
  <si>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&lt;destination_address&gt;55 Thompson Dr, Cambridge, ON N1T 2E4, Canada&lt;/destination_address&gt;
 &lt;row&gt;
  &lt;element&gt;
   &lt;status&gt;OK&lt;/status&gt;
   &lt;duration&gt;
    &lt;value&gt;3399&lt;/value&gt;
    &lt;text&gt;57 mins&lt;/text&gt;
   &lt;/duration&gt;
   &lt;distance&gt;
    &lt;value&gt;89699&lt;/value&gt;
    &lt;text&gt;89.7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</si>
  <si>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&lt;destination_address&gt;8600 Rue Jeanne-Mance, Montréal, QC H2P 2S6, Canada&lt;/destination_address&gt;
 &lt;row&gt;
  &lt;element&gt;
   &lt;status&gt;OK&lt;/status&gt;
   &lt;duration&gt;
    &lt;value&gt;9012&lt;/value&gt;
    &lt;text&gt;2 hours 30 mins&lt;/text&gt;
   &lt;/duration&gt;
   &lt;distance&gt;
    &lt;value&gt;246722&lt;/value&gt;
    &lt;text&gt;247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</si>
  <si>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&lt;destination_address&gt;8600 Rue Jeanne-Mance, Montréal, QC H2P 2S6, Canada&lt;/destination_address&gt;
 &lt;row&gt;
  &lt;element&gt;
   &lt;status&gt;OK&lt;/status&gt;
   &lt;duration&gt;
    &lt;value&gt;869&lt;/value&gt;
    &lt;text&gt;14 mins&lt;/text&gt;
   &lt;/duration&gt;
   &lt;distance&gt;
    &lt;value&gt;4825&lt;/value&gt;
    &lt;text&gt;4.8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</si>
  <si>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&lt;destination_address&gt;8600 Rue Jeanne-Mance, Montréal, QC H2P 2S6, Canada&lt;/destination_address&gt;
 &lt;row&gt;
  &lt;element&gt;
   &lt;status&gt;OK&lt;/status&gt;
   &lt;duration&gt;
    &lt;value&gt;163391&lt;/value&gt;
    &lt;text&gt;1 day 21 hours&lt;/text&gt;
   &lt;/duration&gt;
   &lt;distance&gt;
    &lt;value&gt;4868623&lt;/value&gt;
    &lt;text&gt;4,869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</si>
  <si>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&lt;destination_address&gt;8600 Rue Jeanne-Mance, Montréal, QC H2P 2S6, Canada&lt;/destination_address&gt;
 &lt;row&gt;
  &lt;element&gt;
   &lt;status&gt;OK&lt;/status&gt;
   &lt;duration&gt;
    &lt;value&gt;18594&lt;/value&gt;
    &lt;text&gt;5 hours 10 mins&lt;/text&gt;
   &lt;/duration&gt;
   &lt;distance&gt;
    &lt;value&gt;542266&lt;/value&gt;
    &lt;text&gt;542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</si>
  <si>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&lt;destination_address&gt;9452 Bd du Golf, Anjou, QC H1J 3A1, Canada&lt;/destination_address&gt;
 &lt;row&gt;
  &lt;element&gt;
   &lt;status&gt;OK&lt;/status&gt;
   &lt;duration&gt;
    &lt;value&gt;8624&lt;/value&gt;
    &lt;text&gt;2 hours 24 mins&lt;/text&gt;
   &lt;/duration&gt;
   &lt;distance&gt;
    &lt;value&gt;246057&lt;/value&gt;
    &lt;text&gt;246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</si>
  <si>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&lt;destination_address&gt;9452 Bd du Golf, Anjou, QC H1J 3A1, Canada&lt;/destination_address&gt;
 &lt;row&gt;
  &lt;element&gt;
   &lt;status&gt;OK&lt;/status&gt;
   &lt;duration&gt;
    &lt;value&gt;1554&lt;/value&gt;
    &lt;text&gt;26 mins&lt;/text&gt;
   &lt;/duration&gt;
   &lt;distance&gt;
    &lt;value&gt;19599&lt;/value&gt;
    &lt;text&gt;19.6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</si>
  <si>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&lt;destination_address&gt;9452 Bd du Golf, Anjou, QC H1J 3A1, Canada&lt;/destination_address&gt;
 &lt;row&gt;
  &lt;element&gt;
   &lt;status&gt;OK&lt;/status&gt;
   &lt;duration&gt;
    &lt;value&gt;164036&lt;/value&gt;
    &lt;text&gt;1 day 22 hours&lt;/text&gt;
   &lt;/duration&gt;
   &lt;distance&gt;
    &lt;value&gt;4882284&lt;/value&gt;
    &lt;text&gt;4,882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</si>
  <si>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&lt;destination_address&gt;9452 Bd du Golf, Anjou, QC H1J 3A1, Canada&lt;/destination_address&gt;
 &lt;row&gt;
  &lt;element&gt;
   &lt;status&gt;OK&lt;/status&gt;
   &lt;duration&gt;
    &lt;value&gt;19239&lt;/value&gt;
    &lt;text&gt;5 hours 21 mins&lt;/text&gt;
   &lt;/duration&gt;
   &lt;distance&gt;
    &lt;value&gt;555927&lt;/value&gt;
    &lt;text&gt;556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</si>
  <si>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&lt;destination_address&gt;1020 Bd Industriel, Granby, QC J2J 1A4, Canada&lt;/destination_address&gt;
 &lt;row&gt;
  &lt;element&gt;
   &lt;status&gt;OK&lt;/status&gt;
   &lt;duration&gt;
    &lt;value&gt;8312&lt;/value&gt;
    &lt;text&gt;2 hours 19 mins&lt;/text&gt;
   &lt;/duration&gt;
   &lt;distance&gt;
    &lt;value&gt;219487&lt;/value&gt;
    &lt;text&gt;219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</si>
  <si>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&lt;destination_address&gt;1020 Bd Industriel, Granby, QC J2J 1A4, Canada&lt;/destination_address&gt;
 &lt;row&gt;
  &lt;element&gt;
   &lt;status&gt;OK&lt;/status&gt;
   &lt;duration&gt;
    &lt;value&gt;4102&lt;/value&gt;
    &lt;text&gt;1 hour 8 mins&lt;/text&gt;
   &lt;/duration&gt;
   &lt;distance&gt;
    &lt;value&gt;83897&lt;/value&gt;
    &lt;text&gt;83.9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</si>
  <si>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&lt;destination_address&gt;1020 Bd Industriel, Granby, QC J2J 1A4, Canada&lt;/destination_address&gt;
 &lt;row&gt;
  &lt;element&gt;
   &lt;status&gt;OK&lt;/status&gt;
   &lt;duration&gt;
    &lt;value&gt;166003&lt;/value&gt;
    &lt;text&gt;1 day 22 hours&lt;/text&gt;
   &lt;/duration&gt;
   &lt;distance&gt;
    &lt;value&gt;4946460&lt;/value&gt;
    &lt;text&gt;4,946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</si>
  <si>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&lt;destination_address&gt;1020 Bd Industriel, Granby, QC J2J 1A4, Canada&lt;/destination_address&gt;
 &lt;row&gt;
  &lt;element&gt;
   &lt;status&gt;OK&lt;/status&gt;
   &lt;duration&gt;
    &lt;value&gt;21206&lt;/value&gt;
    &lt;text&gt;5 hours 53 mins&lt;/text&gt;
   &lt;/duration&gt;
   &lt;distance&gt;
    &lt;value&gt;620104&lt;/value&gt;
    &lt;text&gt;620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</si>
  <si>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&lt;destination_address&gt;9900 Bd du Golf, Anjou, QC H1J 2Y7, Canada&lt;/destination_address&gt;
 &lt;row&gt;
  &lt;element&gt;
   &lt;status&gt;OK&lt;/status&gt;
   &lt;duration&gt;
    &lt;value&gt;8651&lt;/value&gt;
    &lt;text&gt;2 hours 24 mins&lt;/text&gt;
   &lt;/duration&gt;
   &lt;distance&gt;
    &lt;value&gt;246467&lt;/value&gt;
    &lt;text&gt;246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</si>
  <si>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&lt;destination_address&gt;9900 Bd du Golf, Anjou, QC H1J 2Y7, Canada&lt;/destination_address&gt;
 &lt;row&gt;
  &lt;element&gt;
   &lt;status&gt;OK&lt;/status&gt;
   &lt;duration&gt;
    &lt;value&gt;1581&lt;/value&gt;
    &lt;text&gt;26 mins&lt;/text&gt;
   &lt;/duration&gt;
   &lt;distance&gt;
    &lt;value&gt;20008&lt;/value&gt;
    &lt;text&gt;20.0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</si>
  <si>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&lt;destination_address&gt;9900 Bd du Golf, Anjou, QC H1J 2Y7, Canada&lt;/destination_address&gt;
 &lt;row&gt;
  &lt;element&gt;
   &lt;status&gt;OK&lt;/status&gt;
   &lt;duration&gt;
    &lt;value&gt;164064&lt;/value&gt;
    &lt;text&gt;1 day 22 hours&lt;/text&gt;
   &lt;/duration&gt;
   &lt;distance&gt;
    &lt;value&gt;4882693&lt;/value&gt;
    &lt;text&gt;4,883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</si>
  <si>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&lt;destination_address&gt;9900 Bd du Golf, Anjou, QC H1J 2Y7, Canada&lt;/destination_address&gt;
 &lt;row&gt;
  &lt;element&gt;
   &lt;status&gt;OK&lt;/status&gt;
   &lt;duration&gt;
    &lt;value&gt;19267&lt;/value&gt;
    &lt;text&gt;5 hours 21 mins&lt;/text&gt;
   &lt;/duration&gt;
   &lt;distance&gt;
    &lt;value&gt;556337&lt;/value&gt;
    &lt;text&gt;556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</si>
  <si>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&lt;destination_address&gt;2828 Bd Laurier, Québec, QC G1V 0B3,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</si>
  <si>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&lt;destination_address&gt;2828 Bd Laurier, Québec, QC G1V 0B3, Canada&lt;/destination_address&gt;
 &lt;row&gt;
  &lt;element&gt;
   &lt;status&gt;OK&lt;/status&gt;
   &lt;duration&gt;
    &lt;value&gt;9731&lt;/value&gt;
    &lt;text&gt;2 hours 42 mins&lt;/text&gt;
   &lt;/duration&gt;
   &lt;distance&gt;
    &lt;value&gt;246276&lt;/value&gt;
    &lt;text&gt;246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</si>
  <si>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&lt;destination_address&gt;2828 Bd Laurier, Québec, QC G1V 0B3, Canada&lt;/destination_address&gt;
 &lt;row&gt;
  &lt;element&gt;
   &lt;status&gt;OK&lt;/status&gt;
   &lt;duration&gt;
    &lt;value&gt;172018&lt;/value&gt;
    &lt;text&gt;2 days 0 hours&lt;/text&gt;
   &lt;/duration&gt;
   &lt;distance&gt;
    &lt;value&gt;5122379&lt;/value&gt;
    &lt;text&gt;5,122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</si>
  <si>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&lt;destination_address&gt;2828 Bd Laurier, Québec, QC G1V 0B3, Canada&lt;/destination_address&gt;
 &lt;row&gt;
  &lt;element&gt;
   &lt;status&gt;OK&lt;/status&gt;
   &lt;duration&gt;
    &lt;value&gt;27221&lt;/value&gt;
    &lt;text&gt;7 hours 34 mins&lt;/text&gt;
   &lt;/duration&gt;
   &lt;distance&gt;
    &lt;value&gt;796022&lt;/value&gt;
    &lt;text&gt;796 km&lt;/text&gt;
   &lt;/distance&gt;
  &lt;/element&gt;
 &lt;/row&gt;
&lt;/DistanceMatrixResponse&gt;
</t>
  </si>
  <si>
    <t>https://ww14.autotask.net/Mvc/Projects/ProjectDetail.mvc/ProjectDetail?gridConfiguration=Outline&amp;initialContentPage=Summary&amp;projectId=899</t>
  </si>
  <si>
    <t>Modern Workplace</t>
  </si>
  <si>
    <t>P20221109.0001</t>
  </si>
  <si>
    <t>Installation Azure</t>
  </si>
  <si>
    <t>Equipements de Cuisine Novon (Canada) Ltd DBA Eurodib inc.</t>
  </si>
  <si>
    <t>P20230311.0001</t>
  </si>
  <si>
    <t>Eurodib-Implantation SAP+WMS</t>
  </si>
  <si>
    <t>Sauvageau, Patrick</t>
  </si>
  <si>
    <t>P20230406.0001</t>
  </si>
  <si>
    <t>Eurodib - Modern Workplace</t>
  </si>
  <si>
    <t>P20230203.0001</t>
  </si>
  <si>
    <t>Installation deux instances Azure</t>
  </si>
  <si>
    <t>Eurodib-Implantation SAP V10 - Hana - B1UP</t>
  </si>
  <si>
    <t>Installation de deux nouveaux serveurs dans Azure</t>
  </si>
  <si>
    <t>https://www.google.fr/maps/dir/797+Av+Champagneur,+Outremont,+QC+H2V+3P9,+Canada/Eurodib+Inc,+120+Rue+de+la+Barre,+Boucherville,+QC+J4B+1K7/@45.5538378,-73.5716546,13z/data=!3m1!4b1!4m14!4m13!1m5!1m1!1s0x4cc9199df415bf25:0xcb07aea7e269d177!2m2!1d-73.6130895!2d45.5219584!1m5!1m1!1s0x4cc91d2f1ce9d145:0xedb589aa7dc0d46f!2m2!1d-73.460056!2d45.583753!3e0!5m1!1e1?hl=fr</t>
  </si>
  <si>
    <t>https://ww14.autotask.net/Mvc/Projects/ProjectDetail.mvc/ProjectDetail?gridConfiguration=Outline&amp;initialContentPage=Summary&amp;projectId=890</t>
  </si>
  <si>
    <t>120 rue de La Barre, Boucherville QC J4B 2X7</t>
  </si>
  <si>
    <t>https://ww14.autotask.net/Mvc/Projects/ProjectDetail.mvc/ProjectDetail?gridConfiguration=Outline&amp;initialContentPage=Summary&amp;projectId=876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</si>
  <si>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&lt;destination_address&gt;1610 Pl. de Lierre, Laval, QC H7G 4X7, Canada&lt;/destination_address&gt;
 &lt;row&gt;
  &lt;element&gt;
   &lt;status&gt;OK&lt;/status&gt;
   &lt;duration&gt;
    &lt;value&gt;9176&lt;/value&gt;
    &lt;text&gt;2 hours 33 mins&lt;/text&gt;
   &lt;/duration&gt;
   &lt;distance&gt;
    &lt;value&gt;254420&lt;/value&gt;
    &lt;text&gt;254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</si>
  <si>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&lt;destination_address&gt;1610 Pl. de Lierre, Laval, QC H7G 4X7, Canada&lt;/destination_address&gt;
 &lt;row&gt;
  &lt;element&gt;
   &lt;status&gt;OK&lt;/status&gt;
   &lt;duration&gt;
    &lt;value&gt;1567&lt;/value&gt;
    &lt;text&gt;26 mins&lt;/text&gt;
   &lt;/duration&gt;
   &lt;distance&gt;
    &lt;value&gt;22019&lt;/value&gt;
    &lt;text&gt;22.0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</si>
  <si>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&lt;destination_address&gt;1610 Pl. de Lierre, Laval, QC H7G 4X7, Canada&lt;/destination_address&gt;
 &lt;row&gt;
  &lt;element&gt;
   &lt;status&gt;OK&lt;/status&gt;
   &lt;duration&gt;
    &lt;value&gt;163916&lt;/value&gt;
    &lt;text&gt;1 day 22 hours&lt;/text&gt;
   &lt;/duration&gt;
   &lt;distance&gt;
    &lt;value&gt;4560059&lt;/value&gt;
    &lt;text&gt;4,560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</si>
  <si>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&lt;destination_address&gt;1610 Pl. de Lierre, Laval, QC H7G 4X7, Canada&lt;/destination_address&gt;
 &lt;row&gt;
  &lt;element&gt;
   &lt;status&gt;OK&lt;/status&gt;
   &lt;duration&gt;
    &lt;value&gt;19030&lt;/value&gt;
    &lt;text&gt;5 hours 17 mins&lt;/text&gt;
   &lt;/duration&gt;
   &lt;distance&gt;
    &lt;value&gt;553411&lt;/value&gt;
    &lt;text&gt;553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</si>
  <si>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&lt;destination_address&gt;120 Rue de la Barre, Boucherville, QC J4B 2X7, Canada&lt;/destination_address&gt;
 &lt;row&gt;
  &lt;element&gt;
   &lt;status&gt;OK&lt;/status&gt;
   &lt;duration&gt;
    &lt;value&gt;8040&lt;/value&gt;
    &lt;text&gt;2 hours 14 mins&lt;/text&gt;
   &lt;/duration&gt;
   &lt;distance&gt;
    &lt;value&gt;228604&lt;/value&gt;
    &lt;text&gt;229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</si>
  <si>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&lt;destination_address&gt;120 Rue de la Barre, Boucherville, QC J4B 2X7, Canada&lt;/destination_address&gt;
 &lt;row&gt;
  &lt;element&gt;
   &lt;status&gt;OK&lt;/status&gt;
   &lt;duration&gt;
    &lt;value&gt;1991&lt;/value&gt;
    &lt;text&gt;33 mins&lt;/text&gt;
   &lt;/duration&gt;
   &lt;distance&gt;
    &lt;value&gt;20897&lt;/value&gt;
    &lt;text&gt;20.9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</si>
  <si>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&lt;destination_address&gt;120 Rue de la Barre, Boucherville, QC J4B 2X7, Canada&lt;/destination_address&gt;
 &lt;row&gt;
  &lt;element&gt;
   &lt;status&gt;OK&lt;/status&gt;
   &lt;duration&gt;
    &lt;value&gt;164658&lt;/value&gt;
    &lt;text&gt;1 day 22 hours&lt;/text&gt;
   &lt;/duration&gt;
   &lt;distance&gt;
    &lt;value&gt;4567919&lt;/value&gt;
    &lt;text&gt;4,568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</si>
  <si>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&lt;destination_address&gt;120 Rue de la Barre, Boucherville, QC J4B 2X7, Canada&lt;/destination_address&gt;
 &lt;row&gt;
  &lt;element&gt;
   &lt;status&gt;OK&lt;/status&gt;
   &lt;duration&gt;
    &lt;value&gt;19772&lt;/value&gt;
    &lt;text&gt;5 hours 30 mins&lt;/text&gt;
   &lt;/duration&gt;
   &lt;distance&gt;
    &lt;value&gt;561271&lt;/value&gt;
    &lt;text&gt;561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</si>
  <si>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&lt;origin_address&gt;700-2828 Bd Laurier, Québec, QC G1V 0E2, Canada&lt;/origin_address&gt;
 &lt;destination_address&gt;8600 Rue Jeanne-Mance, Montréal, QC H2P 2S6, Canada&lt;/destination_address&gt;
 &lt;row&gt;
  &lt;element&gt;
   &lt;status&gt;OK&lt;/status&gt;
   &lt;duration&gt;
    &lt;value&gt;9193&lt;/value&gt;
    &lt;text&gt;2 hours 33 mins&lt;/text&gt;
   &lt;/duration&gt;
   &lt;distance&gt;
    &lt;value&gt;246640&lt;/value&gt;
    &lt;text&gt;247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</si>
  <si>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&lt;destination_address&gt;8600 Rue Jeanne-Mance, Montréal, QC H2P 2S6, Canada&lt;/destination_address&gt;
 &lt;row&gt;
  &lt;element&gt;
   &lt;status&gt;OK&lt;/status&gt;
   &lt;duration&gt;
    &lt;value&gt;876&lt;/value&gt;
    &lt;text&gt;15 mins&lt;/text&gt;
   &lt;/duration&gt;
   &lt;distance&gt;
    &lt;value&gt;4825&lt;/value&gt;
    &lt;text&gt;4.8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</si>
  <si>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&lt;destination_address&gt;8600 Rue Jeanne-Mance, Montréal, QC H2P 2S6, Canada&lt;/destination_address&gt;
 &lt;row&gt;
  &lt;element&gt;
   &lt;status&gt;OK&lt;/status&gt;
   &lt;duration&gt;
    &lt;value&gt;163516&lt;/value&gt;
    &lt;text&gt;1 day 21 hours&lt;/text&gt;
   &lt;/duration&gt;
   &lt;distance&gt;
    &lt;value&gt;4548914&lt;/value&gt;
    &lt;text&gt;4,549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</si>
  <si>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&lt;origin_address&gt;88 Queens Quay W, Toronto, ON M5J 0B6, Canada&lt;/origin_address&gt;
 &lt;destination_address&gt;8600 Rue Jeanne-Mance, Montréal, QC H2P 2S6, Canada&lt;/destination_address&gt;
 &lt;row&gt;
  &lt;element&gt;
   &lt;status&gt;OK&lt;/status&gt;
   &lt;duration&gt;
    &lt;value&gt;18630&lt;/value&gt;
    &lt;text&gt;5 hours 11 mins&lt;/text&gt;
   &lt;/duration&gt;
   &lt;distance&gt;
    &lt;value&gt;542266&lt;/value&gt;
    &lt;text&gt;542 km&lt;/text&gt;
   &lt;/distance&gt;
  &lt;/element&gt;
 &lt;/row&gt;
&lt;/DistanceMatrixResponse&gt;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</si>
</sst>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h&quot; hr &quot;mm&quot; min&quot;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E1E1E"/>
      <name val="Arial"/>
      <family val="2"/>
    </font>
    <font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IDFont+F1"/>
    </font>
    <font>
      <sz val="12"/>
      <color rgb="FF355460"/>
      <name val="Roboto"/>
    </font>
    <font>
      <sz val="9.75"/>
      <color rgb="FF686868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8" fontId="0" fillId="0" borderId="0" xfId="0" applyNumberFormat="1" applyAlignment="1">
      <alignment horizontal="center" vertical="top"/>
    </xf>
    <xf numFmtId="0" fontId="19" fillId="0" borderId="0" xfId="42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 vertical="top"/>
    </xf>
    <xf numFmtId="8" fontId="20" fillId="0" borderId="10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0" xfId="42" applyAlignme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10" xfId="0" applyBorder="1" applyAlignment="1">
      <alignment vertical="top"/>
    </xf>
    <xf numFmtId="0" fontId="13" fillId="34" borderId="16" xfId="0" applyFont="1" applyFill="1" applyBorder="1" applyAlignment="1">
      <alignment horizontal="center" vertical="center" wrapText="1"/>
    </xf>
    <xf numFmtId="0" fontId="13" fillId="34" borderId="17" xfId="0" applyFont="1" applyFill="1" applyBorder="1" applyAlignment="1">
      <alignment horizontal="center" vertical="center" wrapText="1"/>
    </xf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0" fillId="33" borderId="16" xfId="0" applyFill="1" applyBorder="1" applyAlignment="1">
      <alignment vertical="center"/>
    </xf>
    <xf numFmtId="0" fontId="0" fillId="33" borderId="17" xfId="0" applyFill="1" applyBorder="1" applyAlignment="1">
      <alignment vertical="center"/>
    </xf>
    <xf numFmtId="15" fontId="0" fillId="33" borderId="17" xfId="0" applyNumberFormat="1" applyFill="1" applyBorder="1" applyAlignment="1">
      <alignment vertical="center"/>
    </xf>
    <xf numFmtId="0" fontId="0" fillId="33" borderId="17" xfId="0" applyFill="1" applyBorder="1" applyAlignment="1">
      <alignment horizontal="center" vertical="center"/>
    </xf>
    <xf numFmtId="8" fontId="0" fillId="33" borderId="17" xfId="0" applyNumberFormat="1" applyFill="1" applyBorder="1" applyAlignment="1">
      <alignment horizontal="center" vertical="center"/>
    </xf>
    <xf numFmtId="0" fontId="19" fillId="33" borderId="17" xfId="42" applyFill="1" applyBorder="1" applyAlignment="1">
      <alignment vertical="center"/>
    </xf>
    <xf numFmtId="0" fontId="0" fillId="33" borderId="17" xfId="0" applyFill="1" applyBorder="1"/>
    <xf numFmtId="0" fontId="19" fillId="33" borderId="18" xfId="42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15" fontId="0" fillId="0" borderId="17" xfId="0" applyNumberFormat="1" applyBorder="1" applyAlignment="1">
      <alignment vertical="center"/>
    </xf>
    <xf numFmtId="0" fontId="0" fillId="0" borderId="17" xfId="0" applyBorder="1" applyAlignment="1">
      <alignment horizontal="center" vertical="center"/>
    </xf>
    <xf numFmtId="8" fontId="0" fillId="0" borderId="17" xfId="0" applyNumberFormat="1" applyBorder="1" applyAlignment="1">
      <alignment horizontal="center" vertical="center"/>
    </xf>
    <xf numFmtId="0" fontId="19" fillId="0" borderId="17" xfId="42" applyBorder="1" applyAlignment="1">
      <alignment vertical="center"/>
    </xf>
    <xf numFmtId="0" fontId="0" fillId="0" borderId="17" xfId="0" applyBorder="1" applyAlignment="1">
      <alignment vertical="center" wrapText="1"/>
    </xf>
    <xf numFmtId="0" fontId="19" fillId="0" borderId="18" xfId="42" applyBorder="1" applyAlignment="1">
      <alignment vertical="center"/>
    </xf>
    <xf numFmtId="0" fontId="0" fillId="33" borderId="17" xfId="0" applyFill="1" applyBorder="1" applyAlignment="1">
      <alignment vertical="center" wrapText="1"/>
    </xf>
    <xf numFmtId="0" fontId="19" fillId="33" borderId="18" xfId="42" applyFill="1" applyBorder="1"/>
    <xf numFmtId="0" fontId="19" fillId="0" borderId="18" xfId="42" applyBorder="1"/>
    <xf numFmtId="0" fontId="0" fillId="0" borderId="17" xfId="0" applyBorder="1"/>
    <xf numFmtId="0" fontId="22" fillId="33" borderId="17" xfId="42" applyFont="1" applyFill="1" applyBorder="1"/>
    <xf numFmtId="0" fontId="21" fillId="33" borderId="17" xfId="0" applyFont="1" applyFill="1" applyBorder="1"/>
    <xf numFmtId="14" fontId="0" fillId="0" borderId="17" xfId="0" applyNumberFormat="1" applyBorder="1" applyAlignment="1">
      <alignment horizontal="center" vertical="center"/>
    </xf>
    <xf numFmtId="14" fontId="0" fillId="0" borderId="17" xfId="0" applyNumberFormat="1" applyBorder="1" applyAlignment="1">
      <alignment vertical="center"/>
    </xf>
    <xf numFmtId="0" fontId="19" fillId="0" borderId="17" xfId="42" applyBorder="1"/>
    <xf numFmtId="0" fontId="21" fillId="0" borderId="17" xfId="0" applyFont="1" applyBorder="1" applyAlignment="1">
      <alignment vertical="center"/>
    </xf>
    <xf numFmtId="0" fontId="0" fillId="33" borderId="16" xfId="0" applyFill="1" applyBorder="1" applyAlignment="1">
      <alignment vertical="top"/>
    </xf>
    <xf numFmtId="0" fontId="0" fillId="33" borderId="17" xfId="0" applyFill="1" applyBorder="1" applyAlignment="1">
      <alignment vertical="top"/>
    </xf>
    <xf numFmtId="15" fontId="0" fillId="33" borderId="17" xfId="0" applyNumberFormat="1" applyFill="1" applyBorder="1" applyAlignment="1">
      <alignment vertical="top"/>
    </xf>
    <xf numFmtId="0" fontId="0" fillId="33" borderId="17" xfId="0" applyFill="1" applyBorder="1" applyAlignment="1">
      <alignment horizontal="center" vertical="top"/>
    </xf>
    <xf numFmtId="14" fontId="0" fillId="33" borderId="17" xfId="0" applyNumberFormat="1" applyFill="1" applyBorder="1" applyAlignment="1">
      <alignment horizontal="center" vertical="top"/>
    </xf>
    <xf numFmtId="0" fontId="19" fillId="33" borderId="17" xfId="42" applyFill="1" applyBorder="1" applyAlignment="1">
      <alignment vertical="top"/>
    </xf>
    <xf numFmtId="0" fontId="21" fillId="33" borderId="17" xfId="0" applyFont="1" applyFill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5" fontId="0" fillId="0" borderId="17" xfId="0" applyNumberFormat="1" applyBorder="1" applyAlignment="1">
      <alignment vertical="top"/>
    </xf>
    <xf numFmtId="0" fontId="0" fillId="0" borderId="17" xfId="0" applyBorder="1" applyAlignment="1">
      <alignment horizontal="center" vertical="top"/>
    </xf>
    <xf numFmtId="14" fontId="0" fillId="0" borderId="17" xfId="0" applyNumberFormat="1" applyBorder="1" applyAlignment="1">
      <alignment horizontal="center" vertical="top"/>
    </xf>
    <xf numFmtId="0" fontId="19" fillId="0" borderId="17" xfId="42" applyBorder="1" applyAlignment="1">
      <alignment vertical="top"/>
    </xf>
    <xf numFmtId="0" fontId="21" fillId="0" borderId="17" xfId="0" applyFont="1" applyBorder="1" applyAlignment="1">
      <alignment vertical="top" wrapText="1"/>
    </xf>
    <xf numFmtId="0" fontId="19" fillId="33" borderId="17" xfId="42" applyFill="1" applyBorder="1"/>
    <xf numFmtId="0" fontId="0" fillId="33" borderId="18" xfId="0" applyFill="1" applyBorder="1" applyAlignment="1">
      <alignment vertical="center"/>
    </xf>
    <xf numFmtId="0" fontId="24" fillId="0" borderId="17" xfId="0" applyFont="1" applyBorder="1"/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top" wrapText="1"/>
    </xf>
    <xf numFmtId="0" fontId="0" fillId="33" borderId="17" xfId="0" applyFill="1" applyBorder="1" applyAlignment="1">
      <alignment vertical="top" wrapText="1"/>
    </xf>
    <xf numFmtId="0" fontId="0" fillId="0" borderId="14" xfId="0" applyBorder="1" applyAlignment="1">
      <alignment vertical="top"/>
    </xf>
    <xf numFmtId="15" fontId="0" fillId="0" borderId="10" xfId="0" applyNumberFormat="1" applyBorder="1" applyAlignment="1">
      <alignment vertical="top"/>
    </xf>
    <xf numFmtId="0" fontId="0" fillId="0" borderId="10" xfId="0" applyBorder="1" applyAlignment="1">
      <alignment horizontal="center" vertical="top"/>
    </xf>
    <xf numFmtId="8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vertical="center"/>
    </xf>
    <xf numFmtId="0" fontId="13" fillId="34" borderId="16" xfId="0" applyFont="1" applyFill="1" applyBorder="1" applyAlignment="1">
      <alignment horizontal="center" vertical="top" wrapText="1"/>
    </xf>
    <xf numFmtId="0" fontId="13" fillId="34" borderId="17" xfId="0" applyFont="1" applyFill="1" applyBorder="1" applyAlignment="1">
      <alignment horizontal="center" vertical="top" wrapText="1"/>
    </xf>
    <xf numFmtId="0" fontId="13" fillId="34" borderId="18" xfId="0" applyFont="1" applyFill="1" applyBorder="1" applyAlignment="1">
      <alignment horizontal="center" vertical="top"/>
    </xf>
    <xf numFmtId="14" fontId="0" fillId="33" borderId="17" xfId="0" applyNumberFormat="1" applyFill="1" applyBorder="1" applyAlignment="1">
      <alignment vertical="top"/>
    </xf>
    <xf numFmtId="2" fontId="0" fillId="33" borderId="17" xfId="0" applyNumberFormat="1" applyFill="1" applyBorder="1" applyAlignment="1">
      <alignment horizontal="center" vertical="top"/>
    </xf>
    <xf numFmtId="0" fontId="19" fillId="33" borderId="18" xfId="42" applyFill="1" applyBorder="1" applyAlignment="1">
      <alignment vertical="top"/>
    </xf>
    <xf numFmtId="14" fontId="0" fillId="0" borderId="17" xfId="0" applyNumberFormat="1" applyBorder="1" applyAlignment="1">
      <alignment vertical="top"/>
    </xf>
    <xf numFmtId="2" fontId="0" fillId="0" borderId="17" xfId="0" applyNumberFormat="1" applyBorder="1" applyAlignment="1">
      <alignment horizontal="center" vertical="top"/>
    </xf>
    <xf numFmtId="0" fontId="19" fillId="0" borderId="18" xfId="42" applyBorder="1" applyAlignment="1">
      <alignment vertical="top"/>
    </xf>
    <xf numFmtId="0" fontId="22" fillId="33" borderId="17" xfId="42" applyFont="1" applyFill="1" applyBorder="1" applyAlignment="1">
      <alignment vertical="top"/>
    </xf>
    <xf numFmtId="0" fontId="21" fillId="33" borderId="17" xfId="0" applyFont="1" applyFill="1" applyBorder="1" applyAlignment="1">
      <alignment vertical="top"/>
    </xf>
    <xf numFmtId="0" fontId="21" fillId="0" borderId="17" xfId="0" applyFont="1" applyBorder="1" applyAlignment="1">
      <alignment vertical="top"/>
    </xf>
    <xf numFmtId="0" fontId="0" fillId="33" borderId="18" xfId="0" applyFill="1" applyBorder="1" applyAlignment="1">
      <alignment vertical="top"/>
    </xf>
    <xf numFmtId="0" fontId="24" fillId="0" borderId="17" xfId="0" applyFont="1" applyBorder="1" applyAlignment="1">
      <alignment vertical="top"/>
    </xf>
    <xf numFmtId="0" fontId="0" fillId="0" borderId="18" xfId="0" applyBorder="1" applyAlignment="1">
      <alignment vertical="top"/>
    </xf>
    <xf numFmtId="2" fontId="0" fillId="0" borderId="10" xfId="0" applyNumberFormat="1" applyBorder="1" applyAlignment="1">
      <alignment horizontal="center" vertical="top"/>
    </xf>
    <xf numFmtId="14" fontId="0" fillId="0" borderId="10" xfId="0" applyNumberFormat="1" applyBorder="1" applyAlignment="1">
      <alignment vertical="top"/>
    </xf>
    <xf numFmtId="0" fontId="19" fillId="0" borderId="10" xfId="42" applyBorder="1" applyAlignment="1">
      <alignment vertical="top"/>
    </xf>
    <xf numFmtId="0" fontId="0" fillId="0" borderId="15" xfId="0" applyBorder="1" applyAlignment="1">
      <alignment vertical="top"/>
    </xf>
    <xf numFmtId="0" fontId="25" fillId="33" borderId="17" xfId="0" applyFont="1" applyFill="1" applyBorder="1" applyAlignment="1">
      <alignment vertical="top"/>
    </xf>
    <xf numFmtId="0" fontId="25" fillId="33" borderId="17" xfId="0" applyFont="1" applyFill="1" applyBorder="1" applyAlignment="1">
      <alignment horizontal="center" vertical="top"/>
    </xf>
    <xf numFmtId="0" fontId="0" fillId="33" borderId="17" xfId="0" applyFill="1" applyBorder="1" applyAlignment="1">
      <alignment horizontal="left" vertical="top"/>
    </xf>
    <xf numFmtId="16" fontId="0" fillId="33" borderId="17" xfId="0" applyNumberFormat="1" applyFill="1" applyBorder="1" applyAlignment="1">
      <alignment horizontal="center" vertical="top"/>
    </xf>
    <xf numFmtId="0" fontId="24" fillId="33" borderId="17" xfId="0" applyFont="1" applyFill="1" applyBorder="1" applyAlignment="1">
      <alignment vertical="top"/>
    </xf>
    <xf numFmtId="0" fontId="0" fillId="33" borderId="14" xfId="0" applyFill="1" applyBorder="1" applyAlignment="1">
      <alignment vertical="top"/>
    </xf>
    <xf numFmtId="0" fontId="0" fillId="33" borderId="10" xfId="0" applyFill="1" applyBorder="1" applyAlignment="1">
      <alignment vertical="top"/>
    </xf>
    <xf numFmtId="15" fontId="0" fillId="33" borderId="10" xfId="0" applyNumberFormat="1" applyFill="1" applyBorder="1" applyAlignment="1">
      <alignment vertical="top"/>
    </xf>
    <xf numFmtId="0" fontId="0" fillId="33" borderId="10" xfId="0" applyFill="1" applyBorder="1" applyAlignment="1">
      <alignment horizontal="center" vertical="top"/>
    </xf>
    <xf numFmtId="2" fontId="0" fillId="33" borderId="10" xfId="0" applyNumberFormat="1" applyFill="1" applyBorder="1" applyAlignment="1">
      <alignment horizontal="center" vertical="top"/>
    </xf>
    <xf numFmtId="14" fontId="0" fillId="33" borderId="10" xfId="0" applyNumberFormat="1" applyFill="1" applyBorder="1" applyAlignment="1">
      <alignment vertical="top"/>
    </xf>
    <xf numFmtId="0" fontId="19" fillId="33" borderId="10" xfId="42" applyFill="1" applyBorder="1" applyAlignment="1">
      <alignment vertical="top"/>
    </xf>
    <xf numFmtId="0" fontId="0" fillId="33" borderId="10" xfId="0" applyFill="1" applyBorder="1" applyAlignment="1">
      <alignment vertical="top" wrapText="1"/>
    </xf>
    <xf numFmtId="0" fontId="0" fillId="33" borderId="15" xfId="0" applyFill="1" applyBorder="1" applyAlignment="1">
      <alignment vertical="top"/>
    </xf>
    <xf numFmtId="0" fontId="26" fillId="0" borderId="17" xfId="0" applyFont="1" applyBorder="1"/>
    <xf numFmtId="2" fontId="0" fillId="33" borderId="17" xfId="0" applyNumberForma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18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6" Type="http://schemas.openxmlformats.org/officeDocument/2006/relationships/hyperlink" Target="https://ww14.autotask.net/Mvc/Projects/ProjectDetail.mvc/ProjectDetail?gridConfiguration=Outline&amp;initialContentPage=Summary&amp;projectId=740" TargetMode="External"/><Relationship Id="rId39" Type="http://schemas.openxmlformats.org/officeDocument/2006/relationships/hyperlink" Target="https://ww14.autotask.net/Mvc/Projects/ProjectDetail.mvc/ProjectDetail?gridConfiguration=Outline&amp;initialContentPage=Summary&amp;projectId=791" TargetMode="External"/><Relationship Id="rId21" Type="http://schemas.openxmlformats.org/officeDocument/2006/relationships/hyperlink" Target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" TargetMode="External"/><Relationship Id="rId34" Type="http://schemas.openxmlformats.org/officeDocument/2006/relationships/hyperlink" Target="https://ww14.autotask.net/Mvc/Projects/ProjectDetail.mvc/ProjectDetail?gridConfiguration=Outline&amp;initialContentPage=Summary&amp;projectId=810" TargetMode="External"/><Relationship Id="rId42" Type="http://schemas.openxmlformats.org/officeDocument/2006/relationships/hyperlink" Target="https://ww14.autotask.net/Mvc/Projects/ProjectDetail.mvc/ProjectDetail?gridConfiguration=Outline&amp;initialContentPage=Summary&amp;projectId=702" TargetMode="External"/><Relationship Id="rId47" Type="http://schemas.openxmlformats.org/officeDocument/2006/relationships/hyperlink" Target="https://www.google.fr/maps/dir/797+Av+Champagneur,+Outremont,+QC+H2V+3P9,+Canada/Eurodib+Inc,+120+Rue+de+la+Barre,+Boucherville,+QC+J4B+1K7/@45.5538378,-73.5716546,13z/data=!3m1!4b1!4m14!4m13!1m5!1m1!1s0x4cc9199df415bf25:0xcb07aea7e269d177!2m2!1d-73.6130895!2d45.5219584!1m5!1m1!1s0x4cc91d2f1ce9d145:0xedb589aa7dc0d46f!2m2!1d-73.460056!2d45.583753!3e0!5m1!1e1?hl=fr" TargetMode="External"/><Relationship Id="rId50" Type="http://schemas.openxmlformats.org/officeDocument/2006/relationships/hyperlink" Target="https://www.google.fr/maps/place/120+Rue+de+la+Barre,+Boucherville,+QC+J4B+2X7/@45.5834577,-73.4627125,17z/data=!3m1!4b1!4m5!3m4!1s0x4cc91d3438c5df99:0xff0a7ab662f3edd7!8m2!3d45.5834577!4d-73.4605238!5m1!1e1?hl=fr" TargetMode="External"/><Relationship Id="rId7" Type="http://schemas.openxmlformats.org/officeDocument/2006/relationships/hyperlink" Target="https://www.google.fr/maps/place/Les+Entreprises+Tzanet/@45.563041,-73.7008035,13z/data=!4m9!1m2!2m1!1stzanet!3m5!1s0x4cc918f3f22a80a9:0xc62c2032f37672a4!8m2!3d45.5332363!4d-73.6628473!15sCgZ0emFuZXQiA4gBAVoIIgZ0emFuZXSSARRraXRjaGVuX3N1cHBseV9zdG9yZeABAA!5m1!1e1?hl=fr" TargetMode="External"/><Relationship Id="rId2" Type="http://schemas.openxmlformats.org/officeDocument/2006/relationships/hyperlink" Target="https://www.google.fr/maps/place/O+%26+T+Farms+Ltd/@48.1142644,-97.5674125,5z/data=!4m5!3m4!1s0x0:0x8d1b22cb14efb697!8m2!3d50.4836299!4d-104.7133565!5m1!1e1?hl=fr" TargetMode="External"/><Relationship Id="rId16" Type="http://schemas.openxmlformats.org/officeDocument/2006/relationships/hyperlink" Target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" TargetMode="External"/><Relationship Id="rId29" Type="http://schemas.openxmlformats.org/officeDocument/2006/relationships/hyperlink" Target="https://ww14.autotask.net/Mvc/Projects/ProjectDetail.mvc/ProjectDetail?gridConfiguration=Outline&amp;initialContentPage=Summary&amp;projectId=725" TargetMode="External"/><Relationship Id="rId11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24" Type="http://schemas.openxmlformats.org/officeDocument/2006/relationships/hyperlink" Target="https://ww14.autotask.net/Mvc/Projects/ProjectDetail.mvc/ProjectDetail?gridConfiguration=Outline&amp;initialContentPage=Summary&amp;projectId=837" TargetMode="External"/><Relationship Id="rId32" Type="http://schemas.openxmlformats.org/officeDocument/2006/relationships/hyperlink" Target="https://ww14.autotask.net/Mvc/Projects/ProjectDetail.mvc/ProjectDetail?gridConfiguration=Outline&amp;initialContentPage=Summary&amp;projectId=561" TargetMode="External"/><Relationship Id="rId37" Type="http://schemas.openxmlformats.org/officeDocument/2006/relationships/hyperlink" Target="https://ww14.autotask.net/Mvc/Projects/ProjectDetail.mvc/ProjectDetail?gridConfiguration=Outline&amp;initialContentPage=Summary&amp;projectId=744" TargetMode="External"/><Relationship Id="rId40" Type="http://schemas.openxmlformats.org/officeDocument/2006/relationships/hyperlink" Target="https://ww14.autotask.net/Mvc/Projects/ProjectDetail.mvc/ProjectDetail?gridConfiguration=Outline&amp;initialContentPage=Summary&amp;projectId=829" TargetMode="External"/><Relationship Id="rId45" Type="http://schemas.openxmlformats.org/officeDocument/2006/relationships/hyperlink" Target="https://ww14.autotask.net/Mvc/Projects/ProjectDetail.mvc/ProjectDetail?gridConfiguration=Outline&amp;initialContentPage=Summary&amp;projectId=868" TargetMode="External"/><Relationship Id="rId53" Type="http://schemas.openxmlformats.org/officeDocument/2006/relationships/hyperlink" Target="https://ww14.autotask.net/Mvc/Projects/ProjectDetail.mvc/ProjectDetail?gridConfiguration=Outline&amp;initialContentPage=Summary&amp;projectId=899" TargetMode="External"/><Relationship Id="rId5" Type="http://schemas.openxmlformats.org/officeDocument/2006/relationships/hyperlink" Target="https://www.google.fr/maps/place/Les+Aliments+CDS+Foods+Inc./@45.5275469,-73.6519625,14.4z/data=!4m5!3m4!1s0x0:0x9e5bd2d32605e06d!8m2!3d45.5284002!4d-73.6657747!5m1!1e1?hl=fr" TargetMode="External"/><Relationship Id="rId10" Type="http://schemas.openxmlformats.org/officeDocument/2006/relationships/hyperlink" Target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TargetMode="External"/><Relationship Id="rId19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31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44" Type="http://schemas.openxmlformats.org/officeDocument/2006/relationships/hyperlink" Target="https://ww14.autotask.net/Mvc/Projects/ProjectDetail.mvc/ProjectDetail?gridConfiguration=Outline&amp;initialContentPage=Summary&amp;projectId=840" TargetMode="External"/><Relationship Id="rId52" Type="http://schemas.openxmlformats.org/officeDocument/2006/relationships/hyperlink" Target="https://ww14.autotask.net/Mvc/Projects/ProjectDetail.mvc/ProjectDetail?gridConfiguration=Outline&amp;initialContentPage=Summary&amp;projectId=850" TargetMode="External"/><Relationship Id="rId4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9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4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22" Type="http://schemas.openxmlformats.org/officeDocument/2006/relationships/hyperlink" Target="https://www.google.fr/maps/place/350+S+Pekin+Rd,+Woodland,+WA+98674,+%C3%89tats-Unis/@45.8913918,-122.7452506,17z/data=!3m1!4b1!4m5!3m4!1s0x54944f1f45f97411:0xfa635b6193402016!8m2!3d45.8913918!4d-122.7430619!5m1!1e1?hl=fr" TargetMode="External"/><Relationship Id="rId27" Type="http://schemas.openxmlformats.org/officeDocument/2006/relationships/hyperlink" Target="https://ww14.autotask.net/Mvc/Projects/ProjectDetail.mvc/ProjectDetail?gridConfiguration=Outline&amp;initialContentPage=Summary&amp;projectId=716" TargetMode="External"/><Relationship Id="rId30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5" Type="http://schemas.openxmlformats.org/officeDocument/2006/relationships/hyperlink" Target="https://ww14.autotask.net/Mvc/Projects/ProjectDetail.mvc/ProjectDetail?gridConfiguration=Outline&amp;initialContentPage=Summary&amp;projectId=835" TargetMode="External"/><Relationship Id="rId43" Type="http://schemas.openxmlformats.org/officeDocument/2006/relationships/hyperlink" Target="https://ww14.autotask.net/Mvc/Projects/ProjectDetail.mvc/ProjectDetail?gridConfiguration=Outline&amp;initialContentPage=Summary&amp;projectId=762" TargetMode="External"/><Relationship Id="rId48" Type="http://schemas.openxmlformats.org/officeDocument/2006/relationships/hyperlink" Target="https://www.google.fr/maps/dir/797+Av+Champagneur,+Outremont,+QC+H2V+3P9,+Canada/Eurodib+Inc,+120+Rue+de+la+Barre,+Boucherville,+QC+J4B+1K7/@45.5538378,-73.5716546,13z/data=!3m1!4b1!4m14!4m13!1m5!1m1!1s0x4cc9199df415bf25:0xcb07aea7e269d177!2m2!1d-73.6130895!2d45.5219584!1m5!1m1!1s0x4cc91d2f1ce9d145:0xedb589aa7dc0d46f!2m2!1d-73.460056!2d45.583753!3e0!5m1!1e1?hl=fr" TargetMode="External"/><Relationship Id="rId8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51" Type="http://schemas.openxmlformats.org/officeDocument/2006/relationships/hyperlink" Target="https://www.google.fr/maps/place/120+Rue+de+la+Barre,+Boucherville,+QC+J4B+2X7/@45.5834577,-73.4627125,17z/data=!3m1!4b1!4m5!3m4!1s0x4cc91d3438c5df99:0xff0a7ab662f3edd7!8m2!3d45.5834577!4d-73.4605238!5m1!1e1?hl=fr" TargetMode="External"/><Relationship Id="rId3" Type="http://schemas.openxmlformats.org/officeDocument/2006/relationships/hyperlink" Target="https://www.google.fr/maps/place/Fromagerie+Polyethnique+Inc./@45.9439944,-73.0552781,12.05z/data=!4m5!3m4!1s0x0:0xef280bcfed15fb50!8m2!3d45.9290294!4d-73.0172073!5m1!1e1?hl=fr" TargetMode="External"/><Relationship Id="rId12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17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25" Type="http://schemas.openxmlformats.org/officeDocument/2006/relationships/hyperlink" Target="https://ww14.autotask.net/Mvc/Projects/ProjectDetail.mvc/ProjectDetail?gridConfiguration=Outline&amp;initialContentPage=Summary&amp;projectId=852" TargetMode="External"/><Relationship Id="rId33" Type="http://schemas.openxmlformats.org/officeDocument/2006/relationships/hyperlink" Target="https://ww14.autotask.net/Mvc/Projects/ProjectDetail.mvc/ProjectDetail?gridConfiguration=Outline&amp;initialContentPage=Summary&amp;projectId=679" TargetMode="External"/><Relationship Id="rId38" Type="http://schemas.openxmlformats.org/officeDocument/2006/relationships/hyperlink" Target="https://ww14.autotask.net/Mvc/Projects/ProjectDetail.mvc/ProjectDetail?gridConfiguration=Outline&amp;initialContentPage=Summary&amp;projectId=864" TargetMode="External"/><Relationship Id="rId46" Type="http://schemas.openxmlformats.org/officeDocument/2006/relationships/hyperlink" Target="https://ww14.autotask.net/Mvc/Projects/ProjectDetail.mvc/ProjectDetail?gridConfiguration=Outline&amp;initialContentPage=Summary&amp;projectId=899" TargetMode="External"/><Relationship Id="rId20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41" Type="http://schemas.openxmlformats.org/officeDocument/2006/relationships/hyperlink" Target="https://ww14.autotask.net/Mvc/Projects/ProjectDetail.mvc/ProjectDetail?gridConfiguration=Outline&amp;initialContentPage=Summary&amp;projectId=680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TargetMode="External"/><Relationship Id="rId6" Type="http://schemas.openxmlformats.org/officeDocument/2006/relationships/hyperlink" Target="https://www.google.fr/maps/place/Gazebo+Penguin+Inc/@45.4710799,-73.6971059,17z/data=!3m1!4b1!4m5!3m4!1s0x4cc917bb885b926d:0x4e4996129610b8c4!8m2!3d45.4710762!4d-73.6949172!5m1!1e1?hl=fr" TargetMode="External"/><Relationship Id="rId15" Type="http://schemas.openxmlformats.org/officeDocument/2006/relationships/hyperlink" Target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" TargetMode="External"/><Relationship Id="rId23" Type="http://schemas.openxmlformats.org/officeDocument/2006/relationships/hyperlink" Target="https://www.google.fr/maps/place/LOVATO+Electric/@36.7919655,-76.2459392,16.59z/data=!4m5!3m4!1s0x0:0x2d8afaab31ba084e!8m2!3d36.7918965!4d-76.2460442!5m1!1e1?hl=fr" TargetMode="External"/><Relationship Id="rId28" Type="http://schemas.openxmlformats.org/officeDocument/2006/relationships/hyperlink" Target="https://ww14.autotask.net/Mvc/Projects/ProjectDetail.mvc/ProjectDetail?gridConfiguration=Outline&amp;initialContentPage=Summary&amp;projectId=830&amp;restoreworkspacekey=" TargetMode="External"/><Relationship Id="rId36" Type="http://schemas.openxmlformats.org/officeDocument/2006/relationships/hyperlink" Target="https://ww14.autotask.net/Mvc/Projects/ProjectDetail.mvc/ProjectDetail?gridConfiguration=Outline&amp;initialContentPage=Summary&amp;projectId=856" TargetMode="External"/><Relationship Id="rId49" Type="http://schemas.openxmlformats.org/officeDocument/2006/relationships/hyperlink" Target="https://ww14.autotask.net/Mvc/Projects/ProjectDetail.mvc/ProjectDetail?gridConfiguration=Outline&amp;initialContentPage=Summary&amp;projectId=89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18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6" Type="http://schemas.openxmlformats.org/officeDocument/2006/relationships/hyperlink" Target="https://ww14.autotask.net/Mvc/Projects/ProjectDetail.mvc/ProjectDetail?gridConfiguration=Outline&amp;initialContentPage=Summary&amp;projectId=740" TargetMode="External"/><Relationship Id="rId39" Type="http://schemas.openxmlformats.org/officeDocument/2006/relationships/hyperlink" Target="https://ww14.autotask.net/Mvc/Projects/ProjectDetail.mvc/ProjectDetail?gridConfiguration=Outline&amp;initialContentPage=Summary&amp;projectId=791" TargetMode="External"/><Relationship Id="rId21" Type="http://schemas.openxmlformats.org/officeDocument/2006/relationships/hyperlink" Target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" TargetMode="External"/><Relationship Id="rId34" Type="http://schemas.openxmlformats.org/officeDocument/2006/relationships/hyperlink" Target="https://ww14.autotask.net/Mvc/Projects/ProjectDetail.mvc/ProjectDetail?gridConfiguration=Outline&amp;initialContentPage=Summary&amp;projectId=810" TargetMode="External"/><Relationship Id="rId42" Type="http://schemas.openxmlformats.org/officeDocument/2006/relationships/hyperlink" Target="https://ww14.autotask.net/Mvc/Projects/ProjectDetail.mvc/ProjectDetail?gridConfiguration=Outline&amp;initialContentPage=Summary&amp;projectId=702" TargetMode="External"/><Relationship Id="rId47" Type="http://schemas.openxmlformats.org/officeDocument/2006/relationships/hyperlink" Target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TargetMode="External"/><Relationship Id="rId50" Type="http://schemas.openxmlformats.org/officeDocument/2006/relationships/hyperlink" Target="https://ww14.autotask.net/Mvc/Projects/ProjectDetail.mvc/ProjectDetail?gridConfiguration=Outline&amp;initialContentPage=Summary&amp;projectId=563" TargetMode="External"/><Relationship Id="rId7" Type="http://schemas.openxmlformats.org/officeDocument/2006/relationships/hyperlink" Target="https://www.google.fr/maps/place/Les+Entreprises+Tzanet/@45.563041,-73.7008035,13z/data=!4m9!1m2!2m1!1stzanet!3m5!1s0x4cc918f3f22a80a9:0xc62c2032f37672a4!8m2!3d45.5332363!4d-73.6628473!15sCgZ0emFuZXQiA4gBAVoIIgZ0emFuZXSSARRraXRjaGVuX3N1cHBseV9zdG9yZeABAA!5m1!1e1?hl=fr" TargetMode="External"/><Relationship Id="rId2" Type="http://schemas.openxmlformats.org/officeDocument/2006/relationships/hyperlink" Target="https://www.google.fr/maps/place/O+%26+T+Farms+Ltd/@48.1142644,-97.5674125,5z/data=!4m5!3m4!1s0x0:0x8d1b22cb14efb697!8m2!3d50.4836299!4d-104.7133565!5m1!1e1?hl=fr" TargetMode="External"/><Relationship Id="rId16" Type="http://schemas.openxmlformats.org/officeDocument/2006/relationships/hyperlink" Target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" TargetMode="External"/><Relationship Id="rId29" Type="http://schemas.openxmlformats.org/officeDocument/2006/relationships/hyperlink" Target="https://ww14.autotask.net/Mvc/Projects/ProjectDetail.mvc/ProjectDetail?gridConfiguration=Outline&amp;initialContentPage=Summary&amp;projectId=725" TargetMode="External"/><Relationship Id="rId11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24" Type="http://schemas.openxmlformats.org/officeDocument/2006/relationships/hyperlink" Target="https://ww14.autotask.net/Mvc/Projects/ProjectDetail.mvc/ProjectDetail?gridConfiguration=Outline&amp;initialContentPage=Summary&amp;projectId=837" TargetMode="External"/><Relationship Id="rId32" Type="http://schemas.openxmlformats.org/officeDocument/2006/relationships/hyperlink" Target="https://ww14.autotask.net/Mvc/Projects/ProjectDetail.mvc/ProjectDetail?gridConfiguration=Outline&amp;initialContentPage=Summary&amp;projectId=561" TargetMode="External"/><Relationship Id="rId37" Type="http://schemas.openxmlformats.org/officeDocument/2006/relationships/hyperlink" Target="https://ww14.autotask.net/Mvc/Projects/ProjectDetail.mvc/ProjectDetail?gridConfiguration=Outline&amp;initialContentPage=Summary&amp;projectId=744" TargetMode="External"/><Relationship Id="rId40" Type="http://schemas.openxmlformats.org/officeDocument/2006/relationships/hyperlink" Target="https://ww14.autotask.net/Mvc/Projects/ProjectDetail.mvc/ProjectDetail?gridConfiguration=Outline&amp;initialContentPage=Summary&amp;projectId=829" TargetMode="External"/><Relationship Id="rId45" Type="http://schemas.openxmlformats.org/officeDocument/2006/relationships/hyperlink" Target="https://ww14.autotask.net/Mvc/Projects/ProjectDetail.mvc/ProjectDetail?gridConfiguration=Outline&amp;initialContentPage=Summary&amp;projectId=868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www.google.fr/maps/place/Les+Aliments+CDS+Foods+Inc./@45.5275469,-73.6519625,14.4z/data=!4m5!3m4!1s0x0:0x9e5bd2d32605e06d!8m2!3d45.5284002!4d-73.6657747!5m1!1e1?hl=fr" TargetMode="External"/><Relationship Id="rId10" Type="http://schemas.openxmlformats.org/officeDocument/2006/relationships/hyperlink" Target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TargetMode="External"/><Relationship Id="rId19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31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44" Type="http://schemas.openxmlformats.org/officeDocument/2006/relationships/hyperlink" Target="https://ww14.autotask.net/Mvc/Projects/ProjectDetail.mvc/ProjectDetail?gridConfiguration=Outline&amp;initialContentPage=Summary&amp;projectId=840" TargetMode="External"/><Relationship Id="rId52" Type="http://schemas.openxmlformats.org/officeDocument/2006/relationships/hyperlink" Target="https://ww14.autotask.net/Mvc/Projects/ProjectDetail.mvc/ProjectDetail?gridConfiguration=Outline&amp;initialContentPage=Summary&amp;projectId=850" TargetMode="External"/><Relationship Id="rId4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9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4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22" Type="http://schemas.openxmlformats.org/officeDocument/2006/relationships/hyperlink" Target="https://www.google.fr/maps/place/350+S+Pekin+Rd,+Woodland,+WA+98674,+%C3%89tats-Unis/@45.8913918,-122.7452506,17z/data=!3m1!4b1!4m5!3m4!1s0x54944f1f45f97411:0xfa635b6193402016!8m2!3d45.8913918!4d-122.7430619!5m1!1e1?hl=fr" TargetMode="External"/><Relationship Id="rId27" Type="http://schemas.openxmlformats.org/officeDocument/2006/relationships/hyperlink" Target="https://ww14.autotask.net/Mvc/Projects/ProjectDetail.mvc/ProjectDetail?gridConfiguration=Outline&amp;initialContentPage=Summary&amp;projectId=716" TargetMode="External"/><Relationship Id="rId30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5" Type="http://schemas.openxmlformats.org/officeDocument/2006/relationships/hyperlink" Target="https://ww14.autotask.net/Mvc/Projects/ProjectDetail.mvc/ProjectDetail?gridConfiguration=Outline&amp;initialContentPage=Summary&amp;projectId=835" TargetMode="External"/><Relationship Id="rId43" Type="http://schemas.openxmlformats.org/officeDocument/2006/relationships/hyperlink" Target="https://ww14.autotask.net/Mvc/Projects/ProjectDetail.mvc/ProjectDetail?gridConfiguration=Outline&amp;initialContentPage=Summary&amp;projectId=762" TargetMode="External"/><Relationship Id="rId48" Type="http://schemas.openxmlformats.org/officeDocument/2006/relationships/hyperlink" Target="https://ww14.autotask.net/Mvc/Projects/ProjectDetail.mvc/ProjectDetail?gridConfiguration=Outline&amp;initialContentPage=Summary&amp;projectId=668" TargetMode="External"/><Relationship Id="rId8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51" Type="http://schemas.openxmlformats.org/officeDocument/2006/relationships/hyperlink" Target="https://ww14.autotask.net/Mvc/Projects/ProjectDetail.mvc/ProjectDetail?gridConfiguration=Outline&amp;initialContentPage=Summary&amp;projectId=860" TargetMode="External"/><Relationship Id="rId3" Type="http://schemas.openxmlformats.org/officeDocument/2006/relationships/hyperlink" Target="https://www.google.fr/maps/place/Fromagerie+Polyethnique+Inc./@45.9439944,-73.0552781,12.05z/data=!4m5!3m4!1s0x0:0xef280bcfed15fb50!8m2!3d45.9290294!4d-73.0172073!5m1!1e1?hl=fr" TargetMode="External"/><Relationship Id="rId12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17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25" Type="http://schemas.openxmlformats.org/officeDocument/2006/relationships/hyperlink" Target="https://ww14.autotask.net/Mvc/Projects/ProjectDetail.mvc/ProjectDetail?gridConfiguration=Outline&amp;initialContentPage=Summary&amp;projectId=852" TargetMode="External"/><Relationship Id="rId33" Type="http://schemas.openxmlformats.org/officeDocument/2006/relationships/hyperlink" Target="https://ww14.autotask.net/Mvc/Projects/ProjectDetail.mvc/ProjectDetail?gridConfiguration=Outline&amp;initialContentPage=Summary&amp;projectId=679" TargetMode="External"/><Relationship Id="rId38" Type="http://schemas.openxmlformats.org/officeDocument/2006/relationships/hyperlink" Target="https://ww14.autotask.net/Mvc/Projects/ProjectDetail.mvc/ProjectDetail?gridConfiguration=Outline&amp;initialContentPage=Summary&amp;projectId=864" TargetMode="External"/><Relationship Id="rId46" Type="http://schemas.openxmlformats.org/officeDocument/2006/relationships/hyperlink" Target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TargetMode="External"/><Relationship Id="rId20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41" Type="http://schemas.openxmlformats.org/officeDocument/2006/relationships/hyperlink" Target="https://ww14.autotask.net/Mvc/Projects/ProjectDetail.mvc/ProjectDetail?gridConfiguration=Outline&amp;initialContentPage=Summary&amp;projectId=680" TargetMode="External"/><Relationship Id="rId1" Type="http://schemas.openxmlformats.org/officeDocument/2006/relationships/hyperlink" Target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TargetMode="External"/><Relationship Id="rId6" Type="http://schemas.openxmlformats.org/officeDocument/2006/relationships/hyperlink" Target="https://www.google.fr/maps/place/Gazebo+Penguin+Inc/@45.4710799,-73.6971059,17z/data=!3m1!4b1!4m5!3m4!1s0x4cc917bb885b926d:0x4e4996129610b8c4!8m2!3d45.4710762!4d-73.6949172!5m1!1e1?hl=fr" TargetMode="External"/><Relationship Id="rId15" Type="http://schemas.openxmlformats.org/officeDocument/2006/relationships/hyperlink" Target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" TargetMode="External"/><Relationship Id="rId23" Type="http://schemas.openxmlformats.org/officeDocument/2006/relationships/hyperlink" Target="https://www.google.fr/maps/place/LOVATO+Electric/@37.3473706,-76.2287809,7z/data=!4m5!3m4!1s0x0:0x2d8afaab31ba084e!8m2!3d36.7918965!4d-76.2460442!5m1!1e1?hl=fr" TargetMode="External"/><Relationship Id="rId28" Type="http://schemas.openxmlformats.org/officeDocument/2006/relationships/hyperlink" Target="https://ww14.autotask.net/Mvc/Projects/ProjectDetail.mvc/ProjectDetail?gridConfiguration=Outline&amp;initialContentPage=Summary&amp;projectId=830&amp;restoreworkspacekey=" TargetMode="External"/><Relationship Id="rId36" Type="http://schemas.openxmlformats.org/officeDocument/2006/relationships/hyperlink" Target="https://ww14.autotask.net/Mvc/Projects/ProjectDetail.mvc/ProjectDetail?gridConfiguration=Outline&amp;initialContentPage=Summary&amp;projectId=856" TargetMode="External"/><Relationship Id="rId49" Type="http://schemas.openxmlformats.org/officeDocument/2006/relationships/hyperlink" Target="https://www.google.fr/maps/place/Eclipse+Automation/@43.4101677,-80.3161492,17z/data=!4m13!1m7!3m6!1s0x882b886f8982a0cf:0xcccd96ce1e4e4160!2s55+Thompson+Dr,+Cambridge,+ON+N1T+2E4!3b1!8m2!3d43.4064259!4d-80.2896422!3m4!1s0x0:0xce04b5739fe00d09!8m2!3d43.410176!4d-80.3139658!5m1!1e1?hl=f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18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6" Type="http://schemas.openxmlformats.org/officeDocument/2006/relationships/hyperlink" Target="https://ww14.autotask.net/Mvc/Projects/ProjectDetail.mvc/ProjectDetail?gridConfiguration=Outline&amp;initialContentPage=Summary&amp;projectId=740" TargetMode="External"/><Relationship Id="rId39" Type="http://schemas.openxmlformats.org/officeDocument/2006/relationships/hyperlink" Target="https://ww14.autotask.net/Mvc/Projects/ProjectDetail.mvc/ProjectDetail?gridConfiguration=Outline&amp;initialContentPage=Summary&amp;projectId=791" TargetMode="External"/><Relationship Id="rId21" Type="http://schemas.openxmlformats.org/officeDocument/2006/relationships/hyperlink" Target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" TargetMode="External"/><Relationship Id="rId34" Type="http://schemas.openxmlformats.org/officeDocument/2006/relationships/hyperlink" Target="https://ww14.autotask.net/Mvc/Projects/ProjectDetail.mvc/ProjectDetail?gridConfiguration=Outline&amp;initialContentPage=Summary&amp;projectId=810" TargetMode="External"/><Relationship Id="rId42" Type="http://schemas.openxmlformats.org/officeDocument/2006/relationships/hyperlink" Target="https://ww14.autotask.net/Mvc/Projects/ProjectDetail.mvc/ProjectDetail?gridConfiguration=Outline&amp;initialContentPage=Summary&amp;projectId=702" TargetMode="External"/><Relationship Id="rId47" Type="http://schemas.openxmlformats.org/officeDocument/2006/relationships/hyperlink" Target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TargetMode="External"/><Relationship Id="rId50" Type="http://schemas.openxmlformats.org/officeDocument/2006/relationships/hyperlink" Target="https://ww14.autotask.net/Mvc/Projects/ProjectDetail.mvc/ProjectDetail?gridConfiguration=Outline&amp;initialContentPage=Summary&amp;projectId=563" TargetMode="External"/><Relationship Id="rId7" Type="http://schemas.openxmlformats.org/officeDocument/2006/relationships/hyperlink" Target="https://www.google.fr/maps/place/Les+Entreprises+Tzanet/@45.563041,-73.7008035,13z/data=!4m9!1m2!2m1!1stzanet!3m5!1s0x4cc918f3f22a80a9:0xc62c2032f37672a4!8m2!3d45.5332363!4d-73.6628473!15sCgZ0emFuZXQiA4gBAVoIIgZ0emFuZXSSARRraXRjaGVuX3N1cHBseV9zdG9yZeABAA!5m1!1e1?hl=fr" TargetMode="External"/><Relationship Id="rId2" Type="http://schemas.openxmlformats.org/officeDocument/2006/relationships/hyperlink" Target="https://www.google.fr/maps/place/O+%26+T+Farms+Ltd/@48.1142644,-97.5674125,5z/data=!4m5!3m4!1s0x0:0x8d1b22cb14efb697!8m2!3d50.4836299!4d-104.7133565!5m1!1e1?hl=fr" TargetMode="External"/><Relationship Id="rId16" Type="http://schemas.openxmlformats.org/officeDocument/2006/relationships/hyperlink" Target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" TargetMode="External"/><Relationship Id="rId29" Type="http://schemas.openxmlformats.org/officeDocument/2006/relationships/hyperlink" Target="https://ww14.autotask.net/Mvc/Projects/ProjectDetail.mvc/ProjectDetail?gridConfiguration=Outline&amp;initialContentPage=Summary&amp;projectId=725" TargetMode="External"/><Relationship Id="rId11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24" Type="http://schemas.openxmlformats.org/officeDocument/2006/relationships/hyperlink" Target="https://ww14.autotask.net/Mvc/Projects/ProjectDetail.mvc/ProjectDetail?gridConfiguration=Outline&amp;initialContentPage=Summary&amp;projectId=837" TargetMode="External"/><Relationship Id="rId32" Type="http://schemas.openxmlformats.org/officeDocument/2006/relationships/hyperlink" Target="https://ww14.autotask.net/Mvc/Projects/ProjectDetail.mvc/ProjectDetail?gridConfiguration=Outline&amp;initialContentPage=Summary&amp;projectId=561" TargetMode="External"/><Relationship Id="rId37" Type="http://schemas.openxmlformats.org/officeDocument/2006/relationships/hyperlink" Target="https://ww14.autotask.net/Mvc/Projects/ProjectDetail.mvc/ProjectDetail?gridConfiguration=Outline&amp;initialContentPage=Summary&amp;projectId=744" TargetMode="External"/><Relationship Id="rId40" Type="http://schemas.openxmlformats.org/officeDocument/2006/relationships/hyperlink" Target="https://ww14.autotask.net/Mvc/Projects/ProjectDetail.mvc/ProjectDetail?gridConfiguration=Outline&amp;initialContentPage=Summary&amp;projectId=829" TargetMode="External"/><Relationship Id="rId45" Type="http://schemas.openxmlformats.org/officeDocument/2006/relationships/hyperlink" Target="https://ww14.autotask.net/Mvc/Projects/ProjectDetail.mvc/ProjectDetail?gridConfiguration=Outline&amp;initialContentPage=Summary&amp;projectId=868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https://www.google.fr/maps/place/Les+Aliments+CDS+Foods+Inc./@45.5275469,-73.6519625,14.4z/data=!4m5!3m4!1s0x0:0x9e5bd2d32605e06d!8m2!3d45.5284002!4d-73.6657747!5m1!1e1?hl=fr" TargetMode="External"/><Relationship Id="rId10" Type="http://schemas.openxmlformats.org/officeDocument/2006/relationships/hyperlink" Target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TargetMode="External"/><Relationship Id="rId19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31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44" Type="http://schemas.openxmlformats.org/officeDocument/2006/relationships/hyperlink" Target="https://ww14.autotask.net/Mvc/Projects/ProjectDetail.mvc/ProjectDetail?gridConfiguration=Outline&amp;initialContentPage=Summary&amp;projectId=840" TargetMode="External"/><Relationship Id="rId52" Type="http://schemas.openxmlformats.org/officeDocument/2006/relationships/hyperlink" Target="https://ww14.autotask.net/Mvc/Projects/ProjectDetail.mvc/ProjectDetail?gridConfiguration=Outline&amp;initialContentPage=Summary&amp;projectId=850" TargetMode="External"/><Relationship Id="rId4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9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4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22" Type="http://schemas.openxmlformats.org/officeDocument/2006/relationships/hyperlink" Target="https://www.google.fr/maps/place/350+S+Pekin+Rd,+Woodland,+WA+98674,+%C3%89tats-Unis/@45.8913918,-122.7452506,17z/data=!3m1!4b1!4m5!3m4!1s0x54944f1f45f97411:0xfa635b6193402016!8m2!3d45.8913918!4d-122.7430619!5m1!1e1?hl=fr" TargetMode="External"/><Relationship Id="rId27" Type="http://schemas.openxmlformats.org/officeDocument/2006/relationships/hyperlink" Target="https://ww14.autotask.net/Mvc/Projects/ProjectDetail.mvc/ProjectDetail?gridConfiguration=Outline&amp;initialContentPage=Summary&amp;projectId=716" TargetMode="External"/><Relationship Id="rId30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5" Type="http://schemas.openxmlformats.org/officeDocument/2006/relationships/hyperlink" Target="https://ww14.autotask.net/Mvc/Projects/ProjectDetail.mvc/ProjectDetail?gridConfiguration=Outline&amp;initialContentPage=Summary&amp;projectId=835" TargetMode="External"/><Relationship Id="rId43" Type="http://schemas.openxmlformats.org/officeDocument/2006/relationships/hyperlink" Target="https://ww14.autotask.net/Mvc/Projects/ProjectDetail.mvc/ProjectDetail?gridConfiguration=Outline&amp;initialContentPage=Summary&amp;projectId=762" TargetMode="External"/><Relationship Id="rId48" Type="http://schemas.openxmlformats.org/officeDocument/2006/relationships/hyperlink" Target="https://ww14.autotask.net/Mvc/Projects/ProjectDetail.mvc/ProjectDetail?gridConfiguration=Outline&amp;initialContentPage=Summary&amp;projectId=668" TargetMode="External"/><Relationship Id="rId8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51" Type="http://schemas.openxmlformats.org/officeDocument/2006/relationships/hyperlink" Target="https://ww14.autotask.net/Mvc/Projects/ProjectDetail.mvc/ProjectDetail?gridConfiguration=Outline&amp;initialContentPage=Summary&amp;projectId=860" TargetMode="External"/><Relationship Id="rId3" Type="http://schemas.openxmlformats.org/officeDocument/2006/relationships/hyperlink" Target="https://www.google.fr/maps/place/Fromagerie+Polyethnique+Inc./@45.9439944,-73.0552781,12.05z/data=!4m5!3m4!1s0x0:0xef280bcfed15fb50!8m2!3d45.9290294!4d-73.0172073!5m1!1e1?hl=fr" TargetMode="External"/><Relationship Id="rId12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17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25" Type="http://schemas.openxmlformats.org/officeDocument/2006/relationships/hyperlink" Target="https://ww14.autotask.net/Mvc/Projects/ProjectDetail.mvc/ProjectDetail?gridConfiguration=Outline&amp;initialContentPage=Summary&amp;projectId=852" TargetMode="External"/><Relationship Id="rId33" Type="http://schemas.openxmlformats.org/officeDocument/2006/relationships/hyperlink" Target="https://ww14.autotask.net/Mvc/Projects/ProjectDetail.mvc/ProjectDetail?gridConfiguration=Outline&amp;initialContentPage=Summary&amp;projectId=679" TargetMode="External"/><Relationship Id="rId38" Type="http://schemas.openxmlformats.org/officeDocument/2006/relationships/hyperlink" Target="https://ww14.autotask.net/Mvc/Projects/ProjectDetail.mvc/ProjectDetail?gridConfiguration=Outline&amp;initialContentPage=Summary&amp;projectId=864" TargetMode="External"/><Relationship Id="rId46" Type="http://schemas.openxmlformats.org/officeDocument/2006/relationships/hyperlink" Target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TargetMode="External"/><Relationship Id="rId20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41" Type="http://schemas.openxmlformats.org/officeDocument/2006/relationships/hyperlink" Target="https://ww14.autotask.net/Mvc/Projects/ProjectDetail.mvc/ProjectDetail?gridConfiguration=Outline&amp;initialContentPage=Summary&amp;projectId=680" TargetMode="External"/><Relationship Id="rId1" Type="http://schemas.openxmlformats.org/officeDocument/2006/relationships/hyperlink" Target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TargetMode="External"/><Relationship Id="rId6" Type="http://schemas.openxmlformats.org/officeDocument/2006/relationships/hyperlink" Target="https://www.google.fr/maps/place/Gazebo+Penguin+Inc/@45.4710799,-73.6971059,17z/data=!3m1!4b1!4m5!3m4!1s0x4cc917bb885b926d:0x4e4996129610b8c4!8m2!3d45.4710762!4d-73.6949172!5m1!1e1?hl=fr" TargetMode="External"/><Relationship Id="rId15" Type="http://schemas.openxmlformats.org/officeDocument/2006/relationships/hyperlink" Target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" TargetMode="External"/><Relationship Id="rId23" Type="http://schemas.openxmlformats.org/officeDocument/2006/relationships/hyperlink" Target="https://www.google.fr/maps/place/LOVATO+Electric/@37.3473706,-76.2287809,7z/data=!4m5!3m4!1s0x0:0x2d8afaab31ba084e!8m2!3d36.7918965!4d-76.2460442!5m1!1e1?hl=fr" TargetMode="External"/><Relationship Id="rId28" Type="http://schemas.openxmlformats.org/officeDocument/2006/relationships/hyperlink" Target="https://ww14.autotask.net/Mvc/Projects/ProjectDetail.mvc/ProjectDetail?gridConfiguration=Outline&amp;initialContentPage=Summary&amp;projectId=830&amp;restoreworkspacekey=" TargetMode="External"/><Relationship Id="rId36" Type="http://schemas.openxmlformats.org/officeDocument/2006/relationships/hyperlink" Target="https://ww14.autotask.net/Mvc/Projects/ProjectDetail.mvc/ProjectDetail?gridConfiguration=Outline&amp;initialContentPage=Summary&amp;projectId=856" TargetMode="External"/><Relationship Id="rId49" Type="http://schemas.openxmlformats.org/officeDocument/2006/relationships/hyperlink" Target="https://www.google.fr/maps/place/Eclipse+Automation/@43.4101677,-80.3161492,17z/data=!4m13!1m7!3m6!1s0x882b886f8982a0cf:0xcccd96ce1e4e4160!2s55+Thompson+Dr,+Cambridge,+ON+N1T+2E4!3b1!8m2!3d43.4064259!4d-80.2896422!3m4!1s0x0:0xce04b5739fe00d09!8m2!3d43.410176!4d-80.3139658!5m1!1e1?hl=f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14.autotask.net/Mvc/Projects/ProjectDetail.mvc/ProjectDetail?gridConfiguration=Outline&amp;initialContentPage=Summary&amp;projectId=686" TargetMode="External"/><Relationship Id="rId3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7" Type="http://schemas.openxmlformats.org/officeDocument/2006/relationships/hyperlink" Target="https://ww14.autotask.net/Mvc/Projects/ProjectDetail.mvc/ProjectDetail?gridConfiguration=Outline&amp;initialContentPage=Summary&amp;projectId=640" TargetMode="External"/><Relationship Id="rId2" Type="http://schemas.openxmlformats.org/officeDocument/2006/relationships/hyperlink" Target="https://www.google.fr/maps/place/Sit+Mauricie/@46.3399901,-72.5556003,18.91z/data=!4m5!3m4!1s0x0:0xfecea68a17e43c36!8m2!3d46.3399946!4d-72.5550643!5m1!1e1?hl=fr" TargetMode="External"/><Relationship Id="rId1" Type="http://schemas.openxmlformats.org/officeDocument/2006/relationships/hyperlink" Target="https://www.google.fr/maps/place/T%C3%ABnzo+Fine+Plomberie/@45.5975069,-73.2210645,17z/data=!3m1!4b1!4m5!3m4!1s0x4cc8555dfcbc8aeb:0xa5269fb26ea18829!8m2!3d45.5975032!4d-73.2165798!5m1!1e1?hl=fr" TargetMode="External"/><Relationship Id="rId6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10" Type="http://schemas.openxmlformats.org/officeDocument/2006/relationships/hyperlink" Target="https://ww14.autotask.net/Mvc/Projects/ProjectDetail.mvc/ProjectDetail?gridConfiguration=Outline&amp;initialContentPage=Schedule&amp;projectId=873" TargetMode="External"/><Relationship Id="rId4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9" Type="http://schemas.openxmlformats.org/officeDocument/2006/relationships/hyperlink" Target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7" Type="http://schemas.openxmlformats.org/officeDocument/2006/relationships/hyperlink" Target="https://www.google.fr/maps/place/Cosme+Inc/@45.440882,-73.6453492,17z/data=!4m13!1m7!3m6!1s0x4cc916d2b7db13a3:0xb50dfb44b7a5031!2s8500+Rue+Saint-Patrick,+LaSalle,+QC+H8N+1V1!3b1!8m2!3d45.440882!4d-73.6431605!3m4!1s0x4cc916d2dd48cfe3:0x972626215612887!8m2!3d45.4409834!4d-73.643482!5m1!1e1?hl=fr" TargetMode="External"/><Relationship Id="rId2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1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6" Type="http://schemas.openxmlformats.org/officeDocument/2006/relationships/hyperlink" Target="https://ww14.autotask.net/Mvc/Projects/ProjectDetail.mvc/ProjectDetail?gridConfiguration=Outline&amp;initialContentPage=Summary&amp;projectId=673" TargetMode="External"/><Relationship Id="rId5" Type="http://schemas.openxmlformats.org/officeDocument/2006/relationships/hyperlink" Target="https://ww14.autotask.net/Mvc/Projects/ProjectDetail.mvc/ProjectDetail?gridConfiguration=Outline&amp;initialContentPage=Summary&amp;projectId=870" TargetMode="External"/><Relationship Id="rId4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F57"/>
  <sheetViews>
    <sheetView zoomScale="82" zoomScaleNormal="85"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I35" sqref="I35"/>
    </sheetView>
  </sheetViews>
  <sheetFormatPr defaultColWidth="8.88671875" defaultRowHeight="14.4" outlineLevelCol="1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3" customWidth="1" outlineLevel="1"/>
    <col min="8" max="8" width="11" style="3" customWidth="1" outlineLevel="1"/>
    <col min="9" max="9" width="12.109375" style="3" customWidth="1" outlineLevel="1"/>
    <col min="10" max="10" width="21.6640625" style="3" bestFit="1" customWidth="1" outlineLevel="1"/>
    <col min="11" max="11" width="35.6640625" style="1" customWidth="1" outlineLevel="1"/>
    <col min="12" max="12" width="16.88671875" style="3" customWidth="1" outlineLevel="1"/>
    <col min="13" max="13" width="19" style="1" customWidth="1" outlineLevel="1"/>
    <col min="14" max="14" width="17.88671875" style="1" customWidth="1" outlineLevel="1"/>
    <col min="15" max="16" width="15.109375" style="3" bestFit="1" customWidth="1" outlineLevel="1"/>
    <col min="17" max="17" width="97.5546875" style="1" customWidth="1" outlineLevel="1"/>
    <col min="18" max="18" width="13.109375" style="1" customWidth="1" outlineLevel="1"/>
    <col min="19" max="19" width="13" style="1" customWidth="1" outlineLevel="1"/>
    <col min="20" max="20" width="29.44140625" style="11" customWidth="1" outlineLevel="1"/>
    <col min="21" max="21" width="13" style="13" customWidth="1" outlineLevel="1"/>
    <col min="22" max="23" width="13" style="1" customWidth="1" outlineLevel="1"/>
    <col min="24" max="24" width="8.88671875" style="1" customWidth="1" outlineLevel="1"/>
    <col min="25" max="25" width="8.88671875" style="1"/>
    <col min="26" max="26" width="21.6640625" style="1" customWidth="1"/>
    <col min="27" max="27" width="31.21875" style="1" customWidth="1"/>
    <col min="28" max="28" width="34.44140625" style="1" customWidth="1"/>
    <col min="29" max="29" width="15.88671875" style="1" customWidth="1"/>
    <col min="30" max="30" width="12.6640625" style="1" customWidth="1"/>
    <col min="31" max="31" width="15.44140625" style="1" customWidth="1"/>
    <col min="32" max="32" width="13.77734375" style="1" bestFit="1" customWidth="1"/>
    <col min="33" max="16384" width="8.88671875" style="1"/>
  </cols>
  <sheetData>
    <row r="1" spans="1:32" s="12" customFormat="1" ht="28.8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3" t="s">
        <v>8</v>
      </c>
      <c r="P1" s="23" t="s">
        <v>9</v>
      </c>
      <c r="Q1" s="22" t="s">
        <v>16</v>
      </c>
      <c r="R1" s="22" t="s">
        <v>17</v>
      </c>
      <c r="S1" s="22" t="s">
        <v>18</v>
      </c>
      <c r="T1" s="22" t="s">
        <v>19</v>
      </c>
      <c r="U1" s="24" t="s">
        <v>20</v>
      </c>
      <c r="Z1" s="12" t="s">
        <v>21</v>
      </c>
      <c r="AA1" s="12" t="s">
        <v>22</v>
      </c>
      <c r="AB1" s="12" t="s">
        <v>235</v>
      </c>
      <c r="AC1" s="12" t="s">
        <v>236</v>
      </c>
      <c r="AD1" s="12" t="s">
        <v>237</v>
      </c>
      <c r="AE1" s="12" t="s">
        <v>236</v>
      </c>
      <c r="AF1" s="12" t="s">
        <v>237</v>
      </c>
    </row>
    <row r="2" spans="1:32" s="13" customFormat="1">
      <c r="A2" s="25" t="s">
        <v>23</v>
      </c>
      <c r="B2" s="26" t="s">
        <v>24</v>
      </c>
      <c r="C2" s="26" t="s">
        <v>25</v>
      </c>
      <c r="D2" s="27">
        <v>44105</v>
      </c>
      <c r="E2" s="27">
        <v>44925</v>
      </c>
      <c r="F2" s="26" t="s">
        <v>226</v>
      </c>
      <c r="G2" s="28">
        <v>456</v>
      </c>
      <c r="H2" s="28">
        <v>605.75</v>
      </c>
      <c r="I2" s="111">
        <f>'Projets Jerome'!$G2*'Projets Jerome'!$O2*1.15</f>
        <v>86526</v>
      </c>
      <c r="J2" s="28" t="s">
        <v>28</v>
      </c>
      <c r="K2" s="26" t="s">
        <v>29</v>
      </c>
      <c r="L2" s="28">
        <f>_xlfn.XLOOKUP('Projets Jerome'!$J2,import!$J$2:$J$22,import!$N$2:$N$22)</f>
        <v>29684478</v>
      </c>
      <c r="M2" s="27">
        <v>44113</v>
      </c>
      <c r="N2" s="26" t="s">
        <v>30</v>
      </c>
      <c r="O2" s="28">
        <v>165</v>
      </c>
      <c r="P2" s="28" t="s">
        <v>27</v>
      </c>
      <c r="Q2" s="30" t="s">
        <v>31</v>
      </c>
      <c r="R2" s="26">
        <v>45.5853088</v>
      </c>
      <c r="S2" s="26">
        <v>-73.709455800000001</v>
      </c>
      <c r="T2" s="31" t="s">
        <v>32</v>
      </c>
      <c r="U2" s="32" t="s">
        <v>33</v>
      </c>
      <c r="Z2" s="13" t="str">
        <f>_xlfn.XLOOKUP('Projets Jerome'!$J2,import!$J$2:$J$24,import!$C$2:$C$24)</f>
        <v>Distribution GVA</v>
      </c>
      <c r="AA2" s="13" t="str">
        <f>_xlfn.XLOOKUP('Projets Jerome'!$J2,import!$J$2:$J$24,import!$B$2:$B$24)</f>
        <v>Implantation SAP HANA Azure + We Go Trade</v>
      </c>
      <c r="AB2" s="13" t="str">
        <f>_xlfn.WEBSERVICE("https://maps.googleapis.com/maps/api/geocode/xml?address="&amp;'Projets Jerome'!$T2&amp;"&amp;key=AIzaSyCHth-wrbaKBruFJQMWpdpeHAtAzdbcKh4")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&lt;formatted_address&gt;1950 Boulevard des Laurentides, Laval, QC H7M 2Y9, Canada&lt;/formatted_address&gt;
  &lt;address_component&gt;
   &lt;long_name&gt;1950&lt;/long_name&gt;
   &lt;short_name&gt;1950&lt;/short_name&gt;
   &lt;type&gt;street_number&lt;/type&gt;
  &lt;/address_component&gt;
  &lt;address_component&gt;
   &lt;long_name&gt;Boulevard des Laurentides&lt;/long_name&gt;
   &lt;short_name&gt;Boulevard des Laurentides&lt;/short_name&gt;
   &lt;type&gt;route&lt;/type&gt;
  &lt;/address_component&gt;
  &lt;address_component&gt;
   &lt;long_name&gt;Laval&lt;/long_name&gt;
   &lt;short_name&gt;Laval&lt;/short_name&gt;
   &lt;type&gt;locality&lt;/type&gt;
   &lt;type&gt;political&lt;/type&gt;
  &lt;/address_component&gt;
  &lt;address_component&gt;
   &lt;long_name&gt;Laval&lt;/long_name&gt;
   &lt;short_name&gt;Laval&lt;/short_name&gt;
   &lt;type&gt;administrative_area_level_3&lt;/type&gt;
   &lt;type&gt;political&lt;/type&gt;
  &lt;/address_component&gt;
  &lt;address_component&gt;
   &lt;long_name&gt;Laval&lt;/long_name&gt;
   &lt;short_name&gt;Laval&lt;/short_name&gt;
   &lt;type&gt;administrative_area_level_2&lt;/type&gt;
   &lt;type&gt;political&lt;/type&gt;
  &lt;/address_component&gt;
  &lt;address_component&gt;
   &lt;long_name&gt;Quebec&lt;/long_name&gt;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&lt;long_name&gt;H7M 2Y9&lt;/long_name&gt;
   &lt;short_name&gt;H7M 2Y9&lt;/short_name&gt;
   &lt;type&gt;postal_code&lt;/type&gt;
  &lt;/address_component&gt;
  &lt;geometry&gt;
   &lt;location&gt;
    &lt;lat&gt;45.5853088&lt;/lat&gt;
    &lt;lng&gt;-73.7094558&lt;/lng&gt;
   &lt;/location&gt;
   &lt;location_type&gt;ROOFTOP&lt;/location_type&gt;
   &lt;viewport&gt;
    &lt;southwest&gt;
     &lt;lat&gt;45.5840079&lt;/lat&gt;
     &lt;lng&gt;-73.7107165&lt;/lng&gt;
    &lt;/southwest&gt;
    &lt;northeast&gt;
     &lt;lat&gt;45.5867059&lt;/lat&gt;
     &lt;lng&gt;-73.7080185&lt;/lng&gt;
    &lt;/northeast&gt;
   &lt;/viewport&gt;
  &lt;/geometry&gt;
  &lt;place_id&gt;ChIJO9PUOZshyUwRawCBahBqH5Y&lt;/place_id&gt;
  &lt;plus_code&gt;
   &lt;global_code&gt;87Q8H7PR+46&lt;/global_code&gt;
   &lt;compound_code&gt;H7PR+46 Laval, QC, Canada&lt;/compound_code&gt;
  &lt;/plus_code&gt;
 &lt;/result&gt;
&lt;/GeocodeResponse&gt;
</v>
      </c>
      <c r="AC2" s="13">
        <v>45.5853088</v>
      </c>
      <c r="AD2" s="13">
        <v>-73.709455800000001</v>
      </c>
      <c r="AE2" s="13" cm="1">
        <f t="array" ref="AE2">_xlfn.FILTERXML(AB2,"//location/lat")</f>
        <v>45.5853088</v>
      </c>
      <c r="AF2" s="13" cm="1">
        <f t="array" ref="AF2">_xlfn.FILTERXML(AB2,"//location/lng")</f>
        <v>-73.709455800000001</v>
      </c>
    </row>
    <row r="3" spans="1:32" s="13" customFormat="1" ht="28.8">
      <c r="A3" s="33" t="s">
        <v>42</v>
      </c>
      <c r="B3" s="34" t="s">
        <v>43</v>
      </c>
      <c r="C3" s="34" t="s">
        <v>44</v>
      </c>
      <c r="D3" s="35">
        <v>44375</v>
      </c>
      <c r="E3" s="35">
        <v>44925</v>
      </c>
      <c r="F3" s="34" t="s">
        <v>36</v>
      </c>
      <c r="G3" s="36">
        <v>401</v>
      </c>
      <c r="H3" s="36">
        <v>274</v>
      </c>
      <c r="I3" s="112">
        <f>'Projets Jerome'!$G3*'Projets Jerome'!$O3*1.15</f>
        <v>76089.75</v>
      </c>
      <c r="J3" s="36" t="s">
        <v>45</v>
      </c>
      <c r="K3" s="34" t="s">
        <v>46</v>
      </c>
      <c r="L3" s="36">
        <f>_xlfn.XLOOKUP('Projets Jerome'!$J3,import!$J$2:$J$22,import!$N$2:$N$22)</f>
        <v>29685238</v>
      </c>
      <c r="M3" s="35">
        <v>44391</v>
      </c>
      <c r="N3" s="34" t="s">
        <v>30</v>
      </c>
      <c r="O3" s="36">
        <v>165</v>
      </c>
      <c r="P3" s="36" t="s">
        <v>27</v>
      </c>
      <c r="Q3" s="38" t="s">
        <v>47</v>
      </c>
      <c r="R3" s="34">
        <v>45.611036800000001</v>
      </c>
      <c r="S3" s="34">
        <v>-73.856229299999995</v>
      </c>
      <c r="T3" s="39" t="s">
        <v>48</v>
      </c>
      <c r="U3" s="40" t="s">
        <v>49</v>
      </c>
      <c r="Z3" s="13" t="str">
        <f>_xlfn.XLOOKUP('Projets Jerome'!$J3,import!$J$2:$J$24,import!$C$2:$C$24)</f>
        <v>Éditions Chouette</v>
      </c>
      <c r="AA3" s="13" t="str">
        <f>_xlfn.XLOOKUP('Projets Jerome'!$J3,import!$J$2:$J$24,import!$B$2:$B$24)</f>
        <v>Implantation Editions Chouette</v>
      </c>
      <c r="AB3" s="13" t="str">
        <f>_xlfn.WEBSERVICE("https://maps.googleapis.com/maps/api/geocode/xml?address="&amp;'Projets Jerome'!$T3&amp;"&amp;key=AIzaSyCHth-wrbaKBruFJQMWpdpeHAtAzdbcKh4")</f>
        <v xml:space="preserve">&lt;?xml version="1.0" encoding="UTF-8"?&gt;
&lt;GeocodeResponse&gt;
 &lt;status&gt;OK&lt;/status&gt;
 &lt;result&gt;
  &lt;type&gt;premise&lt;/type&gt;
  &lt;formatted_address&gt;2515 Av. de la Renaissance, Boisbriand, QC J7H 1T9, Canada&lt;/formatted_address&gt;
  &lt;address_component&gt;
   &lt;long_name&gt;2515&lt;/long_name&gt;
   &lt;short_name&gt;2515&lt;/short_name&gt;
   &lt;type&gt;street_number&lt;/type&gt;
  &lt;/address_component&gt;
  &lt;address_component&gt;
   &lt;long_name&gt;Avenue de la Renaissance&lt;/long_name&gt;
   &lt;short_name&gt;Av. de la Renaissance&lt;/short_name&gt;
   &lt;type&gt;route&lt;/type&gt;
  &lt;/address_component&gt;
  &lt;address_component&gt;
   &lt;long_name&gt;Boisbriand&lt;/long_name&gt;
   &lt;short_name&gt;Boisbriand&lt;/short_name&gt;
   &lt;type&gt;locality&lt;/type&gt;
   &lt;type&gt;political&lt;/type&gt;
  &lt;/address_component&gt;
  &lt;address_component&gt;
   &lt;long_name&gt;Thérèse-De Blainville&lt;/long_name&gt;
   &lt;short_name&gt;Thérèse-De Blainville&lt;/short_name&gt;
   &lt;type&gt;administrative_area_level_3&lt;/type&gt;
   &lt;type&gt;political&lt;/type&gt;
  &lt;/address_component&gt;
  &lt;address_component&gt;
   &lt;long_name&gt;Laurentides&lt;/long_name&gt;
   &lt;short_name&gt;Laurentides&lt;/short_name&gt;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&lt;long_name&gt;J7H 1T9&lt;/long_name&gt;
   &lt;short_name&gt;J7H 1T9&lt;/short_name&gt;
   &lt;type&gt;postal_code&lt;/type&gt;
  &lt;/address_component&gt;
  &lt;geometry&gt;
   &lt;location&gt;
    &lt;lat&gt;45.6108305&lt;/lat&gt;
    &lt;lng&gt;-73.8565307&lt;/lng&gt;
   &lt;/location&gt;
   &lt;location_type&gt;ROOFTOP&lt;/location_type&gt;
   &lt;viewport&gt;
    &lt;southwest&gt;
     &lt;lat&gt;45.6095587&lt;/lat&gt;
     &lt;lng&gt;-73.8578684&lt;/lng&gt;
    &lt;/southwest&gt;
    &lt;northeast&gt;
     &lt;lat&gt;45.6122567&lt;/lat&gt;
     &lt;lng&gt;-73.8551704&lt;/lng&gt;
    &lt;/northeast&gt;
   &lt;/viewport&gt;
   &lt;bounds&gt;
    &lt;southwest&gt;
     &lt;lat&gt;45.6105332&lt;/lat&gt;
     &lt;lng&gt;-73.8571507&lt;/lng&gt;
    &lt;/southwest&gt;
    &lt;northeast&gt;
     &lt;lat&gt;45.6112822&lt;/lat&gt;
     &lt;lng&gt;-73.8559985&lt;/lng&gt;
    &lt;/northeast&gt;
   &lt;/bounds&gt;
  &lt;/geometry&gt;
  &lt;place_id&gt;ChIJJ0D9_RsmyUwR1fZvQsNu9gM&lt;/place_id&gt;
 &lt;/result&gt;
&lt;/GeocodeResponse&gt;
</v>
      </c>
      <c r="AC3" s="13">
        <v>45.610830499999999</v>
      </c>
      <c r="AD3" s="13">
        <v>-73.856530699999993</v>
      </c>
      <c r="AE3" s="13" cm="1">
        <f t="array" ref="AE3">_xlfn.FILTERXML(AB3,"//location/lat")</f>
        <v>45.610830499999999</v>
      </c>
      <c r="AF3" s="13" cm="1">
        <f t="array" ref="AF3">_xlfn.FILTERXML(AB3,"//location/lng")</f>
        <v>-73.856530699999993</v>
      </c>
    </row>
    <row r="4" spans="1:32" s="13" customFormat="1" ht="28.8">
      <c r="A4" s="25" t="s">
        <v>42</v>
      </c>
      <c r="B4" s="26" t="s">
        <v>50</v>
      </c>
      <c r="C4" s="26" t="s">
        <v>51</v>
      </c>
      <c r="D4" s="27">
        <v>44392</v>
      </c>
      <c r="E4" s="27">
        <v>44925</v>
      </c>
      <c r="F4" s="26" t="s">
        <v>36</v>
      </c>
      <c r="G4" s="28">
        <v>781</v>
      </c>
      <c r="H4" s="28">
        <v>759.25</v>
      </c>
      <c r="I4" s="111">
        <f>'Projets Jerome'!$G4*'Projets Jerome'!$O4*1.15</f>
        <v>148194.75</v>
      </c>
      <c r="J4" s="28" t="s">
        <v>52</v>
      </c>
      <c r="K4" s="26" t="s">
        <v>53</v>
      </c>
      <c r="L4" s="28">
        <f>_xlfn.XLOOKUP('Projets Jerome'!$J4,import!$J$2:$J$22,import!$N$2:$N$22)</f>
        <v>29684798</v>
      </c>
      <c r="M4" s="27">
        <v>44392</v>
      </c>
      <c r="N4" s="26" t="s">
        <v>30</v>
      </c>
      <c r="O4" s="28">
        <v>165</v>
      </c>
      <c r="P4" s="28" t="s">
        <v>27</v>
      </c>
      <c r="Q4" s="30" t="s">
        <v>54</v>
      </c>
      <c r="R4" s="26">
        <v>50.483629899999997</v>
      </c>
      <c r="S4" s="26">
        <v>-104.7133565</v>
      </c>
      <c r="T4" s="41" t="s">
        <v>55</v>
      </c>
      <c r="U4" s="42" t="s">
        <v>56</v>
      </c>
      <c r="Z4" s="13" t="str">
        <f>_xlfn.XLOOKUP('Projets Jerome'!$J4,import!$J$2:$J$24,import!$C$2:$C$24)</f>
        <v>O&amp;T Farms</v>
      </c>
      <c r="AA4" s="13" t="str">
        <f>_xlfn.XLOOKUP('Projets Jerome'!$J4,import!$J$2:$J$24,import!$B$2:$B$24)</f>
        <v>Implementation SAP HANA Versago</v>
      </c>
      <c r="AB4" s="13" t="str">
        <f>_xlfn.WEBSERVICE("https://maps.googleapis.com/maps/api/geocode/xml?address="&amp;'Projets Jerome'!$T4&amp;"&amp;key=AIzaSyCHth-wrbaKBruFJQMWpdpeHAtAzdbcKh4")</f>
        <v xml:space="preserve">&lt;?xml version="1.0" encoding="UTF-8"?&gt;
&lt;GeocodeResponse&gt;
 &lt;status&gt;OK&lt;/status&gt;
 &lt;result&gt;
  &lt;type&gt;intersection&lt;/type&gt;
  &lt;formatted_address&gt;Pinkie Rd &amp;amp; Sherwood Dr, Regina, SK S0G 3W0, Canada&lt;/formatted_address&gt;
  &lt;address_component&gt;
   &lt;long_name&gt;Pinkie Road &amp;amp; Sherwood Drive&lt;/long_name&gt;
   &lt;short_name&gt;Pinkie Rd &amp;amp; Sherwood Dr&lt;/short_name&gt;
   &lt;type&gt;intersection&lt;/type&gt;
  &lt;/address_component&gt;
  &lt;address_component&gt;
   &lt;long_name&gt;Regina&lt;/long_name&gt;
   &lt;short_name&gt;Regina&lt;/short_name&gt;
   &lt;type&gt;locality&lt;/type&gt;
   &lt;type&gt;political&lt;/type&gt;
  &lt;/address_component&gt;
  &lt;address_component&gt;
   &lt;long_name&gt;Sherwood No. 159&lt;/long_name&gt;
   &lt;short_name&gt;Sherwood No. 159&lt;/short_name&gt;
   &lt;type&gt;administrative_area_level_2&lt;/type&gt;
   &lt;type&gt;political&lt;/type&gt;
  &lt;/address_component&gt;
  &lt;address_component&gt;
   &lt;long_name&gt;Saskatchewan&lt;/long_name&gt;
   &lt;short_name&gt;SK&lt;/short_name&gt;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&lt;long_name&gt;S0G 3W0&lt;/long_name&gt;
   &lt;short_name&gt;S0G 3W0&lt;/short_name&gt;
   &lt;type&gt;postal_code&lt;/type&gt;
  &lt;/address_component&gt;
  &lt;geometry&gt;
   &lt;location&gt;
    &lt;lat&gt;50.4810906&lt;/lat&gt;
    &lt;lng&gt;-104.7098067&lt;/lng&gt;
   &lt;/location&gt;
   &lt;location_type&gt;GEOMETRIC_CENTER&lt;/location_type&gt;
   &lt;viewport&gt;
    &lt;southwest&gt;
     &lt;lat&gt;50.4797416&lt;/lat&gt;
     &lt;lng&gt;-104.7111557&lt;/lng&gt;
    &lt;/southwest&gt;
    &lt;northeast&gt;
     &lt;lat&gt;50.4824396&lt;/lat&gt;
     &lt;lng&gt;-104.7084577&lt;/lng&gt;
    &lt;/northeast&gt;
   &lt;/viewport&gt;
  &lt;/geometry&gt;
  &lt;place_id&gt;EjNQaW5raWUgUmQgJiBTaGVyd29vZCBEciwgUmVnaW5hLCBTSyBTMEcgM1cwLCBDYW5hZGEiZiJkChQKEgmJzLUybxwcUxHhZuVxdekflxIUChIJicy1Mm8cHFMR4WblcXXpH5caFAoSCSl7GW6Opx5TEQ3vbph6M3NbGhQKEgnRRpFZIBwcUxEzpR0fpY7g1CIKDZrNFh4VLY2WwQ&lt;/place_id&gt;
 &lt;/result&gt;
&lt;/GeocodeResponse&gt;
</v>
      </c>
      <c r="AC4" s="13">
        <v>50.473944199999998</v>
      </c>
      <c r="AD4" s="13">
        <v>-104.70972999999999</v>
      </c>
      <c r="AE4" s="13" cm="1">
        <f t="array" ref="AE4">_xlfn.FILTERXML(AB4,"//location/lat")</f>
        <v>50.481090600000002</v>
      </c>
      <c r="AF4" s="13" cm="1">
        <f t="array" ref="AF4">_xlfn.FILTERXML(AB4,"//location/lng")</f>
        <v>-104.7098067</v>
      </c>
    </row>
    <row r="5" spans="1:32" s="13" customFormat="1" ht="28.8">
      <c r="A5" s="33" t="s">
        <v>42</v>
      </c>
      <c r="B5" s="34" t="s">
        <v>57</v>
      </c>
      <c r="C5" s="34" t="s">
        <v>65</v>
      </c>
      <c r="D5" s="35">
        <v>44440</v>
      </c>
      <c r="E5" s="35">
        <v>44925</v>
      </c>
      <c r="F5" s="34" t="s">
        <v>26</v>
      </c>
      <c r="G5" s="36">
        <v>200</v>
      </c>
      <c r="H5" s="36">
        <v>103.25</v>
      </c>
      <c r="I5" s="112">
        <f>'Projets Jerome'!$G5*'Projets Jerome'!$O5*1.15</f>
        <v>35650</v>
      </c>
      <c r="J5" s="36" t="s">
        <v>66</v>
      </c>
      <c r="K5" s="34" t="s">
        <v>67</v>
      </c>
      <c r="L5" s="36">
        <f>_xlfn.XLOOKUP('Projets Jerome'!$J5,import!$J$2:$J$22,import!$N$2:$N$22)</f>
        <v>29684829</v>
      </c>
      <c r="M5" s="35">
        <v>44461</v>
      </c>
      <c r="N5" s="34" t="s">
        <v>61</v>
      </c>
      <c r="O5" s="36">
        <v>155</v>
      </c>
      <c r="P5" s="36" t="s">
        <v>27</v>
      </c>
      <c r="Q5" s="38" t="s">
        <v>68</v>
      </c>
      <c r="R5" s="34">
        <v>45.533236299999999</v>
      </c>
      <c r="S5" s="34">
        <v>-73.662847299999996</v>
      </c>
      <c r="T5" s="39" t="s">
        <v>69</v>
      </c>
      <c r="U5" s="43" t="s">
        <v>70</v>
      </c>
      <c r="Z5" s="13" t="str">
        <f>_xlfn.XLOOKUP('Projets Jerome'!$J5,import!$J$2:$J$24,import!$C$2:$C$24)</f>
        <v>Tzanet</v>
      </c>
      <c r="AA5" s="13" t="str">
        <f>_xlfn.XLOOKUP('Projets Jerome'!$J5,import!$J$2:$J$24,import!$B$2:$B$24)</f>
        <v>Implantation WMS</v>
      </c>
      <c r="AB5" s="13" t="str">
        <f>_xlfn.WEBSERVICE("https://maps.googleapis.com/maps/api/geocode/xml?address="&amp;'Projets Jerome'!$T5&amp;"&amp;key=AIzaSyCHth-wrbaKBruFJQMWpdpeHAtAzdbcKh4")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&lt;formatted_address&gt;1375 Rue de Louvain O, Montréal, QC H4N 1G6, Canada&lt;/formatted_address&gt;
  &lt;address_component&gt;
   &lt;long_name&gt;1375&lt;/long_name&gt;
   &lt;short_name&gt;1375&lt;/short_name&gt;
   &lt;type&gt;street_number&lt;/type&gt;
  &lt;/address_component&gt;
  &lt;address_component&gt;
   &lt;long_name&gt;Rue de Louvain Ouest&lt;/long_name&gt;
   &lt;short_name&gt;Rue de Louvain O&lt;/short_name&gt;
   &lt;type&gt;route&lt;/type&gt;
  &lt;/address_component&gt;
  &lt;address_component&gt;
   &lt;long_name&gt;Ahuntsic-Cartierville&lt;/long_name&gt;
   &lt;short_name&gt;Ahuntsic-Cartierville&lt;/short_name&gt;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&lt;long_name&gt;H4N 1G6&lt;/long_name&gt;
   &lt;short_name&gt;H4N 1G6&lt;/short_name&gt;
   &lt;type&gt;postal_code&lt;/type&gt;
  &lt;/address_component&gt;
  &lt;geometry&gt;
   &lt;location&gt;
    &lt;lat&gt;45.5333564&lt;/lat&gt;
    &lt;lng&gt;-73.6629457&lt;/lng&gt;
   &lt;/location&gt;
   &lt;location_type&gt;ROOFTOP&lt;/location_type&gt;
   &lt;viewport&gt;
    &lt;southwest&gt;
     &lt;lat&gt;45.5320544&lt;/lat&gt;
     &lt;lng&gt;-73.6644763&lt;/lng&gt;
    &lt;/southwest&gt;
    &lt;northeast&gt;
     &lt;lat&gt;45.5347523&lt;/lat&gt;
     &lt;lng&gt;-73.6617783&lt;/lng&gt;
    &lt;/northeast&gt;
   &lt;/viewport&gt;
  &lt;/geometry&gt;
  &lt;place_id&gt;ChIJa5dKHvQYyUwRN3gqy0X5LBA&lt;/place_id&gt;
  &lt;plus_code&gt;
   &lt;global_code&gt;87Q8G8MP+8R&lt;/global_code&gt;
   &lt;compound_code&gt;G8MP+8R Montreal, QC, Canada&lt;/compound_code&gt;
  &lt;/plus_code&gt;
 &lt;/result&gt;
&lt;/GeocodeResponse&gt;
</v>
      </c>
      <c r="AC5" s="13">
        <v>45.533356400000002</v>
      </c>
      <c r="AD5" s="13">
        <v>-73.662945699999995</v>
      </c>
      <c r="AE5" s="13" cm="1">
        <f t="array" ref="AE5">_xlfn.FILTERXML(AB5,"//location/lat")</f>
        <v>45.533356400000002</v>
      </c>
      <c r="AF5" s="13" cm="1">
        <f t="array" ref="AF5">_xlfn.FILTERXML(AB5,"//location/lng")</f>
        <v>-73.662945699999995</v>
      </c>
    </row>
    <row r="6" spans="1:32" s="13" customFormat="1">
      <c r="A6" s="25" t="s">
        <v>42</v>
      </c>
      <c r="B6" s="26" t="s">
        <v>71</v>
      </c>
      <c r="C6" s="26" t="s">
        <v>72</v>
      </c>
      <c r="D6" s="27">
        <v>44519</v>
      </c>
      <c r="E6" s="27">
        <v>44925</v>
      </c>
      <c r="F6" s="26" t="s">
        <v>36</v>
      </c>
      <c r="G6" s="28">
        <v>212</v>
      </c>
      <c r="H6" s="28">
        <v>214.75</v>
      </c>
      <c r="I6" s="111">
        <f>'Projets Jerome'!$G6*'Projets Jerome'!$O6*1.15</f>
        <v>47540.999999999993</v>
      </c>
      <c r="J6" s="28" t="s">
        <v>73</v>
      </c>
      <c r="K6" s="26" t="s">
        <v>74</v>
      </c>
      <c r="L6" s="28">
        <f>_xlfn.XLOOKUP('Projets Jerome'!$J6,import!$J$2:$J$22,import!$N$2:$N$22)</f>
        <v>29684853</v>
      </c>
      <c r="M6" s="27">
        <v>44519</v>
      </c>
      <c r="N6" s="26" t="s">
        <v>30</v>
      </c>
      <c r="O6" s="28">
        <v>195</v>
      </c>
      <c r="P6" s="28" t="s">
        <v>27</v>
      </c>
      <c r="Q6" s="30" t="s">
        <v>75</v>
      </c>
      <c r="R6" s="26">
        <v>43.178305999999999</v>
      </c>
      <c r="S6" s="26">
        <v>-80.241802800000002</v>
      </c>
      <c r="T6" s="31" t="s">
        <v>76</v>
      </c>
      <c r="U6" s="32" t="s">
        <v>77</v>
      </c>
      <c r="Z6" s="13" t="str">
        <f>_xlfn.XLOOKUP('Projets Jerome'!$J6,import!$J$2:$J$24,import!$C$2:$C$24)</f>
        <v>CMBB Bakeware Canada Inc.</v>
      </c>
      <c r="AA6" s="13" t="str">
        <f>_xlfn.XLOOKUP('Projets Jerome'!$J6,import!$J$2:$J$24,import!$B$2:$B$24)</f>
        <v>CMBB SAP Implementation</v>
      </c>
      <c r="AB6" s="13" t="str">
        <f>_xlfn.WEBSERVICE("https://maps.googleapis.com/maps/api/geocode/xml?address="&amp;'Projets Jerome'!$T6&amp;"&amp;key=AIzaSyCHth-wrbaKBruFJQMWpdpeHAtAzdbcKh4")</f>
        <v xml:space="preserve">&lt;?xml version="1.0" encoding="UTF-8"?&gt;
&lt;GeocodeResponse&gt;
 &lt;status&gt;OK&lt;/status&gt;
 &lt;result&gt;
  &lt;type&gt;premise&lt;/type&gt;
  &lt;formatted_address&gt;84 Easton Rd, Brantford, ON N3P 1J5, Canada&lt;/formatted_address&gt;
  &lt;address_component&gt;
   &lt;long_name&gt;84&lt;/long_name&gt;
   &lt;short_name&gt;84&lt;/short_name&gt;
   &lt;type&gt;street_number&lt;/type&gt;
  &lt;/address_component&gt;
  &lt;address_component&gt;
   &lt;long_name&gt;Easton Road&lt;/long_name&gt;
   &lt;short_name&gt;Easton Rd&lt;/short_name&gt;
   &lt;type&gt;route&lt;/type&gt;
  &lt;/address_component&gt;
  &lt;address_component&gt;
   &lt;long_name&gt;Brantford&lt;/long_name&gt;
   &lt;short_name&gt;Brantford&lt;/short_name&gt;
   &lt;type&gt;locality&lt;/type&gt;
   &lt;type&gt;political&lt;/type&gt;
  &lt;/address_component&gt;
  &lt;address_component&gt;
   &lt;long_name&gt;City Of Brantford&lt;/long_name&gt;
   &lt;short_name&gt;City Of Brantford&lt;/short_name&gt;
   &lt;type&gt;administrative_area_level_3&lt;/type&gt;
   &lt;type&gt;political&lt;/type&gt;
  &lt;/address_component&gt;
  &lt;address_component&gt;
   &lt;long_name&gt;Brant County&lt;/long_name&gt;
   &lt;short_name&gt;Brant County&lt;/short_name&gt;
   &lt;type&gt;administrative_area_level_2&lt;/type&gt;
   &lt;type&gt;political&lt;/type&gt;
  &lt;/address_component&gt;
  &lt;address_component&gt;
   &lt;long_name&gt;Ontario&lt;/long_name&gt;
   &lt;short_name&gt;ON&lt;/short_name&gt;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&lt;long_name&gt;N3P 1J5&lt;/long_name&gt;
   &lt;short_name&gt;N3P 1J5&lt;/short_name&gt;
   &lt;type&gt;postal_code&lt;/type&gt;
  &lt;/address_component&gt;
  &lt;geometry&gt;
   &lt;location&gt;
    &lt;lat&gt;43.1783010&lt;/lat&gt;
    &lt;lng&gt;-80.2418278&lt;/lng&gt;
   &lt;/location&gt;
   &lt;location_type&gt;ROOFTOP&lt;/location_type&gt;
   &lt;viewport&gt;
    &lt;southwest&gt;
     &lt;lat&gt;43.1767280&lt;/lat&gt;
     &lt;lng&gt;-80.2429527&lt;/lng&gt;
    &lt;/southwest&gt;
    &lt;northeast&gt;
     &lt;lat&gt;43.1794259&lt;/lat&gt;
     &lt;lng&gt;-80.2402548&lt;/lng&gt;
    &lt;/northeast&gt;
   &lt;/viewport&gt;
   &lt;bounds&gt;
    &lt;southwest&gt;
     &lt;lat&gt;43.1779257&lt;/lat&gt;
     &lt;lng&gt;-80.2421689&lt;/lng&gt;
    &lt;/southwest&gt;
    &lt;northeast&gt;
     &lt;lat&gt;43.1786943&lt;/lat&gt;
     &lt;lng&gt;-80.2410386&lt;/lng&gt;
    &lt;/northeast&gt;
   &lt;/bounds&gt;
  &lt;/geometry&gt;
  &lt;place_id&gt;ChIJDaUZx6hlLIgRCOah1pk38gY&lt;/place_id&gt;
 &lt;/result&gt;
&lt;/GeocodeResponse&gt;
</v>
      </c>
      <c r="AC6" s="13">
        <v>43.178300999999998</v>
      </c>
      <c r="AD6" s="13">
        <v>-80.241827799999996</v>
      </c>
      <c r="AE6" s="13" cm="1">
        <f t="array" ref="AE6">_xlfn.FILTERXML(AB6,"//location/lat")</f>
        <v>43.178300999999998</v>
      </c>
      <c r="AF6" s="13" cm="1">
        <f t="array" ref="AF6">_xlfn.FILTERXML(AB6,"//location/lng")</f>
        <v>-80.241827799999996</v>
      </c>
    </row>
    <row r="7" spans="1:32" s="13" customFormat="1">
      <c r="A7" s="33" t="s">
        <v>42</v>
      </c>
      <c r="B7" s="34" t="s">
        <v>78</v>
      </c>
      <c r="C7" s="34" t="s">
        <v>79</v>
      </c>
      <c r="D7" s="35">
        <v>44531</v>
      </c>
      <c r="E7" s="35">
        <v>44926</v>
      </c>
      <c r="F7" s="34" t="s">
        <v>226</v>
      </c>
      <c r="G7" s="36">
        <v>40</v>
      </c>
      <c r="H7" s="36">
        <v>46.5</v>
      </c>
      <c r="I7" s="112">
        <f>'Projets Jerome'!$G7*'Projets Jerome'!$O7*1.15</f>
        <v>7359.9999999999991</v>
      </c>
      <c r="J7" s="36" t="s">
        <v>80</v>
      </c>
      <c r="K7" s="34" t="s">
        <v>78</v>
      </c>
      <c r="L7" s="36">
        <f>_xlfn.XLOOKUP('Projets Jerome'!$J7,import!$J$2:$J$22,import!$N$2:$N$22)</f>
        <v>29684859</v>
      </c>
      <c r="M7" s="35">
        <v>44532</v>
      </c>
      <c r="N7" s="34" t="s">
        <v>81</v>
      </c>
      <c r="O7" s="36">
        <v>160</v>
      </c>
      <c r="P7" s="36" t="s">
        <v>27</v>
      </c>
      <c r="Q7" s="38" t="s">
        <v>82</v>
      </c>
      <c r="R7" s="34">
        <v>45.441374600000003</v>
      </c>
      <c r="S7" s="34">
        <v>-73.670454000000007</v>
      </c>
      <c r="T7" s="44" t="s">
        <v>83</v>
      </c>
      <c r="U7" s="40" t="s">
        <v>84</v>
      </c>
      <c r="Z7" s="13" t="str">
        <f>_xlfn.XLOOKUP('Projets Jerome'!$J7,import!$J$2:$J$24,import!$C$2:$C$24)</f>
        <v>Cowper Inc.</v>
      </c>
      <c r="AA7" s="13" t="str">
        <f>_xlfn.XLOOKUP('Projets Jerome'!$J7,import!$J$2:$J$24,import!$B$2:$B$24)</f>
        <v>Migration SAP V10</v>
      </c>
      <c r="AB7" s="13" t="str">
        <f>_xlfn.WEBSERVICE("https://maps.googleapis.com/maps/api/geocode/xml?address="&amp;'Projets Jerome'!$T7&amp;"&amp;key=AIzaSyCHth-wrbaKBruFJQMWpdpeHAtAzdbcKh4")</f>
        <v xml:space="preserve">&lt;?xml version="1.0" encoding="UTF-8"?&gt;
&lt;GeocodeResponse&gt;
 &lt;status&gt;OK&lt;/status&gt;
 &lt;result&gt;
  &lt;type&gt;political&lt;/type&gt;
  &lt;type&gt;sublocality&lt;/type&gt;
  &lt;type&gt;sublocality_level_1&lt;/type&gt;
  &lt;formatted_address&gt;Lachine, Montreal, QC, Canada&lt;/formatted_address&gt;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&lt;long_name&gt;Montreal&lt;/long_name&gt;
   &lt;short_name&gt;Montreal&lt;/short_name&gt;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&lt;long_name&gt;Montreal&lt;/long_name&gt;
   &lt;short_name&gt;Montreal&lt;/short_name&gt;
   &lt;type&gt;administrative_area_level_2&lt;/type&gt;
   &lt;type&gt;political&lt;/type&gt;
  &lt;/address_component&gt;
  &lt;address_component&gt;
   &lt;long_name&gt;Quebec&lt;/long_name&gt;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&lt;geometry&gt;
   &lt;location&gt;
    &lt;lat&gt;45.4418914&lt;/lat&gt;
    &lt;lng&gt;-73.6925307&lt;/lng&gt;
   &lt;/location&gt;
   &lt;location_type&gt;APPROXIMATE&lt;/location_type&gt;
   &lt;viewport&gt;
    &lt;southwest&gt;
     &lt;lat&gt;45.4276543&lt;/lat&gt;
     &lt;lng&gt;-73.7247893&lt;/lng&gt;
    &lt;/southwest&gt;
    &lt;northeast&gt;
     &lt;lat&gt;45.4733666&lt;/lat&gt;
     &lt;lng&gt;-73.6291450&lt;/lng&gt;
    &lt;/northeast&gt;
   &lt;/viewport&gt;
   &lt;bounds&gt;
    &lt;southwest&gt;
     &lt;lat&gt;45.4276543&lt;/lat&gt;
     &lt;lng&gt;-73.7247893&lt;/lng&gt;
    &lt;/southwest&gt;
    &lt;northeast&gt;
     &lt;lat&gt;45.4733666&lt;/lat&gt;
     &lt;lng&gt;-73.6291450&lt;/lng&gt;
    &lt;/northeast&gt;
   &lt;/bounds&gt;
  &lt;/geometry&gt;
  &lt;partial_match&gt;true&lt;/partial_match&gt;
  &lt;place_id&gt;ChIJz6tk6_wWyUwRRPQTIXql5-0&lt;/place_id&gt;
 &lt;/result&gt;
&lt;/GeocodeResponse&gt;
</v>
      </c>
      <c r="AC7" s="13">
        <v>45.441891400000003</v>
      </c>
      <c r="AD7" s="13">
        <v>-73.692530700000006</v>
      </c>
      <c r="AE7" s="13" cm="1">
        <f t="array" ref="AE7">_xlfn.FILTERXML(AB7,"//location/lat")</f>
        <v>45.441891400000003</v>
      </c>
      <c r="AF7" s="13" cm="1">
        <f t="array" ref="AF7">_xlfn.FILTERXML(AB7,"//location/lng")</f>
        <v>-73.692530700000006</v>
      </c>
    </row>
    <row r="8" spans="1:32" s="13" customFormat="1">
      <c r="A8" s="25" t="s">
        <v>42</v>
      </c>
      <c r="B8" s="26" t="s">
        <v>85</v>
      </c>
      <c r="C8" s="26" t="s">
        <v>79</v>
      </c>
      <c r="D8" s="27">
        <v>44893</v>
      </c>
      <c r="E8" s="27">
        <v>45092</v>
      </c>
      <c r="F8" s="26" t="s">
        <v>26</v>
      </c>
      <c r="G8" s="28">
        <v>30</v>
      </c>
      <c r="H8" s="28"/>
      <c r="I8" s="111">
        <f>'Projets Jerome'!$G8*'Projets Jerome'!$O8*1.15</f>
        <v>5520</v>
      </c>
      <c r="J8" s="28" t="s">
        <v>86</v>
      </c>
      <c r="K8" s="26" t="s">
        <v>87</v>
      </c>
      <c r="L8" s="28">
        <f>_xlfn.XLOOKUP('Projets Jerome'!$J8,import!$J$2:$J$22,import!$N$2:$N$22)</f>
        <v>29685279</v>
      </c>
      <c r="M8" s="27">
        <v>44893</v>
      </c>
      <c r="N8" s="26" t="s">
        <v>81</v>
      </c>
      <c r="O8" s="28">
        <v>160</v>
      </c>
      <c r="P8" s="28" t="s">
        <v>27</v>
      </c>
      <c r="Q8" s="30" t="s">
        <v>82</v>
      </c>
      <c r="R8" s="26">
        <v>45.441374600000003</v>
      </c>
      <c r="S8" s="26">
        <v>-73.670454000000007</v>
      </c>
      <c r="T8" s="31" t="s">
        <v>83</v>
      </c>
      <c r="U8" s="32" t="s">
        <v>84</v>
      </c>
      <c r="Z8" s="13" t="str">
        <f>_xlfn.XLOOKUP('Projets Jerome'!$J8,import!$J$2:$J$24,import!$C$2:$C$24)</f>
        <v>Cowper Inc.</v>
      </c>
      <c r="AA8" s="13" t="str">
        <f>_xlfn.XLOOKUP('Projets Jerome'!$J8,import!$J$2:$J$24,import!$B$2:$B$24)</f>
        <v>Implantation Produmex Scan</v>
      </c>
      <c r="AB8" s="13" t="str">
        <f>_xlfn.WEBSERVICE("https://maps.googleapis.com/maps/api/geocode/xml?address="&amp;'Projets Jerome'!$T8&amp;"&amp;key=AIzaSyCHth-wrbaKBruFJQMWpdpeHAtAzdbcKh4")</f>
        <v xml:space="preserve">&lt;?xml version="1.0" encoding="UTF-8"?&gt;
&lt;GeocodeResponse&gt;
 &lt;status&gt;OK&lt;/status&gt;
 &lt;result&gt;
  &lt;type&gt;political&lt;/type&gt;
  &lt;type&gt;sublocality&lt;/type&gt;
  &lt;type&gt;sublocality_level_1&lt;/type&gt;
  &lt;formatted_address&gt;Lachine, Montreal, QC, Canada&lt;/formatted_address&gt;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&lt;long_name&gt;Montreal&lt;/long_name&gt;
   &lt;short_name&gt;Montreal&lt;/short_name&gt;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&lt;long_name&gt;Montreal&lt;/long_name&gt;
   &lt;short_name&gt;Montreal&lt;/short_name&gt;
   &lt;type&gt;administrative_area_level_2&lt;/type&gt;
   &lt;type&gt;political&lt;/type&gt;
  &lt;/address_component&gt;
  &lt;address_component&gt;
   &lt;long_name&gt;Quebec&lt;/long_name&gt;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&lt;geometry&gt;
   &lt;location&gt;
    &lt;lat&gt;45.4418914&lt;/lat&gt;
    &lt;lng&gt;-73.6925307&lt;/lng&gt;
   &lt;/location&gt;
   &lt;location_type&gt;APPROXIMATE&lt;/location_type&gt;
   &lt;viewport&gt;
    &lt;southwest&gt;
     &lt;lat&gt;45.4276543&lt;/lat&gt;
     &lt;lng&gt;-73.7247893&lt;/lng&gt;
    &lt;/southwest&gt;
    &lt;northeast&gt;
     &lt;lat&gt;45.4733666&lt;/lat&gt;
     &lt;lng&gt;-73.6291450&lt;/lng&gt;
    &lt;/northeast&gt;
   &lt;/viewport&gt;
   &lt;bounds&gt;
    &lt;southwest&gt;
     &lt;lat&gt;45.4276543&lt;/lat&gt;
     &lt;lng&gt;-73.7247893&lt;/lng&gt;
    &lt;/southwest&gt;
    &lt;northeast&gt;
     &lt;lat&gt;45.4733666&lt;/lat&gt;
     &lt;lng&gt;-73.6291450&lt;/lng&gt;
    &lt;/northeast&gt;
   &lt;/bounds&gt;
  &lt;/geometry&gt;
  &lt;partial_match&gt;true&lt;/partial_match&gt;
  &lt;place_id&gt;ChIJz6tk6_wWyUwRRPQTIXql5-0&lt;/place_id&gt;
 &lt;/result&gt;
&lt;/GeocodeResponse&gt;
</v>
      </c>
      <c r="AC8" s="13">
        <v>45.441891400000003</v>
      </c>
      <c r="AD8" s="13">
        <v>-73.692530700000006</v>
      </c>
      <c r="AE8" s="13" cm="1">
        <f t="array" ref="AE8">_xlfn.FILTERXML(AB8,"//location/lat")</f>
        <v>45.441891400000003</v>
      </c>
      <c r="AF8" s="13" cm="1">
        <f t="array" ref="AF8">_xlfn.FILTERXML(AB8,"//location/lng")</f>
        <v>-73.692530700000006</v>
      </c>
    </row>
    <row r="9" spans="1:32" s="13" customFormat="1" ht="28.8">
      <c r="A9" s="33" t="s">
        <v>42</v>
      </c>
      <c r="B9" s="34" t="s">
        <v>88</v>
      </c>
      <c r="C9" s="34" t="s">
        <v>89</v>
      </c>
      <c r="D9" s="35">
        <v>44536</v>
      </c>
      <c r="E9" s="35">
        <v>44925</v>
      </c>
      <c r="F9" s="34" t="s">
        <v>36</v>
      </c>
      <c r="G9" s="36">
        <v>579</v>
      </c>
      <c r="H9" s="36">
        <v>468.25</v>
      </c>
      <c r="I9" s="112">
        <f>'Projets Jerome'!$G9*'Projets Jerome'!$O9*1.15</f>
        <v>109865.24999999999</v>
      </c>
      <c r="J9" s="36" t="s">
        <v>90</v>
      </c>
      <c r="K9" s="34" t="s">
        <v>91</v>
      </c>
      <c r="L9" s="36">
        <f>_xlfn.XLOOKUP('Projets Jerome'!$J9,import!$J$2:$J$22,import!$N$2:$N$22)</f>
        <v>29684857</v>
      </c>
      <c r="M9" s="35">
        <v>44536</v>
      </c>
      <c r="N9" s="34" t="s">
        <v>30</v>
      </c>
      <c r="O9" s="36">
        <v>165</v>
      </c>
      <c r="P9" s="36" t="s">
        <v>27</v>
      </c>
      <c r="Q9" s="38" t="s">
        <v>92</v>
      </c>
      <c r="R9" s="34">
        <v>43.642116899999998</v>
      </c>
      <c r="S9" s="34">
        <v>-79.673890900000004</v>
      </c>
      <c r="T9" s="39" t="s">
        <v>93</v>
      </c>
      <c r="U9" s="40" t="s">
        <v>94</v>
      </c>
      <c r="Z9" s="13" t="str">
        <f>_xlfn.XLOOKUP('Projets Jerome'!$J9,import!$J$2:$J$24,import!$C$2:$C$24)</f>
        <v>Coco Bakery Inc.</v>
      </c>
      <c r="AA9" s="13" t="str">
        <f>_xlfn.XLOOKUP('Projets Jerome'!$J9,import!$J$2:$J$24,import!$B$2:$B$24)</f>
        <v>SAP HANA Implementation</v>
      </c>
      <c r="AB9" s="13" t="str">
        <f>_xlfn.WEBSERVICE("https://maps.googleapis.com/maps/api/geocode/xml?address="&amp;'Projets Jerome'!$T9&amp;"&amp;key=AIzaSyCHth-wrbaKBruFJQMWpdpeHAtAzdbcKh4")</f>
        <v xml:space="preserve">&lt;?xml version="1.0" encoding="UTF-8"?&gt;
&lt;GeocodeResponse&gt;
 &lt;status&gt;OK&lt;/status&gt;
 &lt;result&gt;
  &lt;type&gt;premise&lt;/type&gt;
  &lt;formatted_address&gt;6226 Danville Rd, Mississauga, ON L5T 2H7, Canada&lt;/formatted_address&gt;
  &lt;address_component&gt;
   &lt;long_name&gt;6226&lt;/long_name&gt;
   &lt;short_name&gt;6226&lt;/short_name&gt;
   &lt;type&gt;street_number&lt;/type&gt;
  &lt;/address_component&gt;
  &lt;address_component&gt;
   &lt;long_name&gt;Danville Road&lt;/long_name&gt;
   &lt;short_name&gt;Danville Rd&lt;/short_name&gt;
   &lt;type&gt;route&lt;/type&gt;
  &lt;/address_component&gt;
  &lt;address_component&gt;
   &lt;long_name&gt;Mississauga&lt;/long_name&gt;
   &lt;short_name&gt;Mississauga&lt;/short_name&gt;
   &lt;type&gt;locality&lt;/type&gt;
   &lt;type&gt;political&lt;/type&gt;
  &lt;/address_component&gt;
  &lt;address_component&gt;
   &lt;long_name&gt;City Of Mississauga&lt;/long_name&gt;
   &lt;short_name&gt;City Of Mississauga&lt;/short_name&gt;
   &lt;type&gt;administrative_area_level_3&lt;/type&gt;
   &lt;type&gt;political&lt;/type&gt;
  &lt;/address_component&gt;
  &lt;address_component&gt;
   &lt;long_name&gt;Regional Municipality of Peel&lt;/long_name&gt;
   &lt;short_name&gt;Regional Municipality of Peel&lt;/short_name&gt;
   &lt;type&gt;administrative_area_level_2&lt;/type&gt;
   &lt;type&gt;political&lt;/type&gt;
  &lt;/address_component&gt;
  &lt;address_component&gt;
   &lt;long_name&gt;Ontario&lt;/long_name&gt;
   &lt;short_name&gt;ON&lt;/short_name&gt;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&lt;long_name&gt;L5T 2H7&lt;/long_name&gt;
   &lt;short_name&gt;L5T 2H7&lt;/short_name&gt;
   &lt;type&gt;postal_code&lt;/type&gt;
  &lt;/address_component&gt;
  &lt;geometry&gt;
   &lt;location&gt;
    &lt;lat&gt;43.6421273&lt;/lat&gt;
    &lt;lng&gt;-79.6739060&lt;/lng&gt;
   &lt;/location&gt;
   &lt;location_type&gt;ROOFTOP&lt;/location_type&gt;
   &lt;viewport&gt;
    &lt;southwest&gt;
     &lt;lat&gt;43.6407395&lt;/lat&gt;
     &lt;lng&gt;-79.6752526&lt;/lng&gt;
    &lt;/southwest&gt;
    &lt;northeast&gt;
     &lt;lat&gt;43.6434374&lt;/lat&gt;
     &lt;lng&gt;-79.6725546&lt;/lng&gt;
    &lt;/northeast&gt;
   &lt;/viewport&gt;
   &lt;bounds&gt;
    &lt;southwest&gt;
     &lt;lat&gt;43.6416214&lt;/lat&gt;
     &lt;lng&gt;-79.6744091&lt;/lng&gt;
    &lt;/southwest&gt;
    &lt;northeast&gt;
     &lt;lat&gt;43.6424114&lt;/lat&gt;
     &lt;lng&gt;-79.6733981&lt;/lng&gt;
    &lt;/northeast&gt;
   &lt;/bounds&gt;
  &lt;/geometry&gt;
  &lt;place_id&gt;ChIJma1i7Gk_K4gRufo4VhOmAeg&lt;/place_id&gt;
 &lt;/result&gt;
&lt;/GeocodeResponse&gt;
</v>
      </c>
      <c r="AC9" s="13">
        <v>43.642127299999999</v>
      </c>
      <c r="AD9" s="13">
        <v>-79.673906000000002</v>
      </c>
      <c r="AE9" s="13" cm="1">
        <f t="array" ref="AE9">_xlfn.FILTERXML(AB9,"//location/lat")</f>
        <v>43.642127299999999</v>
      </c>
      <c r="AF9" s="13" cm="1">
        <f t="array" ref="AF9">_xlfn.FILTERXML(AB9,"//location/lng")</f>
        <v>-79.673906000000002</v>
      </c>
    </row>
    <row r="10" spans="1:32" s="13" customFormat="1">
      <c r="A10" s="25" t="s">
        <v>42</v>
      </c>
      <c r="B10" s="26" t="s">
        <v>95</v>
      </c>
      <c r="C10" s="26" t="s">
        <v>96</v>
      </c>
      <c r="D10" s="27">
        <v>44564</v>
      </c>
      <c r="E10" s="27">
        <v>44953</v>
      </c>
      <c r="F10" s="26" t="s">
        <v>36</v>
      </c>
      <c r="G10" s="28">
        <v>38</v>
      </c>
      <c r="H10" s="28">
        <v>18.25</v>
      </c>
      <c r="I10" s="111">
        <f>'Projets Jerome'!$G10*'Projets Jerome'!$O10*1.15</f>
        <v>6991.9999999999991</v>
      </c>
      <c r="J10" s="28" t="s">
        <v>97</v>
      </c>
      <c r="K10" s="26" t="s">
        <v>98</v>
      </c>
      <c r="L10" s="28">
        <f>_xlfn.XLOOKUP('Projets Jerome'!$J10,import!$J$2:$J$22,import!$N$2:$N$22)</f>
        <v>29685098</v>
      </c>
      <c r="M10" s="27">
        <v>44565</v>
      </c>
      <c r="N10" s="26" t="s">
        <v>61</v>
      </c>
      <c r="O10" s="28">
        <v>160</v>
      </c>
      <c r="P10" s="28" t="s">
        <v>27</v>
      </c>
      <c r="Q10" s="30" t="s">
        <v>99</v>
      </c>
      <c r="R10" s="26">
        <v>45.5284002</v>
      </c>
      <c r="S10" s="26">
        <v>-73.6657747</v>
      </c>
      <c r="T10" s="45" t="s">
        <v>100</v>
      </c>
      <c r="U10" s="32" t="s">
        <v>101</v>
      </c>
      <c r="Z10" s="13" t="str">
        <f>_xlfn.XLOOKUP('Projets Jerome'!$J10,import!$J$2:$J$24,import!$C$2:$C$24)</f>
        <v>Les Aliments CDS inc.</v>
      </c>
      <c r="AA10" s="13" t="str">
        <f>_xlfn.XLOOKUP('Projets Jerome'!$J10,import!$J$2:$J$24,import!$B$2:$B$24)</f>
        <v>Migration V10 SQL</v>
      </c>
      <c r="AB10" s="13" t="str">
        <f>_xlfn.WEBSERVICE("https://maps.googleapis.com/maps/api/geocode/xml?address="&amp;'Projets Jerome'!$T10&amp;"&amp;key=AIzaSyCHth-wrbaKBruFJQMWpdpeHAtAzdbcKh4")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&lt;formatted_address&gt;775 Bd Lebeau, Saint-Laurent, QC H4N 1S5, Canada&lt;/formatted_address&gt;
  &lt;address_component&gt;
   &lt;long_name&gt;775&lt;/long_name&gt;
   &lt;short_name&gt;775&lt;/short_name&gt;
   &lt;type&gt;street_number&lt;/type&gt;
  &lt;/address_component&gt;
  &lt;address_component&gt;
   &lt;long_name&gt;Boulevard Lebeau&lt;/long_name&gt;
   &lt;short_name&gt;Bd Lebeau&lt;/short_name&gt;
   &lt;type&gt;route&lt;/type&gt;
  &lt;/address_component&gt;
  &lt;address_component&gt;
   &lt;long_name&gt;Saint-Laurent&lt;/long_name&gt;
   &lt;short_name&gt;Saint-Laurent&lt;/short_name&gt;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&lt;long_name&gt;H4N 1S5&lt;/long_name&gt;
   &lt;short_name&gt;H4N 1S5&lt;/short_name&gt;
   &lt;type&gt;postal_code&lt;/type&gt;
  &lt;/address_component&gt;
  &lt;geometry&gt;
   &lt;location&gt;
    &lt;lat&gt;45.5282305&lt;/lat&gt;
    &lt;lng&gt;-73.6657220&lt;/lng&gt;
   &lt;/location&gt;
   &lt;location_type&gt;ROOFTOP&lt;/location_type&gt;
   &lt;viewport&gt;
    &lt;southwest&gt;
     &lt;lat&gt;45.5268906&lt;/lat&gt;
     &lt;lng&gt;-73.6670515&lt;/lng&gt;
    &lt;/southwest&gt;
    &lt;northeast&gt;
     &lt;lat&gt;45.5295885&lt;/lat&gt;
     &lt;lng&gt;-73.6643536&lt;/lng&gt;
    &lt;/northeast&gt;
   &lt;/viewport&gt;
  &lt;/geometry&gt;
  &lt;place_id&gt;ChIJx--RPF8YyUwRbcyx1L1m9hQ&lt;/place_id&gt;
  &lt;plus_code&gt;
   &lt;global_code&gt;87Q8G8HM+7P&lt;/global_code&gt;
   &lt;compound_code&gt;G8HM+7P Saint-Laurent, Montreal, QC, Canada&lt;/compound_code&gt;
  &lt;/plus_code&gt;
 &lt;/result&gt;
&lt;/GeocodeResponse&gt;
</v>
      </c>
      <c r="AC10" s="13">
        <v>45.528230499999999</v>
      </c>
      <c r="AD10" s="13">
        <v>-73.665722000000002</v>
      </c>
      <c r="AE10" s="13" cm="1">
        <f t="array" ref="AE10">_xlfn.FILTERXML(AB10,"//location/lat")</f>
        <v>45.528230499999999</v>
      </c>
      <c r="AF10" s="13" cm="1">
        <f t="array" ref="AF10">_xlfn.FILTERXML(AB10,"//location/lng")</f>
        <v>-73.665722000000002</v>
      </c>
    </row>
    <row r="11" spans="1:32" s="13" customFormat="1" ht="28.8">
      <c r="A11" s="33" t="s">
        <v>102</v>
      </c>
      <c r="B11" s="34" t="s">
        <v>103</v>
      </c>
      <c r="C11" s="34" t="s">
        <v>104</v>
      </c>
      <c r="D11" s="35">
        <v>44562</v>
      </c>
      <c r="E11" s="35">
        <v>44962</v>
      </c>
      <c r="F11" s="34" t="s">
        <v>36</v>
      </c>
      <c r="G11" s="36">
        <v>200</v>
      </c>
      <c r="H11" s="36">
        <v>5</v>
      </c>
      <c r="I11" s="112">
        <f>'Projets Jerome'!$G11*'Projets Jerome'!$O11*1.15</f>
        <v>39100</v>
      </c>
      <c r="J11" s="36" t="s">
        <v>105</v>
      </c>
      <c r="K11" s="34" t="s">
        <v>106</v>
      </c>
      <c r="L11" s="36">
        <f>_xlfn.XLOOKUP('Projets Jerome'!$J11,import!$J$2:$J$22,import!$N$2:$N$22)</f>
        <v>29685103</v>
      </c>
      <c r="M11" s="35">
        <v>44571</v>
      </c>
      <c r="N11" s="34" t="s">
        <v>30</v>
      </c>
      <c r="O11" s="36">
        <v>170</v>
      </c>
      <c r="P11" s="36" t="s">
        <v>27</v>
      </c>
      <c r="Q11" s="38" t="s">
        <v>107</v>
      </c>
      <c r="R11" s="34">
        <v>45.471076199999999</v>
      </c>
      <c r="S11" s="34">
        <v>-73.694917200000006</v>
      </c>
      <c r="T11" s="39" t="s">
        <v>108</v>
      </c>
      <c r="U11" s="43" t="s">
        <v>109</v>
      </c>
      <c r="Z11" s="13" t="str">
        <f>_xlfn.XLOOKUP('Projets Jerome'!$J11,import!$J$2:$J$24,import!$C$2:$C$24)</f>
        <v>Gazebo Penguin Inc.</v>
      </c>
      <c r="AA11" s="13" t="str">
        <f>_xlfn.XLOOKUP('Projets Jerome'!$J11,import!$J$2:$J$24,import!$B$2:$B$24)</f>
        <v>Implantation SAP phase 1 et 2</v>
      </c>
      <c r="AB11" s="13" t="str">
        <f>_xlfn.WEBSERVICE("https://maps.googleapis.com/maps/api/geocode/xml?address="&amp;'Projets Jerome'!$T11&amp;"&amp;key=AIzaSyCHth-wrbaKBruFJQMWpdpeHAtAzdbcKh4")</f>
        <v xml:space="preserve">&lt;?xml version="1.0" encoding="UTF-8"?&gt;
&lt;GeocodeResponse&gt;
 &lt;status&gt;OK&lt;/status&gt;
 &lt;result&gt;
  &lt;type&gt;premise&lt;/type&gt;
  &lt;formatted_address&gt;4660 Rue Hickmore, Saint-Laurent, QC H4T 1K2, Canada&lt;/formatted_address&gt;
  &lt;address_component&gt;
   &lt;long_name&gt;4660&lt;/long_name&gt;
   &lt;short_name&gt;4660&lt;/short_name&gt;
   &lt;type&gt;street_number&lt;/type&gt;
  &lt;/address_component&gt;
  &lt;address_component&gt;
   &lt;long_name&gt;Rue Hickmore&lt;/long_name&gt;
   &lt;short_name&gt;Rue Hickmore&lt;/short_name&gt;
   &lt;type&gt;route&lt;/type&gt;
  &lt;/address_component&gt;
  &lt;address_component&gt;
   &lt;long_name&gt;Saint-Laurent&lt;/long_name&gt;
   &lt;short_name&gt;Saint-Laurent&lt;/short_name&gt;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&lt;long_name&gt;H4T 1K2&lt;/long_name&gt;
   &lt;short_name&gt;H4T 1K2&lt;/short_name&gt;
   &lt;type&gt;postal_code&lt;/type&gt;
  &lt;/address_component&gt;
  &lt;geometry&gt;
   &lt;location&gt;
    &lt;lat&gt;45.4710837&lt;/lat&gt;
    &lt;lng&gt;-73.6949281&lt;/lng&gt;
   &lt;/location&gt;
   &lt;location_type&gt;ROOFTOP&lt;/location_type&gt;
   &lt;viewport&gt;
    &lt;southwest&gt;
     &lt;lat&gt;45.4697358&lt;/lat&gt;
     &lt;lng&gt;-73.6963186&lt;/lng&gt;
    &lt;/southwest&gt;
    &lt;northeast&gt;
     &lt;lat&gt;45.4724337&lt;/lat&gt;
     &lt;lng&gt;-73.6936207&lt;/lng&gt;
    &lt;/northeast&gt;
   &lt;/viewport&gt;
   &lt;bounds&gt;
    &lt;southwest&gt;
     &lt;lat&gt;45.4708390&lt;/lat&gt;
     &lt;lng&gt;-73.6951461&lt;/lng&gt;
    &lt;/southwest&gt;
    &lt;northeast&gt;
     &lt;lat&gt;45.4713305&lt;/lat&gt;
     &lt;lng&gt;-73.6944360&lt;/lng&gt;
    &lt;/northeast&gt;
   &lt;/bounds&gt;
  &lt;/geometry&gt;
  &lt;place_id&gt;ChIJl6EIgbsXyUwRHbEZG2l6yGA&lt;/place_id&gt;
 &lt;/result&gt;
&lt;/GeocodeResponse&gt;
</v>
      </c>
      <c r="AC11" s="13">
        <v>45.471083700000001</v>
      </c>
      <c r="AD11" s="13">
        <v>-73.694928099999998</v>
      </c>
      <c r="AE11" s="13" cm="1">
        <f t="array" ref="AE11">_xlfn.FILTERXML(AB11,"//location/lat")</f>
        <v>45.471083700000001</v>
      </c>
      <c r="AF11" s="13" cm="1">
        <f t="array" ref="AF11">_xlfn.FILTERXML(AB11,"//location/lng")</f>
        <v>-73.694928099999998</v>
      </c>
    </row>
    <row r="12" spans="1:32" s="13" customFormat="1">
      <c r="A12" s="25" t="s">
        <v>42</v>
      </c>
      <c r="B12" s="26" t="s">
        <v>110</v>
      </c>
      <c r="C12" s="26" t="s">
        <v>111</v>
      </c>
      <c r="D12" s="27">
        <v>44607</v>
      </c>
      <c r="E12" s="27">
        <v>44681</v>
      </c>
      <c r="F12" s="26" t="s">
        <v>226</v>
      </c>
      <c r="G12" s="28">
        <v>21</v>
      </c>
      <c r="H12" s="28">
        <v>5.25</v>
      </c>
      <c r="I12" s="111">
        <f>'Projets Jerome'!$G12*'Projets Jerome'!$O12*1.15</f>
        <v>4467.75</v>
      </c>
      <c r="J12" s="28" t="s">
        <v>113</v>
      </c>
      <c r="K12" s="26" t="s">
        <v>114</v>
      </c>
      <c r="L12" s="28">
        <f>_xlfn.XLOOKUP('Projets Jerome'!$J12,import!$J$2:$J$22,import!$N$2:$N$22)</f>
        <v>29685081</v>
      </c>
      <c r="M12" s="27">
        <v>44607</v>
      </c>
      <c r="N12" s="26" t="s">
        <v>115</v>
      </c>
      <c r="O12" s="28">
        <v>185</v>
      </c>
      <c r="P12" s="28" t="s">
        <v>112</v>
      </c>
      <c r="Q12" s="30" t="s">
        <v>116</v>
      </c>
      <c r="R12" s="26">
        <v>45.891391800000001</v>
      </c>
      <c r="S12" s="26">
        <v>-122.7430619</v>
      </c>
      <c r="T12" s="46" t="s">
        <v>117</v>
      </c>
      <c r="U12" s="42" t="s">
        <v>118</v>
      </c>
      <c r="Z12" s="13" t="str">
        <f>_xlfn.XLOOKUP('Projets Jerome'!$J12,import!$J$2:$J$24,import!$C$2:$C$24)</f>
        <v>Walt's Wholesale Meats</v>
      </c>
      <c r="AA12" s="13" t="str">
        <f>_xlfn.XLOOKUP('Projets Jerome'!$J12,import!$J$2:$J$24,import!$B$2:$B$24)</f>
        <v>Fixed assets implementation</v>
      </c>
      <c r="AB12" s="13" t="str">
        <f>_xlfn.WEBSERVICE("https://maps.googleapis.com/maps/api/geocode/xml?address="&amp;'Projets Jerome'!$T12&amp;"&amp;key=AIzaSyCHth-wrbaKBruFJQMWpdpeHAtAzdbcKh4")</f>
        <v xml:space="preserve">&lt;?xml version="1.0" encoding="UTF-8"?&gt;
&lt;GeocodeResponse&gt;
 &lt;status&gt;OK&lt;/status&gt;
 &lt;result&gt;
  &lt;type&gt;premise&lt;/type&gt;
  &lt;formatted_address&gt;350 S Pekin Rd, Woodland, WA 98674, USA&lt;/formatted_address&gt;
  &lt;address_component&gt;
   &lt;long_name&gt;350&lt;/long_name&gt;
   &lt;short_name&gt;350&lt;/short_name&gt;
   &lt;type&gt;street_number&lt;/type&gt;
  &lt;/address_component&gt;
  &lt;address_component&gt;
   &lt;long_name&gt;South Pekin Road&lt;/long_name&gt;
   &lt;short_name&gt;S Pekin Rd&lt;/short_name&gt;
   &lt;type&gt;route&lt;/type&gt;
  &lt;/address_component&gt;
  &lt;address_component&gt;
   &lt;long_name&gt;Woodland&lt;/long_name&gt;
   &lt;short_name&gt;Woodland&lt;/short_name&gt;
   &lt;type&gt;locality&lt;/type&gt;
   &lt;type&gt;political&lt;/type&gt;
  &lt;/address_component&gt;
  &lt;address_component&gt;
   &lt;long_name&gt;Cowlitz County&lt;/long_name&gt;
   &lt;short_name&gt;Cowlitz County&lt;/short_name&gt;
   &lt;type&gt;administrative_area_level_2&lt;/type&gt;
   &lt;type&gt;political&lt;/type&gt;
  &lt;/address_component&gt;
  &lt;address_component&gt;
   &lt;long_name&gt;Washington&lt;/long_name&gt;
   &lt;short_name&gt;WA&lt;/short_name&gt;
   &lt;type&gt;administrative_area_level_1&lt;/type&gt;
   &lt;type&gt;political&lt;/type&gt;
  &lt;/address_component&gt;
  &lt;address_component&gt;
   &lt;long_name&gt;United States&lt;/long_name&gt;
   &lt;short_name&gt;US&lt;/short_name&gt;
   &lt;type&gt;country&lt;/type&gt;
   &lt;type&gt;political&lt;/type&gt;
  &lt;/address_component&gt;
  &lt;address_component&gt;
   &lt;long_name&gt;98674&lt;/long_name&gt;
   &lt;short_name&gt;98674&lt;/short_name&gt;
   &lt;type&gt;postal_code&lt;/type&gt;
  &lt;/address_component&gt;
  &lt;address_component&gt;
   &lt;long_name&gt;9534&lt;/long_name&gt;
   &lt;short_name&gt;9534&lt;/short_name&gt;
   &lt;type&gt;postal_code_suffix&lt;/type&gt;
  &lt;/address_component&gt;
  &lt;geometry&gt;
   &lt;location&gt;
    &lt;lat&gt;45.8913918&lt;/lat&gt;
    &lt;lng&gt;-122.7430619&lt;/lng&gt;
   &lt;/location&gt;
   &lt;location_type&gt;ROOFTOP&lt;/location_type&gt;
   &lt;viewport&gt;
    &lt;southwest&gt;
     &lt;lat&gt;45.8900572&lt;/lat&gt;
     &lt;lng&gt;-122.7445122&lt;/lng&gt;
    &lt;/southwest&gt;
    &lt;northeast&gt;
     &lt;lat&gt;45.8927551&lt;/lat&gt;
     &lt;lng&gt;-122.7418143&lt;/lng&gt;
    &lt;/northeast&gt;
   &lt;/viewport&gt;
   &lt;bounds&gt;
    &lt;southwest&gt;
     &lt;lat&gt;45.8912324&lt;/lat&gt;
     &lt;lng&gt;-122.7434714&lt;/lng&gt;
    &lt;/southwest&gt;
    &lt;northeast&gt;
     &lt;lat&gt;45.8915799&lt;/lat&gt;
     &lt;lng&gt;-122.7428551&lt;/lng&gt;
    &lt;/northeast&gt;
   &lt;/bounds&gt;
  &lt;/geometry&gt;
  &lt;place_id&gt;ChIJEXT5RR9PlFQRFiBAk2FbY_o&lt;/place_id&gt;
 &lt;/result&gt;
&lt;/GeocodeResponse&gt;
</v>
      </c>
      <c r="AC12" s="13">
        <v>45.891391800000001</v>
      </c>
      <c r="AD12" s="13">
        <v>-122.7430619</v>
      </c>
      <c r="AE12" s="13" cm="1">
        <f t="array" ref="AE12">_xlfn.FILTERXML(AB12,"//location/lat")</f>
        <v>45.891391800000001</v>
      </c>
      <c r="AF12" s="13" cm="1">
        <f t="array" ref="AF12">_xlfn.FILTERXML(AB12,"//location/lng")</f>
        <v>-122.7430619</v>
      </c>
    </row>
    <row r="13" spans="1:32" s="13" customFormat="1" ht="28.8">
      <c r="A13" s="33" t="s">
        <v>23</v>
      </c>
      <c r="B13" s="34" t="s">
        <v>119</v>
      </c>
      <c r="C13" s="34" t="s">
        <v>120</v>
      </c>
      <c r="D13" s="35">
        <v>44690</v>
      </c>
      <c r="E13" s="35">
        <v>44985</v>
      </c>
      <c r="F13" s="34" t="s">
        <v>36</v>
      </c>
      <c r="G13" s="36">
        <v>230</v>
      </c>
      <c r="H13" s="36">
        <v>87.75</v>
      </c>
      <c r="I13" s="112">
        <f>'Projets Jerome'!$G13*'Projets Jerome'!$O13*1.15</f>
        <v>39675</v>
      </c>
      <c r="J13" s="36" t="s">
        <v>121</v>
      </c>
      <c r="K13" s="34" t="s">
        <v>122</v>
      </c>
      <c r="L13" s="36">
        <f>_xlfn.XLOOKUP('Projets Jerome'!$J13,import!$J$2:$J$22,import!$N$2:$N$22)</f>
        <v>29685185</v>
      </c>
      <c r="M13" s="35">
        <v>44696</v>
      </c>
      <c r="N13" s="34" t="s">
        <v>30</v>
      </c>
      <c r="O13" s="36">
        <v>150</v>
      </c>
      <c r="P13" s="36" t="s">
        <v>112</v>
      </c>
      <c r="Q13" s="38" t="s">
        <v>123</v>
      </c>
      <c r="R13" s="34">
        <v>36.7918965</v>
      </c>
      <c r="S13" s="34">
        <v>-76.2460442</v>
      </c>
      <c r="T13" s="39" t="s">
        <v>124</v>
      </c>
      <c r="U13" s="43" t="s">
        <v>125</v>
      </c>
      <c r="Z13" s="13" t="str">
        <f>_xlfn.XLOOKUP('Projets Jerome'!$J13,import!$J$2:$J$24,import!$C$2:$C$24)</f>
        <v>Lovato Electric Inc. (USA)</v>
      </c>
      <c r="AA13" s="13" t="str">
        <f>_xlfn.XLOOKUP('Projets Jerome'!$J13,import!$J$2:$J$24,import!$B$2:$B$24)</f>
        <v>Implementation SAP HANA</v>
      </c>
      <c r="AB13" s="13" t="str">
        <f>_xlfn.WEBSERVICE("https://maps.googleapis.com/maps/api/geocode/xml?address="&amp;'Projets Jerome'!$T13&amp;"&amp;key=AIzaSyCHth-wrbaKBruFJQMWpdpeHAtAzdbcKh4")</f>
        <v xml:space="preserve">&lt;?xml version="1.0" encoding="UTF-8"?&gt;
&lt;GeocodeResponse&gt;
 &lt;status&gt;OK&lt;/status&gt;
 &lt;result&gt;
  &lt;type&gt;premise&lt;/type&gt;
  &lt;formatted_address&gt;2017 Georgetown Blvd, Chesapeake, VA 23325, USA&lt;/formatted_address&gt;
  &lt;address_component&gt;
   &lt;long_name&gt;2017&lt;/long_name&gt;
   &lt;short_name&gt;2017&lt;/short_name&gt;
   &lt;type&gt;street_number&lt;/type&gt;
  &lt;/address_component&gt;
  &lt;address_component&gt;
   &lt;long_name&gt;Georgetown Boulevard&lt;/long_name&gt;
   &lt;short_name&gt;Georgetown Blvd&lt;/short_name&gt;
   &lt;type&gt;route&lt;/type&gt;
  &lt;/address_component&gt;
  &lt;address_component&gt;
   &lt;long_name&gt;Indian River&lt;/long_name&gt;
   &lt;short_name&gt;Indian River&lt;/short_name&gt;
   &lt;type&gt;neighborhood&lt;/type&gt;
   &lt;type&gt;political&lt;/type&gt;
  &lt;/address_component&gt;
  &lt;address_component&gt;
   &lt;long_name&gt;Chesapeake&lt;/long_name&gt;
   &lt;short_name&gt;Chesapeake&lt;/short_name&gt;
   &lt;type&gt;locality&lt;/type&gt;
   &lt;type&gt;political&lt;/type&gt;
  &lt;/address_component&gt;
  &lt;address_component&gt;
   &lt;long_name&gt;Virginia&lt;/long_name&gt;
   &lt;short_name&gt;VA&lt;/short_name&gt;
   &lt;type&gt;administrative_area_level_1&lt;/type&gt;
   &lt;type&gt;political&lt;/type&gt;
  &lt;/address_component&gt;
  &lt;address_component&gt;
   &lt;long_name&gt;United States&lt;/long_name&gt;
   &lt;short_name&gt;US&lt;/short_name&gt;
   &lt;type&gt;country&lt;/type&gt;
   &lt;type&gt;political&lt;/type&gt;
  &lt;/address_component&gt;
  &lt;address_component&gt;
   &lt;long_name&gt;23325&lt;/long_name&gt;
   &lt;short_name&gt;23325&lt;/short_name&gt;
   &lt;type&gt;postal_code&lt;/type&gt;
  &lt;/address_component&gt;
  &lt;address_component&gt;
   &lt;long_name&gt;4721&lt;/long_name&gt;
   &lt;short_name&gt;4721&lt;/short_name&gt;
   &lt;type&gt;postal_code_suffix&lt;/type&gt;
  &lt;/address_component&gt;
  &lt;geometry&gt;
   &lt;location&gt;
    &lt;lat&gt;36.7919632&lt;/lat&gt;
    &lt;lng&gt;-76.2460860&lt;/lng&gt;
   &lt;/location&gt;
   &lt;location_type&gt;ROOFTOP&lt;/location_type&gt;
   &lt;viewport&gt;
    &lt;southwest&gt;
     &lt;lat&gt;36.7905942&lt;/lat&gt;
     &lt;lng&gt;-76.2474358&lt;/lng&gt;
    &lt;/southwest&gt;
    &lt;northeast&gt;
     &lt;lat&gt;36.7932922&lt;/lat&gt;
     &lt;lng&gt;-76.2447379&lt;/lng&gt;
    &lt;/northeast&gt;
   &lt;/viewport&gt;
   &lt;bounds&gt;
    &lt;southwest&gt;
     &lt;lat&gt;36.7917956&lt;/lat&gt;
     &lt;lng&gt;-76.2463062&lt;/lng&gt;
    &lt;/southwest&gt;
    &lt;northeast&gt;
     &lt;lat&gt;36.7920989&lt;/lat&gt;
     &lt;lng&gt;-76.2458675&lt;/lng&gt;
    &lt;/northeast&gt;
   &lt;/bounds&gt;
  &lt;/geometry&gt;
  &lt;place_id&gt;ChIJmw0yR-C8uokRwoOAGjxGpQc&lt;/place_id&gt;
 &lt;/result&gt;
&lt;/GeocodeResponse&gt;
</v>
      </c>
      <c r="AC13" s="13">
        <v>36.791963199999998</v>
      </c>
      <c r="AD13" s="13">
        <v>-76.246086000000005</v>
      </c>
      <c r="AE13" s="13" cm="1">
        <f t="array" ref="AE13">_xlfn.FILTERXML(AB13,"//location/lat")</f>
        <v>36.791963199999998</v>
      </c>
      <c r="AF13" s="13" cm="1">
        <f t="array" ref="AF13">_xlfn.FILTERXML(AB13,"//location/lng")</f>
        <v>-76.246086000000005</v>
      </c>
    </row>
    <row r="14" spans="1:32" s="13" customFormat="1" ht="28.8">
      <c r="A14" s="25" t="s">
        <v>42</v>
      </c>
      <c r="B14" s="26" t="s">
        <v>126</v>
      </c>
      <c r="C14" s="26" t="s">
        <v>127</v>
      </c>
      <c r="D14" s="27">
        <v>44820</v>
      </c>
      <c r="E14" s="27">
        <v>45044</v>
      </c>
      <c r="F14" s="26" t="s">
        <v>36</v>
      </c>
      <c r="G14" s="28">
        <v>407</v>
      </c>
      <c r="H14" s="28">
        <v>9</v>
      </c>
      <c r="I14" s="111">
        <f>'Projets Jerome'!$G14*'Projets Jerome'!$O14*1.15</f>
        <v>86589.25</v>
      </c>
      <c r="J14" s="28" t="s">
        <v>128</v>
      </c>
      <c r="K14" s="26" t="s">
        <v>129</v>
      </c>
      <c r="L14" s="28">
        <f>_xlfn.XLOOKUP('Projets Jerome'!$J14,import!$J$2:$J$22,import!$N$2:$N$22)</f>
        <v>29685237</v>
      </c>
      <c r="M14" s="27">
        <v>44820</v>
      </c>
      <c r="N14" s="26" t="s">
        <v>30</v>
      </c>
      <c r="O14" s="28">
        <v>185</v>
      </c>
      <c r="P14" s="28" t="s">
        <v>27</v>
      </c>
      <c r="Q14" s="30" t="s">
        <v>130</v>
      </c>
      <c r="R14" s="26">
        <v>45.595933899999999</v>
      </c>
      <c r="S14" s="26">
        <v>-73.623009600000003</v>
      </c>
      <c r="T14" s="41" t="s">
        <v>131</v>
      </c>
      <c r="U14" s="42" t="s">
        <v>132</v>
      </c>
      <c r="Z14" s="13" t="str">
        <f>_xlfn.XLOOKUP('Projets Jerome'!$J14,import!$J$2:$J$24,import!$C$2:$C$24)</f>
        <v>Megastar Électroniques Inc.</v>
      </c>
      <c r="AA14" s="13" t="str">
        <f>_xlfn.XLOOKUP('Projets Jerome'!$J14,import!$J$2:$J$24,import!$B$2:$B$24)</f>
        <v>Implantation SAP</v>
      </c>
      <c r="AB14" s="13" t="str">
        <f>_xlfn.WEBSERVICE("https://maps.googleapis.com/maps/api/geocode/xml?address="&amp;'Projets Jerome'!$T14&amp;"&amp;key=AIzaSyCHth-wrbaKBruFJQMWpdpeHAtAzdbcKh4")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&lt;formatted_address&gt;5061 Rue d'Amiens, Montréal-Nord, QC H1G 3G2, Canada&lt;/formatted_address&gt;
  &lt;address_component&gt;
   &lt;long_name&gt;5061&lt;/long_name&gt;
   &lt;short_name&gt;5061&lt;/short_name&gt;
   &lt;type&gt;street_number&lt;/type&gt;
  &lt;/address_component&gt;
  &lt;address_component&gt;
   &lt;long_name&gt;Rue d'Amiens&lt;/long_name&gt;
   &lt;short_name&gt;Rue d'Amiens&lt;/short_name&gt;
   &lt;type&gt;route&lt;/type&gt;
  &lt;/address_component&gt;
  &lt;address_component&gt;
   &lt;long_name&gt;Montréal-Nord&lt;/long_name&gt;
   &lt;short_name&gt;Montréal-Nord&lt;/short_name&gt;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&lt;long_name&gt;H1G 3G2&lt;/long_name&gt;
   &lt;short_name&gt;H1G 3G2&lt;/short_name&gt;
   &lt;type&gt;postal_code&lt;/type&gt;
  &lt;/address_component&gt;
  &lt;geometry&gt;
   &lt;location&gt;
    &lt;lat&gt;45.5959339&lt;/lat&gt;
    &lt;lng&gt;-73.6230096&lt;/lng&gt;
   &lt;/location&gt;
   &lt;location_type&gt;ROOFTOP&lt;/location_type&gt;
   &lt;viewport&gt;
    &lt;southwest&gt;
     &lt;lat&gt;45.5945287&lt;/lat&gt;
     &lt;lng&gt;-73.6242947&lt;/lng&gt;
    &lt;/southwest&gt;
    &lt;northeast&gt;
     &lt;lat&gt;45.5972267&lt;/lat&gt;
     &lt;lng&gt;-73.6215967&lt;/lng&gt;
    &lt;/northeast&gt;
   &lt;/viewport&gt;
  &lt;/geometry&gt;
  &lt;place_id&gt;ChIJ8cwDtg4fyUwRxG2vjgk_tZg&lt;/place_id&gt;
  &lt;plus_code&gt;
   &lt;global_code&gt;87Q8H9WG+9Q&lt;/global_code&gt;
   &lt;compound_code&gt;H9WG+9Q Montréal-Nord, Montreal, QC, Canada&lt;/compound_code&gt;
  &lt;/plus_code&gt;
 &lt;/result&gt;
&lt;/GeocodeResponse&gt;
</v>
      </c>
      <c r="AC14" s="13">
        <v>45.595933899999999</v>
      </c>
      <c r="AD14" s="13">
        <v>-73.623009600000003</v>
      </c>
      <c r="AE14" s="13" cm="1">
        <f t="array" ref="AE14">_xlfn.FILTERXML(AB14,"//location/lat")</f>
        <v>45.595933899999999</v>
      </c>
      <c r="AF14" s="13" cm="1">
        <f t="array" ref="AF14">_xlfn.FILTERXML(AB14,"//location/lng")</f>
        <v>-73.623009600000003</v>
      </c>
    </row>
    <row r="15" spans="1:32" s="13" customFormat="1" ht="28.8">
      <c r="A15" s="33" t="s">
        <v>42</v>
      </c>
      <c r="B15" s="34" t="s">
        <v>133</v>
      </c>
      <c r="C15" s="34" t="s">
        <v>134</v>
      </c>
      <c r="D15" s="35">
        <v>44820</v>
      </c>
      <c r="E15" s="35">
        <v>44925</v>
      </c>
      <c r="F15" s="34" t="s">
        <v>226</v>
      </c>
      <c r="G15" s="36">
        <v>56</v>
      </c>
      <c r="H15" s="36">
        <v>31.75</v>
      </c>
      <c r="I15" s="112">
        <f>'Projets Jerome'!$G15*'Projets Jerome'!$O15*1.15</f>
        <v>10626</v>
      </c>
      <c r="J15" s="36" t="s">
        <v>135</v>
      </c>
      <c r="K15" s="34" t="s">
        <v>133</v>
      </c>
      <c r="L15" s="36">
        <f>_xlfn.XLOOKUP('Projets Jerome'!$J15,import!$J$2:$J$22,import!$N$2:$N$22)</f>
        <v>29685240</v>
      </c>
      <c r="M15" s="35">
        <v>44826</v>
      </c>
      <c r="N15" s="34" t="s">
        <v>81</v>
      </c>
      <c r="O15" s="36">
        <v>165</v>
      </c>
      <c r="P15" s="36" t="s">
        <v>27</v>
      </c>
      <c r="Q15" s="38" t="s">
        <v>136</v>
      </c>
      <c r="R15" s="34">
        <v>45.156929499999997</v>
      </c>
      <c r="S15" s="34">
        <v>-71.8010503</v>
      </c>
      <c r="T15" s="39" t="s">
        <v>137</v>
      </c>
      <c r="U15" s="40" t="s">
        <v>138</v>
      </c>
      <c r="Z15" s="13" t="str">
        <f>_xlfn.XLOOKUP('Projets Jerome'!$J15,import!$J$2:$J$24,import!$C$2:$C$24)</f>
        <v>Laiterie de Coaticook ltée</v>
      </c>
      <c r="AA15" s="13" t="str">
        <f>_xlfn.XLOOKUP('Projets Jerome'!$J15,import!$J$2:$J$24,import!$B$2:$B$24)</f>
        <v>Migration SAP V10 SQL</v>
      </c>
      <c r="AB15" s="13" t="str">
        <f>_xlfn.WEBSERVICE("https://maps.googleapis.com/maps/api/geocode/xml?address="&amp;'Projets Jerome'!$T15&amp;"&amp;key=AIzaSyCHth-wrbaKBruFJQMWpdpeHAtAzdbcKh4")</f>
        <v xml:space="preserve">&lt;?xml version="1.0" encoding="UTF-8"?&gt;
&lt;GeocodeResponse&gt;
 &lt;status&gt;OK&lt;/status&gt;
 &lt;result&gt;
  &lt;type&gt;premise&lt;/type&gt;
  &lt;formatted_address&gt;1000 Rue Child, Coaticook, QC J1A 2S5, Canada&lt;/formatted_address&gt;
  &lt;address_component&gt;
   &lt;long_name&gt;1000&lt;/long_name&gt;
   &lt;short_name&gt;1000&lt;/short_name&gt;
   &lt;type&gt;street_number&lt;/type&gt;
  &lt;/address_component&gt;
  &lt;address_component&gt;
   &lt;long_name&gt;Rue Child&lt;/long_name&gt;
   &lt;short_name&gt;Rue Child&lt;/short_name&gt;
   &lt;type&gt;route&lt;/type&gt;
  &lt;/address_component&gt;
  &lt;address_component&gt;
   &lt;long_name&gt;Coaticook&lt;/long_name&gt;
   &lt;short_name&gt;Coaticook&lt;/short_name&gt;
   &lt;type&gt;locality&lt;/type&gt;
   &lt;type&gt;political&lt;/type&gt;
  &lt;/address_component&gt;
  &lt;address_component&gt;
   &lt;long_name&gt;Coaticook&lt;/long_name&gt;
   &lt;short_name&gt;Coaticook&lt;/short_name&gt;
   &lt;type&gt;administrative_area_level_3&lt;/type&gt;
   &lt;type&gt;political&lt;/type&gt;
  &lt;/address_component&gt;
  &lt;address_component&gt;
   &lt;long_name&gt;Estrie&lt;/long_name&gt;
   &lt;short_name&gt;Estrie&lt;/short_name&gt;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&lt;long_name&gt;J1A 2S5&lt;/long_name&gt;
   &lt;short_name&gt;J1A 2S5&lt;/short_name&gt;
   &lt;type&gt;postal_code&lt;/type&gt;
  &lt;/address_component&gt;
  &lt;geometry&gt;
   &lt;location&gt;
    &lt;lat&gt;45.1570668&lt;/lat&gt;
    &lt;lng&gt;-71.8012981&lt;/lng&gt;
   &lt;/location&gt;
   &lt;location_type&gt;ROOFTOP&lt;/location_type&gt;
   &lt;viewport&gt;
    &lt;southwest&gt;
     &lt;lat&gt;45.1556833&lt;/lat&gt;
     &lt;lng&gt;-71.8025943&lt;/lng&gt;
    &lt;/southwest&gt;
    &lt;northeast&gt;
     &lt;lat&gt;45.1583813&lt;/lat&gt;
     &lt;lng&gt;-71.7998963&lt;/lng&gt;
    &lt;/northeast&gt;
   &lt;/viewport&gt;
   &lt;bounds&gt;
    &lt;southwest&gt;
     &lt;lat&gt;45.1565689&lt;/lat&gt;
     &lt;lng&gt;-71.8017509&lt;/lng&gt;
    &lt;/southwest&gt;
    &lt;northeast&gt;
     &lt;lat&gt;45.1574957&lt;/lat&gt;
     &lt;lng&gt;-71.8007397&lt;/lng&gt;
    &lt;/northeast&gt;
   &lt;/bounds&gt;
  &lt;/geometry&gt;
  &lt;place_id&gt;ChIJ_W0RofBYtkwRaq689MWaDeY&lt;/place_id&gt;
 &lt;/result&gt;
&lt;/GeocodeResponse&gt;
</v>
      </c>
      <c r="AC15" s="13">
        <v>45.157066800000003</v>
      </c>
      <c r="AD15" s="13">
        <v>-71.801298099999997</v>
      </c>
      <c r="AE15" s="13" cm="1">
        <f t="array" ref="AE15">_xlfn.FILTERXML(AB15,"//location/lat")</f>
        <v>45.157066800000003</v>
      </c>
      <c r="AF15" s="13" cm="1">
        <f t="array" ref="AF15">_xlfn.FILTERXML(AB15,"//location/lng")</f>
        <v>-71.801298099999997</v>
      </c>
    </row>
    <row r="16" spans="1:32" s="13" customFormat="1" ht="28.8">
      <c r="A16" s="25" t="s">
        <v>102</v>
      </c>
      <c r="B16" s="26" t="s">
        <v>139</v>
      </c>
      <c r="C16" s="26" t="s">
        <v>140</v>
      </c>
      <c r="D16" s="27">
        <v>44839</v>
      </c>
      <c r="E16" s="27">
        <v>45015</v>
      </c>
      <c r="F16" s="26" t="s">
        <v>226</v>
      </c>
      <c r="G16" s="28">
        <v>16</v>
      </c>
      <c r="H16" s="28">
        <v>11</v>
      </c>
      <c r="I16" s="111">
        <f>'Projets Jerome'!$G16*'Projets Jerome'!$O16*1.15</f>
        <v>3035.9999999999995</v>
      </c>
      <c r="J16" s="28" t="s">
        <v>141</v>
      </c>
      <c r="K16" s="26" t="s">
        <v>142</v>
      </c>
      <c r="L16" s="28">
        <f>_xlfn.XLOOKUP('Projets Jerome'!$J16,import!$J$2:$J$22,import!$N$2:$N$22)</f>
        <v>29685243</v>
      </c>
      <c r="M16" s="27">
        <v>44839</v>
      </c>
      <c r="N16" s="26" t="s">
        <v>81</v>
      </c>
      <c r="O16" s="28">
        <v>165</v>
      </c>
      <c r="P16" s="28" t="s">
        <v>27</v>
      </c>
      <c r="Q16" s="30" t="s">
        <v>143</v>
      </c>
      <c r="R16" s="26">
        <v>45.438668100000001</v>
      </c>
      <c r="S16" s="26">
        <v>-73.682237499999999</v>
      </c>
      <c r="T16" s="41" t="s">
        <v>144</v>
      </c>
      <c r="U16" s="32" t="s">
        <v>145</v>
      </c>
      <c r="Z16" s="13" t="str">
        <f>_xlfn.XLOOKUP('Projets Jerome'!$J16,import!$J$2:$J$24,import!$C$2:$C$24)</f>
        <v>Federal Steel Equipment Ltd.</v>
      </c>
      <c r="AA16" s="13" t="str">
        <f>_xlfn.XLOOKUP('Projets Jerome'!$J16,import!$J$2:$J$24,import!$B$2:$B$24)</f>
        <v>SAP V10 Migration</v>
      </c>
      <c r="AB16" s="13" t="str">
        <f>_xlfn.WEBSERVICE("https://maps.googleapis.com/maps/api/geocode/xml?address="&amp;'Projets Jerome'!$T16&amp;"&amp;key=AIzaSyCHth-wrbaKBruFJQMWpdpeHAtAzdbcKh4")</f>
        <v xml:space="preserve">&lt;?xml version="1.0" encoding="UTF-8"?&gt;
&lt;GeocodeResponse&gt;
 &lt;status&gt;OK&lt;/status&gt;
 &lt;result&gt;
  &lt;type&gt;premise&lt;/type&gt;
  &lt;formatted_address&gt;540 20e Avenue, Lachine, QC H8S 3T1, Canada&lt;/formatted_address&gt;
  &lt;address_component&gt;
   &lt;long_name&gt;540&lt;/long_name&gt;
   &lt;short_name&gt;540&lt;/short_name&gt;
   &lt;type&gt;street_number&lt;/type&gt;
  &lt;/address_component&gt;
  &lt;address_component&gt;
   &lt;long_name&gt;20e Avenue&lt;/long_name&gt;
   &lt;short_name&gt;20e Avenue&lt;/short_name&gt;
   &lt;type&gt;route&lt;/type&gt;
  &lt;/address_component&gt;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&lt;long_name&gt;H8S 3T1&lt;/long_name&gt;
   &lt;short_name&gt;H8S 3T1&lt;/short_name&gt;
   &lt;type&gt;postal_code&lt;/type&gt;
  &lt;/address_component&gt;
  &lt;geometry&gt;
   &lt;location&gt;
    &lt;lat&gt;45.4386678&lt;/lat&gt;
    &lt;lng&gt;-73.6820476&lt;/lng&gt;
   &lt;/location&gt;
   &lt;location_type&gt;ROOFTOP&lt;/location_type&gt;
   &lt;viewport&gt;
    &lt;southwest&gt;
     &lt;lat&gt;45.4372957&lt;/lat&gt;
     &lt;lng&gt;-73.6835165&lt;/lng&gt;
    &lt;/southwest&gt;
    &lt;northeast&gt;
     &lt;lat&gt;45.4399936&lt;/lat&gt;
     &lt;lng&gt;-73.6808186&lt;/lng&gt;
    &lt;/northeast&gt;
   &lt;/viewport&gt;
   &lt;bounds&gt;
    &lt;southwest&gt;
     &lt;lat&gt;45.4385562&lt;/lat&gt;
     &lt;lng&gt;-73.6822743&lt;/lng&gt;
    &lt;/southwest&gt;
    &lt;northeast&gt;
     &lt;lat&gt;45.4387331&lt;/lat&gt;
     &lt;lng&gt;-73.6818877&lt;/lng&gt;
    &lt;/northeast&gt;
   &lt;/bounds&gt;
  &lt;/geometry&gt;
  &lt;place_id&gt;ChIJYbqil-0WyUwRmyrH_Ln3GOQ&lt;/place_id&gt;
 &lt;/result&gt;
&lt;/GeocodeResponse&gt;
</v>
      </c>
      <c r="AC16" s="13">
        <v>45.438667799999997</v>
      </c>
      <c r="AD16" s="13">
        <v>-73.682047600000004</v>
      </c>
      <c r="AE16" s="13" cm="1">
        <f t="array" ref="AE16">_xlfn.FILTERXML(AB16,"//location/lat")</f>
        <v>45.438667799999997</v>
      </c>
      <c r="AF16" s="13" cm="1">
        <f t="array" ref="AF16">_xlfn.FILTERXML(AB16,"//location/lng")</f>
        <v>-73.682047600000004</v>
      </c>
    </row>
    <row r="17" spans="1:32" s="13" customFormat="1" ht="28.8">
      <c r="A17" s="33" t="s">
        <v>102</v>
      </c>
      <c r="B17" s="34" t="s">
        <v>146</v>
      </c>
      <c r="C17" s="34" t="s">
        <v>140</v>
      </c>
      <c r="D17" s="35">
        <v>44839</v>
      </c>
      <c r="E17" s="35">
        <v>45015</v>
      </c>
      <c r="F17" s="34" t="s">
        <v>226</v>
      </c>
      <c r="G17" s="36">
        <v>40</v>
      </c>
      <c r="H17" s="36">
        <v>0</v>
      </c>
      <c r="I17" s="112">
        <f>'Projets Jerome'!$G17*'Projets Jerome'!$O17*1.15</f>
        <v>6209.9999999999991</v>
      </c>
      <c r="J17" s="36" t="s">
        <v>147</v>
      </c>
      <c r="K17" s="34" t="s">
        <v>148</v>
      </c>
      <c r="L17" s="36">
        <v>29685276</v>
      </c>
      <c r="M17" s="35">
        <v>44893</v>
      </c>
      <c r="N17" s="34" t="s">
        <v>81</v>
      </c>
      <c r="O17" s="36">
        <v>135</v>
      </c>
      <c r="P17" s="36" t="s">
        <v>27</v>
      </c>
      <c r="Q17" s="38" t="s">
        <v>143</v>
      </c>
      <c r="R17" s="34">
        <v>45.438668100000001</v>
      </c>
      <c r="S17" s="34">
        <v>-73.682237499999999</v>
      </c>
      <c r="T17" s="39" t="s">
        <v>144</v>
      </c>
      <c r="U17" s="40" t="s">
        <v>149</v>
      </c>
      <c r="Z17" s="13" t="e">
        <f>_xlfn.XLOOKUP('Projets Jerome'!$J17,import!$J$2:$J$24,import!$C$2:$C$24)</f>
        <v>#N/A</v>
      </c>
      <c r="AA17" s="13" t="e">
        <f>_xlfn.XLOOKUP('Projets Jerome'!$J17,import!$J$2:$J$24,import!$B$2:$B$24)</f>
        <v>#N/A</v>
      </c>
      <c r="AB17" s="13" t="str">
        <f>_xlfn.WEBSERVICE("https://maps.googleapis.com/maps/api/geocode/xml?address="&amp;'Projets Jerome'!$T17&amp;"&amp;key=AIzaSyCHth-wrbaKBruFJQMWpdpeHAtAzdbcKh4")</f>
        <v xml:space="preserve">&lt;?xml version="1.0" encoding="UTF-8"?&gt;
&lt;GeocodeResponse&gt;
 &lt;status&gt;OK&lt;/status&gt;
 &lt;result&gt;
  &lt;type&gt;premise&lt;/type&gt;
  &lt;formatted_address&gt;540 20e Avenue, Lachine, QC H8S 3T1, Canada&lt;/formatted_address&gt;
  &lt;address_component&gt;
   &lt;long_name&gt;540&lt;/long_name&gt;
   &lt;short_name&gt;540&lt;/short_name&gt;
   &lt;type&gt;street_number&lt;/type&gt;
  &lt;/address_component&gt;
  &lt;address_component&gt;
   &lt;long_name&gt;20e Avenue&lt;/long_name&gt;
   &lt;short_name&gt;20e Avenue&lt;/short_name&gt;
   &lt;type&gt;route&lt;/type&gt;
  &lt;/address_component&gt;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&lt;long_name&gt;H8S 3T1&lt;/long_name&gt;
   &lt;short_name&gt;H8S 3T1&lt;/short_name&gt;
   &lt;type&gt;postal_code&lt;/type&gt;
  &lt;/address_component&gt;
  &lt;geometry&gt;
   &lt;location&gt;
    &lt;lat&gt;45.4386678&lt;/lat&gt;
    &lt;lng&gt;-73.6820476&lt;/lng&gt;
   &lt;/location&gt;
   &lt;location_type&gt;ROOFTOP&lt;/location_type&gt;
   &lt;viewport&gt;
    &lt;southwest&gt;
     &lt;lat&gt;45.4372957&lt;/lat&gt;
     &lt;lng&gt;-73.6835165&lt;/lng&gt;
    &lt;/southwest&gt;
    &lt;northeast&gt;
     &lt;lat&gt;45.4399936&lt;/lat&gt;
     &lt;lng&gt;-73.6808186&lt;/lng&gt;
    &lt;/northeast&gt;
   &lt;/viewport&gt;
   &lt;bounds&gt;
    &lt;southwest&gt;
     &lt;lat&gt;45.4385562&lt;/lat&gt;
     &lt;lng&gt;-73.6822743&lt;/lng&gt;
    &lt;/southwest&gt;
    &lt;northeast&gt;
     &lt;lat&gt;45.4387331&lt;/lat&gt;
     &lt;lng&gt;-73.6818877&lt;/lng&gt;
    &lt;/northeast&gt;
   &lt;/bounds&gt;
  &lt;/geometry&gt;
  &lt;place_id&gt;ChIJYbqil-0WyUwRmyrH_Ln3GOQ&lt;/place_id&gt;
 &lt;/result&gt;
&lt;/GeocodeResponse&gt;
</v>
      </c>
      <c r="AC17" s="13">
        <v>45.438667799999997</v>
      </c>
      <c r="AD17" s="13">
        <v>-73.682047600000004</v>
      </c>
      <c r="AE17" s="13" cm="1">
        <f t="array" ref="AE17">_xlfn.FILTERXML(AB17,"//location/lat")</f>
        <v>45.438667799999997</v>
      </c>
      <c r="AF17" s="13" cm="1">
        <f t="array" ref="AF17">_xlfn.FILTERXML(AB17,"//location/lng")</f>
        <v>-73.682047600000004</v>
      </c>
    </row>
    <row r="18" spans="1:32" s="13" customFormat="1" ht="28.8">
      <c r="A18" s="25" t="s">
        <v>102</v>
      </c>
      <c r="B18" s="26" t="s">
        <v>150</v>
      </c>
      <c r="C18" s="26" t="s">
        <v>140</v>
      </c>
      <c r="D18" s="27">
        <v>44839</v>
      </c>
      <c r="E18" s="27">
        <v>45015</v>
      </c>
      <c r="F18" s="26" t="s">
        <v>36</v>
      </c>
      <c r="G18" s="28">
        <v>30</v>
      </c>
      <c r="H18" s="28">
        <v>21.75</v>
      </c>
      <c r="I18" s="111">
        <f>'Projets Jerome'!$G18*'Projets Jerome'!$O18*1.15</f>
        <v>5692.5</v>
      </c>
      <c r="J18" s="28" t="s">
        <v>151</v>
      </c>
      <c r="K18" s="26" t="s">
        <v>152</v>
      </c>
      <c r="L18" s="28">
        <v>29685224</v>
      </c>
      <c r="M18" s="27">
        <v>44775</v>
      </c>
      <c r="N18" s="26" t="s">
        <v>81</v>
      </c>
      <c r="O18" s="28">
        <v>165</v>
      </c>
      <c r="P18" s="28" t="s">
        <v>27</v>
      </c>
      <c r="Q18" s="30" t="s">
        <v>143</v>
      </c>
      <c r="R18" s="26">
        <v>45.438668100000001</v>
      </c>
      <c r="S18" s="26">
        <v>-73.682237499999999</v>
      </c>
      <c r="T18" s="41" t="s">
        <v>144</v>
      </c>
      <c r="U18" s="32" t="s">
        <v>153</v>
      </c>
      <c r="Z18" s="13" t="e">
        <f>_xlfn.XLOOKUP('Projets Jerome'!$J18,import!$J$2:$J$24,import!$C$2:$C$24)</f>
        <v>#N/A</v>
      </c>
      <c r="AA18" s="13" t="e">
        <f>_xlfn.XLOOKUP('Projets Jerome'!$J18,import!$J$2:$J$24,import!$B$2:$B$24)</f>
        <v>#N/A</v>
      </c>
      <c r="AB18" s="13" t="str">
        <f>_xlfn.WEBSERVICE("https://maps.googleapis.com/maps/api/geocode/xml?address="&amp;'Projets Jerome'!$T18&amp;"&amp;key=AIzaSyCHth-wrbaKBruFJQMWpdpeHAtAzdbcKh4")</f>
        <v xml:space="preserve">&lt;?xml version="1.0" encoding="UTF-8"?&gt;
&lt;GeocodeResponse&gt;
 &lt;status&gt;OK&lt;/status&gt;
 &lt;result&gt;
  &lt;type&gt;premise&lt;/type&gt;
  &lt;formatted_address&gt;540 20e Avenue, Lachine, QC H8S 3T1, Canada&lt;/formatted_address&gt;
  &lt;address_component&gt;
   &lt;long_name&gt;540&lt;/long_name&gt;
   &lt;short_name&gt;540&lt;/short_name&gt;
   &lt;type&gt;street_number&lt;/type&gt;
  &lt;/address_component&gt;
  &lt;address_component&gt;
   &lt;long_name&gt;20e Avenue&lt;/long_name&gt;
   &lt;short_name&gt;20e Avenue&lt;/short_name&gt;
   &lt;type&gt;route&lt;/type&gt;
  &lt;/address_component&gt;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&lt;long_name&gt;H8S 3T1&lt;/long_name&gt;
   &lt;short_name&gt;H8S 3T1&lt;/short_name&gt;
   &lt;type&gt;postal_code&lt;/type&gt;
  &lt;/address_component&gt;
  &lt;geometry&gt;
   &lt;location&gt;
    &lt;lat&gt;45.4386678&lt;/lat&gt;
    &lt;lng&gt;-73.6820476&lt;/lng&gt;
   &lt;/location&gt;
   &lt;location_type&gt;ROOFTOP&lt;/location_type&gt;
   &lt;viewport&gt;
    &lt;southwest&gt;
     &lt;lat&gt;45.4372957&lt;/lat&gt;
     &lt;lng&gt;-73.6835165&lt;/lng&gt;
    &lt;/southwest&gt;
    &lt;northeast&gt;
     &lt;lat&gt;45.4399936&lt;/lat&gt;
     &lt;lng&gt;-73.6808186&lt;/lng&gt;
    &lt;/northeast&gt;
   &lt;/viewport&gt;
   &lt;bounds&gt;
    &lt;southwest&gt;
     &lt;lat&gt;45.4385562&lt;/lat&gt;
     &lt;lng&gt;-73.6822743&lt;/lng&gt;
    &lt;/southwest&gt;
    &lt;northeast&gt;
     &lt;lat&gt;45.4387331&lt;/lat&gt;
     &lt;lng&gt;-73.6818877&lt;/lng&gt;
    &lt;/northeast&gt;
   &lt;/bounds&gt;
  &lt;/geometry&gt;
  &lt;place_id&gt;ChIJYbqil-0WyUwRmyrH_Ln3GOQ&lt;/place_id&gt;
 &lt;/result&gt;
&lt;/GeocodeResponse&gt;
</v>
      </c>
      <c r="AC18" s="13">
        <v>45.438667799999997</v>
      </c>
      <c r="AD18" s="13">
        <v>-73.682047600000004</v>
      </c>
      <c r="AE18" s="13" cm="1">
        <f t="array" ref="AE18">_xlfn.FILTERXML(AB18,"//location/lat")</f>
        <v>45.438667799999997</v>
      </c>
      <c r="AF18" s="13" cm="1">
        <f t="array" ref="AF18">_xlfn.FILTERXML(AB18,"//location/lng")</f>
        <v>-73.682047600000004</v>
      </c>
    </row>
    <row r="19" spans="1:32" s="13" customFormat="1" ht="28.8">
      <c r="A19" s="33" t="s">
        <v>42</v>
      </c>
      <c r="B19" s="34" t="s">
        <v>139</v>
      </c>
      <c r="C19" s="34" t="s">
        <v>154</v>
      </c>
      <c r="D19" s="35">
        <v>44895</v>
      </c>
      <c r="E19" s="35">
        <v>45015</v>
      </c>
      <c r="F19" s="34" t="s">
        <v>226</v>
      </c>
      <c r="G19" s="36">
        <v>78</v>
      </c>
      <c r="H19" s="36"/>
      <c r="I19" s="112">
        <f>'Projets Jerome'!$G19*'Projets Jerome'!$O19*1.15</f>
        <v>15697.499999999998</v>
      </c>
      <c r="J19" s="36" t="s">
        <v>155</v>
      </c>
      <c r="K19" s="34" t="s">
        <v>156</v>
      </c>
      <c r="L19" s="36">
        <v>29685280</v>
      </c>
      <c r="M19" s="35">
        <v>44901</v>
      </c>
      <c r="N19" s="34" t="s">
        <v>81</v>
      </c>
      <c r="O19" s="36">
        <v>175</v>
      </c>
      <c r="P19" s="36" t="s">
        <v>27</v>
      </c>
      <c r="Q19" s="38" t="s">
        <v>157</v>
      </c>
      <c r="R19" s="34">
        <v>46.623553700000002</v>
      </c>
      <c r="S19" s="34">
        <v>-71.500449599999996</v>
      </c>
      <c r="T19" s="39" t="s">
        <v>158</v>
      </c>
      <c r="U19" s="43" t="s">
        <v>159</v>
      </c>
      <c r="Z19" s="13" t="e">
        <f>_xlfn.XLOOKUP('Projets Jerome'!$J19,import!$J$2:$J$24,import!$C$2:$C$24)</f>
        <v>#N/A</v>
      </c>
      <c r="AA19" s="13" t="e">
        <f>_xlfn.XLOOKUP('Projets Jerome'!$J19,import!$J$2:$J$24,import!$B$2:$B$24)</f>
        <v>#N/A</v>
      </c>
      <c r="AB19" s="13" t="str">
        <f>_xlfn.WEBSERVICE("https://maps.googleapis.com/maps/api/geocode/xml?address="&amp;'Projets Jerome'!$T19&amp;"&amp;key=AIzaSyCHth-wrbaKBruFJQMWpdpeHAtAzdbcKh4")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&lt;formatted_address&gt;294 Rue Laurier, Saint-Apollinaire, QC G0S 2E0, Canada&lt;/formatted_address&gt;
  &lt;address_component&gt;
   &lt;long_name&gt;294&lt;/long_name&gt;
   &lt;short_name&gt;294&lt;/short_name&gt;
   &lt;type&gt;street_number&lt;/type&gt;
  &lt;/address_component&gt;
  &lt;address_component&gt;
   &lt;long_name&gt;Rue Laurier&lt;/long_name&gt;
   &lt;short_name&gt;Rue Laurier&lt;/short_name&gt;
   &lt;type&gt;route&lt;/type&gt;
  &lt;/address_component&gt;
  &lt;address_component&gt;
   &lt;long_name&gt;Saint-Apollinaire&lt;/long_name&gt;
   &lt;short_name&gt;Saint-Apollinaire&lt;/short_name&gt;
   &lt;type&gt;locality&lt;/type&gt;
   &lt;type&gt;political&lt;/type&gt;
  &lt;/address_component&gt;
  &lt;address_component&gt;
   &lt;long_name&gt;Lotbinière&lt;/long_name&gt;
   &lt;short_name&gt;Lotbinière&lt;/short_name&gt;
   &lt;type&gt;administrative_area_level_3&lt;/type&gt;
   &lt;type&gt;political&lt;/type&gt;
  &lt;/address_component&gt;
  &lt;address_component&gt;
   &lt;long_name&gt;Chaudière-Appalaches&lt;/long_name&gt;
   &lt;short_name&gt;Chaudière-Appalaches&lt;/short_name&gt;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&lt;long_name&gt;G0S 2E0&lt;/long_name&gt;
   &lt;short_name&gt;G0S 2E0&lt;/short_name&gt;
   &lt;type&gt;postal_code&lt;/type&gt;
  &lt;/address_component&gt;
  &lt;geometry&gt;
   &lt;location&gt;
    &lt;lat&gt;46.6235942&lt;/lat&gt;
    &lt;lng&gt;-71.5004962&lt;/lng&gt;
   &lt;/location&gt;
   &lt;location_type&gt;ROOFTOP&lt;/location_type&gt;
   &lt;viewport&gt;
    &lt;southwest&gt;
     &lt;lat&gt;46.6221366&lt;/lat&gt;
     &lt;lng&gt;-71.5017703&lt;/lng&gt;
    &lt;/southwest&gt;
    &lt;northeast&gt;
     &lt;lat&gt;46.6248346&lt;/lat&gt;
     &lt;lng&gt;-71.4990723&lt;/lng&gt;
    &lt;/northeast&gt;
   &lt;/viewport&gt;
  &lt;/geometry&gt;
  &lt;place_id&gt;ChIJmV3A3EKGuEwRYX8dWf0F7h0&lt;/place_id&gt;
  &lt;plus_code&gt;
   &lt;global_code&gt;87RCJFFX+CR&lt;/global_code&gt;
   &lt;compound_code&gt;JFFX+CR Saint-Apollinaire, QC, Canada&lt;/compound_code&gt;
  &lt;/plus_code&gt;
 &lt;/result&gt;
&lt;/GeocodeResponse&gt;
</v>
      </c>
      <c r="AC19" s="13">
        <v>46.623594199999999</v>
      </c>
      <c r="AD19" s="13">
        <v>-71.500496200000001</v>
      </c>
      <c r="AE19" s="13" cm="1">
        <f t="array" ref="AE19">_xlfn.FILTERXML(AB19,"//location/lat")</f>
        <v>46.623594199999999</v>
      </c>
      <c r="AF19" s="13" cm="1">
        <f t="array" ref="AF19">_xlfn.FILTERXML(AB19,"//location/lng")</f>
        <v>-71.500496200000001</v>
      </c>
    </row>
    <row r="20" spans="1:32" s="13" customFormat="1" ht="28.8">
      <c r="A20" s="25" t="s">
        <v>42</v>
      </c>
      <c r="B20" s="26" t="s">
        <v>160</v>
      </c>
      <c r="C20" s="26" t="s">
        <v>134</v>
      </c>
      <c r="D20" s="27">
        <v>44858</v>
      </c>
      <c r="E20" s="27">
        <v>45016</v>
      </c>
      <c r="F20" s="26" t="s">
        <v>26</v>
      </c>
      <c r="G20" s="28">
        <v>166</v>
      </c>
      <c r="H20" s="28">
        <v>1</v>
      </c>
      <c r="I20" s="111">
        <f>'Projets Jerome'!$G20*'Projets Jerome'!$O20*1.15</f>
        <v>31498.499999999996</v>
      </c>
      <c r="J20" s="28" t="s">
        <v>161</v>
      </c>
      <c r="K20" s="26" t="s">
        <v>160</v>
      </c>
      <c r="L20" s="28">
        <f>_xlfn.XLOOKUP('Projets Jerome'!$J20,import!$J$2:$J$22,import!$N$2:$N$22)</f>
        <v>29685255</v>
      </c>
      <c r="M20" s="27">
        <v>44858</v>
      </c>
      <c r="N20" s="26" t="s">
        <v>81</v>
      </c>
      <c r="O20" s="28">
        <v>165</v>
      </c>
      <c r="P20" s="28" t="s">
        <v>27</v>
      </c>
      <c r="Q20" s="30" t="s">
        <v>136</v>
      </c>
      <c r="R20" s="26">
        <v>45.156929499999997</v>
      </c>
      <c r="S20" s="26">
        <v>-71.8010503</v>
      </c>
      <c r="T20" s="41" t="s">
        <v>137</v>
      </c>
      <c r="U20" s="32" t="s">
        <v>234</v>
      </c>
      <c r="Z20" s="13" t="str">
        <f>_xlfn.XLOOKUP('Projets Jerome'!$J20,import!$J$2:$J$24,import!$C$2:$C$24)</f>
        <v>Laiterie de Coaticook ltée</v>
      </c>
      <c r="AA20" s="13" t="str">
        <f>_xlfn.XLOOKUP('Projets Jerome'!$J20,import!$J$2:$J$24,import!$B$2:$B$24)</f>
        <v>Produmex WMS</v>
      </c>
      <c r="AB20" s="13" t="str">
        <f>_xlfn.WEBSERVICE("https://maps.googleapis.com/maps/api/geocode/xml?address="&amp;'Projets Jerome'!$T20&amp;"&amp;key=AIzaSyCHth-wrbaKBruFJQMWpdpeHAtAzdbcKh4")</f>
        <v xml:space="preserve">&lt;?xml version="1.0" encoding="UTF-8"?&gt;
&lt;GeocodeResponse&gt;
 &lt;status&gt;OK&lt;/status&gt;
 &lt;result&gt;
  &lt;type&gt;premise&lt;/type&gt;
  &lt;formatted_address&gt;1000 Rue Child, Coaticook, QC J1A 2S5, Canada&lt;/formatted_address&gt;
  &lt;address_component&gt;
   &lt;long_name&gt;1000&lt;/long_name&gt;
   &lt;short_name&gt;1000&lt;/short_name&gt;
   &lt;type&gt;street_number&lt;/type&gt;
  &lt;/address_component&gt;
  &lt;address_component&gt;
   &lt;long_name&gt;Rue Child&lt;/long_name&gt;
   &lt;short_name&gt;Rue Child&lt;/short_name&gt;
   &lt;type&gt;route&lt;/type&gt;
  &lt;/address_component&gt;
  &lt;address_component&gt;
   &lt;long_name&gt;Coaticook&lt;/long_name&gt;
   &lt;short_name&gt;Coaticook&lt;/short_name&gt;
   &lt;type&gt;locality&lt;/type&gt;
   &lt;type&gt;political&lt;/type&gt;
  &lt;/address_component&gt;
  &lt;address_component&gt;
   &lt;long_name&gt;Coaticook&lt;/long_name&gt;
   &lt;short_name&gt;Coaticook&lt;/short_name&gt;
   &lt;type&gt;administrative_area_level_3&lt;/type&gt;
   &lt;type&gt;political&lt;/type&gt;
  &lt;/address_component&gt;
  &lt;address_component&gt;
   &lt;long_name&gt;Estrie&lt;/long_name&gt;
   &lt;short_name&gt;Estrie&lt;/short_name&gt;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&lt;long_name&gt;J1A 2S5&lt;/long_name&gt;
   &lt;short_name&gt;J1A 2S5&lt;/short_name&gt;
   &lt;type&gt;postal_code&lt;/type&gt;
  &lt;/address_component&gt;
  &lt;geometry&gt;
   &lt;location&gt;
    &lt;lat&gt;45.1570668&lt;/lat&gt;
    &lt;lng&gt;-71.8012981&lt;/lng&gt;
   &lt;/location&gt;
   &lt;location_type&gt;ROOFTOP&lt;/location_type&gt;
   &lt;viewport&gt;
    &lt;southwest&gt;
     &lt;lat&gt;45.1556833&lt;/lat&gt;
     &lt;lng&gt;-71.8025943&lt;/lng&gt;
    &lt;/southwest&gt;
    &lt;northeast&gt;
     &lt;lat&gt;45.1583813&lt;/lat&gt;
     &lt;lng&gt;-71.7998963&lt;/lng&gt;
    &lt;/northeast&gt;
   &lt;/viewport&gt;
   &lt;bounds&gt;
    &lt;southwest&gt;
     &lt;lat&gt;45.1565689&lt;/lat&gt;
     &lt;lng&gt;-71.8017509&lt;/lng&gt;
    &lt;/southwest&gt;
    &lt;northeast&gt;
     &lt;lat&gt;45.1574957&lt;/lat&gt;
     &lt;lng&gt;-71.8007397&lt;/lng&gt;
    &lt;/northeast&gt;
   &lt;/bounds&gt;
  &lt;/geometry&gt;
  &lt;place_id&gt;ChIJ_W0RofBYtkwRaq689MWaDeY&lt;/place_id&gt;
 &lt;/result&gt;
&lt;/GeocodeResponse&gt;
</v>
      </c>
      <c r="AC20" s="13">
        <v>45.157066800000003</v>
      </c>
      <c r="AD20" s="13">
        <v>-71.801298099999997</v>
      </c>
      <c r="AE20" s="13" cm="1">
        <f t="array" ref="AE20">_xlfn.FILTERXML(AB20,"//location/lat")</f>
        <v>45.157066800000003</v>
      </c>
      <c r="AF20" s="13" cm="1">
        <f t="array" ref="AF20">_xlfn.FILTERXML(AB20,"//location/lng")</f>
        <v>-71.801298099999997</v>
      </c>
    </row>
    <row r="21" spans="1:32" s="13" customFormat="1" ht="28.8">
      <c r="A21" s="33" t="s">
        <v>23</v>
      </c>
      <c r="B21" s="34" t="s">
        <v>162</v>
      </c>
      <c r="C21" s="34" t="s">
        <v>163</v>
      </c>
      <c r="D21" s="35">
        <v>44866</v>
      </c>
      <c r="E21" s="35">
        <v>45291</v>
      </c>
      <c r="F21" s="34" t="s">
        <v>26</v>
      </c>
      <c r="G21" s="36">
        <v>815</v>
      </c>
      <c r="H21" s="36">
        <v>1</v>
      </c>
      <c r="I21" s="112">
        <f>'Projets Jerome'!$G21*'Projets Jerome'!$O21*1.15</f>
        <v>159332.5</v>
      </c>
      <c r="J21" s="36" t="s">
        <v>164</v>
      </c>
      <c r="K21" s="34" t="s">
        <v>165</v>
      </c>
      <c r="L21" s="36">
        <f>_xlfn.XLOOKUP('Projets Jerome'!$J21,import!$J$2:$J$22,import!$N$2:$N$22)</f>
        <v>29685265</v>
      </c>
      <c r="M21" s="35">
        <v>44876</v>
      </c>
      <c r="N21" s="34" t="s">
        <v>30</v>
      </c>
      <c r="O21" s="36">
        <v>170</v>
      </c>
      <c r="P21" s="36" t="s">
        <v>27</v>
      </c>
      <c r="Q21" s="38" t="s">
        <v>166</v>
      </c>
      <c r="R21" s="34">
        <v>45.929029399999997</v>
      </c>
      <c r="S21" s="34">
        <v>-73.017207299999995</v>
      </c>
      <c r="T21" s="39" t="s">
        <v>167</v>
      </c>
      <c r="U21" s="40" t="s">
        <v>168</v>
      </c>
      <c r="Z21" s="13" t="str">
        <f>_xlfn.XLOOKUP('Projets Jerome'!$J21,import!$J$2:$J$24,import!$C$2:$C$24)</f>
        <v>Fromagerie Polyethnique Inc</v>
      </c>
      <c r="AA21" s="13" t="str">
        <f>_xlfn.XLOOKUP('Projets Jerome'!$J21,import!$J$2:$J$24,import!$B$2:$B$24)</f>
        <v>Implantation SAP B1 &amp; Process Force</v>
      </c>
      <c r="AB21" s="13" t="str">
        <f>_xlfn.WEBSERVICE("https://maps.googleapis.com/maps/api/geocode/xml?address="&amp;'Projets Jerome'!$T21&amp;"&amp;key=AIzaSyCHth-wrbaKBruFJQMWpdpeHAtAzdbcKh4")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&lt;formatted_address&gt;235 Chemin de St Robert, Saint-Robert, QC J0G 1S0, Canada&lt;/formatted_address&gt;
  &lt;address_component&gt;
   &lt;long_name&gt;235&lt;/long_name&gt;
   &lt;short_name&gt;235&lt;/short_name&gt;
   &lt;type&gt;street_number&lt;/type&gt;
  &lt;/address_component&gt;
  &lt;address_component&gt;
   &lt;long_name&gt;Chemin de Saint Robert&lt;/long_name&gt;
   &lt;short_name&gt;Chemin de St Robert&lt;/short_name&gt;
   &lt;type&gt;route&lt;/type&gt;
  &lt;/address_component&gt;
  &lt;address_component&gt;
   &lt;long_name&gt;Saint-Robert&lt;/long_name&gt;
   &lt;short_name&gt;Saint-Robert&lt;/short_name&gt;
   &lt;type&gt;locality&lt;/type&gt;
   &lt;type&gt;political&lt;/type&gt;
  &lt;/address_component&gt;
  &lt;address_component&gt;
   &lt;long_name&gt;Pierre-De Saurel&lt;/long_name&gt;
   &lt;short_name&gt;Pierre-De Saurel&lt;/short_name&gt;
   &lt;type&gt;administrative_area_level_3&lt;/type&gt;
   &lt;type&gt;political&lt;/type&gt;
  &lt;/address_component&gt;
  &lt;address_component&gt;
   &lt;long_name&gt;Montérégie&lt;/long_name&gt;
   &lt;short_name&gt;Montérégie&lt;/short_name&gt;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&lt;long_name&gt;J0G 1S0&lt;/long_name&gt;
   &lt;short_name&gt;J0G 1S0&lt;/short_name&gt;
   &lt;type&gt;postal_code&lt;/type&gt;
  &lt;/address_component&gt;
  &lt;geometry&gt;
   &lt;location&gt;
    &lt;lat&gt;45.9293327&lt;/lat&gt;
    &lt;lng&gt;-73.0166942&lt;/lng&gt;
   &lt;/location&gt;
   &lt;location_type&gt;ROOFTOP&lt;/location_type&gt;
   &lt;viewport&gt;
    &lt;southwest&gt;
     &lt;lat&gt;45.9279789&lt;/lat&gt;
     &lt;lng&gt;-73.0180231&lt;/lng&gt;
    &lt;/southwest&gt;
    &lt;northeast&gt;
     &lt;lat&gt;45.9306768&lt;/lat&gt;
     &lt;lng&gt;-73.0153252&lt;/lng&gt;
    &lt;/northeast&gt;
   &lt;/viewport&gt;
  &lt;/geometry&gt;
  &lt;place_id&gt;ChIJXWbKS_thyEwRsXhrs4jqSFk&lt;/place_id&gt;
  &lt;plus_code&gt;
   &lt;global_code&gt;87Q8WXHM+P8&lt;/global_code&gt;
   &lt;compound_code&gt;WXHM+P8 Saint-Robert, QC, Canada&lt;/compound_code&gt;
  &lt;/plus_code&gt;
 &lt;/result&gt;
&lt;/GeocodeResponse&gt;
</v>
      </c>
      <c r="AC21" s="13">
        <v>45.929332700000003</v>
      </c>
      <c r="AD21" s="13">
        <v>-73.016694200000003</v>
      </c>
      <c r="AE21" s="13" cm="1">
        <f t="array" ref="AE21">_xlfn.FILTERXML(AB21,"//location/lat")</f>
        <v>45.929332700000003</v>
      </c>
      <c r="AF21" s="13" cm="1">
        <f t="array" ref="AF21">_xlfn.FILTERXML(AB21,"//location/lng")</f>
        <v>-73.016694200000003</v>
      </c>
    </row>
    <row r="22" spans="1:32" s="13" customFormat="1">
      <c r="A22" s="25" t="s">
        <v>23</v>
      </c>
      <c r="B22" s="26" t="s">
        <v>169</v>
      </c>
      <c r="C22" s="26" t="s">
        <v>170</v>
      </c>
      <c r="D22" s="27">
        <v>44846</v>
      </c>
      <c r="E22" s="27">
        <v>45289</v>
      </c>
      <c r="F22" s="26" t="s">
        <v>36</v>
      </c>
      <c r="G22" s="28">
        <v>981</v>
      </c>
      <c r="H22" s="28">
        <v>93.5</v>
      </c>
      <c r="I22" s="111">
        <f>'Projets Jerome'!$G22*'Projets Jerome'!$O22*1.15</f>
        <v>186144.75</v>
      </c>
      <c r="J22" s="28" t="s">
        <v>171</v>
      </c>
      <c r="K22" s="26" t="s">
        <v>169</v>
      </c>
      <c r="L22" s="28">
        <f>_xlfn.XLOOKUP('Projets Jerome'!$J22,import!$J$2:$J$22,import!$N$2:$N$22)</f>
        <v>29685241</v>
      </c>
      <c r="M22" s="27">
        <v>44846</v>
      </c>
      <c r="N22" s="26" t="s">
        <v>30</v>
      </c>
      <c r="O22" s="28">
        <v>165</v>
      </c>
      <c r="P22" s="28" t="s">
        <v>27</v>
      </c>
      <c r="Q22" s="30" t="s">
        <v>172</v>
      </c>
      <c r="R22" s="26">
        <v>45.529286800000001</v>
      </c>
      <c r="S22" s="26">
        <v>-73.664845299999996</v>
      </c>
      <c r="T22" s="46" t="s">
        <v>173</v>
      </c>
      <c r="U22" s="32" t="s">
        <v>174</v>
      </c>
      <c r="Z22" s="13" t="str">
        <f>_xlfn.XLOOKUP('Projets Jerome'!$J22,import!$J$2:$J$24,import!$C$2:$C$24)</f>
        <v>Groupe Carreaux Céragrès Inc.</v>
      </c>
      <c r="AA22" s="13" t="str">
        <f>_xlfn.XLOOKUP('Projets Jerome'!$J22,import!$J$2:$J$24,import!$B$2:$B$24)</f>
        <v>Projet implantation SAP et WMS</v>
      </c>
      <c r="AB22" s="13" t="str">
        <f>_xlfn.WEBSERVICE("https://maps.googleapis.com/maps/api/geocode/xml?address="&amp;'Projets Jerome'!$T22&amp;"&amp;key=AIzaSyCHth-wrbaKBruFJQMWpdpeHAtAzdbcKh4")</f>
        <v xml:space="preserve">&lt;?xml version="1.0" encoding="UTF-8"?&gt;
&lt;GeocodeResponse&gt;
 &lt;status&gt;OK&lt;/status&gt;
 &lt;result&gt;
  &lt;type&gt;premise&lt;/type&gt;
  &lt;formatted_address&gt;825 Rue Deslauriers, Saint-Laurent, QC H4N 1X3, Canada&lt;/formatted_address&gt;
  &lt;address_component&gt;
   &lt;long_name&gt;825&lt;/long_name&gt;
   &lt;short_name&gt;825&lt;/short_name&gt;
   &lt;type&gt;street_number&lt;/type&gt;
  &lt;/address_component&gt;
  &lt;address_component&gt;
   &lt;long_name&gt;Rue Deslauriers&lt;/long_name&gt;
   &lt;short_name&gt;Rue Deslauriers&lt;/short_name&gt;
   &lt;type&gt;route&lt;/type&gt;
  &lt;/address_component&gt;
  &lt;address_component&gt;
   &lt;long_name&gt;Saint-Laurent&lt;/long_name&gt;
   &lt;short_name&gt;Saint-Laurent&lt;/short_name&gt;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&lt;long_name&gt;H4N 1X3&lt;/long_name&gt;
   &lt;short_name&gt;H4N 1X3&lt;/short_name&gt;
   &lt;type&gt;postal_code&lt;/type&gt;
  &lt;/address_component&gt;
  &lt;geometry&gt;
   &lt;location&gt;
    &lt;lat&gt;45.5292868&lt;/lat&gt;
    &lt;lng&gt;-73.6648453&lt;/lng&gt;
   &lt;/location&gt;
   &lt;location_type&gt;ROOFTOP&lt;/location_type&gt;
   &lt;viewport&gt;
    &lt;southwest&gt;
     &lt;lat&gt;45.5278116&lt;/lat&gt;
     &lt;lng&gt;-73.6660643&lt;/lng&gt;
    &lt;/southwest&gt;
    &lt;northeast&gt;
     &lt;lat&gt;45.5305095&lt;/lat&gt;
     &lt;lng&gt;-73.6633663&lt;/lng&gt;
    &lt;/northeast&gt;
   &lt;/viewport&gt;
   &lt;bounds&gt;
    &lt;southwest&gt;
     &lt;lat&gt;45.5287958&lt;/lat&gt;
     &lt;lng&gt;-73.6655491&lt;/lng&gt;
    &lt;/southwest&gt;
    &lt;northeast&gt;
     &lt;lat&gt;45.5296835&lt;/lat&gt;
     &lt;lng&gt;-73.6638815&lt;/lng&gt;
    &lt;/northeast&gt;
   &lt;/bounds&gt;
  &lt;/geometry&gt;
  &lt;partial_match&gt;true&lt;/partial_match&gt;
  &lt;place_id&gt;ChIJr9CZWl8YyUwRy8_IZmIIAbE&lt;/place_id&gt;
 &lt;/result&gt;
&lt;/GeocodeResponse&gt;
</v>
      </c>
      <c r="AC22" s="13">
        <v>45.529286800000001</v>
      </c>
      <c r="AD22" s="13">
        <v>-73.664845299999996</v>
      </c>
      <c r="AE22" s="13" cm="1">
        <f t="array" ref="AE22">_xlfn.FILTERXML(AB22,"//location/lat")</f>
        <v>45.529286800000001</v>
      </c>
      <c r="AF22" s="13" cm="1">
        <f t="array" ref="AF22">_xlfn.FILTERXML(AB22,"//location/lng")</f>
        <v>-73.664845299999996</v>
      </c>
    </row>
    <row r="23" spans="1:32" s="13" customFormat="1">
      <c r="A23" s="33" t="s">
        <v>203</v>
      </c>
      <c r="B23" s="34" t="s">
        <v>272</v>
      </c>
      <c r="C23" s="34" t="s">
        <v>273</v>
      </c>
      <c r="D23" s="35">
        <v>44972</v>
      </c>
      <c r="E23" s="35">
        <v>45291</v>
      </c>
      <c r="F23" s="34" t="s">
        <v>26</v>
      </c>
      <c r="G23" s="36">
        <v>923</v>
      </c>
      <c r="H23" s="36">
        <v>0</v>
      </c>
      <c r="I23" s="112">
        <f>'Projets Jerome'!$G23*'Projets Jerome'!$O23*1.2</f>
        <v>193830</v>
      </c>
      <c r="J23" s="47" t="s">
        <v>274</v>
      </c>
      <c r="K23" s="34" t="s">
        <v>272</v>
      </c>
      <c r="L23" s="36">
        <v>29685300</v>
      </c>
      <c r="M23" s="48">
        <v>44936</v>
      </c>
      <c r="N23" s="34" t="s">
        <v>30</v>
      </c>
      <c r="O23" s="36">
        <v>175</v>
      </c>
      <c r="P23" s="36" t="s">
        <v>27</v>
      </c>
      <c r="Q23" s="49" t="s">
        <v>276</v>
      </c>
      <c r="R23" s="34">
        <v>45.7559173</v>
      </c>
      <c r="S23" s="34">
        <v>-73.992652300000003</v>
      </c>
      <c r="T23" s="50" t="s">
        <v>275</v>
      </c>
      <c r="U23" s="43" t="s">
        <v>277</v>
      </c>
      <c r="Z23" s="13" t="e">
        <f>_xlfn.XLOOKUP('Projets Jerome'!$J23,import!$J$2:$J$24,import!$C$2:$C$24)</f>
        <v>#N/A</v>
      </c>
      <c r="AA23" s="13" t="e">
        <f>_xlfn.XLOOKUP('Projets Jerome'!$J23,import!$J$2:$J$24,import!$B$2:$B$24)</f>
        <v>#N/A</v>
      </c>
      <c r="AB23" s="13" t="str">
        <f>_xlfn.WEBSERVICE("https://maps.googleapis.com/maps/api/geocode/xml?address="&amp;'Projets Jerome'!$T23&amp;"&amp;key=AIzaSyCHth-wrbaKBruFJQMWpdpeHAtAzdbcKh4")</f>
        <v xml:space="preserve">&lt;?xml version="1.0" encoding="UTF-8"?&gt;
&lt;GeocodeResponse&gt;
 &lt;status&gt;OK&lt;/status&gt;
 &lt;result&gt;
  &lt;type&gt;premise&lt;/type&gt;
  &lt;formatted_address&gt;780 Rue Nobel, Saint-Jérôme, QC J7Z 7A3, Canada&lt;/formatted_address&gt;
  &lt;address_component&gt;
   &lt;long_name&gt;780&lt;/long_name&gt;
   &lt;short_name&gt;780&lt;/short_name&gt;
   &lt;type&gt;street_number&lt;/type&gt;
  &lt;/address_component&gt;
  &lt;address_component&gt;
   &lt;long_name&gt;Rue Nobel&lt;/long_name&gt;
   &lt;short_name&gt;Rue Nobel&lt;/short_name&gt;
   &lt;type&gt;route&lt;/type&gt;
  &lt;/address_component&gt;
  &lt;address_component&gt;
   &lt;long_name&gt;Saint-Jérôme&lt;/long_name&gt;
   &lt;short_name&gt;Saint-Jérôme&lt;/short_name&gt;
   &lt;type&gt;locality&lt;/type&gt;
   &lt;type&gt;political&lt;/type&gt;
  &lt;/address_component&gt;
  &lt;address_component&gt;
   &lt;long_name&gt;La Rivière-du-Nord&lt;/long_name&gt;
   &lt;short_name&gt;La Rivière-du-Nord&lt;/short_name&gt;
   &lt;type&gt;administrative_area_level_3&lt;/type&gt;
   &lt;type&gt;political&lt;/type&gt;
  &lt;/address_component&gt;
  &lt;address_component&gt;
   &lt;long_name&gt;Laurentides&lt;/long_name&gt;
   &lt;short_name&gt;Laurentides&lt;/short_name&gt;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&lt;long_name&gt;J7Z 7A3&lt;/long_name&gt;
   &lt;short_name&gt;J7Z 7A3&lt;/short_name&gt;
   &lt;type&gt;postal_code&lt;/type&gt;
  &lt;/address_component&gt;
  &lt;geometry&gt;
   &lt;location&gt;
    &lt;lat&gt;45.7559173&lt;/lat&gt;
    &lt;lng&gt;-73.9926523&lt;/lng&gt;
   &lt;/location&gt;
   &lt;location_type&gt;ROOFTOP&lt;/location_type&gt;
   &lt;viewport&gt;
    &lt;southwest&gt;
     &lt;lat&gt;45.7546449&lt;/lat&gt;
     &lt;lng&gt;-73.9941289&lt;/lng&gt;
    &lt;/southwest&gt;
    &lt;northeast&gt;
     &lt;lat&gt;45.7573429&lt;/lat&gt;
     &lt;lng&gt;-73.9914310&lt;/lng&gt;
    &lt;/northeast&gt;
   &lt;/viewport&gt;
   &lt;bounds&gt;
    &lt;southwest&gt;
     &lt;lat&gt;45.7554544&lt;/lat&gt;
     &lt;lng&gt;-73.9936142&lt;/lng&gt;
    &lt;/southwest&gt;
    &lt;northeast&gt;
     &lt;lat&gt;45.7565126&lt;/lat&gt;
     &lt;lng&gt;-73.9919457&lt;/lng&gt;
    &lt;/northeast&gt;
   &lt;/bounds&gt;
  &lt;/geometry&gt;
  &lt;place_id&gt;ChIJ71iavLTUyEwRG5v8a6sTlHs&lt;/place_id&gt;
 &lt;/result&gt;
&lt;/GeocodeResponse&gt;
</v>
      </c>
      <c r="AC23" s="13">
        <v>45.7559173</v>
      </c>
      <c r="AD23" s="13">
        <v>-73.992652300000003</v>
      </c>
      <c r="AE23" s="13" cm="1">
        <f t="array" ref="AE23">_xlfn.FILTERXML(AB23,"//location/lat")</f>
        <v>45.7559173</v>
      </c>
      <c r="AF23" s="13" cm="1">
        <f t="array" ref="AF23">_xlfn.FILTERXML(AB23,"//location/lng")</f>
        <v>-73.992652300000003</v>
      </c>
    </row>
    <row r="24" spans="1:32" s="13" customFormat="1" ht="22.8">
      <c r="A24" s="51" t="s">
        <v>42</v>
      </c>
      <c r="B24" s="52" t="s">
        <v>322</v>
      </c>
      <c r="C24" s="52" t="s">
        <v>324</v>
      </c>
      <c r="D24" s="53">
        <v>44781</v>
      </c>
      <c r="E24" s="53">
        <v>45289</v>
      </c>
      <c r="F24" s="52" t="s">
        <v>36</v>
      </c>
      <c r="G24" s="54">
        <v>1463</v>
      </c>
      <c r="H24" s="54">
        <v>168</v>
      </c>
      <c r="I24" s="111">
        <f>'Projets Jerome'!$G24*'Projets Jerome'!$O24*1.15</f>
        <v>294428.75</v>
      </c>
      <c r="J24" s="55" t="s">
        <v>326</v>
      </c>
      <c r="K24" s="52" t="s">
        <v>328</v>
      </c>
      <c r="L24" s="54">
        <v>29685228</v>
      </c>
      <c r="M24" s="53">
        <v>44781</v>
      </c>
      <c r="N24" s="52" t="s">
        <v>30</v>
      </c>
      <c r="O24" s="54">
        <v>175</v>
      </c>
      <c r="P24" s="54" t="s">
        <v>27</v>
      </c>
      <c r="Q24" s="56" t="s">
        <v>371</v>
      </c>
      <c r="R24" s="52">
        <v>45.592141699999999</v>
      </c>
      <c r="S24" s="52">
        <v>-73.698460400000002</v>
      </c>
      <c r="T24" s="57" t="s">
        <v>370</v>
      </c>
      <c r="U24" s="32" t="s">
        <v>369</v>
      </c>
      <c r="Z24" s="13" t="e">
        <f>_xlfn.XLOOKUP('Projets Jerome'!$J24,import!$J$2:$J$24,import!$C$2:$C$24)</f>
        <v>#N/A</v>
      </c>
      <c r="AA24" s="13" t="e">
        <f>_xlfn.XLOOKUP('Projets Jerome'!$J24,import!$J$2:$J$24,import!$B$2:$B$24)</f>
        <v>#N/A</v>
      </c>
      <c r="AB24" s="13" t="str">
        <f>_xlfn.WEBSERVICE("https://maps.googleapis.com/maps/api/geocode/xml?address="&amp;'Projets Jerome'!$T24&amp;"&amp;key=AIzaSyCHth-wrbaKBruFJQMWpdpeHAtAzdbcKh4")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&lt;formatted_address&gt;1610 Pl. de Lierre, Laval, QC H7G 4X7, Canada&lt;/formatted_address&gt;
  &lt;address_component&gt;
   &lt;long_name&gt;1610&lt;/long_name&gt;
   &lt;short_name&gt;1610&lt;/short_name&gt;
   &lt;type&gt;street_number&lt;/type&gt;
  &lt;/address_component&gt;
  &lt;address_component&gt;
   &lt;long_name&gt;Place de Lierre&lt;/long_name&gt;
   &lt;short_name&gt;Pl. de Lierre&lt;/short_name&gt;
   &lt;type&gt;route&lt;/type&gt;
  &lt;/address_component&gt;
  &lt;address_component&gt;
   &lt;long_name&gt;Vimont&lt;/long_name&gt;
   &lt;short_name&gt;Vimont&lt;/short_name&gt;
   &lt;type&gt;neighborhood&lt;/type&gt;
   &lt;type&gt;political&lt;/type&gt;
  &lt;/address_component&gt;
  &lt;address_component&gt;
   &lt;long_name&gt;Laval&lt;/long_name&gt;
   &lt;short_name&gt;Laval&lt;/short_name&gt;
   &lt;type&gt;locality&lt;/type&gt;
   &lt;type&gt;political&lt;/type&gt;
  &lt;/address_component&gt;
  &lt;address_component&gt;
   &lt;long_name&gt;Laval&lt;/long_name&gt;
   &lt;short_name&gt;Laval&lt;/short_name&gt;
   &lt;type&gt;administrative_area_level_3&lt;/type&gt;
   &lt;type&gt;political&lt;/type&gt;
  &lt;/address_component&gt;
  &lt;address_component&gt;
   &lt;long_name&gt;Laval&lt;/long_name&gt;
   &lt;short_name&gt;Laval&lt;/short_name&gt;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&lt;long_name&gt;H7G 4X7&lt;/long_name&gt;
   &lt;short_name&gt;H7G 4X7&lt;/short_name&gt;
   &lt;type&gt;postal_code&lt;/type&gt;
  &lt;/address_component&gt;
  &lt;geometry&gt;
   &lt;location&gt;
    &lt;lat&gt;45.5921417&lt;/lat&gt;
    &lt;lng&gt;-73.6984604&lt;/lng&gt;
   &lt;/location&gt;
   &lt;location_type&gt;ROOFTOP&lt;/location_type&gt;
   &lt;viewport&gt;
    &lt;southwest&gt;
     &lt;lat&gt;45.5910904&lt;/lat&gt;
     &lt;lng&gt;-73.7000466&lt;/lng&gt;
    &lt;/southwest&gt;
    &lt;northeast&gt;
     &lt;lat&gt;45.5937883&lt;/lat&gt;
     &lt;lng&gt;-73.6973487&lt;/lng&gt;
    &lt;/northeast&gt;
   &lt;/viewport&gt;
  &lt;/geometry&gt;
  &lt;place_id&gt;ChIJHSG4xJchyUwRGLr86rkJv_Q&lt;/place_id&gt;
  &lt;plus_code&gt;
   &lt;global_code&gt;87Q8H8R2+VJ&lt;/global_code&gt;
   &lt;compound_code&gt;H8R2+VJ Laval, QC, Canada&lt;/compound_code&gt;
  &lt;/plus_code&gt;
 &lt;/result&gt;
&lt;/GeocodeResponse&gt;
</v>
      </c>
      <c r="AC24" s="13">
        <v>45.592141699999999</v>
      </c>
      <c r="AD24" s="13">
        <v>-73.698460400000002</v>
      </c>
      <c r="AE24" s="13" cm="1">
        <f t="array" ref="AE24">_xlfn.FILTERXML(AB24,"//location/lat")</f>
        <v>45.592141699999999</v>
      </c>
      <c r="AF24" s="13" cm="1">
        <f t="array" ref="AF24">_xlfn.FILTERXML(AB24,"//location/lng")</f>
        <v>-73.698460400000002</v>
      </c>
    </row>
    <row r="25" spans="1:32" s="13" customFormat="1" ht="22.8">
      <c r="A25" s="58" t="s">
        <v>42</v>
      </c>
      <c r="B25" s="59" t="s">
        <v>329</v>
      </c>
      <c r="C25" s="59" t="s">
        <v>330</v>
      </c>
      <c r="D25" s="60">
        <v>44113</v>
      </c>
      <c r="E25" s="60">
        <v>45289</v>
      </c>
      <c r="F25" s="59" t="s">
        <v>36</v>
      </c>
      <c r="G25" s="61">
        <v>145</v>
      </c>
      <c r="H25" s="61">
        <v>86.5</v>
      </c>
      <c r="I25" s="84">
        <f>'Projets Jerome'!$G25*'Projets Jerome'!$O25*1.15</f>
        <v>28347.499999999996</v>
      </c>
      <c r="J25" s="62" t="s">
        <v>331</v>
      </c>
      <c r="K25" s="59" t="s">
        <v>332</v>
      </c>
      <c r="L25" s="61">
        <v>29684480</v>
      </c>
      <c r="M25" s="60">
        <v>44113</v>
      </c>
      <c r="N25" s="59" t="s">
        <v>30</v>
      </c>
      <c r="O25" s="61">
        <v>170</v>
      </c>
      <c r="P25" s="61" t="s">
        <v>27</v>
      </c>
      <c r="Q25" s="63" t="s">
        <v>361</v>
      </c>
      <c r="R25" s="59">
        <v>43.406425900000002</v>
      </c>
      <c r="S25" s="59">
        <v>-80.289642200000003</v>
      </c>
      <c r="T25" s="64" t="s">
        <v>360</v>
      </c>
      <c r="U25" s="40" t="s">
        <v>362</v>
      </c>
      <c r="Z25" s="13" t="e">
        <f>_xlfn.XLOOKUP('Projets Jerome'!$J25,import!$J$2:$J$24,import!$C$2:$C$24)</f>
        <v>#N/A</v>
      </c>
      <c r="AA25" s="13" t="e">
        <f>_xlfn.XLOOKUP('Projets Jerome'!$J25,import!$J$2:$J$24,import!$B$2:$B$24)</f>
        <v>#N/A</v>
      </c>
      <c r="AB25" s="13" t="str">
        <f>_xlfn.WEBSERVICE("https://maps.googleapis.com/maps/api/geocode/xml?address="&amp;'Projets Jerome'!$T25&amp;"&amp;key=AIzaSyCHth-wrbaKBruFJQMWpdpeHAtAzdbcKh4")</f>
        <v xml:space="preserve">&lt;?xml version="1.0" encoding="UTF-8"?&gt;
&lt;GeocodeResponse&gt;
 &lt;status&gt;OK&lt;/status&gt;
 &lt;result&gt;
  &lt;type&gt;premise&lt;/type&gt;
  &lt;formatted_address&gt;55 Thompson Dr, Cambridge, ON N1T 2E4, Canada&lt;/formatted_address&gt;
  &lt;address_component&gt;
   &lt;long_name&gt;55&lt;/long_name&gt;
   &lt;short_name&gt;55&lt;/short_name&gt;
   &lt;type&gt;street_number&lt;/type&gt;
  &lt;/address_component&gt;
  &lt;address_component&gt;
   &lt;long_name&gt;Thompson Drive&lt;/long_name&gt;
   &lt;short_name&gt;Thompson Dr&lt;/short_name&gt;
   &lt;type&gt;route&lt;/type&gt;
  &lt;/address_component&gt;
  &lt;address_component&gt;
   &lt;long_name&gt;Fiddlesticks&lt;/long_name&gt;
   &lt;short_name&gt;Fiddlesticks&lt;/short_name&gt;
   &lt;type&gt;neighborhood&lt;/type&gt;
   &lt;type&gt;political&lt;/type&gt;
  &lt;/address_component&gt;
  &lt;address_component&gt;
   &lt;long_name&gt;Cambridge&lt;/long_name&gt;
   &lt;short_name&gt;Cambridge&lt;/short_name&gt;
   &lt;type&gt;locality&lt;/type&gt;
   &lt;type&gt;political&lt;/type&gt;
  &lt;/address_component&gt;
  &lt;address_component&gt;
   &lt;long_name&gt;City of Cambridge&lt;/long_name&gt;
   &lt;short_name&gt;City of Cambridge&lt;/short_name&gt;
   &lt;type&gt;administrative_area_level_3&lt;/type&gt;
   &lt;type&gt;political&lt;/type&gt;
  &lt;/address_component&gt;
  &lt;address_component&gt;
   &lt;long_name&gt;Waterloo Regional Municipality&lt;/long_name&gt;
   &lt;short_name&gt;Waterloo Regional Municipality&lt;/short_name&gt;
   &lt;type&gt;administrative_area_level_2&lt;/type&gt;
   &lt;type&gt;political&lt;/type&gt;
  &lt;/address_component&gt;
  &lt;address_component&gt;
   &lt;long_name&gt;Ontario&lt;/long_name&gt;
   &lt;short_name&gt;ON&lt;/short_name&gt;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&lt;long_name&gt;N1T 2E4&lt;/long_name&gt;
   &lt;short_name&gt;N1T 2E4&lt;/short_name&gt;
   &lt;type&gt;postal_code&lt;/type&gt;
  &lt;/address_component&gt;
  &lt;geometry&gt;
   &lt;location&gt;
    &lt;lat&gt;43.4064259&lt;/lat&gt;
    &lt;lng&gt;-80.2896422&lt;/lng&gt;
   &lt;/location&gt;
   &lt;location_type&gt;ROOFTOP&lt;/location_type&gt;
   &lt;viewport&gt;
    &lt;southwest&gt;
     &lt;lat&gt;43.4052493&lt;/lat&gt;
     &lt;lng&gt;-80.2912283&lt;/lng&gt;
    &lt;/southwest&gt;
    &lt;northeast&gt;
     &lt;lat&gt;43.4079473&lt;/lat&gt;
     &lt;lng&gt;-80.2885304&lt;/lng&gt;
    &lt;/northeast&gt;
   &lt;/viewport&gt;
   &lt;bounds&gt;
    &lt;southwest&gt;
     &lt;lat&gt;43.4063527&lt;/lat&gt;
     &lt;lng&gt;-80.2899976&lt;/lng&gt;
    &lt;/southwest&gt;
    &lt;northeast&gt;
     &lt;lat&gt;43.4065399&lt;/lat&gt;
     &lt;lng&gt;-80.2893943&lt;/lng&gt;
    &lt;/northeast&gt;
   &lt;/bounds&gt;
  &lt;/geometry&gt;
  &lt;place_id&gt;ChIJz6CCiW-IK4gRYEFOHs6Wzcw&lt;/place_id&gt;
 &lt;/result&gt;
&lt;/GeocodeResponse&gt;
</v>
      </c>
      <c r="AC25" s="13">
        <v>43.406425900000002</v>
      </c>
      <c r="AD25" s="13">
        <v>-80.289642200000003</v>
      </c>
      <c r="AE25" s="13" cm="1">
        <f t="array" ref="AE25">_xlfn.FILTERXML(AB25,"//location/lat")</f>
        <v>43.406425900000002</v>
      </c>
      <c r="AF25" s="13" cm="1">
        <f t="array" ref="AF25">_xlfn.FILTERXML(AB25,"//location/lng")</f>
        <v>-80.289642200000003</v>
      </c>
    </row>
    <row r="26" spans="1:32" s="13" customFormat="1" ht="22.8">
      <c r="A26" s="51" t="s">
        <v>333</v>
      </c>
      <c r="B26" s="52" t="s">
        <v>78</v>
      </c>
      <c r="C26" s="52" t="s">
        <v>334</v>
      </c>
      <c r="D26" s="53">
        <v>44893</v>
      </c>
      <c r="E26" s="53">
        <v>45077</v>
      </c>
      <c r="F26" s="52" t="s">
        <v>26</v>
      </c>
      <c r="G26" s="54">
        <v>85</v>
      </c>
      <c r="H26" s="54">
        <v>5.25</v>
      </c>
      <c r="I26" s="81">
        <f>'Projets Jerome'!$G26*'Projets Jerome'!$O26*1.15</f>
        <v>19061.25</v>
      </c>
      <c r="J26" s="55" t="s">
        <v>335</v>
      </c>
      <c r="K26" s="52" t="s">
        <v>336</v>
      </c>
      <c r="L26" s="54">
        <v>29685033</v>
      </c>
      <c r="M26" s="53">
        <v>44893</v>
      </c>
      <c r="N26" s="52" t="s">
        <v>30</v>
      </c>
      <c r="O26" s="54">
        <v>195</v>
      </c>
      <c r="P26" s="54" t="s">
        <v>27</v>
      </c>
      <c r="Q26" s="56" t="s">
        <v>367</v>
      </c>
      <c r="R26" s="52">
        <v>45.5349559</v>
      </c>
      <c r="S26" s="52">
        <v>-73.641190300000005</v>
      </c>
      <c r="T26" s="57" t="s">
        <v>366</v>
      </c>
      <c r="U26" s="32" t="s">
        <v>368</v>
      </c>
      <c r="Z26" s="13" t="e">
        <f>_xlfn.XLOOKUP('Projets Jerome'!$J26,import!$J$2:$J$24,import!$C$2:$C$24)</f>
        <v>#N/A</v>
      </c>
      <c r="AA26" s="13" t="e">
        <f>_xlfn.XLOOKUP('Projets Jerome'!$J26,import!$J$2:$J$24,import!$B$2:$B$24)</f>
        <v>#N/A</v>
      </c>
      <c r="AB26" s="13" t="str">
        <f>_xlfn.WEBSERVICE("https://maps.googleapis.com/maps/api/geocode/xml?address="&amp;'Projets Jerome'!$T26&amp;"&amp;key=AIzaSyCHth-wrbaKBruFJQMWpdpeHAtAzdbcKh4")</f>
        <v xml:space="preserve">&lt;?xml version="1.0" encoding="UTF-8"?&gt;
&lt;GeocodeResponse&gt;
 &lt;status&gt;OK&lt;/status&gt;
 &lt;result&gt;
  &lt;type&gt;premise&lt;/type&gt;
  &lt;formatted_address&gt;375 Rue de Liège O, Montréal, QC H2P 1H6, Canada&lt;/formatted_address&gt;
  &lt;address_component&gt;
   &lt;long_name&gt;375&lt;/long_name&gt;
   &lt;short_name&gt;375&lt;/short_name&gt;
   &lt;type&gt;street_number&lt;/type&gt;
  &lt;/address_component&gt;
  &lt;address_component&gt;
   &lt;long_name&gt;Rue de Liège Ouest&lt;/long_name&gt;
   &lt;short_name&gt;Rue de Liège O&lt;/short_name&gt;
   &lt;type&gt;route&lt;/type&gt;
  &lt;/address_component&gt;
  &lt;address_component&gt;
   &lt;long_name&gt;Villeray—Saint-Michel—Parc-Extension&lt;/long_name&gt;
   &lt;short_name&gt;Villeray—Saint-Michel—Parc-Extension&lt;/short_name&gt;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&lt;long_name&gt;H2P 1H6&lt;/long_name&gt;
   &lt;short_name&gt;H2P 1H6&lt;/short_name&gt;
   &lt;type&gt;postal_code&lt;/type&gt;
  &lt;/address_component&gt;
  &lt;geometry&gt;
   &lt;location&gt;
    &lt;lat&gt;45.5349559&lt;/lat&gt;
    &lt;lng&gt;-73.6411903&lt;/lng&gt;
   &lt;/location&gt;
   &lt;location_type&gt;ROOFTOP&lt;/location_type&gt;
   &lt;viewport&gt;
    &lt;southwest&gt;
     &lt;lat&gt;45.5336587&lt;/lat&gt;
     &lt;lng&gt;-73.6424449&lt;/lng&gt;
    &lt;/southwest&gt;
    &lt;northeast&gt;
     &lt;lat&gt;45.5363566&lt;/lat&gt;
     &lt;lng&gt;-73.6397470&lt;/lng&gt;
    &lt;/northeast&gt;
   &lt;/viewport&gt;
   &lt;bounds&gt;
    &lt;southwest&gt;
     &lt;lat&gt;45.5348153&lt;/lat&gt;
     &lt;lng&gt;-73.6414249&lt;/lng&gt;
    &lt;/southwest&gt;
    &lt;northeast&gt;
     &lt;lat&gt;45.5352000&lt;/lat&gt;
     &lt;lng&gt;-73.6409061&lt;/lng&gt;
    &lt;/northeast&gt;
   &lt;/bounds&gt;
  &lt;/geometry&gt;
  &lt;place_id&gt;ChIJHWXoXP0YyUwRELM4c9k4wrI&lt;/place_id&gt;
 &lt;/result&gt;
&lt;/GeocodeResponse&gt;
</v>
      </c>
      <c r="AC26" s="13">
        <v>45.5349559</v>
      </c>
      <c r="AD26" s="13">
        <v>-73.641190300000005</v>
      </c>
      <c r="AE26" s="13" cm="1">
        <f t="array" ref="AE26">_xlfn.FILTERXML(AB26,"//location/lat")</f>
        <v>45.5349559</v>
      </c>
      <c r="AF26" s="13" cm="1">
        <f t="array" ref="AF26">_xlfn.FILTERXML(AB26,"//location/lng")</f>
        <v>-73.641190300000005</v>
      </c>
    </row>
    <row r="27" spans="1:32" s="13" customFormat="1" ht="22.8">
      <c r="A27" s="58" t="s">
        <v>203</v>
      </c>
      <c r="B27" s="59" t="s">
        <v>337</v>
      </c>
      <c r="C27" s="59" t="s">
        <v>338</v>
      </c>
      <c r="D27" s="60">
        <v>44350</v>
      </c>
      <c r="E27" s="60">
        <v>44925</v>
      </c>
      <c r="F27" s="59" t="s">
        <v>226</v>
      </c>
      <c r="G27" s="61">
        <v>340</v>
      </c>
      <c r="H27" s="61">
        <v>495.5</v>
      </c>
      <c r="I27" s="84">
        <f>'Projets Jerome'!$G27*'Projets Jerome'!$O27*1.15</f>
        <v>60604.999999999993</v>
      </c>
      <c r="J27" s="62" t="s">
        <v>339</v>
      </c>
      <c r="K27" s="59" t="s">
        <v>340</v>
      </c>
      <c r="L27" s="61">
        <v>29684797</v>
      </c>
      <c r="M27" s="60">
        <v>44350</v>
      </c>
      <c r="N27" s="59" t="s">
        <v>271</v>
      </c>
      <c r="O27" s="61">
        <v>155</v>
      </c>
      <c r="P27" s="61" t="s">
        <v>27</v>
      </c>
      <c r="Q27" s="63" t="s">
        <v>356</v>
      </c>
      <c r="R27" s="59">
        <v>45.623523900000002</v>
      </c>
      <c r="S27" s="59">
        <v>-73.5627779</v>
      </c>
      <c r="T27" s="64" t="s">
        <v>354</v>
      </c>
      <c r="U27" s="40" t="s">
        <v>355</v>
      </c>
      <c r="Z27" s="13" t="e">
        <f>_xlfn.XLOOKUP('Projets Jerome'!$J27,import!$J$2:$J$24,import!$C$2:$C$24)</f>
        <v>#N/A</v>
      </c>
      <c r="AA27" s="13" t="e">
        <f>_xlfn.XLOOKUP('Projets Jerome'!$J27,import!$J$2:$J$24,import!$B$2:$B$24)</f>
        <v>#N/A</v>
      </c>
      <c r="AB27" s="13" t="str">
        <f>_xlfn.WEBSERVICE("https://maps.googleapis.com/maps/api/geocode/xml?address="&amp;'Projets Jerome'!$T27&amp;"&amp;key=AIzaSyCHth-wrbaKBruFJQMWpdpeHAtAzdbcKh4")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&lt;formatted_address&gt;9452 Bd du Golf, Anjou, QC H1J 3A1, Canada&lt;/formatted_address&gt;
  &lt;address_component&gt;
   &lt;long_name&gt;9452&lt;/long_name&gt;
   &lt;short_name&gt;9452&lt;/short_name&gt;
   &lt;type&gt;street_number&lt;/type&gt;
  &lt;/address_component&gt;
  &lt;address_component&gt;
   &lt;long_name&gt;Boulevard du Golf&lt;/long_name&gt;
   &lt;short_name&gt;Bd du Golf&lt;/short_name&gt;
   &lt;type&gt;route&lt;/type&gt;
  &lt;/address_component&gt;
  &lt;address_component&gt;
   &lt;long_name&gt;Anjou&lt;/long_name&gt;
   &lt;short_name&gt;Anjou&lt;/short_name&gt;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&lt;long_name&gt;H1J 3A1&lt;/long_name&gt;
   &lt;short_name&gt;H1J 3A1&lt;/short_name&gt;
   &lt;type&gt;postal_code&lt;/type&gt;
  &lt;/address_component&gt;
  &lt;geometry&gt;
   &lt;location&gt;
    &lt;lat&gt;45.6235239&lt;/lat&gt;
    &lt;lng&gt;-73.5627779&lt;/lng&gt;
   &lt;/location&gt;
   &lt;location_type&gt;ROOFTOP&lt;/location_type&gt;
   &lt;viewport&gt;
    &lt;southwest&gt;
     &lt;lat&gt;45.6222338&lt;/lat&gt;
     &lt;lng&gt;-73.5640754&lt;/lng&gt;
    &lt;/southwest&gt;
    &lt;northeast&gt;
     &lt;lat&gt;45.6249317&lt;/lat&gt;
     &lt;lng&gt;-73.5613775&lt;/lng&gt;
    &lt;/northeast&gt;
   &lt;/viewport&gt;
  &lt;/geometry&gt;
  &lt;place_id&gt;ChIJ3XvIiyIeyUwRAVB3d9x-OZs&lt;/place_id&gt;
  &lt;plus_code&gt;
   &lt;global_code&gt;87Q8JCFP+CV&lt;/global_code&gt;
   &lt;compound_code&gt;JCFP+CV Anjou, Montreal, QC, Canada&lt;/compound_code&gt;
  &lt;/plus_code&gt;
 &lt;/result&gt;
&lt;/GeocodeResponse&gt;
</v>
      </c>
      <c r="AC27" s="13">
        <v>45.623523900000002</v>
      </c>
      <c r="AD27" s="13">
        <v>-73.5627779</v>
      </c>
      <c r="AE27" s="13" cm="1">
        <f t="array" ref="AE27">_xlfn.FILTERXML(AB27,"//location/lat")</f>
        <v>45.623523900000002</v>
      </c>
      <c r="AF27" s="13" cm="1">
        <f t="array" ref="AF27">_xlfn.FILTERXML(AB27,"//location/lng")</f>
        <v>-73.5627779</v>
      </c>
    </row>
    <row r="28" spans="1:32" s="13" customFormat="1" ht="22.8">
      <c r="A28" s="51" t="s">
        <v>42</v>
      </c>
      <c r="B28" s="52" t="s">
        <v>345</v>
      </c>
      <c r="C28" s="52" t="s">
        <v>346</v>
      </c>
      <c r="D28" s="53">
        <v>44542</v>
      </c>
      <c r="E28" s="53">
        <v>45044</v>
      </c>
      <c r="F28" s="52" t="s">
        <v>36</v>
      </c>
      <c r="G28" s="54">
        <v>147</v>
      </c>
      <c r="H28" s="54">
        <v>170</v>
      </c>
      <c r="I28" s="81">
        <f>'Projets Jerome'!$G28*'Projets Jerome'!$O28*1.15</f>
        <v>27893.249999999996</v>
      </c>
      <c r="J28" s="55" t="s">
        <v>347</v>
      </c>
      <c r="K28" s="52" t="s">
        <v>345</v>
      </c>
      <c r="L28" s="54">
        <v>29684873</v>
      </c>
      <c r="M28" s="53">
        <v>44547</v>
      </c>
      <c r="N28" s="52" t="s">
        <v>30</v>
      </c>
      <c r="O28" s="54">
        <v>165</v>
      </c>
      <c r="P28" s="54" t="s">
        <v>27</v>
      </c>
      <c r="Q28" s="56" t="s">
        <v>353</v>
      </c>
      <c r="R28" s="52">
        <v>45.6243664</v>
      </c>
      <c r="S28" s="52">
        <v>-73.567282199999994</v>
      </c>
      <c r="T28" s="57" t="s">
        <v>352</v>
      </c>
      <c r="U28" s="32" t="s">
        <v>351</v>
      </c>
      <c r="Z28" s="13" t="e">
        <f>_xlfn.XLOOKUP('Projets Jerome'!$J28,import!$J$2:$J$24,import!$C$2:$C$24)</f>
        <v>#N/A</v>
      </c>
      <c r="AA28" s="13" t="e">
        <f>_xlfn.XLOOKUP('Projets Jerome'!$J28,import!$J$2:$J$24,import!$B$2:$B$24)</f>
        <v>#N/A</v>
      </c>
      <c r="AB28" s="13" t="str">
        <f>_xlfn.WEBSERVICE("https://maps.googleapis.com/maps/api/geocode/xml?address="&amp;'Projets Jerome'!$T28&amp;"&amp;key=AIzaSyCHth-wrbaKBruFJQMWpdpeHAtAzdbcKh4")</f>
        <v xml:space="preserve">&lt;?xml version="1.0" encoding="UTF-8"?&gt;
&lt;GeocodeResponse&gt;
 &lt;status&gt;OK&lt;/status&gt;
 &lt;result&gt;
  &lt;type&gt;premise&lt;/type&gt;
  &lt;formatted_address&gt;9900 Bd du Golf, Anjou, QC H1J 2Y7, Canada&lt;/formatted_address&gt;
  &lt;address_component&gt;
   &lt;long_name&gt;9900&lt;/long_name&gt;
   &lt;short_name&gt;9900&lt;/short_name&gt;
   &lt;type&gt;street_number&lt;/type&gt;
  &lt;/address_component&gt;
  &lt;address_component&gt;
   &lt;long_name&gt;Boulevard du Golf&lt;/long_name&gt;
   &lt;short_name&gt;Bd du Golf&lt;/short_name&gt;
   &lt;type&gt;route&lt;/type&gt;
  &lt;/address_component&gt;
  &lt;address_component&gt;
   &lt;long_name&gt;Anjou&lt;/long_name&gt;
   &lt;short_name&gt;Anjou&lt;/short_name&gt;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&lt;long_name&gt;H1J 2Y7&lt;/long_name&gt;
   &lt;short_name&gt;H1J 2Y7&lt;/short_name&gt;
   &lt;type&gt;postal_code&lt;/type&gt;
  &lt;/address_component&gt;
  &lt;geometry&gt;
   &lt;location&gt;
    &lt;lat&gt;45.6243664&lt;/lat&gt;
    &lt;lng&gt;-73.5672822&lt;/lng&gt;
   &lt;/location&gt;
   &lt;location_type&gt;ROOFTOP&lt;/location_type&gt;
   &lt;viewport&gt;
    &lt;southwest&gt;
     &lt;lat&gt;45.6230144&lt;/lat&gt;
     &lt;lng&gt;-73.5685582&lt;/lng&gt;
    &lt;/southwest&gt;
    &lt;northeast&gt;
     &lt;lat&gt;45.6257124&lt;/lat&gt;
     &lt;lng&gt;-73.5658602&lt;/lng&gt;
    &lt;/northeast&gt;
   &lt;/viewport&gt;
   &lt;bounds&gt;
    &lt;southwest&gt;
     &lt;lat&gt;45.6241375&lt;/lat&gt;
     &lt;lng&gt;-73.5675305&lt;/lng&gt;
    &lt;/southwest&gt;
    &lt;northeast&gt;
     &lt;lat&gt;45.6245175&lt;/lat&gt;
     &lt;lng&gt;-73.5668879&lt;/lng&gt;
    &lt;/northeast&gt;
   &lt;/bounds&gt;
  &lt;/geometry&gt;
  &lt;place_id&gt;ChIJzWTmeCMeyUwR8ax6g5nVZwk&lt;/place_id&gt;
 &lt;/result&gt;
&lt;/GeocodeResponse&gt;
</v>
      </c>
      <c r="AC28" s="13">
        <v>45.6243664</v>
      </c>
      <c r="AD28" s="13">
        <v>-73.567282199999994</v>
      </c>
      <c r="AE28" s="13" cm="1">
        <f t="array" ref="AE28">_xlfn.FILTERXML(AB28,"//location/lat")</f>
        <v>45.6243664</v>
      </c>
      <c r="AF28" s="13" cm="1">
        <f t="array" ref="AF28">_xlfn.FILTERXML(AB28,"//location/lng")</f>
        <v>-73.567282199999994</v>
      </c>
    </row>
    <row r="29" spans="1:32" s="13" customFormat="1" ht="22.8">
      <c r="A29" s="58" t="s">
        <v>42</v>
      </c>
      <c r="B29" s="59" t="s">
        <v>348</v>
      </c>
      <c r="C29" s="59" t="s">
        <v>346</v>
      </c>
      <c r="D29" s="60">
        <v>44790</v>
      </c>
      <c r="E29" s="60">
        <v>45289</v>
      </c>
      <c r="F29" s="59" t="s">
        <v>36</v>
      </c>
      <c r="G29" s="61">
        <v>238</v>
      </c>
      <c r="H29" s="61">
        <v>233</v>
      </c>
      <c r="I29" s="84">
        <f>'Projets Jerome'!$G29*'Projets Jerome'!$O29*1.15</f>
        <v>45160.5</v>
      </c>
      <c r="J29" s="62" t="s">
        <v>349</v>
      </c>
      <c r="K29" s="59" t="s">
        <v>348</v>
      </c>
      <c r="L29" s="61">
        <v>29685229</v>
      </c>
      <c r="M29" s="60">
        <v>44790</v>
      </c>
      <c r="N29" s="59" t="s">
        <v>30</v>
      </c>
      <c r="O29" s="61">
        <v>165</v>
      </c>
      <c r="P29" s="61" t="s">
        <v>27</v>
      </c>
      <c r="Q29" s="63" t="s">
        <v>353</v>
      </c>
      <c r="R29" s="59">
        <v>45.6243664</v>
      </c>
      <c r="S29" s="59">
        <v>-73.567282199999994</v>
      </c>
      <c r="T29" s="64" t="s">
        <v>352</v>
      </c>
      <c r="U29" s="40" t="s">
        <v>350</v>
      </c>
      <c r="Z29" s="13" t="e">
        <f>_xlfn.XLOOKUP('Projets Jerome'!$J29,import!$J$2:$J$24,import!$C$2:$C$24)</f>
        <v>#N/A</v>
      </c>
      <c r="AA29" s="13" t="e">
        <f>_xlfn.XLOOKUP('Projets Jerome'!$J29,import!$J$2:$J$24,import!$B$2:$B$24)</f>
        <v>#N/A</v>
      </c>
      <c r="AB29" s="13" t="str">
        <f>_xlfn.WEBSERVICE("https://maps.googleapis.com/maps/api/geocode/xml?address="&amp;'Projets Jerome'!$T29&amp;"&amp;key=AIzaSyCHth-wrbaKBruFJQMWpdpeHAtAzdbcKh4")</f>
        <v xml:space="preserve">&lt;?xml version="1.0" encoding="UTF-8"?&gt;
&lt;GeocodeResponse&gt;
 &lt;status&gt;OK&lt;/status&gt;
 &lt;result&gt;
  &lt;type&gt;premise&lt;/type&gt;
  &lt;formatted_address&gt;9900 Bd du Golf, Anjou, QC H1J 2Y7, Canada&lt;/formatted_address&gt;
  &lt;address_component&gt;
   &lt;long_name&gt;9900&lt;/long_name&gt;
   &lt;short_name&gt;9900&lt;/short_name&gt;
   &lt;type&gt;street_number&lt;/type&gt;
  &lt;/address_component&gt;
  &lt;address_component&gt;
   &lt;long_name&gt;Boulevard du Golf&lt;/long_name&gt;
   &lt;short_name&gt;Bd du Golf&lt;/short_name&gt;
   &lt;type&gt;route&lt;/type&gt;
  &lt;/address_component&gt;
  &lt;address_component&gt;
   &lt;long_name&gt;Anjou&lt;/long_name&gt;
   &lt;short_name&gt;Anjou&lt;/short_name&gt;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&lt;long_name&gt;H1J 2Y7&lt;/long_name&gt;
   &lt;short_name&gt;H1J 2Y7&lt;/short_name&gt;
   &lt;type&gt;postal_code&lt;/type&gt;
  &lt;/address_component&gt;
  &lt;geometry&gt;
   &lt;location&gt;
    &lt;lat&gt;45.6243664&lt;/lat&gt;
    &lt;lng&gt;-73.5672822&lt;/lng&gt;
   &lt;/location&gt;
   &lt;location_type&gt;ROOFTOP&lt;/location_type&gt;
   &lt;viewport&gt;
    &lt;southwest&gt;
     &lt;lat&gt;45.6230144&lt;/lat&gt;
     &lt;lng&gt;-73.5685582&lt;/lng&gt;
    &lt;/southwest&gt;
    &lt;northeast&gt;
     &lt;lat&gt;45.6257124&lt;/lat&gt;
     &lt;lng&gt;-73.5658602&lt;/lng&gt;
    &lt;/northeast&gt;
   &lt;/viewport&gt;
   &lt;bounds&gt;
    &lt;southwest&gt;
     &lt;lat&gt;45.6241375&lt;/lat&gt;
     &lt;lng&gt;-73.5675305&lt;/lng&gt;
    &lt;/southwest&gt;
    &lt;northeast&gt;
     &lt;lat&gt;45.6245175&lt;/lat&gt;
     &lt;lng&gt;-73.5668879&lt;/lng&gt;
    &lt;/northeast&gt;
   &lt;/bounds&gt;
  &lt;/geometry&gt;
  &lt;place_id&gt;ChIJzWTmeCMeyUwR8ax6g5nVZwk&lt;/place_id&gt;
 &lt;/result&gt;
&lt;/GeocodeResponse&gt;
</v>
      </c>
      <c r="AC29" s="13">
        <v>45.6243664</v>
      </c>
      <c r="AD29" s="13">
        <v>-73.567282199999994</v>
      </c>
      <c r="AE29" s="13" cm="1">
        <f t="array" ref="AE29">_xlfn.FILTERXML(AB29,"//location/lat")</f>
        <v>45.6243664</v>
      </c>
      <c r="AF29" s="13" cm="1">
        <f t="array" ref="AF29">_xlfn.FILTERXML(AB29,"//location/lng")</f>
        <v>-73.567282199999994</v>
      </c>
    </row>
    <row r="30" spans="1:32" s="13" customFormat="1" ht="22.8">
      <c r="A30" s="51" t="s">
        <v>42</v>
      </c>
      <c r="B30" s="52" t="s">
        <v>479</v>
      </c>
      <c r="C30" s="52" t="s">
        <v>324</v>
      </c>
      <c r="D30" s="53">
        <v>44878</v>
      </c>
      <c r="E30" s="53">
        <v>44926</v>
      </c>
      <c r="F30" s="52" t="s">
        <v>26</v>
      </c>
      <c r="G30" s="54">
        <v>23</v>
      </c>
      <c r="H30" s="54">
        <v>58</v>
      </c>
      <c r="I30" s="81">
        <f>'Projets Jerome'!$G30*'Projets Jerome'!$O30*1.15</f>
        <v>3570.7499999999995</v>
      </c>
      <c r="J30" s="55" t="s">
        <v>478</v>
      </c>
      <c r="K30" s="52" t="s">
        <v>479</v>
      </c>
      <c r="L30" s="54">
        <v>29685263</v>
      </c>
      <c r="M30" s="53">
        <v>44874</v>
      </c>
      <c r="N30" s="52" t="s">
        <v>30</v>
      </c>
      <c r="O30" s="54">
        <v>135</v>
      </c>
      <c r="P30" s="54" t="s">
        <v>27</v>
      </c>
      <c r="Q30" s="56" t="s">
        <v>371</v>
      </c>
      <c r="R30" s="26">
        <v>45.592141699999999</v>
      </c>
      <c r="S30" s="26">
        <v>-73.698460400000002</v>
      </c>
      <c r="T30" s="57" t="s">
        <v>370</v>
      </c>
      <c r="U30" s="42" t="s">
        <v>369</v>
      </c>
      <c r="Z30" s="13" t="e">
        <f>_xlfn.XLOOKUP('Projets Jerome'!$J30,import!$J$2:$J$24,import!$C$2:$C$24)</f>
        <v>#N/A</v>
      </c>
      <c r="AA30" s="13" t="e">
        <f>_xlfn.XLOOKUP('Projets Jerome'!$J30,import!$J$2:$J$24,import!$B$2:$B$24)</f>
        <v>#N/A</v>
      </c>
      <c r="AB30" s="13" t="str">
        <f>_xlfn.WEBSERVICE("https://maps.googleapis.com/maps/api/geocode/xml?address="&amp;'Projets Jerome'!$T30&amp;"&amp;key=AIzaSyCHth-wrbaKBruFJQMWpdpeHAtAzdbcKh4")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&lt;formatted_address&gt;1610 Pl. de Lierre, Laval, QC H7G 4X7, Canada&lt;/formatted_address&gt;
  &lt;address_component&gt;
   &lt;long_name&gt;1610&lt;/long_name&gt;
   &lt;short_name&gt;1610&lt;/short_name&gt;
   &lt;type&gt;street_number&lt;/type&gt;
  &lt;/address_component&gt;
  &lt;address_component&gt;
   &lt;long_name&gt;Place de Lierre&lt;/long_name&gt;
   &lt;short_name&gt;Pl. de Lierre&lt;/short_name&gt;
   &lt;type&gt;route&lt;/type&gt;
  &lt;/address_component&gt;
  &lt;address_component&gt;
   &lt;long_name&gt;Vimont&lt;/long_name&gt;
   &lt;short_name&gt;Vimont&lt;/short_name&gt;
   &lt;type&gt;neighborhood&lt;/type&gt;
   &lt;type&gt;political&lt;/type&gt;
  &lt;/address_component&gt;
  &lt;address_component&gt;
   &lt;long_name&gt;Laval&lt;/long_name&gt;
   &lt;short_name&gt;Laval&lt;/short_name&gt;
   &lt;type&gt;locality&lt;/type&gt;
   &lt;type&gt;political&lt;/type&gt;
  &lt;/address_component&gt;
  &lt;address_component&gt;
   &lt;long_name&gt;Laval&lt;/long_name&gt;
   &lt;short_name&gt;Laval&lt;/short_name&gt;
   &lt;type&gt;administrative_area_level_3&lt;/type&gt;
   &lt;type&gt;political&lt;/type&gt;
  &lt;/address_component&gt;
  &lt;address_component&gt;
   &lt;long_name&gt;Laval&lt;/long_name&gt;
   &lt;short_name&gt;Laval&lt;/short_name&gt;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&lt;long_name&gt;H7G 4X7&lt;/long_name&gt;
   &lt;short_name&gt;H7G 4X7&lt;/short_name&gt;
   &lt;type&gt;postal_code&lt;/type&gt;
  &lt;/address_component&gt;
  &lt;geometry&gt;
   &lt;location&gt;
    &lt;lat&gt;45.5921417&lt;/lat&gt;
    &lt;lng&gt;-73.6984604&lt;/lng&gt;
   &lt;/location&gt;
   &lt;location_type&gt;ROOFTOP&lt;/location_type&gt;
   &lt;viewport&gt;
    &lt;southwest&gt;
     &lt;lat&gt;45.5910904&lt;/lat&gt;
     &lt;lng&gt;-73.7000466&lt;/lng&gt;
    &lt;/southwest&gt;
    &lt;northeast&gt;
     &lt;lat&gt;45.5937883&lt;/lat&gt;
     &lt;lng&gt;-73.6973487&lt;/lng&gt;
    &lt;/northeast&gt;
   &lt;/viewport&gt;
  &lt;/geometry&gt;
  &lt;place_id&gt;ChIJHSG4xJchyUwRGLr86rkJv_Q&lt;/place_id&gt;
  &lt;plus_code&gt;
   &lt;global_code&gt;87Q8H8R2+VJ&lt;/global_code&gt;
   &lt;compound_code&gt;H8R2+VJ Laval, QC, Canada&lt;/compound_code&gt;
  &lt;/plus_code&gt;
 &lt;/result&gt;
&lt;/GeocodeResponse&gt;
</v>
      </c>
      <c r="AC30" s="13">
        <v>45.592141699999999</v>
      </c>
      <c r="AD30" s="13">
        <v>-73.698460400000002</v>
      </c>
      <c r="AE30" s="13" cm="1">
        <f t="array" ref="AE30">_xlfn.FILTERXML(AB30,"//location/lat")</f>
        <v>45.592141699999999</v>
      </c>
      <c r="AF30" s="13" cm="1">
        <f t="array" ref="AF30">_xlfn.FILTERXML(AB30,"//location/lng")</f>
        <v>-73.698460400000002</v>
      </c>
    </row>
    <row r="31" spans="1:32" s="13" customFormat="1" ht="22.8">
      <c r="A31" s="58" t="s">
        <v>102</v>
      </c>
      <c r="B31" s="59" t="s">
        <v>488</v>
      </c>
      <c r="C31" s="59" t="s">
        <v>480</v>
      </c>
      <c r="D31" s="60">
        <v>44996</v>
      </c>
      <c r="E31" s="60">
        <v>45495</v>
      </c>
      <c r="F31" s="59" t="s">
        <v>26</v>
      </c>
      <c r="G31" s="61">
        <v>991</v>
      </c>
      <c r="H31" s="61">
        <v>40.25</v>
      </c>
      <c r="I31" s="84">
        <f>'Projets Jerome'!$G31*'Projets Jerome'!$O31*1.2</f>
        <v>208110</v>
      </c>
      <c r="J31" s="62" t="s">
        <v>481</v>
      </c>
      <c r="K31" s="59" t="s">
        <v>482</v>
      </c>
      <c r="L31" s="61">
        <v>29685489</v>
      </c>
      <c r="M31" s="60">
        <v>44996</v>
      </c>
      <c r="N31" s="59" t="s">
        <v>483</v>
      </c>
      <c r="O31" s="61">
        <v>175</v>
      </c>
      <c r="P31" s="61" t="s">
        <v>27</v>
      </c>
      <c r="Q31" s="49" t="s">
        <v>490</v>
      </c>
      <c r="R31" s="34">
        <v>45.583457699999997</v>
      </c>
      <c r="S31" s="34">
        <v>-73.460523800000004</v>
      </c>
      <c r="T31" s="64" t="s">
        <v>492</v>
      </c>
      <c r="U31" s="43" t="s">
        <v>491</v>
      </c>
      <c r="Z31" s="13" t="e">
        <f>_xlfn.XLOOKUP('Projets Jerome'!$J31,import!$J$2:$J$24,import!$C$2:$C$24)</f>
        <v>#N/A</v>
      </c>
      <c r="AA31" s="13" t="e">
        <f>_xlfn.XLOOKUP('Projets Jerome'!$J31,import!$J$2:$J$24,import!$B$2:$B$24)</f>
        <v>#N/A</v>
      </c>
      <c r="AB31" s="13" t="str">
        <f>_xlfn.WEBSERVICE("https://maps.googleapis.com/maps/api/geocode/xml?address="&amp;'Projets Jerome'!$T31&amp;"&amp;key=AIzaSyCHth-wrbaKBruFJQMWpdpeHAtAzdbcKh4")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&lt;formatted_address&gt;120 Rue de la Barre, Boucherville, QC J4B 2X7, Canada&lt;/formatted_address&gt;
  &lt;address_component&gt;
   &lt;long_name&gt;120&lt;/long_name&gt;
   &lt;short_name&gt;120&lt;/short_name&gt;
   &lt;type&gt;street_number&lt;/type&gt;
  &lt;/address_component&gt;
  &lt;address_component&gt;
   &lt;long_name&gt;Rue de la Barre&lt;/long_name&gt;
   &lt;short_name&gt;Rue de la Barre&lt;/short_name&gt;
   &lt;type&gt;route&lt;/type&gt;
  &lt;/address_component&gt;
  &lt;address_component&gt;
   &lt;long_name&gt;Boucherville&lt;/long_name&gt;
   &lt;short_name&gt;Boucherville&lt;/short_name&gt;
   &lt;type&gt;locality&lt;/type&gt;
   &lt;type&gt;political&lt;/type&gt;
  &lt;/address_component&gt;
  &lt;address_component&gt;
   &lt;long_name&gt;Longueuil&lt;/long_name&gt;
   &lt;short_name&gt;Longueuil&lt;/short_name&gt;
   &lt;type&gt;administrative_area_level_3&lt;/type&gt;
   &lt;type&gt;political&lt;/type&gt;
  &lt;/address_component&gt;
  &lt;address_component&gt;
   &lt;long_name&gt;Montérégie&lt;/long_name&gt;
   &lt;short_name&gt;Montérégie&lt;/short_name&gt;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&lt;long_name&gt;J4B 2X7&lt;/long_name&gt;
   &lt;short_name&gt;J4B 2X7&lt;/short_name&gt;
   &lt;type&gt;postal_code&lt;/type&gt;
  &lt;/address_component&gt;
  &lt;geometry&gt;
   &lt;location&gt;
    &lt;lat&gt;45.5834577&lt;/lat&gt;
    &lt;lng&gt;-73.4605238&lt;/lng&gt;
   &lt;/location&gt;
   &lt;location_type&gt;ROOFTOP&lt;/location_type&gt;
   &lt;viewport&gt;
    &lt;southwest&gt;
     &lt;lat&gt;45.5821034&lt;/lat&gt;
     &lt;lng&gt;-73.4618812&lt;/lng&gt;
    &lt;/southwest&gt;
    &lt;northeast&gt;
     &lt;lat&gt;45.5848013&lt;/lat&gt;
     &lt;lng&gt;-73.4591833&lt;/lng&gt;
    &lt;/northeast&gt;
   &lt;/viewport&gt;
  &lt;/geometry&gt;
  &lt;place_id&gt;ChIJmd_FODQdyUwR1-3zYrZ6Cv8&lt;/place_id&gt;
  &lt;plus_code&gt;
   &lt;global_code&gt;87Q8HGMQ+9Q&lt;/global_code&gt;
   &lt;compound_code&gt;HGMQ+9Q Boucherville, QC, Canada&lt;/compound_code&gt;
  &lt;/plus_code&gt;
 &lt;/result&gt;
&lt;/GeocodeResponse&gt;
</v>
      </c>
      <c r="AC31" s="13">
        <v>45.583457699999997</v>
      </c>
      <c r="AD31" s="13">
        <v>-73.460523800000004</v>
      </c>
      <c r="AE31" s="13" cm="1">
        <f t="array" ref="AE31">_xlfn.FILTERXML(AB31,"//location/lat")</f>
        <v>45.583457699999997</v>
      </c>
      <c r="AF31" s="13" cm="1">
        <f t="array" ref="AF31">_xlfn.FILTERXML(AB31,"//location/lng")</f>
        <v>-73.460523800000004</v>
      </c>
    </row>
    <row r="32" spans="1:32" s="13" customFormat="1" ht="22.8">
      <c r="A32" s="51" t="s">
        <v>102</v>
      </c>
      <c r="B32" s="52" t="s">
        <v>485</v>
      </c>
      <c r="C32" s="52" t="s">
        <v>480</v>
      </c>
      <c r="D32" s="53">
        <v>45006</v>
      </c>
      <c r="E32" s="53">
        <v>45450</v>
      </c>
      <c r="F32" s="52" t="s">
        <v>26</v>
      </c>
      <c r="G32" s="54">
        <v>183</v>
      </c>
      <c r="H32" s="54">
        <v>0</v>
      </c>
      <c r="I32" s="81">
        <f>'Projets Jerome'!$G32*'Projets Jerome'!$O32*1.15</f>
        <v>28410.749999999996</v>
      </c>
      <c r="J32" s="55" t="s">
        <v>484</v>
      </c>
      <c r="K32" s="52" t="s">
        <v>485</v>
      </c>
      <c r="L32" s="54">
        <v>29685508</v>
      </c>
      <c r="M32" s="53">
        <v>45022</v>
      </c>
      <c r="N32" s="52" t="s">
        <v>483</v>
      </c>
      <c r="O32" s="54">
        <v>135</v>
      </c>
      <c r="P32" s="54" t="s">
        <v>27</v>
      </c>
      <c r="Q32" s="65" t="s">
        <v>490</v>
      </c>
      <c r="R32" s="26">
        <v>45.583457699999997</v>
      </c>
      <c r="S32" s="26">
        <v>-73.460523800000004</v>
      </c>
      <c r="T32" s="57" t="s">
        <v>492</v>
      </c>
      <c r="U32" s="42" t="s">
        <v>476</v>
      </c>
      <c r="Z32" s="13" t="e">
        <f>_xlfn.XLOOKUP('Projets Jerome'!$J32,import!$J$2:$J$24,import!$C$2:$C$24)</f>
        <v>#N/A</v>
      </c>
      <c r="AA32" s="13" t="e">
        <f>_xlfn.XLOOKUP('Projets Jerome'!$J32,import!$J$2:$J$24,import!$B$2:$B$24)</f>
        <v>#N/A</v>
      </c>
      <c r="AB32" s="13" t="str">
        <f>_xlfn.WEBSERVICE("https://maps.googleapis.com/maps/api/geocode/xml?address="&amp;'Projets Jerome'!$T32&amp;"&amp;key=AIzaSyCHth-wrbaKBruFJQMWpdpeHAtAzdbcKh4")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&lt;formatted_address&gt;120 Rue de la Barre, Boucherville, QC J4B 2X7, Canada&lt;/formatted_address&gt;
  &lt;address_component&gt;
   &lt;long_name&gt;120&lt;/long_name&gt;
   &lt;short_name&gt;120&lt;/short_name&gt;
   &lt;type&gt;street_number&lt;/type&gt;
  &lt;/address_component&gt;
  &lt;address_component&gt;
   &lt;long_name&gt;Rue de la Barre&lt;/long_name&gt;
   &lt;short_name&gt;Rue de la Barre&lt;/short_name&gt;
   &lt;type&gt;route&lt;/type&gt;
  &lt;/address_component&gt;
  &lt;address_component&gt;
   &lt;long_name&gt;Boucherville&lt;/long_name&gt;
   &lt;short_name&gt;Boucherville&lt;/short_name&gt;
   &lt;type&gt;locality&lt;/type&gt;
   &lt;type&gt;political&lt;/type&gt;
  &lt;/address_component&gt;
  &lt;address_component&gt;
   &lt;long_name&gt;Longueuil&lt;/long_name&gt;
   &lt;short_name&gt;Longueuil&lt;/short_name&gt;
   &lt;type&gt;administrative_area_level_3&lt;/type&gt;
   &lt;type&gt;political&lt;/type&gt;
  &lt;/address_component&gt;
  &lt;address_component&gt;
   &lt;long_name&gt;Montérégie&lt;/long_name&gt;
   &lt;short_name&gt;Montérégie&lt;/short_name&gt;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&lt;long_name&gt;J4B 2X7&lt;/long_name&gt;
   &lt;short_name&gt;J4B 2X7&lt;/short_name&gt;
   &lt;type&gt;postal_code&lt;/type&gt;
  &lt;/address_component&gt;
  &lt;geometry&gt;
   &lt;location&gt;
    &lt;lat&gt;45.5834577&lt;/lat&gt;
    &lt;lng&gt;-73.4605238&lt;/lng&gt;
   &lt;/location&gt;
   &lt;location_type&gt;ROOFTOP&lt;/location_type&gt;
   &lt;viewport&gt;
    &lt;southwest&gt;
     &lt;lat&gt;45.5821034&lt;/lat&gt;
     &lt;lng&gt;-73.4618812&lt;/lng&gt;
    &lt;/southwest&gt;
    &lt;northeast&gt;
     &lt;lat&gt;45.5848013&lt;/lat&gt;
     &lt;lng&gt;-73.4591833&lt;/lng&gt;
    &lt;/northeast&gt;
   &lt;/viewport&gt;
  &lt;/geometry&gt;
  &lt;place_id&gt;ChIJmd_FODQdyUwR1-3zYrZ6Cv8&lt;/place_id&gt;
  &lt;plus_code&gt;
   &lt;global_code&gt;87Q8HGMQ+9Q&lt;/global_code&gt;
   &lt;compound_code&gt;HGMQ+9Q Boucherville, QC, Canada&lt;/compound_code&gt;
  &lt;/plus_code&gt;
 &lt;/result&gt;
&lt;/GeocodeResponse&gt;
</v>
      </c>
      <c r="AC32" s="13">
        <v>45.583457699999997</v>
      </c>
      <c r="AD32" s="13">
        <v>-73.460523800000004</v>
      </c>
      <c r="AE32" s="13" cm="1">
        <f t="array" ref="AE32">_xlfn.FILTERXML(AB32,"//location/lat")</f>
        <v>45.583457699999997</v>
      </c>
      <c r="AF32" s="13" cm="1">
        <f t="array" ref="AF32">_xlfn.FILTERXML(AB32,"//location/lng")</f>
        <v>-73.460523800000004</v>
      </c>
    </row>
    <row r="33" spans="1:32" s="13" customFormat="1" ht="22.8">
      <c r="A33" s="58" t="s">
        <v>333</v>
      </c>
      <c r="B33" s="59" t="s">
        <v>489</v>
      </c>
      <c r="C33" s="59" t="s">
        <v>334</v>
      </c>
      <c r="D33" s="60">
        <v>44964</v>
      </c>
      <c r="E33" s="60">
        <v>44974</v>
      </c>
      <c r="F33" s="59" t="s">
        <v>26</v>
      </c>
      <c r="G33" s="61">
        <v>20</v>
      </c>
      <c r="H33" s="61">
        <v>22.25</v>
      </c>
      <c r="I33" s="84">
        <f>'Projets Jerome'!$G33*'Projets Jerome'!$O33*1.15</f>
        <v>3449.9999999999995</v>
      </c>
      <c r="J33" s="62" t="s">
        <v>486</v>
      </c>
      <c r="K33" s="59" t="s">
        <v>487</v>
      </c>
      <c r="L33" s="61">
        <v>29685397</v>
      </c>
      <c r="M33" s="60">
        <v>44960</v>
      </c>
      <c r="N33" s="59" t="s">
        <v>30</v>
      </c>
      <c r="O33" s="61">
        <v>150</v>
      </c>
      <c r="P33" s="61" t="s">
        <v>27</v>
      </c>
      <c r="Q33" s="63" t="s">
        <v>367</v>
      </c>
      <c r="R33" s="34">
        <v>45.5349559</v>
      </c>
      <c r="S33" s="34">
        <v>-73.641190300000005</v>
      </c>
      <c r="T33" s="64" t="s">
        <v>366</v>
      </c>
      <c r="U33" s="40" t="s">
        <v>493</v>
      </c>
      <c r="Z33" s="13" t="e">
        <f>_xlfn.XLOOKUP('Projets Jerome'!$J33,import!$J$2:$J$24,import!$C$2:$C$24)</f>
        <v>#N/A</v>
      </c>
      <c r="AA33" s="13" t="e">
        <f>_xlfn.XLOOKUP('Projets Jerome'!$J33,import!$J$2:$J$24,import!$B$2:$B$24)</f>
        <v>#N/A</v>
      </c>
      <c r="AB33" s="13" t="str">
        <f>_xlfn.WEBSERVICE("https://maps.googleapis.com/maps/api/geocode/xml?address="&amp;'Projets Jerome'!$T33&amp;"&amp;key=AIzaSyCHth-wrbaKBruFJQMWpdpeHAtAzdbcKh4")</f>
        <v xml:space="preserve">&lt;?xml version="1.0" encoding="UTF-8"?&gt;
&lt;GeocodeResponse&gt;
 &lt;status&gt;OK&lt;/status&gt;
 &lt;result&gt;
  &lt;type&gt;premise&lt;/type&gt;
  &lt;formatted_address&gt;375 Rue de Liège O, Montréal, QC H2P 1H6, Canada&lt;/formatted_address&gt;
  &lt;address_component&gt;
   &lt;long_name&gt;375&lt;/long_name&gt;
   &lt;short_name&gt;375&lt;/short_name&gt;
   &lt;type&gt;street_number&lt;/type&gt;
  &lt;/address_component&gt;
  &lt;address_component&gt;
   &lt;long_name&gt;Rue de Liège Ouest&lt;/long_name&gt;
   &lt;short_name&gt;Rue de Liège O&lt;/short_name&gt;
   &lt;type&gt;route&lt;/type&gt;
  &lt;/address_component&gt;
  &lt;address_component&gt;
   &lt;long_name&gt;Villeray—Saint-Michel—Parc-Extension&lt;/long_name&gt;
   &lt;short_name&gt;Villeray—Saint-Michel—Parc-Extension&lt;/short_name&gt;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&lt;long_name&gt;H2P 1H6&lt;/long_name&gt;
   &lt;short_name&gt;H2P 1H6&lt;/short_name&gt;
   &lt;type&gt;postal_code&lt;/type&gt;
  &lt;/address_component&gt;
  &lt;geometry&gt;
   &lt;location&gt;
    &lt;lat&gt;45.5349559&lt;/lat&gt;
    &lt;lng&gt;-73.6411903&lt;/lng&gt;
   &lt;/location&gt;
   &lt;location_type&gt;ROOFTOP&lt;/location_type&gt;
   &lt;viewport&gt;
    &lt;southwest&gt;
     &lt;lat&gt;45.5336587&lt;/lat&gt;
     &lt;lng&gt;-73.6424449&lt;/lng&gt;
    &lt;/southwest&gt;
    &lt;northeast&gt;
     &lt;lat&gt;45.5363566&lt;/lat&gt;
     &lt;lng&gt;-73.6397470&lt;/lng&gt;
    &lt;/northeast&gt;
   &lt;/viewport&gt;
   &lt;bounds&gt;
    &lt;southwest&gt;
     &lt;lat&gt;45.5348153&lt;/lat&gt;
     &lt;lng&gt;-73.6414249&lt;/lng&gt;
    &lt;/southwest&gt;
    &lt;northeast&gt;
     &lt;lat&gt;45.5352000&lt;/lat&gt;
     &lt;lng&gt;-73.6409061&lt;/lng&gt;
    &lt;/northeast&gt;
   &lt;/bounds&gt;
  &lt;/geometry&gt;
  &lt;place_id&gt;ChIJHWXoXP0YyUwRELM4c9k4wrI&lt;/place_id&gt;
 &lt;/result&gt;
&lt;/GeocodeResponse&gt;
</v>
      </c>
      <c r="AC33" s="13">
        <v>45.5349559</v>
      </c>
      <c r="AD33" s="13">
        <v>-73.641190300000005</v>
      </c>
      <c r="AE33" s="13" cm="1">
        <f t="array" ref="AE33">_xlfn.FILTERXML(AB33,"//location/lat")</f>
        <v>45.5349559</v>
      </c>
      <c r="AF33" s="13" cm="1">
        <f t="array" ref="AF33">_xlfn.FILTERXML(AB33,"//location/lng")</f>
        <v>-73.641190300000005</v>
      </c>
    </row>
    <row r="34" spans="1:32" s="13" customFormat="1">
      <c r="A34" s="25"/>
      <c r="B34" s="26"/>
      <c r="C34" s="26" t="s">
        <v>181</v>
      </c>
      <c r="D34" s="27"/>
      <c r="E34" s="27"/>
      <c r="F34" s="26"/>
      <c r="G34" s="28"/>
      <c r="H34" s="28"/>
      <c r="I34" s="111">
        <f>'Projets Jerome'!$G34*'Projets Jerome'!$O34*1.15</f>
        <v>0</v>
      </c>
      <c r="J34" s="28"/>
      <c r="K34" s="26"/>
      <c r="L34" s="28"/>
      <c r="M34" s="27"/>
      <c r="N34" s="26"/>
      <c r="O34" s="28"/>
      <c r="P34" s="28"/>
      <c r="Q34" s="30" t="s">
        <v>182</v>
      </c>
      <c r="R34" s="26">
        <v>46.7677269</v>
      </c>
      <c r="S34" s="26">
        <v>-71.288715100000005</v>
      </c>
      <c r="T34" s="46" t="s">
        <v>183</v>
      </c>
      <c r="U34" s="66"/>
      <c r="Z34" s="13">
        <f>_xlfn.XLOOKUP('Projets Jerome'!$J34,import!$J$2:$J$24,import!$C$2:$C$24)</f>
        <v>0</v>
      </c>
      <c r="AA34" s="13">
        <f>_xlfn.XLOOKUP('Projets Jerome'!$J34,import!$J$2:$J$24,import!$B$2:$B$24)</f>
        <v>0</v>
      </c>
      <c r="AB34" s="13" t="str">
        <f>_xlfn.WEBSERVICE("https://maps.googleapis.com/maps/api/geocode/xml?address="&amp;'Projets Jerome'!$T34&amp;"&amp;key=AIzaSyCHth-wrbaKBruFJQMWpdpeHAtAzdbcKh4")</f>
        <v xml:space="preserve">&lt;?xml version="1.0" encoding="UTF-8"?&gt;
&lt;GeocodeResponse&gt;
 &lt;status&gt;OK&lt;/status&gt;
 &lt;result&gt;
  &lt;type&gt;subpremise&lt;/type&gt;
  &lt;formatted_address&gt;2828 Bd Laurier Suite 700, Québec, QC G1V 0B9, Canada&lt;/formatted_address&gt;
  &lt;address_component&gt;
   &lt;long_name&gt;Suite 700&lt;/long_name&gt;
   &lt;short_name&gt;Suite 700&lt;/short_name&gt;
   &lt;type&gt;subpremise&lt;/type&gt;
  &lt;/address_component&gt;
  &lt;address_component&gt;
   &lt;long_name&gt;2828&lt;/long_name&gt;
   &lt;short_name&gt;2828&lt;/short_name&gt;
   &lt;type&gt;street_number&lt;/type&gt;
  &lt;/address_component&gt;
  &lt;address_component&gt;
   &lt;long_name&gt;Boulevard Laurier&lt;/long_name&gt;
   &lt;short_name&gt;Bd Laurier&lt;/short_name&gt;
   &lt;type&gt;route&lt;/type&gt;
  &lt;/address_component&gt;
  &lt;address_component&gt;
   &lt;long_name&gt;Sainte-Foy-Sillery-Cap-Rouge&lt;/long_name&gt;
   &lt;short_name&gt;Sainte-Foy-Sillery-Cap-Rouge&lt;/short_name&gt;
   &lt;type&gt;political&lt;/type&gt;
   &lt;type&gt;sublocality&lt;/type&gt;
   &lt;type&gt;sublocality_level_1&lt;/type&gt;
  &lt;/address_component&gt;
  &lt;address_component&gt;
   &lt;long_name&gt;Québec&lt;/long_name&gt;
   &lt;short_name&gt;Québec&lt;/short_name&gt;
   &lt;type&gt;locality&lt;/type&gt;
   &lt;type&gt;political&lt;/type&gt;
  &lt;/address_component&gt;
  &lt;address_component&gt;
   &lt;long_name&gt;Communauté-Urbaine-de-Québec&lt;/long_name&gt;
   &lt;short_name&gt;Communauté-Urbaine-de-Québec&lt;/short_name&gt;
   &lt;type&gt;administrative_area_level_3&lt;/type&gt;
   &lt;type&gt;political&lt;/type&gt;
  &lt;/address_component&gt;
  &lt;address_component&gt;
   &lt;long_name&gt;Capitale-Nationale&lt;/long_name&gt;
   &lt;short_name&gt;Capitale-Nationale&lt;/short_name&gt;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&lt;long_name&gt;G1V 0B9&lt;/long_name&gt;
   &lt;short_name&gt;G1V 0B9&lt;/short_name&gt;
   &lt;type&gt;postal_code&lt;/type&gt;
  &lt;/address_component&gt;
  &lt;geometry&gt;
   &lt;location&gt;
    &lt;lat&gt;46.7678083&lt;/lat&gt;
    &lt;lng&gt;-71.2888117&lt;/lng&gt;
   &lt;/location&gt;
   &lt;location_type&gt;ROOFTOP&lt;/location_type&gt;
   &lt;viewport&gt;
    &lt;southwest&gt;
     &lt;lat&gt;46.7666183&lt;/lat&gt;
     &lt;lng&gt;-71.2900899&lt;/lng&gt;
    &lt;/southwest&gt;
    &lt;northeast&gt;
     &lt;lat&gt;46.7693162&lt;/lat&gt;
     &lt;lng&gt;-71.2873920&lt;/lng&gt;
    &lt;/northeast&gt;
   &lt;/viewport&gt;
  &lt;/geometry&gt;
  &lt;place_id&gt;ChIJ4_o_gzKRuEwRL-s5cG4pQgY&lt;/place_id&gt;
 &lt;/result&gt;
&lt;/GeocodeResponse&gt;
</v>
      </c>
      <c r="AC34" s="13">
        <v>46.767808299999999</v>
      </c>
      <c r="AD34" s="13">
        <v>-71.288811699999997</v>
      </c>
      <c r="AE34" s="13" cm="1">
        <f t="array" ref="AE34">_xlfn.FILTERXML(AB34,"//location/lat")</f>
        <v>46.767808299999999</v>
      </c>
      <c r="AF34" s="13" cm="1">
        <f t="array" ref="AF34">_xlfn.FILTERXML(AB34,"//location/lng")</f>
        <v>-71.288811699999997</v>
      </c>
    </row>
    <row r="35" spans="1:32" s="13" customFormat="1">
      <c r="A35" s="33"/>
      <c r="B35" s="34"/>
      <c r="C35" s="34" t="s">
        <v>184</v>
      </c>
      <c r="D35" s="35"/>
      <c r="E35" s="35"/>
      <c r="F35" s="34"/>
      <c r="G35" s="36"/>
      <c r="H35" s="36"/>
      <c r="I35" s="112">
        <f>'Projets Jerome'!$G35*'Projets Jerome'!$O35*1.15</f>
        <v>0</v>
      </c>
      <c r="J35" s="36"/>
      <c r="K35" s="34"/>
      <c r="L35" s="36"/>
      <c r="M35" s="35"/>
      <c r="N35" s="34"/>
      <c r="O35" s="36"/>
      <c r="P35" s="36"/>
      <c r="Q35" s="38" t="s">
        <v>185</v>
      </c>
      <c r="R35" s="34">
        <v>45.521929999999998</v>
      </c>
      <c r="S35" s="34">
        <v>-73.613069699999997</v>
      </c>
      <c r="T35" s="67" t="s">
        <v>186</v>
      </c>
      <c r="U35" s="68"/>
      <c r="Z35" s="13">
        <f>_xlfn.XLOOKUP('Projets Jerome'!$J35,import!$J$2:$J$24,import!$C$2:$C$24)</f>
        <v>0</v>
      </c>
      <c r="AA35" s="13">
        <f>_xlfn.XLOOKUP('Projets Jerome'!$J35,import!$J$2:$J$24,import!$B$2:$B$24)</f>
        <v>0</v>
      </c>
      <c r="AB35" s="13" t="str">
        <f>_xlfn.WEBSERVICE("https://maps.googleapis.com/maps/api/geocode/xml?address="&amp;'Projets Jerome'!$T35&amp;"&amp;key=AIzaSyCHth-wrbaKBruFJQMWpdpeHAtAzdbcKh4")</f>
        <v xml:space="preserve">&lt;?xml version="1.0" encoding="UTF-8"?&gt;
&lt;GeocodeResponse&gt;
 &lt;status&gt;OK&lt;/status&gt;
 &lt;result&gt;
  &lt;type&gt;premise&lt;/type&gt;
  &lt;formatted_address&gt;797 Av Champagneur, Outremont, QC H2V 3P9, Canada&lt;/formatted_address&gt;
  &lt;address_component&gt;
   &lt;long_name&gt;797&lt;/long_name&gt;
   &lt;short_name&gt;797&lt;/short_name&gt;
   &lt;type&gt;street_number&lt;/type&gt;
  &lt;/address_component&gt;
  &lt;address_component&gt;
   &lt;long_name&gt;Avenue Champagneur&lt;/long_name&gt;
   &lt;short_name&gt;Av Champagneur&lt;/short_name&gt;
   &lt;type&gt;route&lt;/type&gt;
  &lt;/address_component&gt;
  &lt;address_component&gt;
   &lt;long_name&gt;Outremont&lt;/long_name&gt;
   &lt;short_name&gt;Outremont&lt;/short_name&gt;
   &lt;type&gt;political&lt;/type&gt;
   &lt;type&gt;sublocality&lt;/type&gt;
   &lt;type&gt;sublocality_level_1&lt;/type&gt;
  &lt;/address_component&gt;
  &lt;address_component&gt;
   &lt;long_name&gt;Outremont&lt;/long_name&gt;
   &lt;short_name&gt;Outremont&lt;/short_name&gt;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&lt;long_name&gt;H2V 3P9&lt;/long_name&gt;
   &lt;short_name&gt;H2V 3P9&lt;/short_name&gt;
   &lt;type&gt;postal_code&lt;/type&gt;
  &lt;/address_component&gt;
  &lt;geometry&gt;
   &lt;location&gt;
    &lt;lat&gt;45.5219584&lt;/lat&gt;
    &lt;lng&gt;-73.6130896&lt;/lng&gt;
   &lt;/location&gt;
   &lt;location_type&gt;ROOFTOP&lt;/location_type&gt;
   &lt;viewport&gt;
    &lt;southwest&gt;
     &lt;lat&gt;45.5205668&lt;/lat&gt;
     &lt;lng&gt;-73.6144602&lt;/lng&gt;
    &lt;/southwest&gt;
    &lt;northeast&gt;
     &lt;lat&gt;45.5232648&lt;/lat&gt;
     &lt;lng&gt;-73.6117623&lt;/lng&gt;
    &lt;/northeast&gt;
   &lt;/viewport&gt;
   &lt;bounds&gt;
    &lt;southwest&gt;
     &lt;lat&gt;45.5218980&lt;/lat&gt;
     &lt;lng&gt;-73.6131888&lt;/lng&gt;
    &lt;/southwest&gt;
    &lt;northeast&gt;
     &lt;lat&gt;45.5220135&lt;/lat&gt;
     &lt;lng&gt;-73.6130082&lt;/lng&gt;
    &lt;/northeast&gt;
   &lt;/bounds&gt;
  &lt;/geometry&gt;
  &lt;place_id&gt;ChIJJb8V9J0ZyUwRd9Fp4qeuB8s&lt;/place_id&gt;
 &lt;/result&gt;
&lt;/GeocodeResponse&gt;
</v>
      </c>
      <c r="AC35" s="13">
        <v>45.521958400000003</v>
      </c>
      <c r="AD35" s="13">
        <v>-73.613089599999995</v>
      </c>
      <c r="AE35" s="13" cm="1">
        <f t="array" ref="AE35">_xlfn.FILTERXML(AB35,"//location/lat")</f>
        <v>45.521958400000003</v>
      </c>
      <c r="AF35" s="13" cm="1">
        <f t="array" ref="AF35">_xlfn.FILTERXML(AB35,"//location/lng")</f>
        <v>-73.613089599999995</v>
      </c>
    </row>
    <row r="36" spans="1:32" s="13" customFormat="1" ht="28.8">
      <c r="A36" s="25"/>
      <c r="B36" s="26"/>
      <c r="C36" s="26" t="s">
        <v>187</v>
      </c>
      <c r="D36" s="27"/>
      <c r="E36" s="27"/>
      <c r="F36" s="26"/>
      <c r="G36" s="28"/>
      <c r="H36" s="28"/>
      <c r="I36" s="111">
        <f>'Projets Jerome'!$G36*'Projets Jerome'!$O36*1.15</f>
        <v>0</v>
      </c>
      <c r="J36" s="28"/>
      <c r="K36" s="26"/>
      <c r="L36" s="28"/>
      <c r="M36" s="27"/>
      <c r="N36" s="26"/>
      <c r="O36" s="28"/>
      <c r="P36" s="28"/>
      <c r="Q36" s="30" t="s">
        <v>188</v>
      </c>
      <c r="R36" s="26">
        <v>49.283854599999998</v>
      </c>
      <c r="S36" s="26">
        <v>-123.1196403</v>
      </c>
      <c r="T36" s="41" t="s">
        <v>189</v>
      </c>
      <c r="U36" s="66"/>
      <c r="Z36" s="13">
        <f>_xlfn.XLOOKUP('Projets Jerome'!$J36,import!$J$2:$J$24,import!$C$2:$C$24)</f>
        <v>0</v>
      </c>
      <c r="AA36" s="13">
        <f>_xlfn.XLOOKUP('Projets Jerome'!$J36,import!$J$2:$J$24,import!$B$2:$B$24)</f>
        <v>0</v>
      </c>
      <c r="AB36" s="13" t="str">
        <f>_xlfn.WEBSERVICE("https://maps.googleapis.com/maps/api/geocode/xml?address="&amp;'Projets Jerome'!$T36&amp;"&amp;key=AIzaSyCHth-wrbaKBruFJQMWpdpeHAtAzdbcKh4")</f>
        <v xml:space="preserve">&lt;?xml version="1.0" encoding="UTF-8"?&gt;
&lt;GeocodeResponse&gt;
 &lt;status&gt;OK&lt;/status&gt;
 &lt;result&gt;
  &lt;type&gt;subpremise&lt;/type&gt;
  &lt;formatted_address&gt;885 W Georgia St #1500, Vancouver, BC V6C 3E8, Canada&lt;/formatted_address&gt;
  &lt;address_component&gt;
   &lt;long_name&gt;1500&lt;/long_name&gt;
   &lt;short_name&gt;1500&lt;/short_name&gt;
   &lt;type&gt;subpremise&lt;/type&gt;
  &lt;/address_component&gt;
  &lt;address_component&gt;
   &lt;long_name&gt;885&lt;/long_name&gt;
   &lt;short_name&gt;885&lt;/short_name&gt;
   &lt;type&gt;street_number&lt;/type&gt;
  &lt;/address_component&gt;
  &lt;address_component&gt;
   &lt;long_name&gt;West Georgia Street&lt;/long_name&gt;
   &lt;short_name&gt;W Georgia St&lt;/short_name&gt;
   &lt;type&gt;route&lt;/type&gt;
  &lt;/address_component&gt;
  &lt;address_component&gt;
   &lt;long_name&gt;Central Vancouver&lt;/long_name&gt;
   &lt;short_name&gt;Central Vancouver&lt;/short_name&gt;
   &lt;type&gt;neighborhood&lt;/type&gt;
   &lt;type&gt;political&lt;/type&gt;
  &lt;/address_component&gt;
  &lt;address_component&gt;
   &lt;long_name&gt;Vancouver&lt;/long_name&gt;
   &lt;short_name&gt;Vancouver&lt;/short_name&gt;
   &lt;type&gt;locality&lt;/type&gt;
   &lt;type&gt;political&lt;/type&gt;
  &lt;/address_component&gt;
  &lt;address_component&gt;
   &lt;long_name&gt;Metro Vancouver&lt;/long_name&gt;
   &lt;short_name&gt;Metro Vancouver&lt;/short_name&gt;
   &lt;type&gt;administrative_area_level_2&lt;/type&gt;
   &lt;type&gt;political&lt;/type&gt;
  &lt;/address_component&gt;
  &lt;address_component&gt;
   &lt;long_name&gt;British Columbia&lt;/long_name&gt;
   &lt;short_name&gt;BC&lt;/short_name&gt;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&lt;long_name&gt;V6C 3E8&lt;/long_name&gt;
   &lt;short_name&gt;V6C 3E8&lt;/short_name&gt;
   &lt;type&gt;postal_code&lt;/type&gt;
  &lt;/address_component&gt;
  &lt;geometry&gt;
   &lt;location&gt;
    &lt;lat&gt;49.2838546&lt;/lat&gt;
    &lt;lng&gt;-123.1196403&lt;/lng&gt;
   &lt;/location&gt;
   &lt;location_type&gt;ROOFTOP&lt;/location_type&gt;
   &lt;viewport&gt;
    &lt;southwest&gt;
     &lt;lat&gt;49.2825390&lt;/lat&gt;
     &lt;lng&gt;-123.1210872&lt;/lng&gt;
    &lt;/southwest&gt;
    &lt;northeast&gt;
     &lt;lat&gt;49.2852370&lt;/lat&gt;
     &lt;lng&gt;-123.1183892&lt;/lng&gt;
    &lt;/northeast&gt;
   &lt;/viewport&gt;
  &lt;/geometry&gt;
  &lt;place_id&gt;ChIJHahe3oFxhlQRT4ifhbgBWVs&lt;/place_id&gt;
 &lt;/result&gt;
&lt;/GeocodeResponse&gt;
</v>
      </c>
      <c r="AC36" s="13">
        <v>49.283854599999998</v>
      </c>
      <c r="AD36" s="13">
        <v>-123.1196403</v>
      </c>
      <c r="AE36" s="13" cm="1">
        <f t="array" ref="AE36">_xlfn.FILTERXML(AB36,"//location/lat")</f>
        <v>49.283854599999998</v>
      </c>
      <c r="AF36" s="13" cm="1">
        <f t="array" ref="AF36">_xlfn.FILTERXML(AB36,"//location/lng")</f>
        <v>-123.1196403</v>
      </c>
    </row>
    <row r="37" spans="1:32" s="13" customFormat="1" ht="28.8">
      <c r="A37" s="33"/>
      <c r="B37" s="34"/>
      <c r="C37" s="34" t="s">
        <v>190</v>
      </c>
      <c r="D37" s="35"/>
      <c r="E37" s="35"/>
      <c r="F37" s="34"/>
      <c r="G37" s="36"/>
      <c r="H37" s="36"/>
      <c r="I37" s="112">
        <f>'Projets Jerome'!$G37*'Projets Jerome'!$O37*1.15</f>
        <v>0</v>
      </c>
      <c r="J37" s="36"/>
      <c r="K37" s="34"/>
      <c r="L37" s="36"/>
      <c r="M37" s="35"/>
      <c r="N37" s="34"/>
      <c r="O37" s="36"/>
      <c r="P37" s="36"/>
      <c r="Q37" s="38" t="s">
        <v>191</v>
      </c>
      <c r="R37" s="34">
        <v>43.641082500000003</v>
      </c>
      <c r="S37" s="34">
        <v>-79.378719599999997</v>
      </c>
      <c r="T37" s="39" t="s">
        <v>192</v>
      </c>
      <c r="U37" s="68"/>
      <c r="Z37" s="13">
        <f>_xlfn.XLOOKUP('Projets Jerome'!$J37,import!$J$2:$J$24,import!$C$2:$C$24)</f>
        <v>0</v>
      </c>
      <c r="AA37" s="13">
        <f>_xlfn.XLOOKUP('Projets Jerome'!$J37,import!$J$2:$J$24,import!$B$2:$B$24)</f>
        <v>0</v>
      </c>
      <c r="AB37" s="13" t="str">
        <f>_xlfn.WEBSERVICE("https://maps.googleapis.com/maps/api/geocode/xml?address="&amp;'Projets Jerome'!$T37&amp;"&amp;key=AIzaSyCHth-wrbaKBruFJQMWpdpeHAtAzdbcKh4")</f>
        <v xml:space="preserve">&lt;?xml version="1.0" encoding="UTF-8"?&gt;
&lt;GeocodeResponse&gt;
 &lt;status&gt;OK&lt;/status&gt;
 &lt;result&gt;
  &lt;type&gt;subpremise&lt;/type&gt;
  &lt;formatted_address&gt;88 Queens Quay W Suite 2500, Toronto, ON M5J 0B8, Canada&lt;/formatted_address&gt;
  &lt;address_component&gt;
   &lt;long_name&gt;Suite 2500&lt;/long_name&gt;
   &lt;short_name&gt;Suite 2500&lt;/short_name&gt;
   &lt;type&gt;subpremise&lt;/type&gt;
  &lt;/address_component&gt;
  &lt;address_component&gt;
   &lt;long_name&gt;88&lt;/long_name&gt;
   &lt;short_name&gt;88&lt;/short_name&gt;
   &lt;type&gt;street_number&lt;/type&gt;
  &lt;/address_component&gt;
  &lt;address_component&gt;
   &lt;long_name&gt;Queens Quay West&lt;/long_name&gt;
   &lt;short_name&gt;Queens Quay W&lt;/short_name&gt;
   &lt;type&gt;route&lt;/type&gt;
  &lt;/address_component&gt;
  &lt;address_component&gt;
   &lt;long_name&gt;Old Toronto&lt;/long_name&gt;
   &lt;short_name&gt;Old Toronto&lt;/short_name&gt;
   &lt;type&gt;political&lt;/type&gt;
   &lt;type&gt;sublocality&lt;/type&gt;
   &lt;type&gt;sublocality_level_1&lt;/type&gt;
  &lt;/address_component&gt;
  &lt;address_component&gt;
   &lt;long_name&gt;Toronto&lt;/long_name&gt;
   &lt;short_name&gt;Toronto&lt;/short_name&gt;
   &lt;type&gt;locality&lt;/type&gt;
   &lt;type&gt;political&lt;/type&gt;
  &lt;/address_component&gt;
  &lt;address_component&gt;
   &lt;long_name&gt;City Of Toronto&lt;/long_name&gt;
   &lt;short_name&gt;City Of Toronto&lt;/short_name&gt;
   &lt;type&gt;administrative_area_level_3&lt;/type&gt;
   &lt;type&gt;political&lt;/type&gt;
  &lt;/address_component&gt;
  &lt;address_component&gt;
   &lt;long_name&gt;Toronto&lt;/long_name&gt;
   &lt;short_name&gt;Toronto&lt;/short_name&gt;
   &lt;type&gt;administrative_area_level_2&lt;/type&gt;
   &lt;type&gt;political&lt;/type&gt;
  &lt;/address_component&gt;
  &lt;address_component&gt;
   &lt;long_name&gt;Ontario&lt;/long_name&gt;
   &lt;short_name&gt;ON&lt;/short_name&gt;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&lt;long_name&gt;M5J 0B8&lt;/long_name&gt;
   &lt;short_name&gt;M5J 0B8&lt;/short_name&gt;
   &lt;type&gt;postal_code&lt;/type&gt;
  &lt;/address_component&gt;
  &lt;geometry&gt;
   &lt;location&gt;
    &lt;lat&gt;43.6410825&lt;/lat&gt;
    &lt;lng&gt;-79.3787196&lt;/lng&gt;
   &lt;/location&gt;
   &lt;location_type&gt;ROOFTOP&lt;/location_type&gt;
   &lt;viewport&gt;
    &lt;southwest&gt;
     &lt;lat&gt;43.6395313&lt;/lat&gt;
     &lt;lng&gt;-79.3799358&lt;/lng&gt;
    &lt;/southwest&gt;
    &lt;northeast&gt;
     &lt;lat&gt;43.6422292&lt;/lat&gt;
     &lt;lng&gt;-79.3772378&lt;/lng&gt;
    &lt;/northeast&gt;
   &lt;/viewport&gt;
  &lt;/geometry&gt;
  &lt;place_id&gt;ChIJwdyP6CrL1IkR3C4s9dKnkQ0&lt;/place_id&gt;
 &lt;/result&gt;
&lt;/GeocodeResponse&gt;
</v>
      </c>
      <c r="AC37" s="13">
        <v>43.641082500000003</v>
      </c>
      <c r="AD37" s="13">
        <v>-79.378719599999997</v>
      </c>
      <c r="AE37" s="13" cm="1">
        <f t="array" ref="AE37">_xlfn.FILTERXML(AB37,"//location/lat")</f>
        <v>43.641082500000003</v>
      </c>
      <c r="AF37" s="13" cm="1">
        <f t="array" ref="AF37">_xlfn.FILTERXML(AB37,"//location/lng")</f>
        <v>-79.378719599999997</v>
      </c>
    </row>
    <row r="38" spans="1:32" s="13" customFormat="1">
      <c r="A38" s="25"/>
      <c r="B38" s="26"/>
      <c r="C38" s="26"/>
      <c r="D38" s="27"/>
      <c r="E38" s="27"/>
      <c r="F38" s="26"/>
      <c r="G38" s="28"/>
      <c r="H38" s="28"/>
      <c r="I38" s="29"/>
      <c r="J38" s="28"/>
      <c r="K38" s="26"/>
      <c r="L38" s="28"/>
      <c r="M38" s="27"/>
      <c r="N38" s="26"/>
      <c r="O38" s="28"/>
      <c r="P38" s="28"/>
      <c r="Q38" s="30"/>
      <c r="R38" s="26"/>
      <c r="S38" s="26"/>
      <c r="T38" s="41"/>
      <c r="U38" s="66"/>
    </row>
    <row r="39" spans="1:32">
      <c r="A39" s="58"/>
      <c r="B39" s="59"/>
      <c r="C39" s="59"/>
      <c r="D39" s="60"/>
      <c r="E39" s="60"/>
      <c r="F39" s="59"/>
      <c r="G39" s="61"/>
      <c r="H39" s="61"/>
      <c r="I39" s="37"/>
      <c r="J39" s="61"/>
      <c r="K39" s="59"/>
      <c r="L39" s="61"/>
      <c r="M39" s="60"/>
      <c r="N39" s="59"/>
      <c r="O39" s="61"/>
      <c r="P39" s="61"/>
      <c r="Q39" s="63"/>
      <c r="R39" s="59"/>
      <c r="S39" s="59"/>
      <c r="T39" s="69"/>
      <c r="U39" s="68"/>
    </row>
    <row r="40" spans="1:32">
      <c r="A40" s="51"/>
      <c r="B40" s="52"/>
      <c r="C40" s="52"/>
      <c r="D40" s="53"/>
      <c r="E40" s="53"/>
      <c r="F40" s="52"/>
      <c r="G40" s="54"/>
      <c r="H40" s="54"/>
      <c r="I40" s="29"/>
      <c r="J40" s="54"/>
      <c r="K40" s="52"/>
      <c r="L40" s="54"/>
      <c r="M40" s="53"/>
      <c r="N40" s="52"/>
      <c r="O40" s="54"/>
      <c r="P40" s="54"/>
      <c r="Q40" s="56"/>
      <c r="R40" s="52"/>
      <c r="S40" s="52"/>
      <c r="T40" s="70"/>
      <c r="U40" s="66"/>
    </row>
    <row r="41" spans="1:32">
      <c r="A41" s="58"/>
      <c r="B41" s="59"/>
      <c r="C41" s="59"/>
      <c r="D41" s="60"/>
      <c r="E41" s="60"/>
      <c r="F41" s="59"/>
      <c r="G41" s="61"/>
      <c r="H41" s="61"/>
      <c r="I41" s="37"/>
      <c r="J41" s="61"/>
      <c r="K41" s="59"/>
      <c r="L41" s="61"/>
      <c r="M41" s="60"/>
      <c r="N41" s="59"/>
      <c r="O41" s="61"/>
      <c r="P41" s="61"/>
      <c r="Q41" s="63"/>
      <c r="R41" s="59"/>
      <c r="S41" s="59"/>
      <c r="T41" s="69"/>
      <c r="U41" s="68"/>
    </row>
    <row r="42" spans="1:32">
      <c r="A42" s="51"/>
      <c r="B42" s="52"/>
      <c r="C42" s="52"/>
      <c r="D42" s="53"/>
      <c r="E42" s="53"/>
      <c r="F42" s="52"/>
      <c r="G42" s="54"/>
      <c r="H42" s="54"/>
      <c r="I42" s="29"/>
      <c r="J42" s="54"/>
      <c r="K42" s="52"/>
      <c r="L42" s="54"/>
      <c r="M42" s="53"/>
      <c r="N42" s="52"/>
      <c r="O42" s="54"/>
      <c r="P42" s="54"/>
      <c r="Q42" s="56"/>
      <c r="R42" s="52"/>
      <c r="S42" s="52"/>
      <c r="T42" s="70"/>
      <c r="U42" s="66"/>
    </row>
    <row r="43" spans="1:32">
      <c r="A43" s="58"/>
      <c r="B43" s="59"/>
      <c r="C43" s="59"/>
      <c r="D43" s="60"/>
      <c r="E43" s="60"/>
      <c r="F43" s="59"/>
      <c r="G43" s="61"/>
      <c r="H43" s="61"/>
      <c r="I43" s="37"/>
      <c r="J43" s="61"/>
      <c r="K43" s="59"/>
      <c r="L43" s="61"/>
      <c r="M43" s="60"/>
      <c r="N43" s="59"/>
      <c r="O43" s="61"/>
      <c r="P43" s="61"/>
      <c r="Q43" s="63"/>
      <c r="R43" s="59"/>
      <c r="S43" s="59"/>
      <c r="T43" s="69"/>
      <c r="U43" s="68"/>
    </row>
    <row r="44" spans="1:32">
      <c r="A44" s="51"/>
      <c r="B44" s="52"/>
      <c r="C44" s="52"/>
      <c r="D44" s="53"/>
      <c r="E44" s="53"/>
      <c r="F44" s="52"/>
      <c r="G44" s="54"/>
      <c r="H44" s="54"/>
      <c r="I44" s="29"/>
      <c r="J44" s="54"/>
      <c r="K44" s="52"/>
      <c r="L44" s="54"/>
      <c r="M44" s="53"/>
      <c r="N44" s="52"/>
      <c r="O44" s="54"/>
      <c r="P44" s="54"/>
      <c r="Q44" s="56"/>
      <c r="R44" s="52"/>
      <c r="S44" s="52"/>
      <c r="T44" s="70"/>
      <c r="U44" s="66"/>
    </row>
    <row r="45" spans="1:32">
      <c r="A45" s="58"/>
      <c r="B45" s="59"/>
      <c r="C45" s="59"/>
      <c r="D45" s="60"/>
      <c r="E45" s="60"/>
      <c r="F45" s="59"/>
      <c r="G45" s="61"/>
      <c r="H45" s="61"/>
      <c r="I45" s="37"/>
      <c r="J45" s="61"/>
      <c r="K45" s="59"/>
      <c r="L45" s="61"/>
      <c r="M45" s="60"/>
      <c r="N45" s="59"/>
      <c r="O45" s="61"/>
      <c r="P45" s="61"/>
      <c r="Q45" s="63"/>
      <c r="R45" s="59"/>
      <c r="S45" s="59"/>
      <c r="T45" s="69"/>
      <c r="U45" s="68"/>
    </row>
    <row r="46" spans="1:32">
      <c r="A46" s="51"/>
      <c r="B46" s="52"/>
      <c r="C46" s="52"/>
      <c r="D46" s="53"/>
      <c r="E46" s="53"/>
      <c r="F46" s="52"/>
      <c r="G46" s="54"/>
      <c r="H46" s="54"/>
      <c r="I46" s="29"/>
      <c r="J46" s="54"/>
      <c r="K46" s="52"/>
      <c r="L46" s="54"/>
      <c r="M46" s="53"/>
      <c r="N46" s="52"/>
      <c r="O46" s="54"/>
      <c r="P46" s="54"/>
      <c r="Q46" s="56"/>
      <c r="R46" s="52"/>
      <c r="S46" s="52"/>
      <c r="T46" s="70"/>
      <c r="U46" s="66"/>
      <c r="AD46" s="5"/>
    </row>
    <row r="47" spans="1:32">
      <c r="A47" s="71"/>
      <c r="B47" s="20"/>
      <c r="C47" s="20"/>
      <c r="D47" s="72"/>
      <c r="E47" s="72"/>
      <c r="F47" s="20"/>
      <c r="G47" s="73"/>
      <c r="H47" s="73"/>
      <c r="I47" s="74"/>
      <c r="J47" s="73"/>
      <c r="K47" s="20"/>
      <c r="L47" s="73"/>
      <c r="M47" s="72"/>
      <c r="N47" s="20"/>
      <c r="O47" s="73" t="s">
        <v>319</v>
      </c>
      <c r="P47" s="73" t="s">
        <v>320</v>
      </c>
      <c r="Q47" s="20"/>
      <c r="R47" s="20"/>
      <c r="S47" s="20"/>
      <c r="T47" s="75"/>
      <c r="U47" s="76"/>
    </row>
    <row r="50" spans="6:21" ht="21">
      <c r="F50" s="6" t="s">
        <v>193</v>
      </c>
      <c r="G50" s="7">
        <f>SUM(G2:G49)</f>
        <v>10335</v>
      </c>
      <c r="H50" s="7">
        <f>SUM(H2:H49)</f>
        <v>4035.75</v>
      </c>
      <c r="I50" s="8">
        <f>SUM(I2:I49)</f>
        <v>2024676.25</v>
      </c>
      <c r="J50" s="7"/>
    </row>
    <row r="57" spans="6:21">
      <c r="T57" s="11" t="s">
        <v>477</v>
      </c>
      <c r="U57" s="14" t="s">
        <v>476</v>
      </c>
    </row>
  </sheetData>
  <autoFilter ref="A1:AF37" xr:uid="{00000000-0001-0000-0000-000000000000}"/>
  <phoneticPr fontId="18" type="noConversion"/>
  <hyperlinks>
    <hyperlink ref="Q9" r:id="rId1" display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xr:uid="{00000000-0004-0000-0000-000000000000}"/>
    <hyperlink ref="Q4" r:id="rId2" xr:uid="{00000000-0004-0000-0000-000002000000}"/>
    <hyperlink ref="Q21" r:id="rId3" xr:uid="{00000000-0004-0000-0000-000003000000}"/>
    <hyperlink ref="Q7" r:id="rId4" xr:uid="{00000000-0004-0000-0000-000004000000}"/>
    <hyperlink ref="Q10" r:id="rId5" xr:uid="{00000000-0004-0000-0000-000005000000}"/>
    <hyperlink ref="Q11" r:id="rId6" xr:uid="{00000000-0004-0000-0000-000007000000}"/>
    <hyperlink ref="Q5" r:id="rId7" display="https://www.google.fr/maps/place/Les+Entreprises+Tzanet/@45.563041,-73.7008035,13z/data=!4m9!1m2!2m1!1stzanet!3m5!1s0x4cc918f3f22a80a9:0xc62c2032f37672a4!8m2!3d45.5332363!4d-73.6628473!15sCgZ0emFuZXQiA4gBAVoIIgZ0emFuZXSSARRraXRjaGVuX3N1cHBseV9zdG9yZeABAA!5m1!1e1?hl=fr" xr:uid="{00000000-0004-0000-0000-000008000000}"/>
    <hyperlink ref="Q20" r:id="rId8" xr:uid="{00000000-0004-0000-0000-00000A000000}"/>
    <hyperlink ref="Q15" r:id="rId9" xr:uid="{00000000-0004-0000-0000-00000B000000}"/>
    <hyperlink ref="Q6" r:id="rId10" display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xr:uid="{00000000-0004-0000-0000-00000C000000}"/>
    <hyperlink ref="Q34" r:id="rId11" xr:uid="{D246A5D5-F6C3-4976-AB4B-A0A59FEB5324}"/>
    <hyperlink ref="Q35" r:id="rId12" xr:uid="{2B5FAE6B-8D02-4142-B7A0-D8FB540EC8A6}"/>
    <hyperlink ref="Q36" r:id="rId13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07C7217A-CD5A-41B1-A38E-1D583CED0491}"/>
    <hyperlink ref="Q37" r:id="rId14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07B47B4C-A2CF-4C4B-A86F-BD1234D9F4EB}"/>
    <hyperlink ref="Q3" r:id="rId15" display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" xr:uid="{57F48900-B8DA-4BB9-AE3C-D331B31A62A2}"/>
    <hyperlink ref="Q2" r:id="rId16" display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" xr:uid="{E2CD736B-AC4C-4D6C-BB36-45CB3F4A6C55}"/>
    <hyperlink ref="Q8" r:id="rId17" xr:uid="{E7F6579D-E5A8-4501-9D2F-0DD45106FCAD}"/>
    <hyperlink ref="Q16" r:id="rId18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7FA71D2-E016-442D-81E9-BE6EAB5D32E4}"/>
    <hyperlink ref="Q17" r:id="rId19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A449FB54-BFA2-49A7-96A4-ED4A6F4B8CCC}"/>
    <hyperlink ref="Q18" r:id="rId20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D3F1EDE6-906E-4B1A-963A-7CB99880B400}"/>
    <hyperlink ref="Q14" r:id="rId21" display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" xr:uid="{2918B7BF-6F52-436F-A433-4AA805343170}"/>
    <hyperlink ref="Q12" r:id="rId22" xr:uid="{BA26951F-9F8C-40E9-BB35-5DB4C2F0CFCF}"/>
    <hyperlink ref="Q13" r:id="rId23" xr:uid="{CAB178BF-E224-4161-A8A1-B3A567132164}"/>
    <hyperlink ref="U22" r:id="rId24" xr:uid="{BE99DDD7-1698-4A16-BB19-D3427F3A2F73}"/>
    <hyperlink ref="U21" r:id="rId25" xr:uid="{4A634F4A-14F2-4120-A7A4-B55D7F98E8B0}"/>
    <hyperlink ref="U10" r:id="rId26" xr:uid="{56AC02A9-CDDC-48F6-A205-2F53E58CE26B}"/>
    <hyperlink ref="U6" r:id="rId27" xr:uid="{AC078D98-3E88-4FB8-BC94-8F60F49C0C3E}"/>
    <hyperlink ref="U15" r:id="rId28" xr:uid="{AE0926AF-0D4F-4175-8922-ADE5E63DEDC2}"/>
    <hyperlink ref="U9" r:id="rId29" xr:uid="{FCA5533E-ECBF-41F2-AE76-BECBB99AA3EA}"/>
    <hyperlink ref="U7" r:id="rId30" xr:uid="{B36E3134-6C98-4F07-8B89-8C34E9546693}"/>
    <hyperlink ref="U8" r:id="rId31" xr:uid="{F7697C27-23E1-46D7-A156-D9EBB9935C14}"/>
    <hyperlink ref="U2" r:id="rId32" xr:uid="{EE6BC8DA-22DE-4CC4-A7DF-CCB1261F763D}"/>
    <hyperlink ref="U3" r:id="rId33" xr:uid="{546CF0FA-5080-42E9-B7C6-A05D752DB590}"/>
    <hyperlink ref="U18" r:id="rId34" xr:uid="{1A06EE69-A02F-4AD1-9841-3F56CBEE5324}"/>
    <hyperlink ref="U16" r:id="rId35" xr:uid="{4E9D6236-4FA9-4892-970A-18063817DFA2}"/>
    <hyperlink ref="U17" r:id="rId36" xr:uid="{E9594A89-30B1-40E5-BB84-805BCCCB82A0}"/>
    <hyperlink ref="U11" r:id="rId37" xr:uid="{222A2A18-77BB-424D-BEE8-1AF6BCDBD7A5}"/>
    <hyperlink ref="U19" r:id="rId38" xr:uid="{E8923AEC-D7E5-4E27-8D0D-2069DF864B54}"/>
    <hyperlink ref="U13" r:id="rId39" xr:uid="{DCDC129F-53BE-4F51-A521-48EBB5492834}"/>
    <hyperlink ref="U14" r:id="rId40" xr:uid="{128C8243-3300-43A2-8C41-9CC19D6328F1}"/>
    <hyperlink ref="U4" r:id="rId41" xr:uid="{F165E2D2-FA93-462E-9F63-9A1F20C9B082}"/>
    <hyperlink ref="U5" r:id="rId42" xr:uid="{FECCE0F5-11B9-432A-A29C-0E77399D40E6}"/>
    <hyperlink ref="U12" r:id="rId43" xr:uid="{CA8AA73A-258E-495B-B927-A9B5C55093B6}"/>
    <hyperlink ref="U20" r:id="rId44" xr:uid="{21279F06-E318-4546-B7D1-03A7336EA700}"/>
    <hyperlink ref="U23" r:id="rId45" xr:uid="{FCA58D18-2FFA-498B-83B5-99A3418E9927}"/>
    <hyperlink ref="U57" r:id="rId46" xr:uid="{979ED01C-1309-442D-84F1-B2CC21F27EBC}"/>
    <hyperlink ref="Q31" r:id="rId47" display="https://www.google.fr/maps/dir/797+Av+Champagneur,+Outremont,+QC+H2V+3P9,+Canada/Eurodib+Inc,+120+Rue+de+la+Barre,+Boucherville,+QC+J4B+1K7/@45.5538378,-73.5716546,13z/data=!3m1!4b1!4m14!4m13!1m5!1m1!1s0x4cc9199df415bf25:0xcb07aea7e269d177!2m2!1d-73.6130895!2d45.5219584!1m5!1m1!1s0x4cc91d2f1ce9d145:0xedb589aa7dc0d46f!2m2!1d-73.460056!2d45.583753!3e0!5m1!1e1?hl=fr" xr:uid="{2C9653C6-21D1-4AFA-9B6B-47EDF6EBA8DF}"/>
    <hyperlink ref="Q32" r:id="rId48" display="https://www.google.fr/maps/dir/797+Av+Champagneur,+Outremont,+QC+H2V+3P9,+Canada/Eurodib+Inc,+120+Rue+de+la+Barre,+Boucherville,+QC+J4B+1K7/@45.5538378,-73.5716546,13z/data=!3m1!4b1!4m14!4m13!1m5!1m1!1s0x4cc9199df415bf25:0xcb07aea7e269d177!2m2!1d-73.6130895!2d45.5219584!1m5!1m1!1s0x4cc91d2f1ce9d145:0xedb589aa7dc0d46f!2m2!1d-73.460056!2d45.583753!3e0!5m1!1e1?hl=fr" xr:uid="{2190947E-4AE3-4A04-AC45-82D14FBD8EC9}"/>
    <hyperlink ref="U31" r:id="rId49" xr:uid="{BB629CED-A2AC-4836-B75A-19F276478722}"/>
    <hyperlink ref="T31" r:id="rId50" display="https://www.google.fr/maps/place/120+Rue+de+la+Barre,+Boucherville,+QC+J4B+2X7/@45.5834577,-73.4627125,17z/data=!3m1!4b1!4m5!3m4!1s0x4cc91d3438c5df99:0xff0a7ab662f3edd7!8m2!3d45.5834577!4d-73.4605238!5m1!1e1?hl=fr" xr:uid="{5AD923D0-D50B-4FB4-B625-D8597A8EDE3D}"/>
    <hyperlink ref="T32" r:id="rId51" display="https://www.google.fr/maps/place/120+Rue+de+la+Barre,+Boucherville,+QC+J4B+2X7/@45.5834577,-73.4627125,17z/data=!3m1!4b1!4m5!3m4!1s0x4cc91d3438c5df99:0xff0a7ab662f3edd7!8m2!3d45.5834577!4d-73.4605238!5m1!1e1?hl=fr" xr:uid="{5481AE1C-99E9-4015-8732-937D257491D4}"/>
    <hyperlink ref="U30" r:id="rId52" xr:uid="{BD44AB3E-2DD1-4FB7-A93D-DE625692634E}"/>
    <hyperlink ref="U32" r:id="rId53" xr:uid="{97B4B660-E13E-45E2-824A-B991FD98E211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A034-29A4-405C-B05A-4C8DD17D6A62}">
  <sheetPr codeName="Sheet3"/>
  <dimension ref="A1:Q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0" sqref="B10"/>
    </sheetView>
  </sheetViews>
  <sheetFormatPr defaultColWidth="8.88671875" defaultRowHeight="14.4"/>
  <cols>
    <col min="1" max="1" width="31" style="3" bestFit="1" customWidth="1"/>
    <col min="2" max="2" width="40.5546875" style="3" bestFit="1" customWidth="1"/>
    <col min="3" max="3" width="27.33203125" style="3" bestFit="1" customWidth="1"/>
    <col min="4" max="5" width="10.5546875" style="3" bestFit="1" customWidth="1"/>
    <col min="6" max="6" width="10.44140625" style="3" bestFit="1" customWidth="1"/>
    <col min="7" max="7" width="15.109375" style="3" bestFit="1" customWidth="1"/>
    <col min="8" max="8" width="11" style="3" customWidth="1"/>
    <col min="9" max="9" width="10.5546875" style="3" customWidth="1"/>
    <col min="10" max="10" width="14.6640625" style="3" bestFit="1" customWidth="1"/>
    <col min="11" max="11" width="40" style="3" bestFit="1" customWidth="1"/>
    <col min="12" max="12" width="19" style="3" bestFit="1" customWidth="1"/>
    <col min="13" max="13" width="16.88671875" style="3" bestFit="1" customWidth="1"/>
    <col min="14" max="14" width="10.44140625" style="3" bestFit="1" customWidth="1"/>
    <col min="15" max="16384" width="8.88671875" style="3"/>
  </cols>
  <sheetData>
    <row r="1" spans="1:17" s="2" customFormat="1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15</v>
      </c>
      <c r="N1" s="2" t="s">
        <v>194</v>
      </c>
      <c r="Q1" s="2" t="s">
        <v>195</v>
      </c>
    </row>
    <row r="2" spans="1:17">
      <c r="A2" s="3" t="s">
        <v>42</v>
      </c>
      <c r="B2" s="3" t="s">
        <v>71</v>
      </c>
      <c r="C2" s="3" t="s">
        <v>72</v>
      </c>
      <c r="D2" s="3" t="s">
        <v>196</v>
      </c>
      <c r="E2" s="3" t="s">
        <v>197</v>
      </c>
      <c r="F2" s="3" t="s">
        <v>36</v>
      </c>
      <c r="G2" s="3">
        <v>212</v>
      </c>
      <c r="H2" s="3">
        <v>220.25</v>
      </c>
      <c r="I2" s="4">
        <v>0</v>
      </c>
      <c r="J2" s="3" t="s">
        <v>73</v>
      </c>
      <c r="K2" s="3" t="s">
        <v>74</v>
      </c>
      <c r="L2" s="3" t="s">
        <v>198</v>
      </c>
      <c r="M2" s="3" t="s">
        <v>30</v>
      </c>
      <c r="N2" s="3">
        <v>29684853</v>
      </c>
      <c r="Q2" s="3" t="str">
        <f>_xlfn.XLOOKUP(J2,'Projets Jerome'!$J$2:$J$22,'Projets Jerome'!$C$2:$C$22)</f>
        <v>CMBB Bakeware Canada Inc.</v>
      </c>
    </row>
    <row r="3" spans="1:17">
      <c r="A3" s="3" t="s">
        <v>42</v>
      </c>
      <c r="B3" s="3" t="s">
        <v>88</v>
      </c>
      <c r="C3" s="3" t="s">
        <v>89</v>
      </c>
      <c r="D3" s="9">
        <v>44359</v>
      </c>
      <c r="E3" s="3" t="s">
        <v>197</v>
      </c>
      <c r="F3" s="3" t="s">
        <v>36</v>
      </c>
      <c r="G3" s="3">
        <v>579</v>
      </c>
      <c r="H3" s="3">
        <v>474.25</v>
      </c>
      <c r="I3" s="4">
        <v>0</v>
      </c>
      <c r="J3" s="3" t="s">
        <v>90</v>
      </c>
      <c r="K3" s="3" t="s">
        <v>91</v>
      </c>
      <c r="L3" s="10">
        <v>44359</v>
      </c>
      <c r="M3" s="3" t="s">
        <v>30</v>
      </c>
      <c r="N3" s="3">
        <v>29684857</v>
      </c>
      <c r="Q3" s="3" t="str">
        <f>_xlfn.XLOOKUP(J3,'Projets Jerome'!$J$2:$J$22,'Projets Jerome'!$C$2:$C$22)</f>
        <v>Coco Bakery Inc.</v>
      </c>
    </row>
    <row r="4" spans="1:17">
      <c r="A4" s="3" t="s">
        <v>42</v>
      </c>
      <c r="B4" s="3" t="s">
        <v>78</v>
      </c>
      <c r="C4" s="3" t="s">
        <v>79</v>
      </c>
      <c r="D4" s="9">
        <v>44208</v>
      </c>
      <c r="E4" s="3" t="s">
        <v>199</v>
      </c>
      <c r="F4" s="3" t="s">
        <v>26</v>
      </c>
      <c r="G4" s="3">
        <v>40</v>
      </c>
      <c r="H4" s="3">
        <v>83.75</v>
      </c>
      <c r="I4" s="4">
        <v>0</v>
      </c>
      <c r="J4" s="3" t="s">
        <v>80</v>
      </c>
      <c r="K4" s="3" t="s">
        <v>78</v>
      </c>
      <c r="L4" s="10">
        <v>44239</v>
      </c>
      <c r="M4" s="3" t="s">
        <v>81</v>
      </c>
      <c r="N4" s="3">
        <v>29684859</v>
      </c>
      <c r="Q4" s="3" t="str">
        <f>_xlfn.XLOOKUP(J4,'Projets Jerome'!$J$2:$J$22,'Projets Jerome'!$C$2:$C$22)</f>
        <v>Cowper Inc.</v>
      </c>
    </row>
    <row r="5" spans="1:17">
      <c r="A5" s="3" t="s">
        <v>42</v>
      </c>
      <c r="B5" s="3" t="s">
        <v>85</v>
      </c>
      <c r="C5" s="3" t="s">
        <v>79</v>
      </c>
      <c r="D5" s="3" t="s">
        <v>200</v>
      </c>
      <c r="E5" s="3" t="s">
        <v>201</v>
      </c>
      <c r="F5" s="3" t="s">
        <v>26</v>
      </c>
      <c r="G5" s="3">
        <v>25</v>
      </c>
      <c r="H5" s="3">
        <v>1</v>
      </c>
      <c r="I5" s="4">
        <v>5400</v>
      </c>
      <c r="J5" s="3" t="s">
        <v>86</v>
      </c>
      <c r="K5" s="3" t="s">
        <v>87</v>
      </c>
      <c r="L5" s="3" t="s">
        <v>202</v>
      </c>
      <c r="M5" s="3" t="s">
        <v>81</v>
      </c>
      <c r="N5" s="3">
        <v>29685279</v>
      </c>
      <c r="Q5" s="3" t="str">
        <f>_xlfn.XLOOKUP(J5,'Projets Jerome'!$J$2:$J$22,'Projets Jerome'!$C$2:$C$22)</f>
        <v>Cowper Inc.</v>
      </c>
    </row>
    <row r="6" spans="1:17">
      <c r="A6" s="3" t="s">
        <v>203</v>
      </c>
      <c r="B6" s="3" t="s">
        <v>24</v>
      </c>
      <c r="C6" s="3" t="s">
        <v>25</v>
      </c>
      <c r="D6" s="9">
        <v>43840</v>
      </c>
      <c r="E6" s="3" t="s">
        <v>197</v>
      </c>
      <c r="F6" s="3" t="s">
        <v>26</v>
      </c>
      <c r="G6" s="3">
        <v>456</v>
      </c>
      <c r="H6" s="3">
        <v>612.75</v>
      </c>
      <c r="I6" s="4">
        <v>0</v>
      </c>
      <c r="J6" s="3" t="s">
        <v>28</v>
      </c>
      <c r="K6" s="3" t="s">
        <v>29</v>
      </c>
      <c r="L6" s="10">
        <v>44084</v>
      </c>
      <c r="M6" s="3" t="s">
        <v>30</v>
      </c>
      <c r="N6" s="3">
        <v>29684478</v>
      </c>
      <c r="Q6" s="3" t="str">
        <f>_xlfn.XLOOKUP(J6,'Projets Jerome'!$J$2:$J$22,'Projets Jerome'!$C$2:$C$22)</f>
        <v>Distribution GVA</v>
      </c>
    </row>
    <row r="7" spans="1:17">
      <c r="A7" s="3" t="s">
        <v>42</v>
      </c>
      <c r="B7" s="3" t="s">
        <v>175</v>
      </c>
      <c r="C7" s="3" t="s">
        <v>176</v>
      </c>
      <c r="D7" s="3" t="s">
        <v>204</v>
      </c>
      <c r="E7" s="9">
        <v>45082</v>
      </c>
      <c r="F7" s="3" t="s">
        <v>26</v>
      </c>
      <c r="G7" s="3">
        <v>33</v>
      </c>
      <c r="H7" s="3">
        <v>4.25</v>
      </c>
      <c r="I7" s="4">
        <v>6451.5</v>
      </c>
      <c r="J7" s="3" t="s">
        <v>177</v>
      </c>
      <c r="K7" s="3" t="s">
        <v>178</v>
      </c>
      <c r="L7" s="3" t="s">
        <v>205</v>
      </c>
      <c r="M7" s="3" t="s">
        <v>30</v>
      </c>
      <c r="N7" s="3">
        <v>29685117</v>
      </c>
      <c r="Q7" s="3" t="e">
        <f>_xlfn.XLOOKUP(J7,'Projets Jerome'!$J$2:$J$22,'Projets Jerome'!$C$2:$C$22)</f>
        <v>#N/A</v>
      </c>
    </row>
    <row r="8" spans="1:17">
      <c r="A8" s="3" t="s">
        <v>42</v>
      </c>
      <c r="B8" s="3" t="s">
        <v>43</v>
      </c>
      <c r="C8" s="3" t="s">
        <v>44</v>
      </c>
      <c r="D8" s="3" t="s">
        <v>206</v>
      </c>
      <c r="E8" s="3" t="s">
        <v>197</v>
      </c>
      <c r="F8" s="3" t="s">
        <v>36</v>
      </c>
      <c r="G8" s="3">
        <v>401</v>
      </c>
      <c r="H8" s="3">
        <v>281.75</v>
      </c>
      <c r="I8" s="4">
        <v>0</v>
      </c>
      <c r="J8" s="3" t="s">
        <v>45</v>
      </c>
      <c r="K8" s="3" t="s">
        <v>46</v>
      </c>
      <c r="L8" s="3" t="s">
        <v>207</v>
      </c>
      <c r="M8" s="3" t="s">
        <v>30</v>
      </c>
      <c r="N8" s="3">
        <v>29685238</v>
      </c>
      <c r="Q8" s="3" t="str">
        <f>_xlfn.XLOOKUP(J8,'Projets Jerome'!$J$2:$J$22,'Projets Jerome'!$C$2:$C$22)</f>
        <v>Éditions Chouette</v>
      </c>
    </row>
    <row r="9" spans="1:17">
      <c r="A9" s="3" t="s">
        <v>42</v>
      </c>
      <c r="B9" s="3" t="s">
        <v>57</v>
      </c>
      <c r="C9" s="3" t="s">
        <v>58</v>
      </c>
      <c r="D9" s="9">
        <v>44204</v>
      </c>
      <c r="E9" s="9">
        <v>44689</v>
      </c>
      <c r="F9" s="3" t="s">
        <v>36</v>
      </c>
      <c r="G9" s="3">
        <v>266</v>
      </c>
      <c r="H9" s="3">
        <v>76.75</v>
      </c>
      <c r="I9" s="4">
        <v>0</v>
      </c>
      <c r="J9" s="3" t="s">
        <v>59</v>
      </c>
      <c r="K9" s="3" t="s">
        <v>60</v>
      </c>
      <c r="L9" s="10">
        <v>44294</v>
      </c>
      <c r="M9" s="3" t="s">
        <v>61</v>
      </c>
      <c r="N9" s="3">
        <v>29684804</v>
      </c>
      <c r="Q9" s="3" t="e">
        <f>_xlfn.XLOOKUP(J9,'Projets Jerome'!$J$2:$J$22,'Projets Jerome'!$C$2:$C$22)</f>
        <v>#N/A</v>
      </c>
    </row>
    <row r="10" spans="1:17">
      <c r="A10" s="3" t="s">
        <v>102</v>
      </c>
      <c r="B10" s="3" t="s">
        <v>139</v>
      </c>
      <c r="C10" s="3" t="s">
        <v>140</v>
      </c>
      <c r="D10" s="9">
        <v>44691</v>
      </c>
      <c r="E10" s="9">
        <v>44722</v>
      </c>
      <c r="F10" s="3" t="s">
        <v>26</v>
      </c>
      <c r="G10" s="3">
        <v>16</v>
      </c>
      <c r="H10" s="3">
        <v>11</v>
      </c>
      <c r="I10" s="4">
        <v>0</v>
      </c>
      <c r="J10" s="3" t="s">
        <v>141</v>
      </c>
      <c r="K10" s="3" t="s">
        <v>142</v>
      </c>
      <c r="L10" s="10">
        <v>44691</v>
      </c>
      <c r="M10" s="3" t="s">
        <v>81</v>
      </c>
      <c r="N10" s="3">
        <v>29685243</v>
      </c>
      <c r="Q10" s="3" t="str">
        <f>_xlfn.XLOOKUP(J10,'Projets Jerome'!$J$2:$J$22,'Projets Jerome'!$C$2:$C$22)</f>
        <v>Federal Steel Equipment Ltd.</v>
      </c>
    </row>
    <row r="11" spans="1:17">
      <c r="A11" s="3" t="s">
        <v>203</v>
      </c>
      <c r="B11" s="3" t="s">
        <v>162</v>
      </c>
      <c r="C11" s="3" t="s">
        <v>163</v>
      </c>
      <c r="D11" s="9">
        <v>44572</v>
      </c>
      <c r="E11" s="3" t="s">
        <v>208</v>
      </c>
      <c r="F11" s="3" t="s">
        <v>26</v>
      </c>
      <c r="G11" s="3">
        <v>815</v>
      </c>
      <c r="H11" s="3">
        <v>2.25</v>
      </c>
      <c r="I11" s="4">
        <v>0</v>
      </c>
      <c r="J11" s="3" t="s">
        <v>164</v>
      </c>
      <c r="K11" s="3" t="s">
        <v>165</v>
      </c>
      <c r="L11" s="10">
        <v>44876</v>
      </c>
      <c r="M11" s="3" t="s">
        <v>30</v>
      </c>
      <c r="N11" s="3">
        <v>29685265</v>
      </c>
      <c r="Q11" s="3" t="str">
        <f>_xlfn.XLOOKUP(J11,'Projets Jerome'!$J$2:$J$22,'Projets Jerome'!$C$2:$C$22)</f>
        <v>Fromagerie Polyethnique Inc</v>
      </c>
    </row>
    <row r="12" spans="1:17">
      <c r="A12" s="3" t="s">
        <v>102</v>
      </c>
      <c r="B12" s="3" t="s">
        <v>103</v>
      </c>
      <c r="C12" s="3" t="s">
        <v>104</v>
      </c>
      <c r="D12" s="9">
        <v>44562</v>
      </c>
      <c r="E12" s="9">
        <v>45048</v>
      </c>
      <c r="F12" s="3" t="s">
        <v>36</v>
      </c>
      <c r="G12" s="3">
        <v>24</v>
      </c>
      <c r="H12" s="3">
        <v>6.5</v>
      </c>
      <c r="I12" s="4">
        <v>0</v>
      </c>
      <c r="J12" s="3" t="s">
        <v>105</v>
      </c>
      <c r="K12" s="3" t="s">
        <v>106</v>
      </c>
      <c r="L12" s="10">
        <v>44835</v>
      </c>
      <c r="M12" s="3" t="s">
        <v>30</v>
      </c>
      <c r="N12" s="3">
        <v>29685103</v>
      </c>
      <c r="Q12" s="3" t="str">
        <f>_xlfn.XLOOKUP(J12,'Projets Jerome'!$J$2:$J$22,'Projets Jerome'!$C$2:$C$22)</f>
        <v>Gazebo Penguin Inc.</v>
      </c>
    </row>
    <row r="13" spans="1:17">
      <c r="A13" s="3" t="s">
        <v>203</v>
      </c>
      <c r="B13" s="3" t="s">
        <v>169</v>
      </c>
      <c r="C13" s="3" t="s">
        <v>170</v>
      </c>
      <c r="D13" s="9">
        <v>44905</v>
      </c>
      <c r="E13" s="3" t="s">
        <v>209</v>
      </c>
      <c r="F13" s="3" t="s">
        <v>36</v>
      </c>
      <c r="G13" s="3">
        <v>983</v>
      </c>
      <c r="H13" s="3">
        <v>142.75</v>
      </c>
      <c r="I13" s="4">
        <v>0</v>
      </c>
      <c r="J13" s="3" t="s">
        <v>171</v>
      </c>
      <c r="K13" s="3" t="s">
        <v>169</v>
      </c>
      <c r="L13" s="10">
        <v>44905</v>
      </c>
      <c r="M13" s="3" t="s">
        <v>30</v>
      </c>
      <c r="N13" s="3">
        <v>29685241</v>
      </c>
      <c r="Q13" s="3" t="str">
        <f>_xlfn.XLOOKUP(J13,'Projets Jerome'!$J$2:$J$22,'Projets Jerome'!$C$2:$C$22)</f>
        <v>Groupe Carreaux Céragrès Inc.</v>
      </c>
    </row>
    <row r="14" spans="1:17">
      <c r="A14" s="3" t="s">
        <v>42</v>
      </c>
      <c r="B14" s="3" t="s">
        <v>160</v>
      </c>
      <c r="C14" s="3" t="s">
        <v>134</v>
      </c>
      <c r="D14" s="3" t="s">
        <v>210</v>
      </c>
      <c r="E14" s="3" t="s">
        <v>211</v>
      </c>
      <c r="F14" s="3" t="s">
        <v>26</v>
      </c>
      <c r="G14" s="3">
        <v>166</v>
      </c>
      <c r="H14" s="3">
        <v>24.75</v>
      </c>
      <c r="I14" s="4">
        <v>0</v>
      </c>
      <c r="J14" s="3" t="s">
        <v>161</v>
      </c>
      <c r="K14" s="3" t="s">
        <v>160</v>
      </c>
      <c r="L14" s="3" t="s">
        <v>212</v>
      </c>
      <c r="M14" s="3" t="s">
        <v>81</v>
      </c>
      <c r="N14" s="3">
        <v>29685255</v>
      </c>
      <c r="Q14" s="3" t="str">
        <f>_xlfn.XLOOKUP(J14,'Projets Jerome'!$J$2:$J$22,'Projets Jerome'!$C$2:$C$22)</f>
        <v>Laiterie de Coaticook ltée</v>
      </c>
    </row>
    <row r="15" spans="1:17">
      <c r="A15" s="3" t="s">
        <v>42</v>
      </c>
      <c r="B15" s="3" t="s">
        <v>133</v>
      </c>
      <c r="C15" s="3" t="s">
        <v>134</v>
      </c>
      <c r="D15" s="3" t="s">
        <v>213</v>
      </c>
      <c r="E15" s="3" t="s">
        <v>197</v>
      </c>
      <c r="F15" s="3" t="s">
        <v>26</v>
      </c>
      <c r="G15" s="3">
        <v>56</v>
      </c>
      <c r="H15" s="3">
        <v>68.75</v>
      </c>
      <c r="I15" s="4">
        <v>0</v>
      </c>
      <c r="J15" s="3" t="s">
        <v>135</v>
      </c>
      <c r="K15" s="3" t="s">
        <v>133</v>
      </c>
      <c r="L15" s="3" t="s">
        <v>214</v>
      </c>
      <c r="M15" s="3" t="s">
        <v>81</v>
      </c>
      <c r="N15" s="3">
        <v>29685240</v>
      </c>
      <c r="Q15" s="3" t="str">
        <f>_xlfn.XLOOKUP(J15,'Projets Jerome'!$J$2:$J$22,'Projets Jerome'!$C$2:$C$22)</f>
        <v>Laiterie de Coaticook ltée</v>
      </c>
    </row>
    <row r="16" spans="1:17">
      <c r="A16" s="3" t="s">
        <v>42</v>
      </c>
      <c r="B16" s="3" t="s">
        <v>95</v>
      </c>
      <c r="C16" s="3" t="s">
        <v>96</v>
      </c>
      <c r="D16" s="9">
        <v>44621</v>
      </c>
      <c r="E16" s="3" t="s">
        <v>215</v>
      </c>
      <c r="F16" s="3" t="s">
        <v>36</v>
      </c>
      <c r="G16" s="3">
        <v>38</v>
      </c>
      <c r="H16" s="3">
        <v>20.75</v>
      </c>
      <c r="I16" s="4">
        <v>0</v>
      </c>
      <c r="J16" s="3" t="s">
        <v>97</v>
      </c>
      <c r="K16" s="3" t="s">
        <v>98</v>
      </c>
      <c r="L16" s="10">
        <v>44652</v>
      </c>
      <c r="M16" s="3" t="s">
        <v>61</v>
      </c>
      <c r="N16" s="3">
        <v>29685098</v>
      </c>
      <c r="Q16" s="3" t="str">
        <f>_xlfn.XLOOKUP(J16,'Projets Jerome'!$J$2:$J$22,'Projets Jerome'!$C$2:$C$22)</f>
        <v>Les Aliments CDS inc.</v>
      </c>
    </row>
    <row r="17" spans="1:17">
      <c r="A17" s="3" t="s">
        <v>203</v>
      </c>
      <c r="B17" s="3" t="s">
        <v>119</v>
      </c>
      <c r="C17" s="3" t="s">
        <v>120</v>
      </c>
      <c r="D17" s="9">
        <v>44809</v>
      </c>
      <c r="E17" s="3" t="s">
        <v>216</v>
      </c>
      <c r="F17" s="3" t="s">
        <v>36</v>
      </c>
      <c r="G17" s="3">
        <v>230</v>
      </c>
      <c r="H17" s="3">
        <v>123</v>
      </c>
      <c r="I17" s="4">
        <v>0</v>
      </c>
      <c r="J17" s="3" t="s">
        <v>121</v>
      </c>
      <c r="K17" s="3" t="s">
        <v>122</v>
      </c>
      <c r="L17" s="3" t="s">
        <v>217</v>
      </c>
      <c r="M17" s="3" t="s">
        <v>30</v>
      </c>
      <c r="N17" s="3">
        <v>29685185</v>
      </c>
      <c r="Q17" s="3" t="str">
        <f>_xlfn.XLOOKUP(J17,'Projets Jerome'!$J$2:$J$22,'Projets Jerome'!$C$2:$C$22)</f>
        <v>Lovato Electric Inc. (USA)</v>
      </c>
    </row>
    <row r="18" spans="1:17">
      <c r="A18" s="3" t="s">
        <v>42</v>
      </c>
      <c r="B18" s="3" t="s">
        <v>126</v>
      </c>
      <c r="C18" s="3" t="s">
        <v>127</v>
      </c>
      <c r="D18" s="3" t="s">
        <v>213</v>
      </c>
      <c r="E18" s="3" t="s">
        <v>218</v>
      </c>
      <c r="F18" s="3" t="s">
        <v>36</v>
      </c>
      <c r="G18" s="3">
        <v>407</v>
      </c>
      <c r="H18" s="3">
        <v>32.75</v>
      </c>
      <c r="I18" s="4">
        <v>0</v>
      </c>
      <c r="J18" s="3" t="s">
        <v>128</v>
      </c>
      <c r="K18" s="3" t="s">
        <v>129</v>
      </c>
      <c r="L18" s="3" t="s">
        <v>219</v>
      </c>
      <c r="M18" s="3" t="s">
        <v>30</v>
      </c>
      <c r="N18" s="3">
        <v>29685237</v>
      </c>
      <c r="Q18" s="3" t="str">
        <f>_xlfn.XLOOKUP(J18,'Projets Jerome'!$J$2:$J$22,'Projets Jerome'!$C$2:$C$22)</f>
        <v>Megastar Électroniques Inc.</v>
      </c>
    </row>
    <row r="19" spans="1:17">
      <c r="A19" s="3" t="s">
        <v>42</v>
      </c>
      <c r="B19" s="3" t="s">
        <v>50</v>
      </c>
      <c r="C19" s="3" t="s">
        <v>51</v>
      </c>
      <c r="D19" s="3" t="s">
        <v>220</v>
      </c>
      <c r="E19" s="3" t="s">
        <v>197</v>
      </c>
      <c r="F19" s="3" t="s">
        <v>36</v>
      </c>
      <c r="G19" s="3">
        <v>781</v>
      </c>
      <c r="H19" s="3">
        <v>791.5</v>
      </c>
      <c r="I19" s="4">
        <v>0</v>
      </c>
      <c r="J19" s="3" t="s">
        <v>52</v>
      </c>
      <c r="K19" s="3" t="s">
        <v>53</v>
      </c>
      <c r="L19" s="3" t="s">
        <v>221</v>
      </c>
      <c r="M19" s="3" t="s">
        <v>30</v>
      </c>
      <c r="N19" s="3">
        <v>29684798</v>
      </c>
      <c r="Q19" s="3" t="str">
        <f>_xlfn.XLOOKUP(J19,'Projets Jerome'!$J$2:$J$22,'Projets Jerome'!$C$2:$C$22)</f>
        <v>O&amp;T Farms</v>
      </c>
    </row>
    <row r="20" spans="1:17">
      <c r="A20" s="3" t="s">
        <v>203</v>
      </c>
      <c r="B20" s="3" t="s">
        <v>34</v>
      </c>
      <c r="C20" s="3" t="s">
        <v>35</v>
      </c>
      <c r="D20" s="9">
        <v>44504</v>
      </c>
      <c r="E20" s="3" t="s">
        <v>197</v>
      </c>
      <c r="F20" s="3" t="s">
        <v>36</v>
      </c>
      <c r="G20" s="3">
        <v>207</v>
      </c>
      <c r="H20" s="3">
        <v>171</v>
      </c>
      <c r="I20" s="4">
        <v>0</v>
      </c>
      <c r="J20" s="3" t="s">
        <v>37</v>
      </c>
      <c r="K20" s="3" t="s">
        <v>38</v>
      </c>
      <c r="L20" s="10">
        <v>44504</v>
      </c>
      <c r="M20" s="3" t="s">
        <v>30</v>
      </c>
      <c r="N20" s="3">
        <v>29684754</v>
      </c>
      <c r="Q20" s="3" t="e">
        <f>_xlfn.XLOOKUP(J20,'Projets Jerome'!$J$2:$J$22,'Projets Jerome'!$C$2:$C$22)</f>
        <v>#N/A</v>
      </c>
    </row>
    <row r="21" spans="1:17">
      <c r="A21" s="3" t="s">
        <v>42</v>
      </c>
      <c r="B21" s="3" t="s">
        <v>57</v>
      </c>
      <c r="C21" s="3" t="s">
        <v>65</v>
      </c>
      <c r="D21" s="9">
        <v>44205</v>
      </c>
      <c r="E21" s="3" t="s">
        <v>197</v>
      </c>
      <c r="F21" s="3" t="s">
        <v>26</v>
      </c>
      <c r="G21" s="3">
        <v>200</v>
      </c>
      <c r="H21" s="3">
        <v>110.5</v>
      </c>
      <c r="I21" s="4">
        <v>0</v>
      </c>
      <c r="J21" s="3" t="s">
        <v>66</v>
      </c>
      <c r="K21" s="3" t="s">
        <v>67</v>
      </c>
      <c r="L21" s="3" t="s">
        <v>222</v>
      </c>
      <c r="M21" s="3" t="s">
        <v>61</v>
      </c>
      <c r="N21" s="3">
        <v>29684829</v>
      </c>
      <c r="Q21" s="3" t="str">
        <f>_xlfn.XLOOKUP(J21,'Projets Jerome'!$J$2:$J$22,'Projets Jerome'!$C$2:$C$22)</f>
        <v>Tzanet</v>
      </c>
    </row>
    <row r="22" spans="1:17">
      <c r="A22" s="3" t="s">
        <v>42</v>
      </c>
      <c r="B22" s="3" t="s">
        <v>110</v>
      </c>
      <c r="C22" s="3" t="s">
        <v>111</v>
      </c>
      <c r="D22" s="3" t="s">
        <v>223</v>
      </c>
      <c r="E22" s="3" t="s">
        <v>224</v>
      </c>
      <c r="F22" s="3" t="s">
        <v>26</v>
      </c>
      <c r="G22" s="3">
        <v>21</v>
      </c>
      <c r="H22" s="3">
        <v>5.25</v>
      </c>
      <c r="I22" s="4">
        <v>0</v>
      </c>
      <c r="J22" s="3" t="s">
        <v>113</v>
      </c>
      <c r="K22" s="3" t="s">
        <v>114</v>
      </c>
      <c r="L22" s="3" t="s">
        <v>225</v>
      </c>
      <c r="M22" s="3" t="s">
        <v>115</v>
      </c>
      <c r="N22" s="3">
        <v>29685081</v>
      </c>
      <c r="Q22" s="3" t="str">
        <f>_xlfn.XLOOKUP(J22,'Projets Jerome'!$J$2:$J$22,'Projets Jerome'!$C$2:$C$22)</f>
        <v>Walt's Wholesale Meats</v>
      </c>
    </row>
  </sheetData>
  <autoFilter ref="A1:Q22" xr:uid="{2B85A034-29A4-405C-B05A-4C8DD17D6A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7A1-5E5F-426D-9D38-9B71B1F2530B}">
  <dimension ref="A1:BH59"/>
  <sheetViews>
    <sheetView zoomScale="73" zoomScaleNormal="85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I32" sqref="I32"/>
    </sheetView>
  </sheetViews>
  <sheetFormatPr defaultColWidth="8.88671875" defaultRowHeight="14.4" outlineLevelCol="1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3" customWidth="1" outlineLevel="1"/>
    <col min="8" max="8" width="11" style="3" customWidth="1" outlineLevel="1"/>
    <col min="9" max="9" width="15" style="3" customWidth="1" outlineLevel="1"/>
    <col min="10" max="10" width="21.6640625" style="3" bestFit="1" customWidth="1" outlineLevel="1"/>
    <col min="11" max="11" width="35.6640625" style="1" customWidth="1" outlineLevel="1"/>
    <col min="12" max="12" width="16.88671875" style="3" customWidth="1" outlineLevel="1"/>
    <col min="13" max="13" width="19" style="1" customWidth="1" outlineLevel="1"/>
    <col min="14" max="14" width="17.88671875" style="1" customWidth="1" outlineLevel="1"/>
    <col min="15" max="15" width="17.6640625" style="3" bestFit="1" customWidth="1" outlineLevel="1"/>
    <col min="16" max="16" width="15.44140625" style="3" bestFit="1" customWidth="1" outlineLevel="1"/>
    <col min="17" max="17" width="53.5546875" style="1" customWidth="1" outlineLevel="1"/>
    <col min="18" max="18" width="12.6640625" style="1" bestFit="1" customWidth="1" outlineLevel="1"/>
    <col min="19" max="19" width="13" style="1" customWidth="1" outlineLevel="1"/>
    <col min="20" max="20" width="30.6640625" style="1" customWidth="1" outlineLevel="1"/>
    <col min="21" max="27" width="8.88671875" style="1"/>
    <col min="28" max="28" width="18.21875" style="1" customWidth="1"/>
    <col min="29" max="30" width="8.88671875" style="1"/>
    <col min="31" max="31" width="22.6640625" style="1" customWidth="1"/>
    <col min="32" max="35" width="9.88671875" style="1" customWidth="1"/>
    <col min="36" max="36" width="8.88671875" style="1"/>
    <col min="37" max="40" width="12.33203125" style="1" bestFit="1" customWidth="1"/>
    <col min="41" max="41" width="10" style="3" bestFit="1" customWidth="1"/>
    <col min="42" max="42" width="10" style="3" customWidth="1"/>
    <col min="43" max="43" width="13.33203125" style="1" bestFit="1" customWidth="1"/>
    <col min="44" max="48" width="8.88671875" style="1"/>
    <col min="49" max="49" width="11.5546875" style="1" customWidth="1"/>
    <col min="50" max="50" width="10.6640625" style="1" bestFit="1" customWidth="1"/>
    <col min="51" max="51" width="11.33203125" style="1" bestFit="1" customWidth="1"/>
    <col min="52" max="52" width="11.5546875" style="1" customWidth="1"/>
    <col min="53" max="53" width="11.33203125" style="1" bestFit="1" customWidth="1"/>
    <col min="54" max="57" width="12.33203125" style="1" bestFit="1" customWidth="1"/>
    <col min="58" max="58" width="11.109375" style="1" bestFit="1" customWidth="1"/>
    <col min="59" max="59" width="11.44140625" style="1" bestFit="1" customWidth="1"/>
    <col min="60" max="60" width="12.33203125" style="1" bestFit="1" customWidth="1"/>
    <col min="61" max="16384" width="8.88671875" style="1"/>
  </cols>
  <sheetData>
    <row r="1" spans="1:60" s="2" customFormat="1" ht="43.8" thickBot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10</v>
      </c>
      <c r="J1" s="78" t="s">
        <v>11</v>
      </c>
      <c r="K1" s="78" t="s">
        <v>12</v>
      </c>
      <c r="L1" s="78" t="s">
        <v>13</v>
      </c>
      <c r="M1" s="78" t="s">
        <v>14</v>
      </c>
      <c r="N1" s="78" t="s">
        <v>15</v>
      </c>
      <c r="O1" s="78" t="s">
        <v>321</v>
      </c>
      <c r="P1" s="78" t="s">
        <v>9</v>
      </c>
      <c r="Q1" s="78" t="s">
        <v>16</v>
      </c>
      <c r="R1" s="78" t="s">
        <v>17</v>
      </c>
      <c r="S1" s="78" t="s">
        <v>18</v>
      </c>
      <c r="T1" s="78" t="s">
        <v>19</v>
      </c>
      <c r="U1" s="79" t="s">
        <v>20</v>
      </c>
      <c r="X1" s="2" t="s">
        <v>238</v>
      </c>
      <c r="Y1" s="2" t="s">
        <v>239</v>
      </c>
      <c r="AB1" s="15" t="s">
        <v>250</v>
      </c>
      <c r="AC1" s="16" t="s">
        <v>251</v>
      </c>
      <c r="AD1" s="16" t="s">
        <v>252</v>
      </c>
      <c r="AE1" s="17" t="s">
        <v>253</v>
      </c>
      <c r="AF1" s="15" t="s">
        <v>241</v>
      </c>
      <c r="AG1" s="16" t="s">
        <v>263</v>
      </c>
      <c r="AH1" s="16" t="s">
        <v>240</v>
      </c>
      <c r="AI1" s="17" t="s">
        <v>242</v>
      </c>
      <c r="AJ1" s="2" t="s">
        <v>243</v>
      </c>
      <c r="AK1" s="15" t="s">
        <v>259</v>
      </c>
      <c r="AL1" s="16" t="s">
        <v>260</v>
      </c>
      <c r="AM1" s="16" t="s">
        <v>261</v>
      </c>
      <c r="AN1" s="17" t="s">
        <v>262</v>
      </c>
      <c r="AO1" s="2" t="s">
        <v>244</v>
      </c>
      <c r="AP1" s="2" t="s">
        <v>264</v>
      </c>
      <c r="AQ1" s="2" t="s">
        <v>245</v>
      </c>
      <c r="AS1" s="15" t="s">
        <v>250</v>
      </c>
      <c r="AT1" s="16" t="s">
        <v>251</v>
      </c>
      <c r="AU1" s="16" t="s">
        <v>252</v>
      </c>
      <c r="AV1" s="17" t="s">
        <v>253</v>
      </c>
      <c r="AW1" s="15" t="s">
        <v>241</v>
      </c>
      <c r="AX1" s="16" t="s">
        <v>263</v>
      </c>
      <c r="AY1" s="16" t="s">
        <v>240</v>
      </c>
      <c r="AZ1" s="17" t="s">
        <v>242</v>
      </c>
      <c r="BA1" s="2" t="s">
        <v>243</v>
      </c>
      <c r="BB1" s="15" t="s">
        <v>259</v>
      </c>
      <c r="BC1" s="16" t="s">
        <v>260</v>
      </c>
      <c r="BD1" s="16" t="s">
        <v>261</v>
      </c>
      <c r="BE1" s="17" t="s">
        <v>262</v>
      </c>
      <c r="BF1" s="2" t="s">
        <v>244</v>
      </c>
      <c r="BG1" s="2" t="s">
        <v>264</v>
      </c>
      <c r="BH1" s="2" t="s">
        <v>245</v>
      </c>
    </row>
    <row r="2" spans="1:60">
      <c r="A2" s="51" t="s">
        <v>23</v>
      </c>
      <c r="B2" s="52" t="s">
        <v>24</v>
      </c>
      <c r="C2" s="52" t="s">
        <v>25</v>
      </c>
      <c r="D2" s="80">
        <v>44105</v>
      </c>
      <c r="E2" s="80">
        <v>44925</v>
      </c>
      <c r="F2" s="52" t="s">
        <v>226</v>
      </c>
      <c r="G2" s="54">
        <v>456</v>
      </c>
      <c r="H2" s="54">
        <v>605.75</v>
      </c>
      <c r="I2" s="81">
        <f>$G2*$O2*1.15</f>
        <v>86526</v>
      </c>
      <c r="J2" s="54" t="s">
        <v>28</v>
      </c>
      <c r="K2" s="52" t="s">
        <v>29</v>
      </c>
      <c r="L2" s="54">
        <v>29684478</v>
      </c>
      <c r="M2" s="80">
        <v>44113</v>
      </c>
      <c r="N2" s="52" t="s">
        <v>30</v>
      </c>
      <c r="O2" s="54">
        <v>165</v>
      </c>
      <c r="P2" s="54" t="s">
        <v>27</v>
      </c>
      <c r="Q2" s="56" t="s">
        <v>31</v>
      </c>
      <c r="R2" s="52">
        <v>45.5853088</v>
      </c>
      <c r="S2" s="52">
        <v>-73.709455800000001</v>
      </c>
      <c r="T2" s="52" t="s">
        <v>32</v>
      </c>
      <c r="U2" s="82" t="s">
        <v>33</v>
      </c>
      <c r="X2" s="1">
        <f>_xlfn.XLOOKUP('Projets Jerome_2'!$J2,'Projets Jerome'!$J$2:$J$37,'Projets Jerome'!$AC$2:$AC$37)</f>
        <v>45.5853088</v>
      </c>
      <c r="Y2" s="1">
        <f>_xlfn.XLOOKUP('Projets Jerome_2'!$J2,'Projets Jerome'!$J$2:$J$37,'Projets Jerome'!$AD$2:$AD$37)</f>
        <v>-73.709455800000001</v>
      </c>
      <c r="AB2" s="1" t="str">
        <f>_xlfn.WEBSERVICE("https://maps.googleapis.com/maps/api/distancematrix/xml?destinations="&amp;$X2&amp;"%2C"&amp;$Y2&amp;"&amp;origins=46.7677269%2C-71.2887151&amp;key=AIzaSyCHth-wrbaKBruFJQMWpdpeHAtAzdbcKh4")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" s="1" t="str">
        <f>_xlfn.WEBSERVICE("https://maps.googleapis.com/maps/api/distancematrix/xml?destinations="&amp;$X2&amp;"%2C"&amp;$Y2&amp;"&amp;origins=45.5219584%2C-73.6130896&amp;key=AIzaSyCHth-wrbaKBruFJQMWpdpeHAtAzdbcKh4")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" s="1" t="str">
        <f>_xlfn.WEBSERVICE("https://maps.googleapis.com/maps/api/distancematrix/xml?destinations="&amp;$X2&amp;"%2C"&amp;$Y2&amp;"&amp;origins=49.2838546%2C-123.1196403&amp;key=AIzaSyCHth-wrbaKBruFJQMWpdpeHAtAzdbcKh4")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" s="1" t="str">
        <f>_xlfn.WEBSERVICE("https://maps.googleapis.com/maps/api/distancematrix/xml?destinations="&amp;$X2&amp;"%2C"&amp;$Y2&amp;"&amp;origins=43.6410825%2C-79.3787196&amp;key=AIzaSyCHth-wrbaKBruFJQMWpdpeHAtAzdbcKh4")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" s="1" t="e" cm="1">
        <f t="array" ref="AF2">_xlfn.FILTERXML(AB2,"//distance/value")/1000</f>
        <v>#VALUE!</v>
      </c>
      <c r="AG2" s="1" t="e" cm="1">
        <f t="array" ref="AG2">_xlfn.FILTERXML(AC2,"//distance/value")/1000</f>
        <v>#VALUE!</v>
      </c>
      <c r="AH2" s="1" t="e" cm="1">
        <f t="array" ref="AH2">_xlfn.FILTERXML(AD2,"//distance/value")/1000</f>
        <v>#VALUE!</v>
      </c>
      <c r="AI2" s="1" t="e" cm="1">
        <f t="array" ref="AI2">_xlfn.FILTERXML(AE2,"//distance/value")/1000</f>
        <v>#VALUE!</v>
      </c>
      <c r="AJ2" s="1" t="e">
        <f>MIN(AF2:AI2)</f>
        <v>#VALUE!</v>
      </c>
      <c r="AK2" s="19" t="e" cm="1">
        <f t="array" ref="AK2">_xlfn.FILTERXML(AB2,"//duration/value")/60/60/24</f>
        <v>#VALUE!</v>
      </c>
      <c r="AL2" s="19" t="e" cm="1">
        <f t="array" ref="AL2">_xlfn.FILTERXML(AC2,"//duration/value")/60/60/24</f>
        <v>#VALUE!</v>
      </c>
      <c r="AM2" s="19" t="e" cm="1">
        <f t="array" ref="AM2">_xlfn.FILTERXML(AD2,"//duration/value")/60/60/24</f>
        <v>#VALUE!</v>
      </c>
      <c r="AN2" s="19" t="e" cm="1">
        <f t="array" ref="AN2">_xlfn.FILTERXML(AE2,"//duration/value")/60/60/24</f>
        <v>#VALUE!</v>
      </c>
      <c r="AO2" s="3" t="e">
        <f>REPLACE(_xlfn.XLOOKUP(AJ2,$AF2:$AI2,$AF$1:$AI$1), 1, 9, "")</f>
        <v>#VALUE!</v>
      </c>
      <c r="AP2" s="3" t="e">
        <f>REPLACE(_xlfn.XLOOKUP(AQ2,$AK2:$AN2,$AF$1:$AI$1), 1, 9, "")</f>
        <v>#VALUE!</v>
      </c>
      <c r="AQ2" s="19" t="e" cm="1">
        <f t="array" ref="AQ2">_xlfn.FILTERXML(_xlfn.XLOOKUP(AJ2,$AF2:$AI2,AB2:AE2),"//duration/value")/60/60/24</f>
        <v>#VALUE!</v>
      </c>
      <c r="AS2" s="1" t="s">
        <v>372</v>
      </c>
      <c r="AT2" s="1" t="s">
        <v>373</v>
      </c>
      <c r="AU2" s="1" t="s">
        <v>374</v>
      </c>
      <c r="AV2" s="1" t="s">
        <v>375</v>
      </c>
      <c r="AW2" s="1">
        <v>255.21700000000001</v>
      </c>
      <c r="AX2" s="1">
        <v>18.956</v>
      </c>
      <c r="AY2" s="1">
        <v>4876.7049999999999</v>
      </c>
      <c r="AZ2" s="1">
        <v>550.34799999999996</v>
      </c>
      <c r="BA2" s="1">
        <v>18.956</v>
      </c>
      <c r="BB2" s="19">
        <v>0.10671296296296295</v>
      </c>
      <c r="BC2" s="19">
        <v>1.6111111111111111E-2</v>
      </c>
      <c r="BD2" s="19">
        <v>1.8938310185185185</v>
      </c>
      <c r="BE2" s="19">
        <v>0.21793981481481481</v>
      </c>
      <c r="BF2" s="3" t="s">
        <v>281</v>
      </c>
      <c r="BG2" s="3" t="s">
        <v>281</v>
      </c>
      <c r="BH2" s="19">
        <v>1.6111111111111111E-2</v>
      </c>
    </row>
    <row r="3" spans="1:60" ht="28.8">
      <c r="A3" s="58" t="s">
        <v>42</v>
      </c>
      <c r="B3" s="59" t="s">
        <v>43</v>
      </c>
      <c r="C3" s="59" t="s">
        <v>44</v>
      </c>
      <c r="D3" s="83">
        <v>44375</v>
      </c>
      <c r="E3" s="83">
        <v>44925</v>
      </c>
      <c r="F3" s="59" t="s">
        <v>36</v>
      </c>
      <c r="G3" s="61">
        <v>401</v>
      </c>
      <c r="H3" s="61">
        <v>274</v>
      </c>
      <c r="I3" s="84">
        <f t="shared" ref="I3:I33" si="0">$G3*$O3*1.15</f>
        <v>76089.75</v>
      </c>
      <c r="J3" s="61" t="s">
        <v>45</v>
      </c>
      <c r="K3" s="59" t="s">
        <v>46</v>
      </c>
      <c r="L3" s="61">
        <v>29685238</v>
      </c>
      <c r="M3" s="83">
        <v>44391</v>
      </c>
      <c r="N3" s="59" t="s">
        <v>30</v>
      </c>
      <c r="O3" s="61">
        <v>165</v>
      </c>
      <c r="P3" s="61" t="s">
        <v>27</v>
      </c>
      <c r="Q3" s="63" t="s">
        <v>47</v>
      </c>
      <c r="R3" s="59">
        <v>45.610830499999999</v>
      </c>
      <c r="S3" s="59">
        <v>-73.856530699999993</v>
      </c>
      <c r="T3" s="69" t="s">
        <v>48</v>
      </c>
      <c r="U3" s="85" t="s">
        <v>49</v>
      </c>
      <c r="X3" s="1">
        <f>_xlfn.XLOOKUP('Projets Jerome_2'!$J3,'Projets Jerome'!$J$2:$J$37,'Projets Jerome'!$AC$2:$AC$37)</f>
        <v>45.610830499999999</v>
      </c>
      <c r="Y3" s="1">
        <f>_xlfn.XLOOKUP('Projets Jerome_2'!$J3,'Projets Jerome'!$J$2:$J$37,'Projets Jerome'!$AD$2:$AD$37)</f>
        <v>-73.856530699999993</v>
      </c>
      <c r="AB3" s="1" t="str">
        <f t="shared" ref="AB3:AB37" si="1">_xlfn.WEBSERVICE("https://maps.googleapis.com/maps/api/distancematrix/xml?destinations="&amp;$X3&amp;"%2C"&amp;$Y3&amp;"&amp;origins=46.7677269%2C-71.2887151&amp;key=AIzaSyCHth-wrbaKBruFJQMWpdpeHAtAzdbcKh4")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" s="1" t="str">
        <f t="shared" ref="AC3:AC37" si="2">_xlfn.WEBSERVICE("https://maps.googleapis.com/maps/api/distancematrix/xml?destinations="&amp;$X3&amp;"%2C"&amp;$Y3&amp;"&amp;origins=45.5219584%2C-73.6130896&amp;key=AIzaSyCHth-wrbaKBruFJQMWpdpeHAtAzdbcKh4")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" s="1" t="str">
        <f t="shared" ref="AD3:AD37" si="3">_xlfn.WEBSERVICE("https://maps.googleapis.com/maps/api/distancematrix/xml?destinations="&amp;$X3&amp;"%2C"&amp;$Y3&amp;"&amp;origins=49.2838546%2C-123.1196403&amp;key=AIzaSyCHth-wrbaKBruFJQMWpdpeHAtAzdbcKh4")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" s="1" t="str">
        <f t="shared" ref="AE3:AE37" si="4">_xlfn.WEBSERVICE("https://maps.googleapis.com/maps/api/distancematrix/xml?destinations="&amp;$X3&amp;"%2C"&amp;$Y3&amp;"&amp;origins=43.6410825%2C-79.3787196&amp;key=AIzaSyCHth-wrbaKBruFJQMWpdpeHAtAzdbcKh4")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" s="1" t="e" cm="1">
        <f t="array" ref="AF3">_xlfn.FILTERXML(AB3,"//distance/value")/1000</f>
        <v>#VALUE!</v>
      </c>
      <c r="AG3" s="1" t="e" cm="1">
        <f t="array" ref="AG3">_xlfn.FILTERXML(AC3,"//distance/value")/1000</f>
        <v>#VALUE!</v>
      </c>
      <c r="AH3" s="1" t="e" cm="1">
        <f t="array" ref="AH3">_xlfn.FILTERXML(AD3,"//distance/value")/1000</f>
        <v>#VALUE!</v>
      </c>
      <c r="AI3" s="1" t="e" cm="1">
        <f t="array" ref="AI3">_xlfn.FILTERXML(AE3,"//distance/value")/1000</f>
        <v>#VALUE!</v>
      </c>
      <c r="AJ3" s="1" t="e">
        <f t="shared" ref="AJ3:AJ37" si="5">MIN(AF3:AI3)</f>
        <v>#VALUE!</v>
      </c>
      <c r="AK3" s="19" t="e" cm="1">
        <f t="array" ref="AK3">_xlfn.FILTERXML(AB3,"//duration/value")/60/60/24</f>
        <v>#VALUE!</v>
      </c>
      <c r="AL3" s="19" t="e" cm="1">
        <f t="array" ref="AL3">_xlfn.FILTERXML(AC3,"//duration/value")/60/60/24</f>
        <v>#VALUE!</v>
      </c>
      <c r="AM3" s="19" t="e" cm="1">
        <f t="array" ref="AM3">_xlfn.FILTERXML(AD3,"//duration/value")/60/60/24</f>
        <v>#VALUE!</v>
      </c>
      <c r="AN3" s="19" t="e" cm="1">
        <f t="array" ref="AN3">_xlfn.FILTERXML(AE3,"//duration/value")/60/60/24</f>
        <v>#VALUE!</v>
      </c>
      <c r="AO3" s="3" t="e">
        <f t="shared" ref="AO3:AO37" si="6">REPLACE(_xlfn.XLOOKUP(AJ3,$AF3:$AI3,$AF$1:$AI$1), 1, 9, "")</f>
        <v>#VALUE!</v>
      </c>
      <c r="AP3" s="3" t="e">
        <f t="shared" ref="AP3:AP37" si="7">REPLACE(_xlfn.XLOOKUP(AQ3,$AK3:$AN3,$AF$1:$AI$1), 1, 9, "")</f>
        <v>#VALUE!</v>
      </c>
      <c r="AQ3" s="19" t="e" cm="1">
        <f t="array" ref="AQ3">_xlfn.FILTERXML(_xlfn.XLOOKUP(AJ3,$AF3:$AI3,AB3:AE3),"//duration/value")/60/60/24</f>
        <v>#VALUE!</v>
      </c>
      <c r="AS3" s="1" t="s">
        <v>376</v>
      </c>
      <c r="AT3" s="1" t="s">
        <v>377</v>
      </c>
      <c r="AU3" s="1" t="s">
        <v>378</v>
      </c>
      <c r="AV3" s="1" t="s">
        <v>379</v>
      </c>
      <c r="AW3" s="1">
        <v>266.89</v>
      </c>
      <c r="AX3" s="1">
        <v>27.878</v>
      </c>
      <c r="AY3" s="1">
        <v>4878.7719999999999</v>
      </c>
      <c r="AZ3" s="1">
        <v>552.41499999999996</v>
      </c>
      <c r="BA3" s="1">
        <v>27.878</v>
      </c>
      <c r="BB3" s="19">
        <v>0.10960648148148149</v>
      </c>
      <c r="BC3" s="19">
        <v>2.1111111111111108E-2</v>
      </c>
      <c r="BD3" s="19">
        <v>1.8956018518518516</v>
      </c>
      <c r="BE3" s="19">
        <v>0.21971064814814814</v>
      </c>
      <c r="BF3" s="3" t="s">
        <v>281</v>
      </c>
      <c r="BG3" s="3" t="s">
        <v>281</v>
      </c>
      <c r="BH3" s="19">
        <v>2.1111111111111108E-2</v>
      </c>
    </row>
    <row r="4" spans="1:60" ht="28.8">
      <c r="A4" s="51" t="s">
        <v>42</v>
      </c>
      <c r="B4" s="52" t="s">
        <v>50</v>
      </c>
      <c r="C4" s="52" t="s">
        <v>51</v>
      </c>
      <c r="D4" s="80">
        <v>44392</v>
      </c>
      <c r="E4" s="80">
        <v>44925</v>
      </c>
      <c r="F4" s="52" t="s">
        <v>36</v>
      </c>
      <c r="G4" s="54">
        <v>781</v>
      </c>
      <c r="H4" s="54">
        <v>759.25</v>
      </c>
      <c r="I4" s="81">
        <f t="shared" si="0"/>
        <v>148194.75</v>
      </c>
      <c r="J4" s="54" t="s">
        <v>52</v>
      </c>
      <c r="K4" s="52" t="s">
        <v>53</v>
      </c>
      <c r="L4" s="54">
        <v>29684798</v>
      </c>
      <c r="M4" s="80">
        <v>44392</v>
      </c>
      <c r="N4" s="52" t="s">
        <v>30</v>
      </c>
      <c r="O4" s="54">
        <v>165</v>
      </c>
      <c r="P4" s="54" t="s">
        <v>27</v>
      </c>
      <c r="Q4" s="56" t="s">
        <v>54</v>
      </c>
      <c r="R4" s="52">
        <v>50.473944199999998</v>
      </c>
      <c r="S4" s="52">
        <v>-104.70972999999999</v>
      </c>
      <c r="T4" s="70" t="s">
        <v>55</v>
      </c>
      <c r="U4" s="82" t="s">
        <v>56</v>
      </c>
      <c r="X4" s="1">
        <f>_xlfn.XLOOKUP('Projets Jerome_2'!$J4,'Projets Jerome'!$J$2:$J$37,'Projets Jerome'!$AC$2:$AC$37)</f>
        <v>50.473944199999998</v>
      </c>
      <c r="Y4" s="1">
        <f>_xlfn.XLOOKUP('Projets Jerome_2'!$J4,'Projets Jerome'!$J$2:$J$37,'Projets Jerome'!$AD$2:$AD$37)</f>
        <v>-104.70972999999999</v>
      </c>
      <c r="AB4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4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4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4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4" s="1" t="e" cm="1">
        <f t="array" ref="AF4">_xlfn.FILTERXML(AB4,"//distance/value")/1000</f>
        <v>#VALUE!</v>
      </c>
      <c r="AG4" s="1" t="e" cm="1">
        <f t="array" ref="AG4">_xlfn.FILTERXML(AC4,"//distance/value")/1000</f>
        <v>#VALUE!</v>
      </c>
      <c r="AH4" s="1" t="e" cm="1">
        <f t="array" ref="AH4">_xlfn.FILTERXML(AD4,"//distance/value")/1000</f>
        <v>#VALUE!</v>
      </c>
      <c r="AI4" s="1" t="e" cm="1">
        <f t="array" ref="AI4">_xlfn.FILTERXML(AE4,"//distance/value")/1000</f>
        <v>#VALUE!</v>
      </c>
      <c r="AJ4" s="1" t="e">
        <f t="shared" si="5"/>
        <v>#VALUE!</v>
      </c>
      <c r="AK4" s="19" t="e" cm="1">
        <f t="array" ref="AK4">_xlfn.FILTERXML(AB4,"//duration/value")/60/60/24</f>
        <v>#VALUE!</v>
      </c>
      <c r="AL4" s="19" t="e" cm="1">
        <f t="array" ref="AL4">_xlfn.FILTERXML(AC4,"//duration/value")/60/60/24</f>
        <v>#VALUE!</v>
      </c>
      <c r="AM4" s="19" t="e" cm="1">
        <f t="array" ref="AM4">_xlfn.FILTERXML(AD4,"//duration/value")/60/60/24</f>
        <v>#VALUE!</v>
      </c>
      <c r="AN4" s="19" t="e" cm="1">
        <f t="array" ref="AN4">_xlfn.FILTERXML(AE4,"//duration/value")/60/60/24</f>
        <v>#VALUE!</v>
      </c>
      <c r="AO4" s="3" t="e">
        <f t="shared" si="6"/>
        <v>#VALUE!</v>
      </c>
      <c r="AP4" s="3" t="e">
        <f t="shared" si="7"/>
        <v>#VALUE!</v>
      </c>
      <c r="AQ4" s="19" t="e" cm="1">
        <f t="array" ref="AQ4">_xlfn.FILTERXML(_xlfn.XLOOKUP(AJ4,$AF4:$AI4,AB4:AE4),"//duration/value")/60/60/24</f>
        <v>#VALUE!</v>
      </c>
      <c r="AS4" s="1" t="s">
        <v>380</v>
      </c>
      <c r="AT4" s="1" t="s">
        <v>381</v>
      </c>
      <c r="AU4" s="1" t="s">
        <v>382</v>
      </c>
      <c r="AV4" s="1" t="s">
        <v>383</v>
      </c>
      <c r="AW4" s="1">
        <v>3091.4009999999998</v>
      </c>
      <c r="AX4" s="1">
        <v>2852.2429999999999</v>
      </c>
      <c r="AY4" s="1">
        <v>1722.5440000000001</v>
      </c>
      <c r="AZ4" s="1">
        <v>2692.6950000000002</v>
      </c>
      <c r="BA4" s="1">
        <v>1722.5440000000001</v>
      </c>
      <c r="BB4" s="19">
        <v>1.3522453703703705</v>
      </c>
      <c r="BC4" s="19">
        <v>1.2630208333333333</v>
      </c>
      <c r="BD4" s="19">
        <v>0.7450810185185186</v>
      </c>
      <c r="BE4" s="19">
        <v>1.0592592592592591</v>
      </c>
      <c r="BF4" s="3" t="s">
        <v>248</v>
      </c>
      <c r="BG4" s="3" t="s">
        <v>248</v>
      </c>
      <c r="BH4" s="19">
        <v>0.7450810185185186</v>
      </c>
    </row>
    <row r="5" spans="1:60" ht="28.8">
      <c r="A5" s="58" t="s">
        <v>42</v>
      </c>
      <c r="B5" s="59" t="s">
        <v>57</v>
      </c>
      <c r="C5" s="59" t="s">
        <v>65</v>
      </c>
      <c r="D5" s="83">
        <v>44440</v>
      </c>
      <c r="E5" s="83">
        <v>44925</v>
      </c>
      <c r="F5" s="59" t="s">
        <v>26</v>
      </c>
      <c r="G5" s="61">
        <v>200</v>
      </c>
      <c r="H5" s="61">
        <v>103.25</v>
      </c>
      <c r="I5" s="84">
        <f t="shared" si="0"/>
        <v>35650</v>
      </c>
      <c r="J5" s="61" t="s">
        <v>66</v>
      </c>
      <c r="K5" s="59" t="s">
        <v>67</v>
      </c>
      <c r="L5" s="61">
        <v>29684829</v>
      </c>
      <c r="M5" s="83">
        <v>44461</v>
      </c>
      <c r="N5" s="59" t="s">
        <v>61</v>
      </c>
      <c r="O5" s="61">
        <v>155</v>
      </c>
      <c r="P5" s="61" t="s">
        <v>27</v>
      </c>
      <c r="Q5" s="63" t="s">
        <v>68</v>
      </c>
      <c r="R5" s="59">
        <v>45.533356400000002</v>
      </c>
      <c r="S5" s="59">
        <v>-73.662945699999995</v>
      </c>
      <c r="T5" s="69" t="s">
        <v>69</v>
      </c>
      <c r="U5" s="85" t="s">
        <v>70</v>
      </c>
      <c r="X5" s="1">
        <f>_xlfn.XLOOKUP('Projets Jerome_2'!$J5,'Projets Jerome'!$J$2:$J$37,'Projets Jerome'!$AC$2:$AC$37)</f>
        <v>45.533356400000002</v>
      </c>
      <c r="Y5" s="1">
        <f>_xlfn.XLOOKUP('Projets Jerome_2'!$J5,'Projets Jerome'!$J$2:$J$37,'Projets Jerome'!$AD$2:$AD$37)</f>
        <v>-73.662945699999995</v>
      </c>
      <c r="AB5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5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5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5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5" s="1" t="e" cm="1">
        <f t="array" ref="AF5">_xlfn.FILTERXML(AB5,"//distance/value")/1000</f>
        <v>#VALUE!</v>
      </c>
      <c r="AG5" s="1" t="e" cm="1">
        <f t="array" ref="AG5">_xlfn.FILTERXML(AC5,"//distance/value")/1000</f>
        <v>#VALUE!</v>
      </c>
      <c r="AH5" s="1" t="e" cm="1">
        <f t="array" ref="AH5">_xlfn.FILTERXML(AD5,"//distance/value")/1000</f>
        <v>#VALUE!</v>
      </c>
      <c r="AI5" s="1" t="e" cm="1">
        <f t="array" ref="AI5">_xlfn.FILTERXML(AE5,"//distance/value")/1000</f>
        <v>#VALUE!</v>
      </c>
      <c r="AJ5" s="1" t="e">
        <f t="shared" si="5"/>
        <v>#VALUE!</v>
      </c>
      <c r="AK5" s="19" t="e" cm="1">
        <f t="array" ref="AK5">_xlfn.FILTERXML(AB5,"//duration/value")/60/60/24</f>
        <v>#VALUE!</v>
      </c>
      <c r="AL5" s="19" t="e" cm="1">
        <f t="array" ref="AL5">_xlfn.FILTERXML(AC5,"//duration/value")/60/60/24</f>
        <v>#VALUE!</v>
      </c>
      <c r="AM5" s="19" t="e" cm="1">
        <f t="array" ref="AM5">_xlfn.FILTERXML(AD5,"//duration/value")/60/60/24</f>
        <v>#VALUE!</v>
      </c>
      <c r="AN5" s="19" t="e" cm="1">
        <f t="array" ref="AN5">_xlfn.FILTERXML(AE5,"//duration/value")/60/60/24</f>
        <v>#VALUE!</v>
      </c>
      <c r="AO5" s="3" t="e">
        <f t="shared" si="6"/>
        <v>#VALUE!</v>
      </c>
      <c r="AP5" s="3" t="e">
        <f t="shared" si="7"/>
        <v>#VALUE!</v>
      </c>
      <c r="AQ5" s="19" t="e" cm="1">
        <f t="array" ref="AQ5">_xlfn.FILTERXML(_xlfn.XLOOKUP(AJ5,$AF5:$AI5,AB5:AE5),"//duration/value")/60/60/24</f>
        <v>#VALUE!</v>
      </c>
      <c r="AS5" s="1" t="s">
        <v>384</v>
      </c>
      <c r="AT5" s="1" t="s">
        <v>385</v>
      </c>
      <c r="AU5" s="1" t="s">
        <v>386</v>
      </c>
      <c r="AV5" s="1" t="s">
        <v>387</v>
      </c>
      <c r="AW5" s="1">
        <v>248.018</v>
      </c>
      <c r="AX5" s="1">
        <v>5.6660000000000004</v>
      </c>
      <c r="AY5" s="1">
        <v>4869.6980000000003</v>
      </c>
      <c r="AZ5" s="1">
        <v>543.34100000000001</v>
      </c>
      <c r="BA5" s="1">
        <v>5.6660000000000004</v>
      </c>
      <c r="BB5" s="19">
        <v>0.10621527777777777</v>
      </c>
      <c r="BC5" s="19">
        <v>1.1863425925925925E-2</v>
      </c>
      <c r="BD5" s="19">
        <v>1.8924421296296297</v>
      </c>
      <c r="BE5" s="19">
        <v>0.21655092592592592</v>
      </c>
      <c r="BF5" s="3" t="s">
        <v>281</v>
      </c>
      <c r="BG5" s="3" t="s">
        <v>281</v>
      </c>
      <c r="BH5" s="19">
        <v>1.1863425925925925E-2</v>
      </c>
    </row>
    <row r="6" spans="1:60">
      <c r="A6" s="51" t="s">
        <v>42</v>
      </c>
      <c r="B6" s="52" t="s">
        <v>71</v>
      </c>
      <c r="C6" s="52" t="s">
        <v>72</v>
      </c>
      <c r="D6" s="80">
        <v>44519</v>
      </c>
      <c r="E6" s="80">
        <v>44925</v>
      </c>
      <c r="F6" s="52" t="s">
        <v>36</v>
      </c>
      <c r="G6" s="54">
        <v>212</v>
      </c>
      <c r="H6" s="54">
        <v>214.75</v>
      </c>
      <c r="I6" s="81">
        <f t="shared" si="0"/>
        <v>47540.999999999993</v>
      </c>
      <c r="J6" s="54" t="s">
        <v>73</v>
      </c>
      <c r="K6" s="52" t="s">
        <v>74</v>
      </c>
      <c r="L6" s="54">
        <v>29684853</v>
      </c>
      <c r="M6" s="80">
        <v>44519</v>
      </c>
      <c r="N6" s="52" t="s">
        <v>30</v>
      </c>
      <c r="O6" s="54">
        <v>195</v>
      </c>
      <c r="P6" s="54" t="s">
        <v>27</v>
      </c>
      <c r="Q6" s="56" t="s">
        <v>75</v>
      </c>
      <c r="R6" s="52">
        <v>43.178300999999998</v>
      </c>
      <c r="S6" s="52">
        <v>-80.241827799999996</v>
      </c>
      <c r="T6" s="52" t="s">
        <v>76</v>
      </c>
      <c r="U6" s="82" t="s">
        <v>77</v>
      </c>
      <c r="X6" s="1">
        <f>_xlfn.XLOOKUP('Projets Jerome_2'!$J6,'Projets Jerome'!$J$2:$J$37,'Projets Jerome'!$AC$2:$AC$37)</f>
        <v>43.178300999999998</v>
      </c>
      <c r="Y6" s="1">
        <f>_xlfn.XLOOKUP('Projets Jerome_2'!$J6,'Projets Jerome'!$J$2:$J$37,'Projets Jerome'!$AD$2:$AD$37)</f>
        <v>-80.241827799999996</v>
      </c>
      <c r="AB6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6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6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6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6" s="1" t="e" cm="1">
        <f t="array" ref="AF6">_xlfn.FILTERXML(AB6,"//distance/value")/1000</f>
        <v>#VALUE!</v>
      </c>
      <c r="AG6" s="1" t="e" cm="1">
        <f t="array" ref="AG6">_xlfn.FILTERXML(AC6,"//distance/value")/1000</f>
        <v>#VALUE!</v>
      </c>
      <c r="AH6" s="1" t="e" cm="1">
        <f t="array" ref="AH6">_xlfn.FILTERXML(AD6,"//distance/value")/1000</f>
        <v>#VALUE!</v>
      </c>
      <c r="AI6" s="1" t="e" cm="1">
        <f t="array" ref="AI6">_xlfn.FILTERXML(AE6,"//distance/value")/1000</f>
        <v>#VALUE!</v>
      </c>
      <c r="AJ6" s="1" t="e">
        <f t="shared" si="5"/>
        <v>#VALUE!</v>
      </c>
      <c r="AK6" s="19" t="e" cm="1">
        <f t="array" ref="AK6">_xlfn.FILTERXML(AB6,"//duration/value")/60/60/24</f>
        <v>#VALUE!</v>
      </c>
      <c r="AL6" s="19" t="e" cm="1">
        <f t="array" ref="AL6">_xlfn.FILTERXML(AC6,"//duration/value")/60/60/24</f>
        <v>#VALUE!</v>
      </c>
      <c r="AM6" s="19" t="e" cm="1">
        <f t="array" ref="AM6">_xlfn.FILTERXML(AD6,"//duration/value")/60/60/24</f>
        <v>#VALUE!</v>
      </c>
      <c r="AN6" s="19" t="e" cm="1">
        <f t="array" ref="AN6">_xlfn.FILTERXML(AE6,"//duration/value")/60/60/24</f>
        <v>#VALUE!</v>
      </c>
      <c r="AO6" s="3" t="e">
        <f t="shared" si="6"/>
        <v>#VALUE!</v>
      </c>
      <c r="AP6" s="3" t="e">
        <f t="shared" si="7"/>
        <v>#VALUE!</v>
      </c>
      <c r="AQ6" s="19" t="e" cm="1">
        <f t="array" ref="AQ6">_xlfn.FILTERXML(_xlfn.XLOOKUP(AJ6,$AF6:$AI6,AB6:AE6),"//duration/value")/60/60/24</f>
        <v>#VALUE!</v>
      </c>
      <c r="AS6" s="1" t="s">
        <v>388</v>
      </c>
      <c r="AT6" s="1" t="s">
        <v>389</v>
      </c>
      <c r="AU6" s="1" t="s">
        <v>390</v>
      </c>
      <c r="AV6" s="1" t="s">
        <v>391</v>
      </c>
      <c r="AW6" s="1">
        <v>893.51300000000003</v>
      </c>
      <c r="AX6" s="1">
        <v>639.92200000000003</v>
      </c>
      <c r="AY6" s="1">
        <v>4244.5429999999997</v>
      </c>
      <c r="AZ6" s="1">
        <v>97.984999999999999</v>
      </c>
      <c r="BA6" s="1">
        <v>97.984999999999999</v>
      </c>
      <c r="BB6" s="19">
        <v>0.35339120370370369</v>
      </c>
      <c r="BC6" s="19">
        <v>0.25953703703703707</v>
      </c>
      <c r="BD6" s="19">
        <v>1.6477083333333331</v>
      </c>
      <c r="BE6" s="19">
        <v>4.313657407407407E-2</v>
      </c>
      <c r="BF6" s="3" t="s">
        <v>249</v>
      </c>
      <c r="BG6" s="3" t="s">
        <v>249</v>
      </c>
      <c r="BH6" s="19">
        <v>4.313657407407407E-2</v>
      </c>
    </row>
    <row r="7" spans="1:60">
      <c r="A7" s="58" t="s">
        <v>42</v>
      </c>
      <c r="B7" s="59" t="s">
        <v>78</v>
      </c>
      <c r="C7" s="59" t="s">
        <v>79</v>
      </c>
      <c r="D7" s="83">
        <v>44531</v>
      </c>
      <c r="E7" s="83">
        <v>44926</v>
      </c>
      <c r="F7" s="59" t="s">
        <v>226</v>
      </c>
      <c r="G7" s="61">
        <v>40</v>
      </c>
      <c r="H7" s="61">
        <v>46.5</v>
      </c>
      <c r="I7" s="84">
        <f t="shared" si="0"/>
        <v>7359.9999999999991</v>
      </c>
      <c r="J7" s="61" t="s">
        <v>80</v>
      </c>
      <c r="K7" s="59" t="s">
        <v>78</v>
      </c>
      <c r="L7" s="61">
        <v>29684859</v>
      </c>
      <c r="M7" s="83">
        <v>44532</v>
      </c>
      <c r="N7" s="59" t="s">
        <v>81</v>
      </c>
      <c r="O7" s="61">
        <v>160</v>
      </c>
      <c r="P7" s="61" t="s">
        <v>27</v>
      </c>
      <c r="Q7" s="63" t="s">
        <v>82</v>
      </c>
      <c r="R7" s="59">
        <v>45.441891400000003</v>
      </c>
      <c r="S7" s="59">
        <v>-73.692530700000006</v>
      </c>
      <c r="T7" s="59" t="s">
        <v>83</v>
      </c>
      <c r="U7" s="85" t="s">
        <v>84</v>
      </c>
      <c r="X7" s="1">
        <f>_xlfn.XLOOKUP('Projets Jerome_2'!$J7,'Projets Jerome'!$J$2:$J$37,'Projets Jerome'!$AC$2:$AC$37)</f>
        <v>45.441891400000003</v>
      </c>
      <c r="Y7" s="1">
        <f>_xlfn.XLOOKUP('Projets Jerome_2'!$J7,'Projets Jerome'!$J$2:$J$37,'Projets Jerome'!$AD$2:$AD$37)</f>
        <v>-73.692530700000006</v>
      </c>
      <c r="AB7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7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7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7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7" s="1" t="e" cm="1">
        <f t="array" ref="AF7">_xlfn.FILTERXML(AB7,"//distance/value")/1000</f>
        <v>#VALUE!</v>
      </c>
      <c r="AG7" s="1" t="e" cm="1">
        <f t="array" ref="AG7">_xlfn.FILTERXML(AC7,"//distance/value")/1000</f>
        <v>#VALUE!</v>
      </c>
      <c r="AH7" s="1" t="e" cm="1">
        <f t="array" ref="AH7">_xlfn.FILTERXML(AD7,"//distance/value")/1000</f>
        <v>#VALUE!</v>
      </c>
      <c r="AI7" s="1" t="e" cm="1">
        <f t="array" ref="AI7">_xlfn.FILTERXML(AE7,"//distance/value")/1000</f>
        <v>#VALUE!</v>
      </c>
      <c r="AJ7" s="1" t="e">
        <f t="shared" si="5"/>
        <v>#VALUE!</v>
      </c>
      <c r="AK7" s="19" t="e" cm="1">
        <f t="array" ref="AK7">_xlfn.FILTERXML(AB7,"//duration/value")/60/60/24</f>
        <v>#VALUE!</v>
      </c>
      <c r="AL7" s="19" t="e" cm="1">
        <f t="array" ref="AL7">_xlfn.FILTERXML(AC7,"//duration/value")/60/60/24</f>
        <v>#VALUE!</v>
      </c>
      <c r="AM7" s="19" t="e" cm="1">
        <f t="array" ref="AM7">_xlfn.FILTERXML(AD7,"//duration/value")/60/60/24</f>
        <v>#VALUE!</v>
      </c>
      <c r="AN7" s="19" t="e" cm="1">
        <f t="array" ref="AN7">_xlfn.FILTERXML(AE7,"//duration/value")/60/60/24</f>
        <v>#VALUE!</v>
      </c>
      <c r="AO7" s="3" t="e">
        <f t="shared" si="6"/>
        <v>#VALUE!</v>
      </c>
      <c r="AP7" s="3" t="e">
        <f t="shared" si="7"/>
        <v>#VALUE!</v>
      </c>
      <c r="AQ7" s="19" t="e" cm="1">
        <f t="array" ref="AQ7">_xlfn.FILTERXML(_xlfn.XLOOKUP(AJ7,$AF7:$AI7,AB7:AE7),"//duration/value")/60/60/24</f>
        <v>#VALUE!</v>
      </c>
      <c r="AS7" s="1" t="s">
        <v>392</v>
      </c>
      <c r="AT7" s="1" t="s">
        <v>393</v>
      </c>
      <c r="AU7" s="1" t="s">
        <v>394</v>
      </c>
      <c r="AV7" s="1" t="s">
        <v>395</v>
      </c>
      <c r="AW7" s="1">
        <v>260.74099999999999</v>
      </c>
      <c r="AX7" s="1">
        <v>20.283000000000001</v>
      </c>
      <c r="AY7" s="1">
        <v>4855.9679999999998</v>
      </c>
      <c r="AZ7" s="1">
        <v>529.61199999999997</v>
      </c>
      <c r="BA7" s="1">
        <v>20.283000000000001</v>
      </c>
      <c r="BB7" s="19">
        <v>0.10910879629629631</v>
      </c>
      <c r="BC7" s="19">
        <v>1.849537037037037E-2</v>
      </c>
      <c r="BD7" s="19">
        <v>1.8876157407407408</v>
      </c>
      <c r="BE7" s="19">
        <v>0.21172453703703706</v>
      </c>
      <c r="BF7" s="3" t="s">
        <v>281</v>
      </c>
      <c r="BG7" s="3" t="s">
        <v>281</v>
      </c>
      <c r="BH7" s="19">
        <v>1.849537037037037E-2</v>
      </c>
    </row>
    <row r="8" spans="1:60">
      <c r="A8" s="51" t="s">
        <v>42</v>
      </c>
      <c r="B8" s="52" t="s">
        <v>85</v>
      </c>
      <c r="C8" s="52" t="s">
        <v>79</v>
      </c>
      <c r="D8" s="80">
        <v>44893</v>
      </c>
      <c r="E8" s="80">
        <v>45092</v>
      </c>
      <c r="F8" s="52" t="s">
        <v>26</v>
      </c>
      <c r="G8" s="54">
        <v>30</v>
      </c>
      <c r="H8" s="54"/>
      <c r="I8" s="81">
        <f t="shared" si="0"/>
        <v>5520</v>
      </c>
      <c r="J8" s="54" t="s">
        <v>86</v>
      </c>
      <c r="K8" s="52" t="s">
        <v>87</v>
      </c>
      <c r="L8" s="54">
        <v>29685279</v>
      </c>
      <c r="M8" s="80">
        <v>44893</v>
      </c>
      <c r="N8" s="52" t="s">
        <v>81</v>
      </c>
      <c r="O8" s="54">
        <v>160</v>
      </c>
      <c r="P8" s="54" t="s">
        <v>27</v>
      </c>
      <c r="Q8" s="56" t="s">
        <v>82</v>
      </c>
      <c r="R8" s="52">
        <v>45.441891400000003</v>
      </c>
      <c r="S8" s="52">
        <v>-73.692530700000006</v>
      </c>
      <c r="T8" s="52" t="s">
        <v>83</v>
      </c>
      <c r="U8" s="82" t="s">
        <v>84</v>
      </c>
      <c r="X8" s="1">
        <f>_xlfn.XLOOKUP('Projets Jerome_2'!$J8,'Projets Jerome'!$J$2:$J$37,'Projets Jerome'!$AC$2:$AC$37)</f>
        <v>45.441891400000003</v>
      </c>
      <c r="Y8" s="1">
        <f>_xlfn.XLOOKUP('Projets Jerome_2'!$J8,'Projets Jerome'!$J$2:$J$37,'Projets Jerome'!$AD$2:$AD$37)</f>
        <v>-73.692530700000006</v>
      </c>
      <c r="AB8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8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8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8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8" s="1" t="e" cm="1">
        <f t="array" ref="AF8">_xlfn.FILTERXML(AB8,"//distance/value")/1000</f>
        <v>#VALUE!</v>
      </c>
      <c r="AG8" s="1" t="e" cm="1">
        <f t="array" ref="AG8">_xlfn.FILTERXML(AC8,"//distance/value")/1000</f>
        <v>#VALUE!</v>
      </c>
      <c r="AH8" s="1" t="e" cm="1">
        <f t="array" ref="AH8">_xlfn.FILTERXML(AD8,"//distance/value")/1000</f>
        <v>#VALUE!</v>
      </c>
      <c r="AI8" s="1" t="e" cm="1">
        <f t="array" ref="AI8">_xlfn.FILTERXML(AE8,"//distance/value")/1000</f>
        <v>#VALUE!</v>
      </c>
      <c r="AJ8" s="1" t="e">
        <f t="shared" si="5"/>
        <v>#VALUE!</v>
      </c>
      <c r="AK8" s="19" t="e" cm="1">
        <f t="array" ref="AK8">_xlfn.FILTERXML(AB8,"//duration/value")/60/60/24</f>
        <v>#VALUE!</v>
      </c>
      <c r="AL8" s="19" t="e" cm="1">
        <f t="array" ref="AL8">_xlfn.FILTERXML(AC8,"//duration/value")/60/60/24</f>
        <v>#VALUE!</v>
      </c>
      <c r="AM8" s="19" t="e" cm="1">
        <f t="array" ref="AM8">_xlfn.FILTERXML(AD8,"//duration/value")/60/60/24</f>
        <v>#VALUE!</v>
      </c>
      <c r="AN8" s="19" t="e" cm="1">
        <f t="array" ref="AN8">_xlfn.FILTERXML(AE8,"//duration/value")/60/60/24</f>
        <v>#VALUE!</v>
      </c>
      <c r="AO8" s="3" t="e">
        <f t="shared" si="6"/>
        <v>#VALUE!</v>
      </c>
      <c r="AP8" s="3" t="e">
        <f t="shared" si="7"/>
        <v>#VALUE!</v>
      </c>
      <c r="AQ8" s="19" t="e" cm="1">
        <f t="array" ref="AQ8">_xlfn.FILTERXML(_xlfn.XLOOKUP(AJ8,$AF8:$AI8,AB8:AE8),"//duration/value")/60/60/24</f>
        <v>#VALUE!</v>
      </c>
      <c r="AS8" s="1" t="s">
        <v>392</v>
      </c>
      <c r="AT8" s="1" t="s">
        <v>393</v>
      </c>
      <c r="AU8" s="1" t="s">
        <v>394</v>
      </c>
      <c r="AV8" s="1" t="s">
        <v>395</v>
      </c>
      <c r="AW8" s="1">
        <v>260.74099999999999</v>
      </c>
      <c r="AX8" s="1">
        <v>20.283000000000001</v>
      </c>
      <c r="AY8" s="1">
        <v>4855.9679999999998</v>
      </c>
      <c r="AZ8" s="1">
        <v>529.61199999999997</v>
      </c>
      <c r="BA8" s="1">
        <v>20.283000000000001</v>
      </c>
      <c r="BB8" s="19">
        <v>0.10910879629629631</v>
      </c>
      <c r="BC8" s="19">
        <v>1.849537037037037E-2</v>
      </c>
      <c r="BD8" s="19">
        <v>1.8876157407407408</v>
      </c>
      <c r="BE8" s="19">
        <v>0.21172453703703706</v>
      </c>
      <c r="BF8" s="3" t="s">
        <v>281</v>
      </c>
      <c r="BG8" s="3" t="s">
        <v>281</v>
      </c>
      <c r="BH8" s="19">
        <v>1.849537037037037E-2</v>
      </c>
    </row>
    <row r="9" spans="1:60" ht="28.8">
      <c r="A9" s="58" t="s">
        <v>42</v>
      </c>
      <c r="B9" s="59" t="s">
        <v>88</v>
      </c>
      <c r="C9" s="59" t="s">
        <v>89</v>
      </c>
      <c r="D9" s="83">
        <v>44536</v>
      </c>
      <c r="E9" s="83">
        <v>44925</v>
      </c>
      <c r="F9" s="59" t="s">
        <v>36</v>
      </c>
      <c r="G9" s="61">
        <v>579</v>
      </c>
      <c r="H9" s="61">
        <v>468.25</v>
      </c>
      <c r="I9" s="84">
        <f t="shared" si="0"/>
        <v>109865.24999999999</v>
      </c>
      <c r="J9" s="61" t="s">
        <v>90</v>
      </c>
      <c r="K9" s="59" t="s">
        <v>91</v>
      </c>
      <c r="L9" s="61">
        <v>29684857</v>
      </c>
      <c r="M9" s="83">
        <v>44536</v>
      </c>
      <c r="N9" s="59" t="s">
        <v>30</v>
      </c>
      <c r="O9" s="61">
        <v>165</v>
      </c>
      <c r="P9" s="61" t="s">
        <v>27</v>
      </c>
      <c r="Q9" s="63" t="s">
        <v>92</v>
      </c>
      <c r="R9" s="59">
        <v>43.642127299999999</v>
      </c>
      <c r="S9" s="59">
        <v>-79.673906000000002</v>
      </c>
      <c r="T9" s="69" t="s">
        <v>93</v>
      </c>
      <c r="U9" s="85" t="s">
        <v>94</v>
      </c>
      <c r="X9" s="1">
        <f>_xlfn.XLOOKUP('Projets Jerome_2'!$J9,'Projets Jerome'!$J$2:$J$37,'Projets Jerome'!$AC$2:$AC$37)</f>
        <v>43.642127299999999</v>
      </c>
      <c r="Y9" s="1">
        <f>_xlfn.XLOOKUP('Projets Jerome_2'!$J9,'Projets Jerome'!$J$2:$J$37,'Projets Jerome'!$AD$2:$AD$37)</f>
        <v>-79.673906000000002</v>
      </c>
      <c r="AB9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9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9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9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9" s="1" t="e" cm="1">
        <f t="array" ref="AF9">_xlfn.FILTERXML(AB9,"//distance/value")/1000</f>
        <v>#VALUE!</v>
      </c>
      <c r="AG9" s="1" t="e" cm="1">
        <f t="array" ref="AG9">_xlfn.FILTERXML(AC9,"//distance/value")/1000</f>
        <v>#VALUE!</v>
      </c>
      <c r="AH9" s="1" t="e" cm="1">
        <f t="array" ref="AH9">_xlfn.FILTERXML(AD9,"//distance/value")/1000</f>
        <v>#VALUE!</v>
      </c>
      <c r="AI9" s="1" t="e" cm="1">
        <f t="array" ref="AI9">_xlfn.FILTERXML(AE9,"//distance/value")/1000</f>
        <v>#VALUE!</v>
      </c>
      <c r="AJ9" s="1" t="e">
        <f t="shared" si="5"/>
        <v>#VALUE!</v>
      </c>
      <c r="AK9" s="19" t="e" cm="1">
        <f t="array" ref="AK9">_xlfn.FILTERXML(AB9,"//duration/value")/60/60/24</f>
        <v>#VALUE!</v>
      </c>
      <c r="AL9" s="19" t="e" cm="1">
        <f t="array" ref="AL9">_xlfn.FILTERXML(AC9,"//duration/value")/60/60/24</f>
        <v>#VALUE!</v>
      </c>
      <c r="AM9" s="19" t="e" cm="1">
        <f t="array" ref="AM9">_xlfn.FILTERXML(AD9,"//duration/value")/60/60/24</f>
        <v>#VALUE!</v>
      </c>
      <c r="AN9" s="19" t="e" cm="1">
        <f t="array" ref="AN9">_xlfn.FILTERXML(AE9,"//duration/value")/60/60/24</f>
        <v>#VALUE!</v>
      </c>
      <c r="AO9" s="3" t="e">
        <f t="shared" si="6"/>
        <v>#VALUE!</v>
      </c>
      <c r="AP9" s="3" t="e">
        <f t="shared" si="7"/>
        <v>#VALUE!</v>
      </c>
      <c r="AQ9" s="19" t="e" cm="1">
        <f t="array" ref="AQ9">_xlfn.FILTERXML(_xlfn.XLOOKUP(AJ9,$AF9:$AI9,AB9:AE9),"//duration/value")/60/60/24</f>
        <v>#VALUE!</v>
      </c>
      <c r="AS9" s="1" t="s">
        <v>396</v>
      </c>
      <c r="AT9" s="1" t="s">
        <v>397</v>
      </c>
      <c r="AU9" s="1" t="s">
        <v>398</v>
      </c>
      <c r="AV9" s="1" t="s">
        <v>399</v>
      </c>
      <c r="AW9" s="1">
        <v>813.99199999999996</v>
      </c>
      <c r="AX9" s="1">
        <v>560.40099999999995</v>
      </c>
      <c r="AY9" s="1">
        <v>4313.9790000000003</v>
      </c>
      <c r="AZ9" s="1">
        <v>33.375999999999998</v>
      </c>
      <c r="BA9" s="1">
        <v>33.375999999999998</v>
      </c>
      <c r="BB9" s="19">
        <v>0.32340277777777776</v>
      </c>
      <c r="BC9" s="19">
        <v>0.22956018518518517</v>
      </c>
      <c r="BD9" s="19">
        <v>1.6755439814814814</v>
      </c>
      <c r="BE9" s="19">
        <v>1.818287037037037E-2</v>
      </c>
      <c r="BF9" s="3" t="s">
        <v>249</v>
      </c>
      <c r="BG9" s="3" t="s">
        <v>249</v>
      </c>
      <c r="BH9" s="19">
        <v>1.818287037037037E-2</v>
      </c>
    </row>
    <row r="10" spans="1:60">
      <c r="A10" s="51" t="s">
        <v>42</v>
      </c>
      <c r="B10" s="52" t="s">
        <v>95</v>
      </c>
      <c r="C10" s="52" t="s">
        <v>96</v>
      </c>
      <c r="D10" s="80">
        <v>44564</v>
      </c>
      <c r="E10" s="80">
        <v>44953</v>
      </c>
      <c r="F10" s="52" t="s">
        <v>36</v>
      </c>
      <c r="G10" s="54">
        <v>38</v>
      </c>
      <c r="H10" s="54">
        <v>18.25</v>
      </c>
      <c r="I10" s="81">
        <f t="shared" si="0"/>
        <v>6991.9999999999991</v>
      </c>
      <c r="J10" s="54" t="s">
        <v>97</v>
      </c>
      <c r="K10" s="52" t="s">
        <v>98</v>
      </c>
      <c r="L10" s="54">
        <v>29685098</v>
      </c>
      <c r="M10" s="80">
        <v>44565</v>
      </c>
      <c r="N10" s="52" t="s">
        <v>61</v>
      </c>
      <c r="O10" s="54">
        <v>160</v>
      </c>
      <c r="P10" s="54" t="s">
        <v>27</v>
      </c>
      <c r="Q10" s="56" t="s">
        <v>99</v>
      </c>
      <c r="R10" s="52">
        <v>45.528230499999999</v>
      </c>
      <c r="S10" s="52">
        <v>-73.665722000000002</v>
      </c>
      <c r="T10" s="86" t="s">
        <v>100</v>
      </c>
      <c r="U10" s="82" t="s">
        <v>101</v>
      </c>
      <c r="X10" s="1">
        <f>_xlfn.XLOOKUP('Projets Jerome_2'!$J10,'Projets Jerome'!$J$2:$J$37,'Projets Jerome'!$AC$2:$AC$37)</f>
        <v>45.528230499999999</v>
      </c>
      <c r="Y10" s="1">
        <f>_xlfn.XLOOKUP('Projets Jerome_2'!$J10,'Projets Jerome'!$J$2:$J$37,'Projets Jerome'!$AD$2:$AD$37)</f>
        <v>-73.665722000000002</v>
      </c>
      <c r="AB10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0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0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0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0" s="1" t="e" cm="1">
        <f t="array" ref="AF10">_xlfn.FILTERXML(AB10,"//distance/value")/1000</f>
        <v>#VALUE!</v>
      </c>
      <c r="AG10" s="1" t="e" cm="1">
        <f t="array" ref="AG10">_xlfn.FILTERXML(AC10,"//distance/value")/1000</f>
        <v>#VALUE!</v>
      </c>
      <c r="AH10" s="1" t="e" cm="1">
        <f t="array" ref="AH10">_xlfn.FILTERXML(AD10,"//distance/value")/1000</f>
        <v>#VALUE!</v>
      </c>
      <c r="AI10" s="1" t="e" cm="1">
        <f t="array" ref="AI10">_xlfn.FILTERXML(AE10,"//distance/value")/1000</f>
        <v>#VALUE!</v>
      </c>
      <c r="AJ10" s="1" t="e">
        <f t="shared" si="5"/>
        <v>#VALUE!</v>
      </c>
      <c r="AK10" s="19" t="e" cm="1">
        <f t="array" ref="AK10">_xlfn.FILTERXML(AB10,"//duration/value")/60/60/24</f>
        <v>#VALUE!</v>
      </c>
      <c r="AL10" s="19" t="e" cm="1">
        <f t="array" ref="AL10">_xlfn.FILTERXML(AC10,"//duration/value")/60/60/24</f>
        <v>#VALUE!</v>
      </c>
      <c r="AM10" s="19" t="e" cm="1">
        <f t="array" ref="AM10">_xlfn.FILTERXML(AD10,"//duration/value")/60/60/24</f>
        <v>#VALUE!</v>
      </c>
      <c r="AN10" s="19" t="e" cm="1">
        <f t="array" ref="AN10">_xlfn.FILTERXML(AE10,"//duration/value")/60/60/24</f>
        <v>#VALUE!</v>
      </c>
      <c r="AO10" s="3" t="e">
        <f t="shared" si="6"/>
        <v>#VALUE!</v>
      </c>
      <c r="AP10" s="3" t="e">
        <f t="shared" si="7"/>
        <v>#VALUE!</v>
      </c>
      <c r="AQ10" s="19" t="e" cm="1">
        <f t="array" ref="AQ10">_xlfn.FILTERXML(_xlfn.XLOOKUP(AJ10,$AF10:$AI10,AB10:AE10),"//duration/value")/60/60/24</f>
        <v>#VALUE!</v>
      </c>
      <c r="AS10" s="1" t="s">
        <v>400</v>
      </c>
      <c r="AT10" s="1" t="s">
        <v>401</v>
      </c>
      <c r="AU10" s="1" t="s">
        <v>402</v>
      </c>
      <c r="AV10" s="1" t="s">
        <v>403</v>
      </c>
      <c r="AW10" s="1">
        <v>248.99600000000001</v>
      </c>
      <c r="AX10" s="1">
        <v>6.7590000000000003</v>
      </c>
      <c r="AY10" s="1">
        <v>4869.4470000000001</v>
      </c>
      <c r="AZ10" s="1">
        <v>543.09</v>
      </c>
      <c r="BA10" s="1">
        <v>6.7590000000000003</v>
      </c>
      <c r="BB10" s="19">
        <v>0.10572916666666667</v>
      </c>
      <c r="BC10" s="19">
        <v>1.1006944444444444E-2</v>
      </c>
      <c r="BD10" s="19">
        <v>1.8924421296296297</v>
      </c>
      <c r="BE10" s="19">
        <v>0.21653935185185183</v>
      </c>
      <c r="BF10" s="3" t="s">
        <v>281</v>
      </c>
      <c r="BG10" s="3" t="s">
        <v>281</v>
      </c>
      <c r="BH10" s="19">
        <v>1.1006944444444444E-2</v>
      </c>
    </row>
    <row r="11" spans="1:60" ht="28.8">
      <c r="A11" s="58" t="s">
        <v>102</v>
      </c>
      <c r="B11" s="59" t="s">
        <v>103</v>
      </c>
      <c r="C11" s="59" t="s">
        <v>104</v>
      </c>
      <c r="D11" s="83">
        <v>44562</v>
      </c>
      <c r="E11" s="83">
        <v>44962</v>
      </c>
      <c r="F11" s="59" t="s">
        <v>36</v>
      </c>
      <c r="G11" s="61">
        <v>200</v>
      </c>
      <c r="H11" s="61">
        <v>5</v>
      </c>
      <c r="I11" s="84">
        <f t="shared" si="0"/>
        <v>39100</v>
      </c>
      <c r="J11" s="61" t="s">
        <v>105</v>
      </c>
      <c r="K11" s="59" t="s">
        <v>106</v>
      </c>
      <c r="L11" s="61">
        <v>29685103</v>
      </c>
      <c r="M11" s="83">
        <v>44571</v>
      </c>
      <c r="N11" s="59" t="s">
        <v>30</v>
      </c>
      <c r="O11" s="61">
        <v>170</v>
      </c>
      <c r="P11" s="61" t="s">
        <v>27</v>
      </c>
      <c r="Q11" s="63" t="s">
        <v>107</v>
      </c>
      <c r="R11" s="59">
        <v>45.471083700000001</v>
      </c>
      <c r="S11" s="59">
        <v>-73.694928099999998</v>
      </c>
      <c r="T11" s="69" t="s">
        <v>108</v>
      </c>
      <c r="U11" s="85" t="s">
        <v>109</v>
      </c>
      <c r="X11" s="1">
        <f>_xlfn.XLOOKUP('Projets Jerome_2'!$J11,'Projets Jerome'!$J$2:$J$37,'Projets Jerome'!$AC$2:$AC$37)</f>
        <v>45.471083700000001</v>
      </c>
      <c r="Y11" s="1">
        <f>_xlfn.XLOOKUP('Projets Jerome_2'!$J11,'Projets Jerome'!$J$2:$J$37,'Projets Jerome'!$AD$2:$AD$37)</f>
        <v>-73.694928099999998</v>
      </c>
      <c r="AB11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1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1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1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1" s="1" t="e" cm="1">
        <f t="array" ref="AF11">_xlfn.FILTERXML(AB11,"//distance/value")/1000</f>
        <v>#VALUE!</v>
      </c>
      <c r="AG11" s="1" t="e" cm="1">
        <f t="array" ref="AG11">_xlfn.FILTERXML(AC11,"//distance/value")/1000</f>
        <v>#VALUE!</v>
      </c>
      <c r="AH11" s="1" t="e" cm="1">
        <f t="array" ref="AH11">_xlfn.FILTERXML(AD11,"//distance/value")/1000</f>
        <v>#VALUE!</v>
      </c>
      <c r="AI11" s="1" t="e" cm="1">
        <f t="array" ref="AI11">_xlfn.FILTERXML(AE11,"//distance/value")/1000</f>
        <v>#VALUE!</v>
      </c>
      <c r="AJ11" s="1" t="e">
        <f t="shared" si="5"/>
        <v>#VALUE!</v>
      </c>
      <c r="AK11" s="19" t="e" cm="1">
        <f t="array" ref="AK11">_xlfn.FILTERXML(AB11,"//duration/value")/60/60/24</f>
        <v>#VALUE!</v>
      </c>
      <c r="AL11" s="19" t="e" cm="1">
        <f t="array" ref="AL11">_xlfn.FILTERXML(AC11,"//duration/value")/60/60/24</f>
        <v>#VALUE!</v>
      </c>
      <c r="AM11" s="19" t="e" cm="1">
        <f t="array" ref="AM11">_xlfn.FILTERXML(AD11,"//duration/value")/60/60/24</f>
        <v>#VALUE!</v>
      </c>
      <c r="AN11" s="19" t="e" cm="1">
        <f t="array" ref="AN11">_xlfn.FILTERXML(AE11,"//duration/value")/60/60/24</f>
        <v>#VALUE!</v>
      </c>
      <c r="AO11" s="3" t="e">
        <f t="shared" si="6"/>
        <v>#VALUE!</v>
      </c>
      <c r="AP11" s="3" t="e">
        <f t="shared" si="7"/>
        <v>#VALUE!</v>
      </c>
      <c r="AQ11" s="19" t="e" cm="1">
        <f t="array" ref="AQ11">_xlfn.FILTERXML(_xlfn.XLOOKUP(AJ11,$AF11:$AI11,AB11:AE11),"//duration/value")/60/60/24</f>
        <v>#VALUE!</v>
      </c>
      <c r="AS11" s="1" t="s">
        <v>404</v>
      </c>
      <c r="AT11" s="1" t="s">
        <v>405</v>
      </c>
      <c r="AU11" s="1" t="s">
        <v>406</v>
      </c>
      <c r="AV11" s="1" t="s">
        <v>407</v>
      </c>
      <c r="AW11" s="1">
        <v>262.87400000000002</v>
      </c>
      <c r="AX11" s="1">
        <v>10.914999999999999</v>
      </c>
      <c r="AY11" s="1">
        <v>4862.3109999999997</v>
      </c>
      <c r="AZ11" s="1">
        <v>535.95500000000004</v>
      </c>
      <c r="BA11" s="1">
        <v>10.914999999999999</v>
      </c>
      <c r="BB11" s="19">
        <v>0.11004629629629629</v>
      </c>
      <c r="BC11" s="19">
        <v>1.638888888888889E-2</v>
      </c>
      <c r="BD11" s="19">
        <v>1.8888425925925925</v>
      </c>
      <c r="BE11" s="19">
        <v>0.21295138888888887</v>
      </c>
      <c r="BF11" s="3" t="s">
        <v>281</v>
      </c>
      <c r="BG11" s="3" t="s">
        <v>281</v>
      </c>
      <c r="BH11" s="19">
        <v>1.638888888888889E-2</v>
      </c>
    </row>
    <row r="12" spans="1:60">
      <c r="A12" s="51" t="s">
        <v>42</v>
      </c>
      <c r="B12" s="52" t="s">
        <v>110</v>
      </c>
      <c r="C12" s="52" t="s">
        <v>111</v>
      </c>
      <c r="D12" s="80">
        <v>44607</v>
      </c>
      <c r="E12" s="80">
        <v>44681</v>
      </c>
      <c r="F12" s="52" t="s">
        <v>226</v>
      </c>
      <c r="G12" s="54">
        <v>21</v>
      </c>
      <c r="H12" s="54">
        <v>5.25</v>
      </c>
      <c r="I12" s="81">
        <f t="shared" si="0"/>
        <v>4467.75</v>
      </c>
      <c r="J12" s="54" t="s">
        <v>113</v>
      </c>
      <c r="K12" s="52" t="s">
        <v>114</v>
      </c>
      <c r="L12" s="54">
        <v>29685081</v>
      </c>
      <c r="M12" s="80">
        <v>44607</v>
      </c>
      <c r="N12" s="52" t="s">
        <v>115</v>
      </c>
      <c r="O12" s="54">
        <v>185</v>
      </c>
      <c r="P12" s="54" t="s">
        <v>112</v>
      </c>
      <c r="Q12" s="56" t="s">
        <v>116</v>
      </c>
      <c r="R12" s="52">
        <v>45.891391800000001</v>
      </c>
      <c r="S12" s="52">
        <v>-122.7430619</v>
      </c>
      <c r="T12" s="87" t="s">
        <v>117</v>
      </c>
      <c r="U12" s="82" t="s">
        <v>118</v>
      </c>
      <c r="X12" s="1">
        <f>_xlfn.XLOOKUP('Projets Jerome_2'!$J12,'Projets Jerome'!$J$2:$J$37,'Projets Jerome'!$AC$2:$AC$37)</f>
        <v>45.891391800000001</v>
      </c>
      <c r="Y12" s="1">
        <f>_xlfn.XLOOKUP('Projets Jerome_2'!$J12,'Projets Jerome'!$J$2:$J$37,'Projets Jerome'!$AD$2:$AD$37)</f>
        <v>-122.7430619</v>
      </c>
      <c r="AB12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2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2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2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2" s="1" t="e" cm="1">
        <f t="array" ref="AF12">_xlfn.FILTERXML(AB12,"//distance/value")/1000</f>
        <v>#VALUE!</v>
      </c>
      <c r="AG12" s="1" t="e" cm="1">
        <f t="array" ref="AG12">_xlfn.FILTERXML(AC12,"//distance/value")/1000</f>
        <v>#VALUE!</v>
      </c>
      <c r="AH12" s="1" t="e" cm="1">
        <f t="array" ref="AH12">_xlfn.FILTERXML(AD12,"//distance/value")/1000</f>
        <v>#VALUE!</v>
      </c>
      <c r="AI12" s="1" t="e" cm="1">
        <f t="array" ref="AI12">_xlfn.FILTERXML(AE12,"//distance/value")/1000</f>
        <v>#VALUE!</v>
      </c>
      <c r="AJ12" s="1" t="e">
        <f t="shared" si="5"/>
        <v>#VALUE!</v>
      </c>
      <c r="AK12" s="19" t="e" cm="1">
        <f t="array" ref="AK12">_xlfn.FILTERXML(AB12,"//duration/value")/60/60/24</f>
        <v>#VALUE!</v>
      </c>
      <c r="AL12" s="19" t="e" cm="1">
        <f t="array" ref="AL12">_xlfn.FILTERXML(AC12,"//duration/value")/60/60/24</f>
        <v>#VALUE!</v>
      </c>
      <c r="AM12" s="19" t="e" cm="1">
        <f t="array" ref="AM12">_xlfn.FILTERXML(AD12,"//duration/value")/60/60/24</f>
        <v>#VALUE!</v>
      </c>
      <c r="AN12" s="19" t="e" cm="1">
        <f t="array" ref="AN12">_xlfn.FILTERXML(AE12,"//duration/value")/60/60/24</f>
        <v>#VALUE!</v>
      </c>
      <c r="AO12" s="3" t="e">
        <f t="shared" si="6"/>
        <v>#VALUE!</v>
      </c>
      <c r="AP12" s="3" t="e">
        <f t="shared" si="7"/>
        <v>#VALUE!</v>
      </c>
      <c r="AQ12" s="19" t="e" cm="1">
        <f t="array" ref="AQ12">_xlfn.FILTERXML(_xlfn.XLOOKUP(AJ12,$AF12:$AI12,AB12:AE12),"//duration/value")/60/60/24</f>
        <v>#VALUE!</v>
      </c>
      <c r="AS12" s="1" t="s">
        <v>408</v>
      </c>
      <c r="AT12" s="1" t="s">
        <v>409</v>
      </c>
      <c r="AU12" s="1" t="s">
        <v>410</v>
      </c>
      <c r="AV12" s="1" t="s">
        <v>411</v>
      </c>
      <c r="AW12" s="1">
        <v>5037.8490000000002</v>
      </c>
      <c r="AX12" s="1">
        <v>4784.259</v>
      </c>
      <c r="AY12" s="1">
        <v>465.05700000000002</v>
      </c>
      <c r="AZ12" s="1">
        <v>4254.4110000000001</v>
      </c>
      <c r="BA12" s="1">
        <v>465.05700000000002</v>
      </c>
      <c r="BB12" s="19">
        <v>1.9275347222222223</v>
      </c>
      <c r="BC12" s="19">
        <v>1.8336921296296298</v>
      </c>
      <c r="BD12" s="19">
        <v>0.20355324074074074</v>
      </c>
      <c r="BE12" s="19">
        <v>1.6216203703703702</v>
      </c>
      <c r="BF12" s="3" t="s">
        <v>248</v>
      </c>
      <c r="BG12" s="3" t="s">
        <v>248</v>
      </c>
      <c r="BH12" s="19">
        <v>0.20355324074074074</v>
      </c>
    </row>
    <row r="13" spans="1:60" ht="28.8">
      <c r="A13" s="58" t="s">
        <v>23</v>
      </c>
      <c r="B13" s="59" t="s">
        <v>119</v>
      </c>
      <c r="C13" s="59" t="s">
        <v>120</v>
      </c>
      <c r="D13" s="83">
        <v>44690</v>
      </c>
      <c r="E13" s="83">
        <v>44985</v>
      </c>
      <c r="F13" s="59" t="s">
        <v>36</v>
      </c>
      <c r="G13" s="61">
        <v>230</v>
      </c>
      <c r="H13" s="61">
        <v>87.75</v>
      </c>
      <c r="I13" s="84">
        <f t="shared" si="0"/>
        <v>39675</v>
      </c>
      <c r="J13" s="61" t="s">
        <v>121</v>
      </c>
      <c r="K13" s="59" t="s">
        <v>122</v>
      </c>
      <c r="L13" s="61">
        <v>29685185</v>
      </c>
      <c r="M13" s="83">
        <v>44696</v>
      </c>
      <c r="N13" s="59" t="s">
        <v>30</v>
      </c>
      <c r="O13" s="61">
        <v>150</v>
      </c>
      <c r="P13" s="61" t="s">
        <v>112</v>
      </c>
      <c r="Q13" s="63" t="s">
        <v>123</v>
      </c>
      <c r="R13" s="59">
        <v>36.791963199999998</v>
      </c>
      <c r="S13" s="59">
        <v>-76.246086000000005</v>
      </c>
      <c r="T13" s="69" t="s">
        <v>124</v>
      </c>
      <c r="U13" s="85" t="s">
        <v>125</v>
      </c>
      <c r="X13" s="1">
        <f>_xlfn.XLOOKUP('Projets Jerome_2'!$J13,'Projets Jerome'!$J$2:$J$37,'Projets Jerome'!$AC$2:$AC$37)</f>
        <v>36.791963199999998</v>
      </c>
      <c r="Y13" s="1">
        <f>_xlfn.XLOOKUP('Projets Jerome_2'!$J13,'Projets Jerome'!$J$2:$J$37,'Projets Jerome'!$AD$2:$AD$37)</f>
        <v>-76.246086000000005</v>
      </c>
      <c r="AB13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3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3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3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3" s="1" t="e" cm="1">
        <f t="array" ref="AF13">_xlfn.FILTERXML(AB13,"//distance/value")/1000</f>
        <v>#VALUE!</v>
      </c>
      <c r="AG13" s="1" t="e" cm="1">
        <f t="array" ref="AG13">_xlfn.FILTERXML(AC13,"//distance/value")/1000</f>
        <v>#VALUE!</v>
      </c>
      <c r="AH13" s="1" t="e" cm="1">
        <f t="array" ref="AH13">_xlfn.FILTERXML(AD13,"//distance/value")/1000</f>
        <v>#VALUE!</v>
      </c>
      <c r="AI13" s="1" t="e" cm="1">
        <f t="array" ref="AI13">_xlfn.FILTERXML(AE13,"//distance/value")/1000</f>
        <v>#VALUE!</v>
      </c>
      <c r="AJ13" s="1" t="e">
        <f t="shared" si="5"/>
        <v>#VALUE!</v>
      </c>
      <c r="AK13" s="19" t="e" cm="1">
        <f t="array" ref="AK13">_xlfn.FILTERXML(AB13,"//duration/value")/60/60/24</f>
        <v>#VALUE!</v>
      </c>
      <c r="AL13" s="19" t="e" cm="1">
        <f t="array" ref="AL13">_xlfn.FILTERXML(AC13,"//duration/value")/60/60/24</f>
        <v>#VALUE!</v>
      </c>
      <c r="AM13" s="19" t="e" cm="1">
        <f t="array" ref="AM13">_xlfn.FILTERXML(AD13,"//duration/value")/60/60/24</f>
        <v>#VALUE!</v>
      </c>
      <c r="AN13" s="19" t="e" cm="1">
        <f t="array" ref="AN13">_xlfn.FILTERXML(AE13,"//duration/value")/60/60/24</f>
        <v>#VALUE!</v>
      </c>
      <c r="AO13" s="3" t="e">
        <f t="shared" si="6"/>
        <v>#VALUE!</v>
      </c>
      <c r="AP13" s="3" t="e">
        <f t="shared" si="7"/>
        <v>#VALUE!</v>
      </c>
      <c r="AQ13" s="19" t="e" cm="1">
        <f t="array" ref="AQ13">_xlfn.FILTERXML(_xlfn.XLOOKUP(AJ13,$AF13:$AI13,AB13:AE13),"//duration/value")/60/60/24</f>
        <v>#VALUE!</v>
      </c>
      <c r="AS13" s="1" t="s">
        <v>412</v>
      </c>
      <c r="AT13" s="1" t="s">
        <v>413</v>
      </c>
      <c r="AU13" s="1" t="s">
        <v>414</v>
      </c>
      <c r="AV13" s="1" t="s">
        <v>415</v>
      </c>
      <c r="AW13" s="1">
        <v>1390.2049999999999</v>
      </c>
      <c r="AX13" s="1">
        <v>1170.9860000000001</v>
      </c>
      <c r="AY13" s="1">
        <v>4939.9229999999998</v>
      </c>
      <c r="AZ13" s="1">
        <v>1083.854</v>
      </c>
      <c r="BA13" s="1">
        <v>1083.854</v>
      </c>
      <c r="BB13" s="19">
        <v>0.57505787037037037</v>
      </c>
      <c r="BC13" s="19">
        <v>0.49809027777777781</v>
      </c>
      <c r="BD13" s="19">
        <v>1.9241203703703702</v>
      </c>
      <c r="BE13" s="19">
        <v>0.46572916666666669</v>
      </c>
      <c r="BF13" s="3" t="s">
        <v>249</v>
      </c>
      <c r="BG13" s="3" t="s">
        <v>249</v>
      </c>
      <c r="BH13" s="19">
        <v>0.46572916666666669</v>
      </c>
    </row>
    <row r="14" spans="1:60" ht="28.8">
      <c r="A14" s="51" t="s">
        <v>42</v>
      </c>
      <c r="B14" s="52" t="s">
        <v>126</v>
      </c>
      <c r="C14" s="52" t="s">
        <v>127</v>
      </c>
      <c r="D14" s="80">
        <v>44820</v>
      </c>
      <c r="E14" s="80">
        <v>45044</v>
      </c>
      <c r="F14" s="52" t="s">
        <v>36</v>
      </c>
      <c r="G14" s="54">
        <v>407</v>
      </c>
      <c r="H14" s="54">
        <v>9</v>
      </c>
      <c r="I14" s="81">
        <f t="shared" si="0"/>
        <v>86589.25</v>
      </c>
      <c r="J14" s="54" t="s">
        <v>128</v>
      </c>
      <c r="K14" s="52" t="s">
        <v>129</v>
      </c>
      <c r="L14" s="54">
        <v>29685237</v>
      </c>
      <c r="M14" s="80">
        <v>44820</v>
      </c>
      <c r="N14" s="52" t="s">
        <v>30</v>
      </c>
      <c r="O14" s="54">
        <v>185</v>
      </c>
      <c r="P14" s="54" t="s">
        <v>27</v>
      </c>
      <c r="Q14" s="56" t="s">
        <v>130</v>
      </c>
      <c r="R14" s="52">
        <v>45.595933899999999</v>
      </c>
      <c r="S14" s="52">
        <v>-73.623009600000003</v>
      </c>
      <c r="T14" s="70" t="s">
        <v>131</v>
      </c>
      <c r="U14" s="82" t="s">
        <v>132</v>
      </c>
      <c r="X14" s="1">
        <f>_xlfn.XLOOKUP('Projets Jerome_2'!$J14,'Projets Jerome'!$J$2:$J$37,'Projets Jerome'!$AC$2:$AC$37)</f>
        <v>45.595933899999999</v>
      </c>
      <c r="Y14" s="1">
        <f>_xlfn.XLOOKUP('Projets Jerome_2'!$J14,'Projets Jerome'!$J$2:$J$37,'Projets Jerome'!$AD$2:$AD$37)</f>
        <v>-73.623009600000003</v>
      </c>
      <c r="AB14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4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4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4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4" s="1" t="e" cm="1">
        <f t="array" ref="AF14">_xlfn.FILTERXML(AB14,"//distance/value")/1000</f>
        <v>#VALUE!</v>
      </c>
      <c r="AG14" s="1" t="e" cm="1">
        <f t="array" ref="AG14">_xlfn.FILTERXML(AC14,"//distance/value")/1000</f>
        <v>#VALUE!</v>
      </c>
      <c r="AH14" s="1" t="e" cm="1">
        <f t="array" ref="AH14">_xlfn.FILTERXML(AD14,"//distance/value")/1000</f>
        <v>#VALUE!</v>
      </c>
      <c r="AI14" s="1" t="e" cm="1">
        <f t="array" ref="AI14">_xlfn.FILTERXML(AE14,"//distance/value")/1000</f>
        <v>#VALUE!</v>
      </c>
      <c r="AJ14" s="1" t="e">
        <f t="shared" si="5"/>
        <v>#VALUE!</v>
      </c>
      <c r="AK14" s="19" t="e" cm="1">
        <f t="array" ref="AK14">_xlfn.FILTERXML(AB14,"//duration/value")/60/60/24</f>
        <v>#VALUE!</v>
      </c>
      <c r="AL14" s="19" t="e" cm="1">
        <f t="array" ref="AL14">_xlfn.FILTERXML(AC14,"//duration/value")/60/60/24</f>
        <v>#VALUE!</v>
      </c>
      <c r="AM14" s="19" t="e" cm="1">
        <f t="array" ref="AM14">_xlfn.FILTERXML(AD14,"//duration/value")/60/60/24</f>
        <v>#VALUE!</v>
      </c>
      <c r="AN14" s="19" t="e" cm="1">
        <f t="array" ref="AN14">_xlfn.FILTERXML(AE14,"//duration/value")/60/60/24</f>
        <v>#VALUE!</v>
      </c>
      <c r="AO14" s="3" t="e">
        <f t="shared" si="6"/>
        <v>#VALUE!</v>
      </c>
      <c r="AP14" s="3" t="e">
        <f t="shared" si="7"/>
        <v>#VALUE!</v>
      </c>
      <c r="AQ14" s="19" t="e" cm="1">
        <f t="array" ref="AQ14">_xlfn.FILTERXML(_xlfn.XLOOKUP(AJ14,$AF14:$AI14,AB14:AE14),"//duration/value")/60/60/24</f>
        <v>#VALUE!</v>
      </c>
      <c r="AS14" s="1" t="s">
        <v>416</v>
      </c>
      <c r="AT14" s="1" t="s">
        <v>417</v>
      </c>
      <c r="AU14" s="1" t="s">
        <v>418</v>
      </c>
      <c r="AV14" s="1" t="s">
        <v>419</v>
      </c>
      <c r="AW14" s="1">
        <v>243.28299999999999</v>
      </c>
      <c r="AX14" s="1">
        <v>14.951000000000001</v>
      </c>
      <c r="AY14" s="1">
        <v>4877.6360000000004</v>
      </c>
      <c r="AZ14" s="1">
        <v>551.28</v>
      </c>
      <c r="BA14" s="1">
        <v>14.951000000000001</v>
      </c>
      <c r="BB14" s="19">
        <v>0.10511574074074075</v>
      </c>
      <c r="BC14" s="19">
        <v>1.9027777777777779E-2</v>
      </c>
      <c r="BD14" s="19">
        <v>1.8996064814814815</v>
      </c>
      <c r="BE14" s="19">
        <v>0.22371527777777778</v>
      </c>
      <c r="BF14" s="3" t="s">
        <v>281</v>
      </c>
      <c r="BG14" s="3" t="s">
        <v>281</v>
      </c>
      <c r="BH14" s="19">
        <v>1.9027777777777779E-2</v>
      </c>
    </row>
    <row r="15" spans="1:60" ht="28.8">
      <c r="A15" s="58" t="s">
        <v>42</v>
      </c>
      <c r="B15" s="59" t="s">
        <v>133</v>
      </c>
      <c r="C15" s="59" t="s">
        <v>134</v>
      </c>
      <c r="D15" s="83">
        <v>44820</v>
      </c>
      <c r="E15" s="83">
        <v>44925</v>
      </c>
      <c r="F15" s="59" t="s">
        <v>226</v>
      </c>
      <c r="G15" s="61">
        <v>56</v>
      </c>
      <c r="H15" s="61">
        <v>31.75</v>
      </c>
      <c r="I15" s="84">
        <f t="shared" si="0"/>
        <v>10626</v>
      </c>
      <c r="J15" s="61" t="s">
        <v>135</v>
      </c>
      <c r="K15" s="59" t="s">
        <v>133</v>
      </c>
      <c r="L15" s="61">
        <v>29685240</v>
      </c>
      <c r="M15" s="83">
        <v>44826</v>
      </c>
      <c r="N15" s="59" t="s">
        <v>81</v>
      </c>
      <c r="O15" s="61">
        <v>165</v>
      </c>
      <c r="P15" s="61" t="s">
        <v>27</v>
      </c>
      <c r="Q15" s="63" t="s">
        <v>136</v>
      </c>
      <c r="R15" s="59">
        <v>45.157066800000003</v>
      </c>
      <c r="S15" s="59">
        <v>-71.801298099999997</v>
      </c>
      <c r="T15" s="69" t="s">
        <v>137</v>
      </c>
      <c r="U15" s="85" t="s">
        <v>138</v>
      </c>
      <c r="X15" s="1">
        <f>_xlfn.XLOOKUP('Projets Jerome_2'!$J15,'Projets Jerome'!$J$2:$J$37,'Projets Jerome'!$AC$2:$AC$37)</f>
        <v>45.157066800000003</v>
      </c>
      <c r="Y15" s="1">
        <f>_xlfn.XLOOKUP('Projets Jerome_2'!$J15,'Projets Jerome'!$J$2:$J$37,'Projets Jerome'!$AD$2:$AD$37)</f>
        <v>-71.801298099999997</v>
      </c>
      <c r="AB15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5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5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5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5" s="1" t="e" cm="1">
        <f t="array" ref="AF15">_xlfn.FILTERXML(AB15,"//distance/value")/1000</f>
        <v>#VALUE!</v>
      </c>
      <c r="AG15" s="1" t="e" cm="1">
        <f t="array" ref="AG15">_xlfn.FILTERXML(AC15,"//distance/value")/1000</f>
        <v>#VALUE!</v>
      </c>
      <c r="AH15" s="1" t="e" cm="1">
        <f t="array" ref="AH15">_xlfn.FILTERXML(AD15,"//distance/value")/1000</f>
        <v>#VALUE!</v>
      </c>
      <c r="AI15" s="1" t="e" cm="1">
        <f t="array" ref="AI15">_xlfn.FILTERXML(AE15,"//distance/value")/1000</f>
        <v>#VALUE!</v>
      </c>
      <c r="AJ15" s="1" t="e">
        <f t="shared" si="5"/>
        <v>#VALUE!</v>
      </c>
      <c r="AK15" s="19" t="e" cm="1">
        <f t="array" ref="AK15">_xlfn.FILTERXML(AB15,"//duration/value")/60/60/24</f>
        <v>#VALUE!</v>
      </c>
      <c r="AL15" s="19" t="e" cm="1">
        <f t="array" ref="AL15">_xlfn.FILTERXML(AC15,"//duration/value")/60/60/24</f>
        <v>#VALUE!</v>
      </c>
      <c r="AM15" s="19" t="e" cm="1">
        <f t="array" ref="AM15">_xlfn.FILTERXML(AD15,"//duration/value")/60/60/24</f>
        <v>#VALUE!</v>
      </c>
      <c r="AN15" s="19" t="e" cm="1">
        <f t="array" ref="AN15">_xlfn.FILTERXML(AE15,"//duration/value")/60/60/24</f>
        <v>#VALUE!</v>
      </c>
      <c r="AO15" s="3" t="e">
        <f t="shared" si="6"/>
        <v>#VALUE!</v>
      </c>
      <c r="AP15" s="3" t="e">
        <f t="shared" si="7"/>
        <v>#VALUE!</v>
      </c>
      <c r="AQ15" s="19" t="e" cm="1">
        <f t="array" ref="AQ15">_xlfn.FILTERXML(_xlfn.XLOOKUP(AJ15,$AF15:$AI15,AB15:AE15),"//duration/value")/60/60/24</f>
        <v>#VALUE!</v>
      </c>
      <c r="AS15" s="1" t="s">
        <v>420</v>
      </c>
      <c r="AT15" s="1" t="s">
        <v>421</v>
      </c>
      <c r="AU15" s="1" t="s">
        <v>422</v>
      </c>
      <c r="AV15" s="1" t="s">
        <v>423</v>
      </c>
      <c r="AW15" s="1">
        <v>257.37400000000002</v>
      </c>
      <c r="AX15" s="1">
        <v>174.81299999999999</v>
      </c>
      <c r="AY15" s="1">
        <v>5037.3770000000004</v>
      </c>
      <c r="AZ15" s="1">
        <v>711.02</v>
      </c>
      <c r="BA15" s="1">
        <v>174.81299999999999</v>
      </c>
      <c r="BB15" s="19">
        <v>0.10650462962962964</v>
      </c>
      <c r="BC15" s="19">
        <v>8.7673611111111105E-2</v>
      </c>
      <c r="BD15" s="19">
        <v>1.9615393518518518</v>
      </c>
      <c r="BE15" s="19">
        <v>0.28563657407407406</v>
      </c>
      <c r="BF15" s="3" t="s">
        <v>281</v>
      </c>
      <c r="BG15" s="3" t="s">
        <v>281</v>
      </c>
      <c r="BH15" s="19">
        <v>8.7673611111111105E-2</v>
      </c>
    </row>
    <row r="16" spans="1:60" ht="28.8">
      <c r="A16" s="51" t="s">
        <v>102</v>
      </c>
      <c r="B16" s="52" t="s">
        <v>139</v>
      </c>
      <c r="C16" s="52" t="s">
        <v>140</v>
      </c>
      <c r="D16" s="80">
        <v>44839</v>
      </c>
      <c r="E16" s="80">
        <v>45015</v>
      </c>
      <c r="F16" s="52" t="s">
        <v>226</v>
      </c>
      <c r="G16" s="54">
        <v>16</v>
      </c>
      <c r="H16" s="54">
        <v>11</v>
      </c>
      <c r="I16" s="81">
        <f t="shared" si="0"/>
        <v>3035.9999999999995</v>
      </c>
      <c r="J16" s="54" t="s">
        <v>141</v>
      </c>
      <c r="K16" s="52" t="s">
        <v>142</v>
      </c>
      <c r="L16" s="54">
        <v>29685243</v>
      </c>
      <c r="M16" s="80">
        <v>44839</v>
      </c>
      <c r="N16" s="52" t="s">
        <v>81</v>
      </c>
      <c r="O16" s="54">
        <v>165</v>
      </c>
      <c r="P16" s="54" t="s">
        <v>27</v>
      </c>
      <c r="Q16" s="56" t="s">
        <v>143</v>
      </c>
      <c r="R16" s="52">
        <v>45.438667799999997</v>
      </c>
      <c r="S16" s="52">
        <v>-73.682047600000004</v>
      </c>
      <c r="T16" s="70" t="s">
        <v>144</v>
      </c>
      <c r="U16" s="82" t="s">
        <v>145</v>
      </c>
      <c r="X16" s="1">
        <f>_xlfn.XLOOKUP('Projets Jerome_2'!$J16,'Projets Jerome'!$J$2:$J$37,'Projets Jerome'!$AC$2:$AC$37)</f>
        <v>45.438667799999997</v>
      </c>
      <c r="Y16" s="1">
        <f>_xlfn.XLOOKUP('Projets Jerome_2'!$J16,'Projets Jerome'!$J$2:$J$37,'Projets Jerome'!$AD$2:$AD$37)</f>
        <v>-73.682047600000004</v>
      </c>
      <c r="AB16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6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6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6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6" s="1" t="e" cm="1">
        <f t="array" ref="AF16">_xlfn.FILTERXML(AB16,"//distance/value")/1000</f>
        <v>#VALUE!</v>
      </c>
      <c r="AG16" s="1" t="e" cm="1">
        <f t="array" ref="AG16">_xlfn.FILTERXML(AC16,"//distance/value")/1000</f>
        <v>#VALUE!</v>
      </c>
      <c r="AH16" s="1" t="e" cm="1">
        <f t="array" ref="AH16">_xlfn.FILTERXML(AD16,"//distance/value")/1000</f>
        <v>#VALUE!</v>
      </c>
      <c r="AI16" s="1" t="e" cm="1">
        <f t="array" ref="AI16">_xlfn.FILTERXML(AE16,"//distance/value")/1000</f>
        <v>#VALUE!</v>
      </c>
      <c r="AJ16" s="1" t="e">
        <f t="shared" si="5"/>
        <v>#VALUE!</v>
      </c>
      <c r="AK16" s="19" t="e" cm="1">
        <f t="array" ref="AK16">_xlfn.FILTERXML(AB16,"//duration/value")/60/60/24</f>
        <v>#VALUE!</v>
      </c>
      <c r="AL16" s="19" t="e" cm="1">
        <f t="array" ref="AL16">_xlfn.FILTERXML(AC16,"//duration/value")/60/60/24</f>
        <v>#VALUE!</v>
      </c>
      <c r="AM16" s="19" t="e" cm="1">
        <f t="array" ref="AM16">_xlfn.FILTERXML(AD16,"//duration/value")/60/60/24</f>
        <v>#VALUE!</v>
      </c>
      <c r="AN16" s="19" t="e" cm="1">
        <f t="array" ref="AN16">_xlfn.FILTERXML(AE16,"//duration/value")/60/60/24</f>
        <v>#VALUE!</v>
      </c>
      <c r="AO16" s="3" t="e">
        <f t="shared" si="6"/>
        <v>#VALUE!</v>
      </c>
      <c r="AP16" s="3" t="e">
        <f t="shared" si="7"/>
        <v>#VALUE!</v>
      </c>
      <c r="AQ16" s="19" t="e" cm="1">
        <f t="array" ref="AQ16">_xlfn.FILTERXML(_xlfn.XLOOKUP(AJ16,$AF16:$AI16,AB16:AE16),"//duration/value")/60/60/24</f>
        <v>#VALUE!</v>
      </c>
      <c r="AS16" s="1" t="s">
        <v>424</v>
      </c>
      <c r="AT16" s="1" t="s">
        <v>425</v>
      </c>
      <c r="AU16" s="1" t="s">
        <v>426</v>
      </c>
      <c r="AV16" s="1" t="s">
        <v>427</v>
      </c>
      <c r="AW16" s="1">
        <v>261.88600000000002</v>
      </c>
      <c r="AX16" s="1">
        <v>21.428000000000001</v>
      </c>
      <c r="AY16" s="1">
        <v>4857.1130000000003</v>
      </c>
      <c r="AZ16" s="1">
        <v>530.75699999999995</v>
      </c>
      <c r="BA16" s="1">
        <v>21.428000000000001</v>
      </c>
      <c r="BB16" s="19">
        <v>0.11138888888888888</v>
      </c>
      <c r="BC16" s="19">
        <v>2.0787037037037038E-2</v>
      </c>
      <c r="BD16" s="19">
        <v>1.8899074074074074</v>
      </c>
      <c r="BE16" s="19">
        <v>0.21401620370370369</v>
      </c>
      <c r="BF16" s="3" t="s">
        <v>281</v>
      </c>
      <c r="BG16" s="3" t="s">
        <v>281</v>
      </c>
      <c r="BH16" s="19">
        <v>2.0787037037037038E-2</v>
      </c>
    </row>
    <row r="17" spans="1:60" ht="28.8">
      <c r="A17" s="58" t="s">
        <v>102</v>
      </c>
      <c r="B17" s="59" t="s">
        <v>146</v>
      </c>
      <c r="C17" s="59" t="s">
        <v>140</v>
      </c>
      <c r="D17" s="83">
        <v>44839</v>
      </c>
      <c r="E17" s="83">
        <v>45015</v>
      </c>
      <c r="F17" s="59" t="s">
        <v>226</v>
      </c>
      <c r="G17" s="61">
        <v>40</v>
      </c>
      <c r="H17" s="61">
        <v>0</v>
      </c>
      <c r="I17" s="84">
        <f t="shared" si="0"/>
        <v>6209.9999999999991</v>
      </c>
      <c r="J17" s="61" t="s">
        <v>147</v>
      </c>
      <c r="K17" s="59" t="s">
        <v>148</v>
      </c>
      <c r="L17" s="61">
        <v>29685276</v>
      </c>
      <c r="M17" s="83">
        <v>44893</v>
      </c>
      <c r="N17" s="59" t="s">
        <v>81</v>
      </c>
      <c r="O17" s="61">
        <v>135</v>
      </c>
      <c r="P17" s="61" t="s">
        <v>27</v>
      </c>
      <c r="Q17" s="63" t="s">
        <v>143</v>
      </c>
      <c r="R17" s="59">
        <v>45.438667799999997</v>
      </c>
      <c r="S17" s="59">
        <v>-73.682047600000004</v>
      </c>
      <c r="T17" s="69" t="s">
        <v>144</v>
      </c>
      <c r="U17" s="85" t="s">
        <v>149</v>
      </c>
      <c r="X17" s="1">
        <f>_xlfn.XLOOKUP('Projets Jerome_2'!$J17,'Projets Jerome'!$J$2:$J$37,'Projets Jerome'!$AC$2:$AC$37)</f>
        <v>45.438667799999997</v>
      </c>
      <c r="Y17" s="1">
        <f>_xlfn.XLOOKUP('Projets Jerome_2'!$J17,'Projets Jerome'!$J$2:$J$37,'Projets Jerome'!$AD$2:$AD$37)</f>
        <v>-73.682047600000004</v>
      </c>
      <c r="AB17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7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7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7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7" s="1" t="e" cm="1">
        <f t="array" ref="AF17">_xlfn.FILTERXML(AB17,"//distance/value")/1000</f>
        <v>#VALUE!</v>
      </c>
      <c r="AG17" s="1" t="e" cm="1">
        <f t="array" ref="AG17">_xlfn.FILTERXML(AC17,"//distance/value")/1000</f>
        <v>#VALUE!</v>
      </c>
      <c r="AH17" s="1" t="e" cm="1">
        <f t="array" ref="AH17">_xlfn.FILTERXML(AD17,"//distance/value")/1000</f>
        <v>#VALUE!</v>
      </c>
      <c r="AI17" s="1" t="e" cm="1">
        <f t="array" ref="AI17">_xlfn.FILTERXML(AE17,"//distance/value")/1000</f>
        <v>#VALUE!</v>
      </c>
      <c r="AJ17" s="1" t="e">
        <f t="shared" si="5"/>
        <v>#VALUE!</v>
      </c>
      <c r="AK17" s="19" t="e" cm="1">
        <f t="array" ref="AK17">_xlfn.FILTERXML(AB17,"//duration/value")/60/60/24</f>
        <v>#VALUE!</v>
      </c>
      <c r="AL17" s="19" t="e" cm="1">
        <f t="array" ref="AL17">_xlfn.FILTERXML(AC17,"//duration/value")/60/60/24</f>
        <v>#VALUE!</v>
      </c>
      <c r="AM17" s="19" t="e" cm="1">
        <f t="array" ref="AM17">_xlfn.FILTERXML(AD17,"//duration/value")/60/60/24</f>
        <v>#VALUE!</v>
      </c>
      <c r="AN17" s="19" t="e" cm="1">
        <f t="array" ref="AN17">_xlfn.FILTERXML(AE17,"//duration/value")/60/60/24</f>
        <v>#VALUE!</v>
      </c>
      <c r="AO17" s="3" t="e">
        <f t="shared" si="6"/>
        <v>#VALUE!</v>
      </c>
      <c r="AP17" s="3" t="e">
        <f t="shared" si="7"/>
        <v>#VALUE!</v>
      </c>
      <c r="AQ17" s="19" t="e" cm="1">
        <f t="array" ref="AQ17">_xlfn.FILTERXML(_xlfn.XLOOKUP(AJ17,$AF17:$AI17,AB17:AE17),"//duration/value")/60/60/24</f>
        <v>#VALUE!</v>
      </c>
      <c r="AS17" s="1" t="s">
        <v>424</v>
      </c>
      <c r="AT17" s="1" t="s">
        <v>425</v>
      </c>
      <c r="AU17" s="1" t="s">
        <v>426</v>
      </c>
      <c r="AV17" s="1" t="s">
        <v>427</v>
      </c>
      <c r="AW17" s="1">
        <v>261.88600000000002</v>
      </c>
      <c r="AX17" s="1">
        <v>21.428000000000001</v>
      </c>
      <c r="AY17" s="1">
        <v>4857.1130000000003</v>
      </c>
      <c r="AZ17" s="1">
        <v>530.75699999999995</v>
      </c>
      <c r="BA17" s="1">
        <v>21.428000000000001</v>
      </c>
      <c r="BB17" s="19">
        <v>0.11138888888888888</v>
      </c>
      <c r="BC17" s="19">
        <v>2.0787037037037038E-2</v>
      </c>
      <c r="BD17" s="19">
        <v>1.8899074074074074</v>
      </c>
      <c r="BE17" s="19">
        <v>0.21401620370370369</v>
      </c>
      <c r="BF17" s="3" t="s">
        <v>281</v>
      </c>
      <c r="BG17" s="3" t="s">
        <v>281</v>
      </c>
      <c r="BH17" s="19">
        <v>2.0787037037037038E-2</v>
      </c>
    </row>
    <row r="18" spans="1:60" ht="28.8">
      <c r="A18" s="51" t="s">
        <v>102</v>
      </c>
      <c r="B18" s="52" t="s">
        <v>150</v>
      </c>
      <c r="C18" s="52" t="s">
        <v>140</v>
      </c>
      <c r="D18" s="80">
        <v>44839</v>
      </c>
      <c r="E18" s="80">
        <v>45015</v>
      </c>
      <c r="F18" s="52" t="s">
        <v>36</v>
      </c>
      <c r="G18" s="54">
        <v>30</v>
      </c>
      <c r="H18" s="54">
        <v>21.75</v>
      </c>
      <c r="I18" s="81">
        <f t="shared" si="0"/>
        <v>5692.5</v>
      </c>
      <c r="J18" s="54" t="s">
        <v>151</v>
      </c>
      <c r="K18" s="52" t="s">
        <v>152</v>
      </c>
      <c r="L18" s="54">
        <v>29685224</v>
      </c>
      <c r="M18" s="80">
        <v>44775</v>
      </c>
      <c r="N18" s="52" t="s">
        <v>81</v>
      </c>
      <c r="O18" s="54">
        <v>165</v>
      </c>
      <c r="P18" s="54" t="s">
        <v>27</v>
      </c>
      <c r="Q18" s="56" t="s">
        <v>143</v>
      </c>
      <c r="R18" s="52">
        <v>45.438667799999997</v>
      </c>
      <c r="S18" s="52">
        <v>-73.682047600000004</v>
      </c>
      <c r="T18" s="70" t="s">
        <v>144</v>
      </c>
      <c r="U18" s="82" t="s">
        <v>153</v>
      </c>
      <c r="X18" s="1">
        <f>_xlfn.XLOOKUP('Projets Jerome_2'!$J18,'Projets Jerome'!$J$2:$J$37,'Projets Jerome'!$AC$2:$AC$37)</f>
        <v>45.438667799999997</v>
      </c>
      <c r="Y18" s="1">
        <f>_xlfn.XLOOKUP('Projets Jerome_2'!$J18,'Projets Jerome'!$J$2:$J$37,'Projets Jerome'!$AD$2:$AD$37)</f>
        <v>-73.682047600000004</v>
      </c>
      <c r="AB18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8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8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8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8" s="1" t="e" cm="1">
        <f t="array" ref="AF18">_xlfn.FILTERXML(AB18,"//distance/value")/1000</f>
        <v>#VALUE!</v>
      </c>
      <c r="AG18" s="1" t="e" cm="1">
        <f t="array" ref="AG18">_xlfn.FILTERXML(AC18,"//distance/value")/1000</f>
        <v>#VALUE!</v>
      </c>
      <c r="AH18" s="1" t="e" cm="1">
        <f t="array" ref="AH18">_xlfn.FILTERXML(AD18,"//distance/value")/1000</f>
        <v>#VALUE!</v>
      </c>
      <c r="AI18" s="1" t="e" cm="1">
        <f t="array" ref="AI18">_xlfn.FILTERXML(AE18,"//distance/value")/1000</f>
        <v>#VALUE!</v>
      </c>
      <c r="AJ18" s="1" t="e">
        <f t="shared" si="5"/>
        <v>#VALUE!</v>
      </c>
      <c r="AK18" s="19" t="e" cm="1">
        <f t="array" ref="AK18">_xlfn.FILTERXML(AB18,"//duration/value")/60/60/24</f>
        <v>#VALUE!</v>
      </c>
      <c r="AL18" s="19" t="e" cm="1">
        <f t="array" ref="AL18">_xlfn.FILTERXML(AC18,"//duration/value")/60/60/24</f>
        <v>#VALUE!</v>
      </c>
      <c r="AM18" s="19" t="e" cm="1">
        <f t="array" ref="AM18">_xlfn.FILTERXML(AD18,"//duration/value")/60/60/24</f>
        <v>#VALUE!</v>
      </c>
      <c r="AN18" s="19" t="e" cm="1">
        <f t="array" ref="AN18">_xlfn.FILTERXML(AE18,"//duration/value")/60/60/24</f>
        <v>#VALUE!</v>
      </c>
      <c r="AO18" s="3" t="e">
        <f t="shared" si="6"/>
        <v>#VALUE!</v>
      </c>
      <c r="AP18" s="3" t="e">
        <f t="shared" si="7"/>
        <v>#VALUE!</v>
      </c>
      <c r="AQ18" s="19" t="e" cm="1">
        <f t="array" ref="AQ18">_xlfn.FILTERXML(_xlfn.XLOOKUP(AJ18,$AF18:$AI18,AB18:AE18),"//duration/value")/60/60/24</f>
        <v>#VALUE!</v>
      </c>
      <c r="AS18" s="1" t="s">
        <v>424</v>
      </c>
      <c r="AT18" s="1" t="s">
        <v>425</v>
      </c>
      <c r="AU18" s="1" t="s">
        <v>426</v>
      </c>
      <c r="AV18" s="1" t="s">
        <v>427</v>
      </c>
      <c r="AW18" s="1">
        <v>261.88600000000002</v>
      </c>
      <c r="AX18" s="1">
        <v>21.428000000000001</v>
      </c>
      <c r="AY18" s="1">
        <v>4857.1130000000003</v>
      </c>
      <c r="AZ18" s="1">
        <v>530.75699999999995</v>
      </c>
      <c r="BA18" s="1">
        <v>21.428000000000001</v>
      </c>
      <c r="BB18" s="19">
        <v>0.11138888888888888</v>
      </c>
      <c r="BC18" s="19">
        <v>2.0787037037037038E-2</v>
      </c>
      <c r="BD18" s="19">
        <v>1.8899074074074074</v>
      </c>
      <c r="BE18" s="19">
        <v>0.21401620370370369</v>
      </c>
      <c r="BF18" s="3" t="s">
        <v>281</v>
      </c>
      <c r="BG18" s="3" t="s">
        <v>281</v>
      </c>
      <c r="BH18" s="19">
        <v>2.0787037037037038E-2</v>
      </c>
    </row>
    <row r="19" spans="1:60" ht="28.8">
      <c r="A19" s="58" t="s">
        <v>42</v>
      </c>
      <c r="B19" s="59" t="s">
        <v>139</v>
      </c>
      <c r="C19" s="59" t="s">
        <v>154</v>
      </c>
      <c r="D19" s="83">
        <v>44895</v>
      </c>
      <c r="E19" s="83">
        <v>45015</v>
      </c>
      <c r="F19" s="59" t="s">
        <v>226</v>
      </c>
      <c r="G19" s="61">
        <v>78</v>
      </c>
      <c r="H19" s="61"/>
      <c r="I19" s="84">
        <f t="shared" si="0"/>
        <v>15697.499999999998</v>
      </c>
      <c r="J19" s="61" t="s">
        <v>155</v>
      </c>
      <c r="K19" s="59" t="s">
        <v>156</v>
      </c>
      <c r="L19" s="61">
        <v>29685280</v>
      </c>
      <c r="M19" s="83">
        <v>44901</v>
      </c>
      <c r="N19" s="59" t="s">
        <v>81</v>
      </c>
      <c r="O19" s="61">
        <v>175</v>
      </c>
      <c r="P19" s="61" t="s">
        <v>27</v>
      </c>
      <c r="Q19" s="63" t="s">
        <v>157</v>
      </c>
      <c r="R19" s="59">
        <v>46.623594199999999</v>
      </c>
      <c r="S19" s="59">
        <v>-71.500496200000001</v>
      </c>
      <c r="T19" s="69" t="s">
        <v>158</v>
      </c>
      <c r="U19" s="85" t="s">
        <v>159</v>
      </c>
      <c r="X19" s="1">
        <f>_xlfn.XLOOKUP('Projets Jerome_2'!$J19,'Projets Jerome'!$J$2:$J$37,'Projets Jerome'!$AC$2:$AC$37)</f>
        <v>46.623594199999999</v>
      </c>
      <c r="Y19" s="1">
        <f>_xlfn.XLOOKUP('Projets Jerome_2'!$J19,'Projets Jerome'!$J$2:$J$37,'Projets Jerome'!$AD$2:$AD$37)</f>
        <v>-71.500496200000001</v>
      </c>
      <c r="AB19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9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9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9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9" s="1" t="e" cm="1">
        <f t="array" ref="AF19">_xlfn.FILTERXML(AB19,"//distance/value")/1000</f>
        <v>#VALUE!</v>
      </c>
      <c r="AG19" s="1" t="e" cm="1">
        <f t="array" ref="AG19">_xlfn.FILTERXML(AC19,"//distance/value")/1000</f>
        <v>#VALUE!</v>
      </c>
      <c r="AH19" s="1" t="e" cm="1">
        <f t="array" ref="AH19">_xlfn.FILTERXML(AD19,"//distance/value")/1000</f>
        <v>#VALUE!</v>
      </c>
      <c r="AI19" s="1" t="e" cm="1">
        <f t="array" ref="AI19">_xlfn.FILTERXML(AE19,"//distance/value")/1000</f>
        <v>#VALUE!</v>
      </c>
      <c r="AJ19" s="1" t="e">
        <f t="shared" si="5"/>
        <v>#VALUE!</v>
      </c>
      <c r="AK19" s="19" t="e" cm="1">
        <f t="array" ref="AK19">_xlfn.FILTERXML(AB19,"//duration/value")/60/60/24</f>
        <v>#VALUE!</v>
      </c>
      <c r="AL19" s="19" t="e" cm="1">
        <f t="array" ref="AL19">_xlfn.FILTERXML(AC19,"//duration/value")/60/60/24</f>
        <v>#VALUE!</v>
      </c>
      <c r="AM19" s="19" t="e" cm="1">
        <f t="array" ref="AM19">_xlfn.FILTERXML(AD19,"//duration/value")/60/60/24</f>
        <v>#VALUE!</v>
      </c>
      <c r="AN19" s="19" t="e" cm="1">
        <f t="array" ref="AN19">_xlfn.FILTERXML(AE19,"//duration/value")/60/60/24</f>
        <v>#VALUE!</v>
      </c>
      <c r="AO19" s="3" t="e">
        <f t="shared" si="6"/>
        <v>#VALUE!</v>
      </c>
      <c r="AP19" s="3" t="e">
        <f t="shared" si="7"/>
        <v>#VALUE!</v>
      </c>
      <c r="AQ19" s="19" t="e" cm="1">
        <f t="array" ref="AQ19">_xlfn.FILTERXML(_xlfn.XLOOKUP(AJ19,$AF19:$AI19,AB19:AE19),"//duration/value")/60/60/24</f>
        <v>#VALUE!</v>
      </c>
      <c r="AS19" s="1" t="s">
        <v>428</v>
      </c>
      <c r="AT19" s="1" t="s">
        <v>429</v>
      </c>
      <c r="AU19" s="1" t="s">
        <v>430</v>
      </c>
      <c r="AV19" s="1" t="s">
        <v>431</v>
      </c>
      <c r="AW19" s="1">
        <v>29.158999999999999</v>
      </c>
      <c r="AX19" s="1">
        <v>220.113</v>
      </c>
      <c r="AY19" s="1">
        <v>5096.2150000000001</v>
      </c>
      <c r="AZ19" s="1">
        <v>769.85900000000004</v>
      </c>
      <c r="BA19" s="1">
        <v>29.158999999999999</v>
      </c>
      <c r="BB19" s="19">
        <v>1.4525462962962964E-2</v>
      </c>
      <c r="BC19" s="19">
        <v>0.10130787037037037</v>
      </c>
      <c r="BD19" s="19">
        <v>1.9796412037037037</v>
      </c>
      <c r="BE19" s="19">
        <v>0.30375000000000002</v>
      </c>
      <c r="BF19" s="3" t="s">
        <v>286</v>
      </c>
      <c r="BG19" s="3" t="s">
        <v>286</v>
      </c>
      <c r="BH19" s="19">
        <v>1.4525462962962964E-2</v>
      </c>
    </row>
    <row r="20" spans="1:60" ht="28.8">
      <c r="A20" s="51" t="s">
        <v>42</v>
      </c>
      <c r="B20" s="52" t="s">
        <v>160</v>
      </c>
      <c r="C20" s="52" t="s">
        <v>134</v>
      </c>
      <c r="D20" s="80">
        <v>44858</v>
      </c>
      <c r="E20" s="80">
        <v>45016</v>
      </c>
      <c r="F20" s="52" t="s">
        <v>36</v>
      </c>
      <c r="G20" s="54">
        <v>166</v>
      </c>
      <c r="H20" s="54">
        <v>1</v>
      </c>
      <c r="I20" s="81">
        <f t="shared" si="0"/>
        <v>31498.499999999996</v>
      </c>
      <c r="J20" s="54" t="s">
        <v>161</v>
      </c>
      <c r="K20" s="52" t="s">
        <v>160</v>
      </c>
      <c r="L20" s="54">
        <v>29685255</v>
      </c>
      <c r="M20" s="80">
        <v>44858</v>
      </c>
      <c r="N20" s="52" t="s">
        <v>81</v>
      </c>
      <c r="O20" s="54">
        <v>165</v>
      </c>
      <c r="P20" s="54" t="s">
        <v>27</v>
      </c>
      <c r="Q20" s="56" t="s">
        <v>136</v>
      </c>
      <c r="R20" s="52">
        <v>45.157066800000003</v>
      </c>
      <c r="S20" s="52">
        <v>-71.801298099999997</v>
      </c>
      <c r="T20" s="70" t="s">
        <v>137</v>
      </c>
      <c r="U20" s="82" t="s">
        <v>234</v>
      </c>
      <c r="X20" s="1">
        <f>_xlfn.XLOOKUP('Projets Jerome_2'!$J20,'Projets Jerome'!$J$2:$J$37,'Projets Jerome'!$AC$2:$AC$37)</f>
        <v>45.157066800000003</v>
      </c>
      <c r="Y20" s="1">
        <f>_xlfn.XLOOKUP('Projets Jerome_2'!$J20,'Projets Jerome'!$J$2:$J$37,'Projets Jerome'!$AD$2:$AD$37)</f>
        <v>-71.801298099999997</v>
      </c>
      <c r="AB20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0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0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0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0" s="1" t="e" cm="1">
        <f t="array" ref="AF20">_xlfn.FILTERXML(AB20,"//distance/value")/1000</f>
        <v>#VALUE!</v>
      </c>
      <c r="AG20" s="1" t="e" cm="1">
        <f t="array" ref="AG20">_xlfn.FILTERXML(AC20,"//distance/value")/1000</f>
        <v>#VALUE!</v>
      </c>
      <c r="AH20" s="1" t="e" cm="1">
        <f t="array" ref="AH20">_xlfn.FILTERXML(AD20,"//distance/value")/1000</f>
        <v>#VALUE!</v>
      </c>
      <c r="AI20" s="1" t="e" cm="1">
        <f t="array" ref="AI20">_xlfn.FILTERXML(AE20,"//distance/value")/1000</f>
        <v>#VALUE!</v>
      </c>
      <c r="AJ20" s="1" t="e">
        <f t="shared" si="5"/>
        <v>#VALUE!</v>
      </c>
      <c r="AK20" s="19" t="e" cm="1">
        <f t="array" ref="AK20">_xlfn.FILTERXML(AB20,"//duration/value")/60/60/24</f>
        <v>#VALUE!</v>
      </c>
      <c r="AL20" s="19" t="e" cm="1">
        <f t="array" ref="AL20">_xlfn.FILTERXML(AC20,"//duration/value")/60/60/24</f>
        <v>#VALUE!</v>
      </c>
      <c r="AM20" s="19" t="e" cm="1">
        <f t="array" ref="AM20">_xlfn.FILTERXML(AD20,"//duration/value")/60/60/24</f>
        <v>#VALUE!</v>
      </c>
      <c r="AN20" s="19" t="e" cm="1">
        <f t="array" ref="AN20">_xlfn.FILTERXML(AE20,"//duration/value")/60/60/24</f>
        <v>#VALUE!</v>
      </c>
      <c r="AO20" s="3" t="e">
        <f t="shared" si="6"/>
        <v>#VALUE!</v>
      </c>
      <c r="AP20" s="3" t="e">
        <f t="shared" si="7"/>
        <v>#VALUE!</v>
      </c>
      <c r="AQ20" s="19" t="e" cm="1">
        <f t="array" ref="AQ20">_xlfn.FILTERXML(_xlfn.XLOOKUP(AJ20,$AF20:$AI20,AB20:AE20),"//duration/value")/60/60/24</f>
        <v>#VALUE!</v>
      </c>
      <c r="AS20" s="1" t="s">
        <v>420</v>
      </c>
      <c r="AT20" s="1" t="s">
        <v>421</v>
      </c>
      <c r="AU20" s="1" t="s">
        <v>422</v>
      </c>
      <c r="AV20" s="1" t="s">
        <v>423</v>
      </c>
      <c r="AW20" s="1">
        <v>257.37400000000002</v>
      </c>
      <c r="AX20" s="1">
        <v>174.81299999999999</v>
      </c>
      <c r="AY20" s="1">
        <v>5037.3770000000004</v>
      </c>
      <c r="AZ20" s="1">
        <v>711.02</v>
      </c>
      <c r="BA20" s="1">
        <v>174.81299999999999</v>
      </c>
      <c r="BB20" s="19">
        <v>0.10650462962962964</v>
      </c>
      <c r="BC20" s="19">
        <v>8.7673611111111105E-2</v>
      </c>
      <c r="BD20" s="19">
        <v>1.9615393518518518</v>
      </c>
      <c r="BE20" s="19">
        <v>0.28563657407407406</v>
      </c>
      <c r="BF20" s="3" t="s">
        <v>281</v>
      </c>
      <c r="BG20" s="3" t="s">
        <v>281</v>
      </c>
      <c r="BH20" s="19">
        <v>8.7673611111111105E-2</v>
      </c>
    </row>
    <row r="21" spans="1:60" ht="28.8">
      <c r="A21" s="58" t="s">
        <v>23</v>
      </c>
      <c r="B21" s="59" t="s">
        <v>162</v>
      </c>
      <c r="C21" s="59" t="s">
        <v>163</v>
      </c>
      <c r="D21" s="83">
        <v>44866</v>
      </c>
      <c r="E21" s="83">
        <v>45291</v>
      </c>
      <c r="F21" s="59" t="s">
        <v>36</v>
      </c>
      <c r="G21" s="61">
        <v>815</v>
      </c>
      <c r="H21" s="61">
        <v>1</v>
      </c>
      <c r="I21" s="84">
        <f t="shared" si="0"/>
        <v>159332.5</v>
      </c>
      <c r="J21" s="61" t="s">
        <v>164</v>
      </c>
      <c r="K21" s="59" t="s">
        <v>165</v>
      </c>
      <c r="L21" s="61">
        <v>29685265</v>
      </c>
      <c r="M21" s="83">
        <v>44876</v>
      </c>
      <c r="N21" s="59" t="s">
        <v>30</v>
      </c>
      <c r="O21" s="61">
        <v>170</v>
      </c>
      <c r="P21" s="61" t="s">
        <v>27</v>
      </c>
      <c r="Q21" s="63" t="s">
        <v>166</v>
      </c>
      <c r="R21" s="59">
        <v>45.929332700000003</v>
      </c>
      <c r="S21" s="59">
        <v>-73.016694200000003</v>
      </c>
      <c r="T21" s="69" t="s">
        <v>167</v>
      </c>
      <c r="U21" s="85" t="s">
        <v>168</v>
      </c>
      <c r="X21" s="1">
        <f>_xlfn.XLOOKUP('Projets Jerome_2'!$J21,'Projets Jerome'!$J$2:$J$37,'Projets Jerome'!$AC$2:$AC$37)</f>
        <v>45.929332700000003</v>
      </c>
      <c r="Y21" s="1">
        <f>_xlfn.XLOOKUP('Projets Jerome_2'!$J21,'Projets Jerome'!$J$2:$J$37,'Projets Jerome'!$AD$2:$AD$37)</f>
        <v>-73.016694200000003</v>
      </c>
      <c r="AB21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1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1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1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1" s="1" t="e" cm="1">
        <f t="array" ref="AF21">_xlfn.FILTERXML(AB21,"//distance/value")/1000</f>
        <v>#VALUE!</v>
      </c>
      <c r="AG21" s="1" t="e" cm="1">
        <f t="array" ref="AG21">_xlfn.FILTERXML(AC21,"//distance/value")/1000</f>
        <v>#VALUE!</v>
      </c>
      <c r="AH21" s="1" t="e" cm="1">
        <f t="array" ref="AH21">_xlfn.FILTERXML(AD21,"//distance/value")/1000</f>
        <v>#VALUE!</v>
      </c>
      <c r="AI21" s="1" t="e" cm="1">
        <f t="array" ref="AI21">_xlfn.FILTERXML(AE21,"//distance/value")/1000</f>
        <v>#VALUE!</v>
      </c>
      <c r="AJ21" s="1" t="e">
        <f t="shared" si="5"/>
        <v>#VALUE!</v>
      </c>
      <c r="AK21" s="19" t="e" cm="1">
        <f t="array" ref="AK21">_xlfn.FILTERXML(AB21,"//duration/value")/60/60/24</f>
        <v>#VALUE!</v>
      </c>
      <c r="AL21" s="19" t="e" cm="1">
        <f t="array" ref="AL21">_xlfn.FILTERXML(AC21,"//duration/value")/60/60/24</f>
        <v>#VALUE!</v>
      </c>
      <c r="AM21" s="19" t="e" cm="1">
        <f t="array" ref="AM21">_xlfn.FILTERXML(AD21,"//duration/value")/60/60/24</f>
        <v>#VALUE!</v>
      </c>
      <c r="AN21" s="19" t="e" cm="1">
        <f t="array" ref="AN21">_xlfn.FILTERXML(AE21,"//duration/value")/60/60/24</f>
        <v>#VALUE!</v>
      </c>
      <c r="AO21" s="3" t="e">
        <f t="shared" si="6"/>
        <v>#VALUE!</v>
      </c>
      <c r="AP21" s="3" t="e">
        <f t="shared" si="7"/>
        <v>#VALUE!</v>
      </c>
      <c r="AQ21" s="19" t="e" cm="1">
        <f t="array" ref="AQ21">_xlfn.FILTERXML(_xlfn.XLOOKUP(AJ21,$AF21:$AI21,AB21:AE21),"//duration/value")/60/60/24</f>
        <v>#VALUE!</v>
      </c>
      <c r="AS21" s="1" t="s">
        <v>432</v>
      </c>
      <c r="AT21" s="1" t="s">
        <v>433</v>
      </c>
      <c r="AU21" s="1" t="s">
        <v>434</v>
      </c>
      <c r="AV21" s="1" t="s">
        <v>435</v>
      </c>
      <c r="AW21" s="1">
        <v>197.815</v>
      </c>
      <c r="AX21" s="1">
        <v>102.672</v>
      </c>
      <c r="AY21" s="1">
        <v>4978.3149999999996</v>
      </c>
      <c r="AZ21" s="1">
        <v>651.95799999999997</v>
      </c>
      <c r="BA21" s="1">
        <v>102.672</v>
      </c>
      <c r="BB21" s="19">
        <v>8.4953703703703698E-2</v>
      </c>
      <c r="BC21" s="19">
        <v>5.7986111111111106E-2</v>
      </c>
      <c r="BD21" s="19">
        <v>1.9355555555555555</v>
      </c>
      <c r="BE21" s="19">
        <v>0.25966435185185188</v>
      </c>
      <c r="BF21" s="3" t="s">
        <v>281</v>
      </c>
      <c r="BG21" s="3" t="s">
        <v>281</v>
      </c>
      <c r="BH21" s="19">
        <v>5.7986111111111106E-2</v>
      </c>
    </row>
    <row r="22" spans="1:60">
      <c r="A22" s="51" t="s">
        <v>23</v>
      </c>
      <c r="B22" s="52" t="s">
        <v>169</v>
      </c>
      <c r="C22" s="52" t="s">
        <v>170</v>
      </c>
      <c r="D22" s="80">
        <v>44846</v>
      </c>
      <c r="E22" s="80">
        <v>45289</v>
      </c>
      <c r="F22" s="52" t="s">
        <v>36</v>
      </c>
      <c r="G22" s="54">
        <v>981</v>
      </c>
      <c r="H22" s="54">
        <v>93.5</v>
      </c>
      <c r="I22" s="81">
        <f t="shared" si="0"/>
        <v>186144.75</v>
      </c>
      <c r="J22" s="54" t="s">
        <v>171</v>
      </c>
      <c r="K22" s="52" t="s">
        <v>169</v>
      </c>
      <c r="L22" s="54">
        <v>29685241</v>
      </c>
      <c r="M22" s="80">
        <v>44846</v>
      </c>
      <c r="N22" s="52" t="s">
        <v>30</v>
      </c>
      <c r="O22" s="54">
        <v>165</v>
      </c>
      <c r="P22" s="54" t="s">
        <v>27</v>
      </c>
      <c r="Q22" s="56" t="s">
        <v>172</v>
      </c>
      <c r="R22" s="52">
        <v>45.529286800000001</v>
      </c>
      <c r="S22" s="52">
        <v>-73.664845299999996</v>
      </c>
      <c r="T22" s="87" t="s">
        <v>173</v>
      </c>
      <c r="U22" s="82" t="s">
        <v>174</v>
      </c>
      <c r="X22" s="1">
        <f>_xlfn.XLOOKUP('Projets Jerome_2'!$J22,'Projets Jerome'!$J$2:$J$37,'Projets Jerome'!$AC$2:$AC$37)</f>
        <v>45.529286800000001</v>
      </c>
      <c r="Y22" s="1">
        <f>_xlfn.XLOOKUP('Projets Jerome_2'!$J22,'Projets Jerome'!$J$2:$J$37,'Projets Jerome'!$AD$2:$AD$37)</f>
        <v>-73.664845299999996</v>
      </c>
      <c r="AB22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2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2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2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2" s="1" t="e" cm="1">
        <f t="array" ref="AF22">_xlfn.FILTERXML(AB22,"//distance/value")/1000</f>
        <v>#VALUE!</v>
      </c>
      <c r="AG22" s="1" t="e" cm="1">
        <f t="array" ref="AG22">_xlfn.FILTERXML(AC22,"//distance/value")/1000</f>
        <v>#VALUE!</v>
      </c>
      <c r="AH22" s="1" t="e" cm="1">
        <f t="array" ref="AH22">_xlfn.FILTERXML(AD22,"//distance/value")/1000</f>
        <v>#VALUE!</v>
      </c>
      <c r="AI22" s="1" t="e" cm="1">
        <f t="array" ref="AI22">_xlfn.FILTERXML(AE22,"//distance/value")/1000</f>
        <v>#VALUE!</v>
      </c>
      <c r="AJ22" s="1" t="e">
        <f t="shared" si="5"/>
        <v>#VALUE!</v>
      </c>
      <c r="AK22" s="19" t="e" cm="1">
        <f t="array" ref="AK22">_xlfn.FILTERXML(AB22,"//duration/value")/60/60/24</f>
        <v>#VALUE!</v>
      </c>
      <c r="AL22" s="19" t="e" cm="1">
        <f t="array" ref="AL22">_xlfn.FILTERXML(AC22,"//duration/value")/60/60/24</f>
        <v>#VALUE!</v>
      </c>
      <c r="AM22" s="19" t="e" cm="1">
        <f t="array" ref="AM22">_xlfn.FILTERXML(AD22,"//duration/value")/60/60/24</f>
        <v>#VALUE!</v>
      </c>
      <c r="AN22" s="19" t="e" cm="1">
        <f t="array" ref="AN22">_xlfn.FILTERXML(AE22,"//duration/value")/60/60/24</f>
        <v>#VALUE!</v>
      </c>
      <c r="AO22" s="3" t="e">
        <f t="shared" si="6"/>
        <v>#VALUE!</v>
      </c>
      <c r="AP22" s="3" t="e">
        <f t="shared" si="7"/>
        <v>#VALUE!</v>
      </c>
      <c r="AQ22" s="19" t="e" cm="1">
        <f t="array" ref="AQ22">_xlfn.FILTERXML(_xlfn.XLOOKUP(AJ22,$AF22:$AI22,AB22:AE22),"//duration/value")/60/60/24</f>
        <v>#VALUE!</v>
      </c>
      <c r="AS22" s="1" t="s">
        <v>436</v>
      </c>
      <c r="AT22" s="1" t="s">
        <v>437</v>
      </c>
      <c r="AU22" s="1" t="s">
        <v>438</v>
      </c>
      <c r="AV22" s="1" t="s">
        <v>439</v>
      </c>
      <c r="AW22" s="1">
        <v>249.02500000000001</v>
      </c>
      <c r="AX22" s="1">
        <v>6.7880000000000003</v>
      </c>
      <c r="AY22" s="1">
        <v>4869.4750000000004</v>
      </c>
      <c r="AZ22" s="1">
        <v>543.11900000000003</v>
      </c>
      <c r="BA22" s="1">
        <v>6.7880000000000003</v>
      </c>
      <c r="BB22" s="19">
        <v>0.10568287037037037</v>
      </c>
      <c r="BC22" s="19">
        <v>1.0960648148148148E-2</v>
      </c>
      <c r="BD22" s="19">
        <v>1.8923842592592592</v>
      </c>
      <c r="BE22" s="19">
        <v>0.21649305555555556</v>
      </c>
      <c r="BF22" s="3" t="s">
        <v>281</v>
      </c>
      <c r="BG22" s="3" t="s">
        <v>281</v>
      </c>
      <c r="BH22" s="19">
        <v>1.0960648148148148E-2</v>
      </c>
    </row>
    <row r="23" spans="1:60">
      <c r="A23" s="58" t="s">
        <v>203</v>
      </c>
      <c r="B23" s="59" t="s">
        <v>272</v>
      </c>
      <c r="C23" s="59" t="s">
        <v>273</v>
      </c>
      <c r="D23" s="60">
        <v>44972</v>
      </c>
      <c r="E23" s="60">
        <v>45291</v>
      </c>
      <c r="F23" s="59" t="s">
        <v>26</v>
      </c>
      <c r="G23" s="61">
        <v>923</v>
      </c>
      <c r="H23" s="61">
        <v>0</v>
      </c>
      <c r="I23" s="84">
        <f>$G23*$O23*1.2</f>
        <v>193830</v>
      </c>
      <c r="J23" s="62" t="s">
        <v>274</v>
      </c>
      <c r="K23" s="59" t="s">
        <v>272</v>
      </c>
      <c r="L23" s="61">
        <v>29685300</v>
      </c>
      <c r="M23" s="83">
        <v>44936</v>
      </c>
      <c r="N23" s="59" t="s">
        <v>30</v>
      </c>
      <c r="O23" s="61">
        <v>175</v>
      </c>
      <c r="P23" s="61" t="s">
        <v>27</v>
      </c>
      <c r="Q23" s="63" t="s">
        <v>276</v>
      </c>
      <c r="R23" s="59">
        <v>45.7559173</v>
      </c>
      <c r="S23" s="59">
        <v>-73.992652300000003</v>
      </c>
      <c r="T23" s="88" t="s">
        <v>275</v>
      </c>
      <c r="U23" s="85" t="s">
        <v>277</v>
      </c>
      <c r="X23" s="1">
        <f>_xlfn.XLOOKUP('Projets Jerome_2'!$J23,'Projets Jerome'!$J$2:$J$37,'Projets Jerome'!$AC$2:$AC$37)</f>
        <v>45.7559173</v>
      </c>
      <c r="Y23" s="1">
        <f>_xlfn.XLOOKUP('Projets Jerome_2'!$J23,'Projets Jerome'!$J$2:$J$37,'Projets Jerome'!$AD$2:$AD$37)</f>
        <v>-73.992652300000003</v>
      </c>
      <c r="AB23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3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3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3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3" s="1" t="e" cm="1">
        <f t="array" ref="AF23">_xlfn.FILTERXML(AB23,"//distance/value")/1000</f>
        <v>#VALUE!</v>
      </c>
      <c r="AG23" s="1" t="e" cm="1">
        <f t="array" ref="AG23">_xlfn.FILTERXML(AC23,"//distance/value")/1000</f>
        <v>#VALUE!</v>
      </c>
      <c r="AH23" s="1" t="e" cm="1">
        <f t="array" ref="AH23">_xlfn.FILTERXML(AD23,"//distance/value")/1000</f>
        <v>#VALUE!</v>
      </c>
      <c r="AI23" s="1" t="e" cm="1">
        <f t="array" ref="AI23">_xlfn.FILTERXML(AE23,"//distance/value")/1000</f>
        <v>#VALUE!</v>
      </c>
      <c r="AJ23" s="1" t="e">
        <f t="shared" si="5"/>
        <v>#VALUE!</v>
      </c>
      <c r="AK23" s="19" t="e" cm="1">
        <f t="array" ref="AK23">_xlfn.FILTERXML(AB23,"//duration/value")/60/60/24</f>
        <v>#VALUE!</v>
      </c>
      <c r="AL23" s="19" t="e" cm="1">
        <f t="array" ref="AL23">_xlfn.FILTERXML(AC23,"//duration/value")/60/60/24</f>
        <v>#VALUE!</v>
      </c>
      <c r="AM23" s="19" t="e" cm="1">
        <f t="array" ref="AM23">_xlfn.FILTERXML(AD23,"//duration/value")/60/60/24</f>
        <v>#VALUE!</v>
      </c>
      <c r="AN23" s="19" t="e" cm="1">
        <f t="array" ref="AN23">_xlfn.FILTERXML(AE23,"//duration/value")/60/60/24</f>
        <v>#VALUE!</v>
      </c>
      <c r="AO23" s="3" t="e">
        <f t="shared" si="6"/>
        <v>#VALUE!</v>
      </c>
      <c r="AP23" s="3" t="e">
        <f t="shared" si="7"/>
        <v>#VALUE!</v>
      </c>
      <c r="AQ23" s="19" t="e" cm="1">
        <f t="array" ref="AQ23">_xlfn.FILTERXML(_xlfn.XLOOKUP(AJ23,$AF23:$AI23,AB23:AE23),"//duration/value")/60/60/24</f>
        <v>#VALUE!</v>
      </c>
      <c r="AS23" s="1" t="s">
        <v>440</v>
      </c>
      <c r="AT23" s="1" t="s">
        <v>441</v>
      </c>
      <c r="AU23" s="1" t="s">
        <v>442</v>
      </c>
      <c r="AV23" s="1" t="s">
        <v>443</v>
      </c>
      <c r="AW23" s="1">
        <v>284.53300000000002</v>
      </c>
      <c r="AX23" s="1">
        <v>45.375</v>
      </c>
      <c r="AY23" s="1">
        <v>4899.0510000000004</v>
      </c>
      <c r="AZ23" s="1">
        <v>572.69399999999996</v>
      </c>
      <c r="BA23" s="1">
        <v>45.375</v>
      </c>
      <c r="BB23" s="19">
        <v>0.1158101851851852</v>
      </c>
      <c r="BC23" s="19">
        <v>2.6585648148148146E-2</v>
      </c>
      <c r="BD23" s="19">
        <v>1.9029166666666664</v>
      </c>
      <c r="BE23" s="19">
        <v>0.22701388888888888</v>
      </c>
      <c r="BF23" s="3" t="s">
        <v>281</v>
      </c>
      <c r="BG23" s="3" t="s">
        <v>281</v>
      </c>
      <c r="BH23" s="19">
        <v>2.6585648148148146E-2</v>
      </c>
    </row>
    <row r="24" spans="1:60">
      <c r="A24" s="51" t="s">
        <v>42</v>
      </c>
      <c r="B24" s="52" t="s">
        <v>322</v>
      </c>
      <c r="C24" s="52" t="s">
        <v>324</v>
      </c>
      <c r="D24" s="53">
        <v>44781</v>
      </c>
      <c r="E24" s="53">
        <v>45289</v>
      </c>
      <c r="F24" s="52" t="s">
        <v>36</v>
      </c>
      <c r="G24" s="54">
        <v>1463</v>
      </c>
      <c r="H24" s="54">
        <v>168</v>
      </c>
      <c r="I24" s="81">
        <f t="shared" si="0"/>
        <v>294428.75</v>
      </c>
      <c r="J24" s="55" t="s">
        <v>326</v>
      </c>
      <c r="K24" s="52" t="s">
        <v>328</v>
      </c>
      <c r="L24" s="54">
        <v>29685228</v>
      </c>
      <c r="M24" s="80">
        <v>44781</v>
      </c>
      <c r="N24" s="52" t="s">
        <v>30</v>
      </c>
      <c r="O24" s="54">
        <v>175</v>
      </c>
      <c r="P24" s="54" t="s">
        <v>27</v>
      </c>
      <c r="Q24" s="56" t="s">
        <v>371</v>
      </c>
      <c r="R24" s="52">
        <v>45.592141699999999</v>
      </c>
      <c r="S24" s="52">
        <v>-73.698460400000002</v>
      </c>
      <c r="T24" s="57" t="s">
        <v>370</v>
      </c>
      <c r="U24" s="42" t="s">
        <v>369</v>
      </c>
      <c r="X24" s="1">
        <f>_xlfn.XLOOKUP('Projets Jerome_2'!$J24,'Projets Jerome'!$J$2:$J$37,'Projets Jerome'!$AC$2:$AC$37)</f>
        <v>45.592141699999999</v>
      </c>
      <c r="Y24" s="1">
        <f>_xlfn.XLOOKUP('Projets Jerome_2'!$J24,'Projets Jerome'!$J$2:$J$37,'Projets Jerome'!$AD$2:$AD$37)</f>
        <v>-73.698460400000002</v>
      </c>
      <c r="AB24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4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4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4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4" s="1" t="e" cm="1">
        <f t="array" ref="AF24">_xlfn.FILTERXML(AB24,"//distance/value")/1000</f>
        <v>#VALUE!</v>
      </c>
      <c r="AG24" s="1" t="e" cm="1">
        <f t="array" ref="AG24">_xlfn.FILTERXML(AC24,"//distance/value")/1000</f>
        <v>#VALUE!</v>
      </c>
      <c r="AH24" s="1" t="e" cm="1">
        <f t="array" ref="AH24">_xlfn.FILTERXML(AD24,"//distance/value")/1000</f>
        <v>#VALUE!</v>
      </c>
      <c r="AI24" s="1" t="e" cm="1">
        <f t="array" ref="AI24">_xlfn.FILTERXML(AE24,"//distance/value")/1000</f>
        <v>#VALUE!</v>
      </c>
      <c r="AJ24" s="1" t="e">
        <f t="shared" si="5"/>
        <v>#VALUE!</v>
      </c>
      <c r="AK24" s="19" t="e" cm="1">
        <f t="array" ref="AK24">_xlfn.FILTERXML(AB24,"//duration/value")/60/60/24</f>
        <v>#VALUE!</v>
      </c>
      <c r="AL24" s="19" t="e" cm="1">
        <f t="array" ref="AL24">_xlfn.FILTERXML(AC24,"//duration/value")/60/60/24</f>
        <v>#VALUE!</v>
      </c>
      <c r="AM24" s="19" t="e" cm="1">
        <f t="array" ref="AM24">_xlfn.FILTERXML(AD24,"//duration/value")/60/60/24</f>
        <v>#VALUE!</v>
      </c>
      <c r="AN24" s="19" t="e" cm="1">
        <f t="array" ref="AN24">_xlfn.FILTERXML(AE24,"//duration/value")/60/60/24</f>
        <v>#VALUE!</v>
      </c>
      <c r="AO24" s="3" t="e">
        <f t="shared" si="6"/>
        <v>#VALUE!</v>
      </c>
      <c r="AP24" s="3" t="e">
        <f t="shared" si="7"/>
        <v>#VALUE!</v>
      </c>
      <c r="AQ24" s="19" t="e" cm="1">
        <f t="array" ref="AQ24">_xlfn.FILTERXML(_xlfn.XLOOKUP(AJ24,$AF24:$AI24,AB24:AE24),"//duration/value")/60/60/24</f>
        <v>#VALUE!</v>
      </c>
      <c r="AS24" s="1" t="s">
        <v>444</v>
      </c>
      <c r="AT24" s="1" t="s">
        <v>445</v>
      </c>
      <c r="AU24" s="1" t="s">
        <v>446</v>
      </c>
      <c r="AV24" s="1" t="s">
        <v>447</v>
      </c>
      <c r="AW24" s="1">
        <v>254.42</v>
      </c>
      <c r="AX24" s="1">
        <v>22.018999999999998</v>
      </c>
      <c r="AY24" s="1">
        <v>4879.768</v>
      </c>
      <c r="AZ24" s="1">
        <v>553.41099999999994</v>
      </c>
      <c r="BA24" s="1">
        <v>22.018999999999998</v>
      </c>
      <c r="BB24" s="19">
        <v>0.1064699074074074</v>
      </c>
      <c r="BC24" s="19">
        <v>1.7951388888888888E-2</v>
      </c>
      <c r="BD24" s="19">
        <v>1.8956712962962963</v>
      </c>
      <c r="BE24" s="19">
        <v>0.2197800925925926</v>
      </c>
      <c r="BF24" s="3" t="s">
        <v>281</v>
      </c>
      <c r="BG24" s="3" t="s">
        <v>281</v>
      </c>
      <c r="BH24" s="19">
        <v>1.7951388888888888E-2</v>
      </c>
    </row>
    <row r="25" spans="1:60">
      <c r="A25" s="58" t="s">
        <v>42</v>
      </c>
      <c r="B25" s="59" t="s">
        <v>329</v>
      </c>
      <c r="C25" s="59" t="s">
        <v>330</v>
      </c>
      <c r="D25" s="60">
        <v>44113</v>
      </c>
      <c r="E25" s="60">
        <v>45289</v>
      </c>
      <c r="F25" s="59" t="s">
        <v>36</v>
      </c>
      <c r="G25" s="61">
        <v>145</v>
      </c>
      <c r="H25" s="61">
        <v>86.5</v>
      </c>
      <c r="I25" s="84">
        <f t="shared" si="0"/>
        <v>28347.499999999996</v>
      </c>
      <c r="J25" s="62" t="s">
        <v>331</v>
      </c>
      <c r="K25" s="59" t="s">
        <v>332</v>
      </c>
      <c r="L25" s="61">
        <v>29684480</v>
      </c>
      <c r="M25" s="83">
        <v>44113</v>
      </c>
      <c r="N25" s="59" t="s">
        <v>30</v>
      </c>
      <c r="O25" s="61">
        <v>170</v>
      </c>
      <c r="P25" s="61" t="s">
        <v>27</v>
      </c>
      <c r="Q25" s="63" t="s">
        <v>361</v>
      </c>
      <c r="R25" s="59">
        <v>43.406425900000002</v>
      </c>
      <c r="S25" s="59">
        <v>-80.289642200000003</v>
      </c>
      <c r="T25" s="88" t="s">
        <v>360</v>
      </c>
      <c r="U25" s="43" t="s">
        <v>362</v>
      </c>
      <c r="X25" s="1">
        <f>_xlfn.XLOOKUP('Projets Jerome_2'!$J25,'Projets Jerome'!$J$2:$J$37,'Projets Jerome'!$AC$2:$AC$37)</f>
        <v>43.406425900000002</v>
      </c>
      <c r="Y25" s="1">
        <f>_xlfn.XLOOKUP('Projets Jerome_2'!$J25,'Projets Jerome'!$J$2:$J$37,'Projets Jerome'!$AD$2:$AD$37)</f>
        <v>-80.289642200000003</v>
      </c>
      <c r="AB25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5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5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5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5" s="1" t="e" cm="1">
        <f t="array" ref="AF25">_xlfn.FILTERXML(AB25,"//distance/value")/1000</f>
        <v>#VALUE!</v>
      </c>
      <c r="AG25" s="1" t="e" cm="1">
        <f t="array" ref="AG25">_xlfn.FILTERXML(AC25,"//distance/value")/1000</f>
        <v>#VALUE!</v>
      </c>
      <c r="AH25" s="1" t="e" cm="1">
        <f t="array" ref="AH25">_xlfn.FILTERXML(AD25,"//distance/value")/1000</f>
        <v>#VALUE!</v>
      </c>
      <c r="AI25" s="1" t="e" cm="1">
        <f t="array" ref="AI25">_xlfn.FILTERXML(AE25,"//distance/value")/1000</f>
        <v>#VALUE!</v>
      </c>
      <c r="AJ25" s="1" t="e">
        <f t="shared" si="5"/>
        <v>#VALUE!</v>
      </c>
      <c r="AK25" s="19" t="e" cm="1">
        <f t="array" ref="AK25">_xlfn.FILTERXML(AB25,"//duration/value")/60/60/24</f>
        <v>#VALUE!</v>
      </c>
      <c r="AL25" s="19" t="e" cm="1">
        <f t="array" ref="AL25">_xlfn.FILTERXML(AC25,"//duration/value")/60/60/24</f>
        <v>#VALUE!</v>
      </c>
      <c r="AM25" s="19" t="e" cm="1">
        <f t="array" ref="AM25">_xlfn.FILTERXML(AD25,"//duration/value")/60/60/24</f>
        <v>#VALUE!</v>
      </c>
      <c r="AN25" s="19" t="e" cm="1">
        <f t="array" ref="AN25">_xlfn.FILTERXML(AE25,"//duration/value")/60/60/24</f>
        <v>#VALUE!</v>
      </c>
      <c r="AO25" s="3" t="e">
        <f t="shared" si="6"/>
        <v>#VALUE!</v>
      </c>
      <c r="AP25" s="3" t="e">
        <f t="shared" si="7"/>
        <v>#VALUE!</v>
      </c>
      <c r="AQ25" s="19" t="e" cm="1">
        <f t="array" ref="AQ25">_xlfn.FILTERXML(_xlfn.XLOOKUP(AJ25,$AF25:$AI25,AB25:AE25),"//duration/value")/60/60/24</f>
        <v>#VALUE!</v>
      </c>
      <c r="AS25" s="1" t="s">
        <v>452</v>
      </c>
      <c r="AT25" s="1" t="s">
        <v>453</v>
      </c>
      <c r="AU25" s="1" t="s">
        <v>454</v>
      </c>
      <c r="AV25" s="1" t="s">
        <v>455</v>
      </c>
      <c r="AW25" s="1">
        <v>870.298</v>
      </c>
      <c r="AX25" s="1">
        <v>616.70799999999997</v>
      </c>
      <c r="AY25" s="1">
        <v>4255.5060000000003</v>
      </c>
      <c r="AZ25" s="1">
        <v>89.698999999999998</v>
      </c>
      <c r="BA25" s="1">
        <v>89.698999999999998</v>
      </c>
      <c r="BB25" s="19">
        <v>0.34432870370370372</v>
      </c>
      <c r="BC25" s="19">
        <v>0.25048611111111113</v>
      </c>
      <c r="BD25" s="19">
        <v>1.6519097222222223</v>
      </c>
      <c r="BE25" s="19">
        <v>3.9340277777777773E-2</v>
      </c>
      <c r="BF25" s="3" t="s">
        <v>249</v>
      </c>
      <c r="BG25" s="3" t="s">
        <v>249</v>
      </c>
      <c r="BH25" s="19">
        <v>3.9340277777777773E-2</v>
      </c>
    </row>
    <row r="26" spans="1:60">
      <c r="A26" s="51" t="s">
        <v>333</v>
      </c>
      <c r="B26" s="52" t="s">
        <v>78</v>
      </c>
      <c r="C26" s="52" t="s">
        <v>334</v>
      </c>
      <c r="D26" s="53">
        <v>44893</v>
      </c>
      <c r="E26" s="53">
        <v>45077</v>
      </c>
      <c r="F26" s="52" t="s">
        <v>26</v>
      </c>
      <c r="G26" s="54">
        <v>8</v>
      </c>
      <c r="H26" s="54">
        <v>5.25</v>
      </c>
      <c r="I26" s="81">
        <f t="shared" si="0"/>
        <v>1793.9999999999998</v>
      </c>
      <c r="J26" s="55" t="s">
        <v>335</v>
      </c>
      <c r="K26" s="52" t="s">
        <v>336</v>
      </c>
      <c r="L26" s="54">
        <v>29685033</v>
      </c>
      <c r="M26" s="80">
        <v>44893</v>
      </c>
      <c r="N26" s="52" t="s">
        <v>30</v>
      </c>
      <c r="O26" s="54">
        <v>195</v>
      </c>
      <c r="P26" s="54" t="s">
        <v>27</v>
      </c>
      <c r="Q26" s="56" t="s">
        <v>367</v>
      </c>
      <c r="R26" s="52">
        <v>45.5349559</v>
      </c>
      <c r="S26" s="52">
        <v>-73.641190300000005</v>
      </c>
      <c r="T26" s="31" t="s">
        <v>366</v>
      </c>
      <c r="U26" s="42" t="s">
        <v>368</v>
      </c>
      <c r="X26" s="1">
        <f>_xlfn.XLOOKUP('Projets Jerome_2'!$J26,'Projets Jerome'!$J$2:$J$37,'Projets Jerome'!$AC$2:$AC$37)</f>
        <v>45.5349559</v>
      </c>
      <c r="Y26" s="1">
        <f>_xlfn.XLOOKUP('Projets Jerome_2'!$J26,'Projets Jerome'!$J$2:$J$37,'Projets Jerome'!$AD$2:$AD$37)</f>
        <v>-73.641190300000005</v>
      </c>
      <c r="AB26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6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6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6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6" s="1" t="e" cm="1">
        <f t="array" ref="AF26">_xlfn.FILTERXML(AB26,"//distance/value")/1000</f>
        <v>#VALUE!</v>
      </c>
      <c r="AG26" s="1" t="e" cm="1">
        <f t="array" ref="AG26">_xlfn.FILTERXML(AC26,"//distance/value")/1000</f>
        <v>#VALUE!</v>
      </c>
      <c r="AH26" s="1" t="e" cm="1">
        <f t="array" ref="AH26">_xlfn.FILTERXML(AD26,"//distance/value")/1000</f>
        <v>#VALUE!</v>
      </c>
      <c r="AI26" s="1" t="e" cm="1">
        <f t="array" ref="AI26">_xlfn.FILTERXML(AE26,"//distance/value")/1000</f>
        <v>#VALUE!</v>
      </c>
      <c r="AJ26" s="1" t="e">
        <f t="shared" si="5"/>
        <v>#VALUE!</v>
      </c>
      <c r="AK26" s="19" t="e" cm="1">
        <f t="array" ref="AK26">_xlfn.FILTERXML(AB26,"//duration/value")/60/60/24</f>
        <v>#VALUE!</v>
      </c>
      <c r="AL26" s="19" t="e" cm="1">
        <f t="array" ref="AL26">_xlfn.FILTERXML(AC26,"//duration/value")/60/60/24</f>
        <v>#VALUE!</v>
      </c>
      <c r="AM26" s="19" t="e" cm="1">
        <f t="array" ref="AM26">_xlfn.FILTERXML(AD26,"//duration/value")/60/60/24</f>
        <v>#VALUE!</v>
      </c>
      <c r="AN26" s="19" t="e" cm="1">
        <f t="array" ref="AN26">_xlfn.FILTERXML(AE26,"//duration/value")/60/60/24</f>
        <v>#VALUE!</v>
      </c>
      <c r="AO26" s="3" t="e">
        <f t="shared" si="6"/>
        <v>#VALUE!</v>
      </c>
      <c r="AP26" s="3" t="e">
        <f t="shared" si="7"/>
        <v>#VALUE!</v>
      </c>
      <c r="AQ26" s="19" t="e" cm="1">
        <f t="array" ref="AQ26">_xlfn.FILTERXML(_xlfn.XLOOKUP(AJ26,$AF26:$AI26,AB26:AE26),"//duration/value")/60/60/24</f>
        <v>#VALUE!</v>
      </c>
      <c r="AS26" s="1" t="s">
        <v>456</v>
      </c>
      <c r="AT26" s="1" t="s">
        <v>457</v>
      </c>
      <c r="AU26" s="1" t="s">
        <v>458</v>
      </c>
      <c r="AV26" s="1" t="s">
        <v>459</v>
      </c>
      <c r="AW26" s="1">
        <v>246.72200000000001</v>
      </c>
      <c r="AX26" s="1">
        <v>4.8250000000000002</v>
      </c>
      <c r="AY26" s="1">
        <v>4868.6229999999996</v>
      </c>
      <c r="AZ26" s="1">
        <v>542.26599999999996</v>
      </c>
      <c r="BA26" s="1">
        <v>4.8250000000000002</v>
      </c>
      <c r="BB26" s="19">
        <v>0.10430555555555554</v>
      </c>
      <c r="BC26" s="19">
        <v>1.005787037037037E-2</v>
      </c>
      <c r="BD26" s="19">
        <v>1.8910995370370369</v>
      </c>
      <c r="BE26" s="19">
        <v>0.21520833333333333</v>
      </c>
      <c r="BF26" s="3" t="s">
        <v>281</v>
      </c>
      <c r="BG26" s="3" t="s">
        <v>281</v>
      </c>
      <c r="BH26" s="19">
        <v>1.005787037037037E-2</v>
      </c>
    </row>
    <row r="27" spans="1:60">
      <c r="A27" s="58" t="s">
        <v>203</v>
      </c>
      <c r="B27" s="59" t="s">
        <v>337</v>
      </c>
      <c r="C27" s="59" t="s">
        <v>338</v>
      </c>
      <c r="D27" s="60">
        <v>44350</v>
      </c>
      <c r="E27" s="60">
        <v>44925</v>
      </c>
      <c r="F27" s="59" t="s">
        <v>226</v>
      </c>
      <c r="G27" s="61">
        <v>340</v>
      </c>
      <c r="H27" s="61">
        <v>495.5</v>
      </c>
      <c r="I27" s="84">
        <f t="shared" si="0"/>
        <v>60604.999999999993</v>
      </c>
      <c r="J27" s="62" t="s">
        <v>339</v>
      </c>
      <c r="K27" s="59" t="s">
        <v>340</v>
      </c>
      <c r="L27" s="61">
        <v>29684797</v>
      </c>
      <c r="M27" s="83">
        <v>44350</v>
      </c>
      <c r="N27" s="59" t="s">
        <v>271</v>
      </c>
      <c r="O27" s="61">
        <v>155</v>
      </c>
      <c r="P27" s="61" t="s">
        <v>27</v>
      </c>
      <c r="Q27" s="63" t="s">
        <v>356</v>
      </c>
      <c r="R27" s="59">
        <v>45.623523900000002</v>
      </c>
      <c r="S27" s="59">
        <v>-73.5627779</v>
      </c>
      <c r="T27" s="44" t="s">
        <v>354</v>
      </c>
      <c r="U27" s="43" t="s">
        <v>355</v>
      </c>
      <c r="X27" s="1">
        <f>_xlfn.XLOOKUP('Projets Jerome_2'!$J27,'Projets Jerome'!$J$2:$J$37,'Projets Jerome'!$AC$2:$AC$37)</f>
        <v>45.623523900000002</v>
      </c>
      <c r="Y27" s="1">
        <f>_xlfn.XLOOKUP('Projets Jerome_2'!$J27,'Projets Jerome'!$J$2:$J$37,'Projets Jerome'!$AD$2:$AD$37)</f>
        <v>-73.5627779</v>
      </c>
      <c r="AB27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7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7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7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7" s="1" t="e" cm="1">
        <f t="array" ref="AF27">_xlfn.FILTERXML(AB27,"//distance/value")/1000</f>
        <v>#VALUE!</v>
      </c>
      <c r="AG27" s="1" t="e" cm="1">
        <f t="array" ref="AG27">_xlfn.FILTERXML(AC27,"//distance/value")/1000</f>
        <v>#VALUE!</v>
      </c>
      <c r="AH27" s="1" t="e" cm="1">
        <f t="array" ref="AH27">_xlfn.FILTERXML(AD27,"//distance/value")/1000</f>
        <v>#VALUE!</v>
      </c>
      <c r="AI27" s="1" t="e" cm="1">
        <f t="array" ref="AI27">_xlfn.FILTERXML(AE27,"//distance/value")/1000</f>
        <v>#VALUE!</v>
      </c>
      <c r="AJ27" s="1" t="e">
        <f t="shared" si="5"/>
        <v>#VALUE!</v>
      </c>
      <c r="AK27" s="19" t="e" cm="1">
        <f t="array" ref="AK27">_xlfn.FILTERXML(AB27,"//duration/value")/60/60/24</f>
        <v>#VALUE!</v>
      </c>
      <c r="AL27" s="19" t="e" cm="1">
        <f t="array" ref="AL27">_xlfn.FILTERXML(AC27,"//duration/value")/60/60/24</f>
        <v>#VALUE!</v>
      </c>
      <c r="AM27" s="19" t="e" cm="1">
        <f t="array" ref="AM27">_xlfn.FILTERXML(AD27,"//duration/value")/60/60/24</f>
        <v>#VALUE!</v>
      </c>
      <c r="AN27" s="19" t="e" cm="1">
        <f t="array" ref="AN27">_xlfn.FILTERXML(AE27,"//duration/value")/60/60/24</f>
        <v>#VALUE!</v>
      </c>
      <c r="AO27" s="3" t="e">
        <f t="shared" si="6"/>
        <v>#VALUE!</v>
      </c>
      <c r="AP27" s="3" t="e">
        <f t="shared" si="7"/>
        <v>#VALUE!</v>
      </c>
      <c r="AQ27" s="19" t="e" cm="1">
        <f t="array" ref="AQ27">_xlfn.FILTERXML(_xlfn.XLOOKUP(AJ27,$AF27:$AI27,AB27:AE27),"//duration/value")/60/60/24</f>
        <v>#VALUE!</v>
      </c>
      <c r="AS27" s="1" t="s">
        <v>460</v>
      </c>
      <c r="AT27" s="1" t="s">
        <v>461</v>
      </c>
      <c r="AU27" s="1" t="s">
        <v>462</v>
      </c>
      <c r="AV27" s="1" t="s">
        <v>463</v>
      </c>
      <c r="AW27" s="1">
        <v>246.05699999999999</v>
      </c>
      <c r="AX27" s="1">
        <v>19.599</v>
      </c>
      <c r="AY27" s="1">
        <v>4882.2839999999997</v>
      </c>
      <c r="AZ27" s="1">
        <v>555.92700000000002</v>
      </c>
      <c r="BA27" s="1">
        <v>19.599</v>
      </c>
      <c r="BB27" s="19">
        <v>9.9814814814814801E-2</v>
      </c>
      <c r="BC27" s="19">
        <v>1.7986111111111109E-2</v>
      </c>
      <c r="BD27" s="19">
        <v>1.8985648148148149</v>
      </c>
      <c r="BE27" s="19">
        <v>0.22267361111111109</v>
      </c>
      <c r="BF27" s="3" t="s">
        <v>281</v>
      </c>
      <c r="BG27" s="3" t="s">
        <v>281</v>
      </c>
      <c r="BH27" s="19">
        <v>1.7986111111111109E-2</v>
      </c>
    </row>
    <row r="28" spans="1:60">
      <c r="A28" s="51" t="s">
        <v>42</v>
      </c>
      <c r="B28" s="52" t="s">
        <v>345</v>
      </c>
      <c r="C28" s="52" t="s">
        <v>346</v>
      </c>
      <c r="D28" s="53">
        <v>44542</v>
      </c>
      <c r="E28" s="53">
        <v>45044</v>
      </c>
      <c r="F28" s="52" t="s">
        <v>36</v>
      </c>
      <c r="G28" s="54">
        <v>147</v>
      </c>
      <c r="H28" s="54">
        <v>170</v>
      </c>
      <c r="I28" s="81">
        <f t="shared" si="0"/>
        <v>27893.249999999996</v>
      </c>
      <c r="J28" s="55" t="s">
        <v>347</v>
      </c>
      <c r="K28" s="52" t="s">
        <v>345</v>
      </c>
      <c r="L28" s="54">
        <v>29684873</v>
      </c>
      <c r="M28" s="80">
        <v>44547</v>
      </c>
      <c r="N28" s="52" t="s">
        <v>30</v>
      </c>
      <c r="O28" s="54">
        <v>165</v>
      </c>
      <c r="P28" s="54" t="s">
        <v>27</v>
      </c>
      <c r="Q28" s="56" t="s">
        <v>353</v>
      </c>
      <c r="R28" s="52">
        <v>45.6243664</v>
      </c>
      <c r="S28" s="52">
        <v>-73.567282199999994</v>
      </c>
      <c r="T28" s="31" t="s">
        <v>352</v>
      </c>
      <c r="U28" s="82" t="s">
        <v>351</v>
      </c>
      <c r="X28" s="1">
        <f>_xlfn.XLOOKUP('Projets Jerome_2'!$J28,'Projets Jerome'!$J$2:$J$37,'Projets Jerome'!$AC$2:$AC$37)</f>
        <v>45.6243664</v>
      </c>
      <c r="Y28" s="1">
        <f>_xlfn.XLOOKUP('Projets Jerome_2'!$J28,'Projets Jerome'!$J$2:$J$37,'Projets Jerome'!$AD$2:$AD$37)</f>
        <v>-73.567282199999994</v>
      </c>
      <c r="AB28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8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8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8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8" s="1" t="e" cm="1">
        <f t="array" ref="AF28">_xlfn.FILTERXML(AB28,"//distance/value")/1000</f>
        <v>#VALUE!</v>
      </c>
      <c r="AG28" s="1" t="e" cm="1">
        <f t="array" ref="AG28">_xlfn.FILTERXML(AC28,"//distance/value")/1000</f>
        <v>#VALUE!</v>
      </c>
      <c r="AH28" s="1" t="e" cm="1">
        <f t="array" ref="AH28">_xlfn.FILTERXML(AD28,"//distance/value")/1000</f>
        <v>#VALUE!</v>
      </c>
      <c r="AI28" s="1" t="e" cm="1">
        <f t="array" ref="AI28">_xlfn.FILTERXML(AE28,"//distance/value")/1000</f>
        <v>#VALUE!</v>
      </c>
      <c r="AJ28" s="1" t="e">
        <f t="shared" si="5"/>
        <v>#VALUE!</v>
      </c>
      <c r="AK28" s="19" t="e" cm="1">
        <f t="array" ref="AK28">_xlfn.FILTERXML(AB28,"//duration/value")/60/60/24</f>
        <v>#VALUE!</v>
      </c>
      <c r="AL28" s="19" t="e" cm="1">
        <f t="array" ref="AL28">_xlfn.FILTERXML(AC28,"//duration/value")/60/60/24</f>
        <v>#VALUE!</v>
      </c>
      <c r="AM28" s="19" t="e" cm="1">
        <f t="array" ref="AM28">_xlfn.FILTERXML(AD28,"//duration/value")/60/60/24</f>
        <v>#VALUE!</v>
      </c>
      <c r="AN28" s="19" t="e" cm="1">
        <f t="array" ref="AN28">_xlfn.FILTERXML(AE28,"//duration/value")/60/60/24</f>
        <v>#VALUE!</v>
      </c>
      <c r="AO28" s="3" t="e">
        <f t="shared" si="6"/>
        <v>#VALUE!</v>
      </c>
      <c r="AP28" s="3" t="e">
        <f t="shared" si="7"/>
        <v>#VALUE!</v>
      </c>
      <c r="AQ28" s="19" t="e" cm="1">
        <f t="array" ref="AQ28">_xlfn.FILTERXML(_xlfn.XLOOKUP(AJ28,$AF28:$AI28,AB28:AE28),"//duration/value")/60/60/24</f>
        <v>#VALUE!</v>
      </c>
      <c r="AS28" s="1" t="s">
        <v>468</v>
      </c>
      <c r="AT28" s="1" t="s">
        <v>469</v>
      </c>
      <c r="AU28" s="1" t="s">
        <v>470</v>
      </c>
      <c r="AV28" s="1" t="s">
        <v>471</v>
      </c>
      <c r="AW28" s="1">
        <v>246.46700000000001</v>
      </c>
      <c r="AX28" s="1">
        <v>20.007999999999999</v>
      </c>
      <c r="AY28" s="1">
        <v>4882.6930000000002</v>
      </c>
      <c r="AZ28" s="1">
        <v>556.33699999999999</v>
      </c>
      <c r="BA28" s="1">
        <v>20.007999999999999</v>
      </c>
      <c r="BB28" s="19">
        <v>0.10012731481481481</v>
      </c>
      <c r="BC28" s="19">
        <v>1.8298611111111113E-2</v>
      </c>
      <c r="BD28" s="19">
        <v>1.8988888888888891</v>
      </c>
      <c r="BE28" s="19">
        <v>0.22299768518518517</v>
      </c>
      <c r="BF28" s="3" t="s">
        <v>281</v>
      </c>
      <c r="BG28" s="3" t="s">
        <v>281</v>
      </c>
      <c r="BH28" s="19">
        <v>1.8298611111111113E-2</v>
      </c>
    </row>
    <row r="29" spans="1:60">
      <c r="A29" s="58" t="s">
        <v>42</v>
      </c>
      <c r="B29" s="59" t="s">
        <v>348</v>
      </c>
      <c r="C29" s="59" t="s">
        <v>346</v>
      </c>
      <c r="D29" s="60">
        <v>44790</v>
      </c>
      <c r="E29" s="60">
        <v>45289</v>
      </c>
      <c r="F29" s="59" t="s">
        <v>36</v>
      </c>
      <c r="G29" s="61">
        <v>238</v>
      </c>
      <c r="H29" s="61">
        <v>233</v>
      </c>
      <c r="I29" s="84">
        <f t="shared" si="0"/>
        <v>45160.5</v>
      </c>
      <c r="J29" s="62" t="s">
        <v>349</v>
      </c>
      <c r="K29" s="59" t="s">
        <v>348</v>
      </c>
      <c r="L29" s="61">
        <v>29685229</v>
      </c>
      <c r="M29" s="83">
        <v>44790</v>
      </c>
      <c r="N29" s="59" t="s">
        <v>30</v>
      </c>
      <c r="O29" s="61">
        <v>165</v>
      </c>
      <c r="P29" s="61" t="s">
        <v>27</v>
      </c>
      <c r="Q29" s="63" t="s">
        <v>353</v>
      </c>
      <c r="R29" s="59">
        <v>45.6243664</v>
      </c>
      <c r="S29" s="59">
        <v>-73.567282199999994</v>
      </c>
      <c r="T29" s="44" t="s">
        <v>352</v>
      </c>
      <c r="U29" s="85" t="s">
        <v>350</v>
      </c>
      <c r="X29" s="1">
        <f>_xlfn.XLOOKUP('Projets Jerome_2'!$J29,'Projets Jerome'!$J$2:$J$37,'Projets Jerome'!$AC$2:$AC$37)</f>
        <v>45.6243664</v>
      </c>
      <c r="Y29" s="1">
        <f>_xlfn.XLOOKUP('Projets Jerome_2'!$J29,'Projets Jerome'!$J$2:$J$37,'Projets Jerome'!$AD$2:$AD$37)</f>
        <v>-73.567282199999994</v>
      </c>
      <c r="AB29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9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9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9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9" s="1" t="e" cm="1">
        <f t="array" ref="AF29">_xlfn.FILTERXML(AB29,"//distance/value")/1000</f>
        <v>#VALUE!</v>
      </c>
      <c r="AG29" s="1" t="e" cm="1">
        <f t="array" ref="AG29">_xlfn.FILTERXML(AC29,"//distance/value")/1000</f>
        <v>#VALUE!</v>
      </c>
      <c r="AH29" s="1" t="e" cm="1">
        <f t="array" ref="AH29">_xlfn.FILTERXML(AD29,"//distance/value")/1000</f>
        <v>#VALUE!</v>
      </c>
      <c r="AI29" s="1" t="e" cm="1">
        <f t="array" ref="AI29">_xlfn.FILTERXML(AE29,"//distance/value")/1000</f>
        <v>#VALUE!</v>
      </c>
      <c r="AJ29" s="1" t="e">
        <f t="shared" si="5"/>
        <v>#VALUE!</v>
      </c>
      <c r="AK29" s="19" t="e" cm="1">
        <f t="array" ref="AK29">_xlfn.FILTERXML(AB29,"//duration/value")/60/60/24</f>
        <v>#VALUE!</v>
      </c>
      <c r="AL29" s="19" t="e" cm="1">
        <f t="array" ref="AL29">_xlfn.FILTERXML(AC29,"//duration/value")/60/60/24</f>
        <v>#VALUE!</v>
      </c>
      <c r="AM29" s="19" t="e" cm="1">
        <f t="array" ref="AM29">_xlfn.FILTERXML(AD29,"//duration/value")/60/60/24</f>
        <v>#VALUE!</v>
      </c>
      <c r="AN29" s="19" t="e" cm="1">
        <f t="array" ref="AN29">_xlfn.FILTERXML(AE29,"//duration/value")/60/60/24</f>
        <v>#VALUE!</v>
      </c>
      <c r="AO29" s="3" t="e">
        <f t="shared" si="6"/>
        <v>#VALUE!</v>
      </c>
      <c r="AP29" s="3" t="e">
        <f t="shared" si="7"/>
        <v>#VALUE!</v>
      </c>
      <c r="AQ29" s="19" t="e" cm="1">
        <f t="array" ref="AQ29">_xlfn.FILTERXML(_xlfn.XLOOKUP(AJ29,$AF29:$AI29,AB29:AE29),"//duration/value")/60/60/24</f>
        <v>#VALUE!</v>
      </c>
      <c r="AS29" s="1" t="s">
        <v>468</v>
      </c>
      <c r="AT29" s="1" t="s">
        <v>469</v>
      </c>
      <c r="AU29" s="1" t="s">
        <v>470</v>
      </c>
      <c r="AV29" s="1" t="s">
        <v>471</v>
      </c>
      <c r="AW29" s="1">
        <v>246.46700000000001</v>
      </c>
      <c r="AX29" s="1">
        <v>20.007999999999999</v>
      </c>
      <c r="AY29" s="1">
        <v>4882.6930000000002</v>
      </c>
      <c r="AZ29" s="1">
        <v>556.33699999999999</v>
      </c>
      <c r="BA29" s="1">
        <v>20.007999999999999</v>
      </c>
      <c r="BB29" s="19">
        <v>0.10012731481481481</v>
      </c>
      <c r="BC29" s="19">
        <v>1.8298611111111113E-2</v>
      </c>
      <c r="BD29" s="19">
        <v>1.8988888888888891</v>
      </c>
      <c r="BE29" s="19">
        <v>0.22299768518518517</v>
      </c>
      <c r="BF29" s="3" t="s">
        <v>281</v>
      </c>
      <c r="BG29" s="3" t="s">
        <v>281</v>
      </c>
      <c r="BH29" s="19">
        <v>1.8298611111111113E-2</v>
      </c>
    </row>
    <row r="30" spans="1:60">
      <c r="A30" s="51" t="s">
        <v>42</v>
      </c>
      <c r="B30" s="52" t="s">
        <v>479</v>
      </c>
      <c r="C30" s="52" t="s">
        <v>324</v>
      </c>
      <c r="D30" s="53">
        <v>44878</v>
      </c>
      <c r="E30" s="53">
        <v>44926</v>
      </c>
      <c r="F30" s="52" t="s">
        <v>26</v>
      </c>
      <c r="G30" s="54">
        <v>23</v>
      </c>
      <c r="H30" s="54">
        <v>58</v>
      </c>
      <c r="I30" s="81">
        <f t="shared" si="0"/>
        <v>3570.7499999999995</v>
      </c>
      <c r="J30" s="55" t="s">
        <v>478</v>
      </c>
      <c r="K30" s="52" t="s">
        <v>479</v>
      </c>
      <c r="L30" s="54">
        <v>29685263</v>
      </c>
      <c r="M30" s="80">
        <v>44874</v>
      </c>
      <c r="N30" s="52" t="s">
        <v>30</v>
      </c>
      <c r="O30" s="54">
        <v>135</v>
      </c>
      <c r="P30" s="54" t="s">
        <v>27</v>
      </c>
      <c r="Q30" s="56" t="s">
        <v>371</v>
      </c>
      <c r="R30" s="52">
        <v>45.592141699999999</v>
      </c>
      <c r="S30" s="52">
        <v>-73.698460400000002</v>
      </c>
      <c r="T30" s="52" t="s">
        <v>370</v>
      </c>
      <c r="U30" s="82" t="s">
        <v>369</v>
      </c>
      <c r="X30" s="1">
        <f>_xlfn.XLOOKUP('Projets Jerome_2'!$J30,'Projets Jerome'!$J$2:$J$37,'Projets Jerome'!$AC$2:$AC$37)</f>
        <v>45.592141699999999</v>
      </c>
      <c r="Y30" s="1">
        <f>_xlfn.XLOOKUP('Projets Jerome_2'!$J30,'Projets Jerome'!$J$2:$J$37,'Projets Jerome'!$AD$2:$AD$37)</f>
        <v>-73.698460400000002</v>
      </c>
      <c r="AB30" s="1" t="str">
        <f>_xlfn.WEBSERVICE("https://maps.googleapis.com/maps/api/distancematrix/xml?destinations="&amp;$X30&amp;"%2C"&amp;$Y30&amp;"&amp;origins=46.7677269%2C-71.2887151&amp;key=AIzaSyCHth-wrbaKBruFJQMWpdpeHAtAzdbcKh4")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0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0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0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0" s="1" t="e" cm="1">
        <f t="array" ref="AF30">_xlfn.FILTERXML(AB30,"//distance/value")/1000</f>
        <v>#VALUE!</v>
      </c>
      <c r="AG30" s="1" t="e" cm="1">
        <f t="array" ref="AG30">_xlfn.FILTERXML(AC30,"//distance/value")/1000</f>
        <v>#VALUE!</v>
      </c>
      <c r="AH30" s="1" t="e" cm="1">
        <f t="array" ref="AH30">_xlfn.FILTERXML(AD30,"//distance/value")/1000</f>
        <v>#VALUE!</v>
      </c>
      <c r="AI30" s="1" t="e" cm="1">
        <f t="array" ref="AI30">_xlfn.FILTERXML(AE30,"//distance/value")/1000</f>
        <v>#VALUE!</v>
      </c>
      <c r="AJ30" s="1" t="e">
        <f t="shared" ref="AJ30:AJ33" si="8">MIN(AF30:AI30)</f>
        <v>#VALUE!</v>
      </c>
      <c r="AK30" s="19" t="e" cm="1">
        <f t="array" ref="AK30">_xlfn.FILTERXML(AB30,"//duration/value")/60/60/24</f>
        <v>#VALUE!</v>
      </c>
      <c r="AL30" s="19" t="e" cm="1">
        <f t="array" ref="AL30">_xlfn.FILTERXML(AC30,"//duration/value")/60/60/24</f>
        <v>#VALUE!</v>
      </c>
      <c r="AM30" s="19" t="e" cm="1">
        <f t="array" ref="AM30">_xlfn.FILTERXML(AD30,"//duration/value")/60/60/24</f>
        <v>#VALUE!</v>
      </c>
      <c r="AN30" s="19" t="e" cm="1">
        <f t="array" ref="AN30">_xlfn.FILTERXML(AE30,"//duration/value")/60/60/24</f>
        <v>#VALUE!</v>
      </c>
      <c r="AO30" s="3" t="e">
        <f t="shared" ref="AO30:AO33" si="9">REPLACE(_xlfn.XLOOKUP(AJ30,$AF30:$AI30,$AF$1:$AI$1), 1, 9, "")</f>
        <v>#VALUE!</v>
      </c>
      <c r="AP30" s="3" t="e">
        <f t="shared" ref="AP30:AP33" si="10">REPLACE(_xlfn.XLOOKUP(AQ30,$AK30:$AN30,$AF$1:$AI$1), 1, 9, "")</f>
        <v>#VALUE!</v>
      </c>
      <c r="AQ30" s="19" t="e" cm="1">
        <f t="array" ref="AQ30">_xlfn.FILTERXML(_xlfn.XLOOKUP(AJ30,$AF30:$AI30,AB30:AE30),"//duration/value")/60/60/24</f>
        <v>#VALUE!</v>
      </c>
      <c r="AS30" s="1" t="s">
        <v>494</v>
      </c>
      <c r="AT30" s="1" t="s">
        <v>495</v>
      </c>
      <c r="AU30" s="1" t="s">
        <v>496</v>
      </c>
      <c r="AV30" s="1" t="s">
        <v>497</v>
      </c>
      <c r="AW30" s="1">
        <v>254.42</v>
      </c>
      <c r="AX30" s="1">
        <v>22.018999999999998</v>
      </c>
      <c r="AY30" s="1">
        <v>4560.0590000000002</v>
      </c>
      <c r="AZ30" s="1">
        <v>553.41099999999994</v>
      </c>
      <c r="BA30" s="1">
        <v>22.018999999999998</v>
      </c>
      <c r="BB30" s="19">
        <v>0.1062037037037037</v>
      </c>
      <c r="BC30" s="19">
        <v>1.8136574074074072E-2</v>
      </c>
      <c r="BD30" s="19">
        <v>1.897175925925926</v>
      </c>
      <c r="BE30" s="19">
        <v>0.22025462962962963</v>
      </c>
      <c r="BF30" s="3" t="s">
        <v>281</v>
      </c>
      <c r="BG30" s="3" t="s">
        <v>281</v>
      </c>
      <c r="BH30" s="19">
        <v>1.8136574074074072E-2</v>
      </c>
    </row>
    <row r="31" spans="1:60">
      <c r="A31" s="58" t="s">
        <v>102</v>
      </c>
      <c r="B31" s="59" t="s">
        <v>488</v>
      </c>
      <c r="C31" s="59" t="s">
        <v>480</v>
      </c>
      <c r="D31" s="60">
        <v>44996</v>
      </c>
      <c r="E31" s="60">
        <v>45495</v>
      </c>
      <c r="F31" s="59" t="s">
        <v>26</v>
      </c>
      <c r="G31" s="61">
        <v>991</v>
      </c>
      <c r="H31" s="61">
        <v>40.25</v>
      </c>
      <c r="I31" s="84">
        <f>$G31*$O31*1.2</f>
        <v>208110</v>
      </c>
      <c r="J31" s="62" t="s">
        <v>481</v>
      </c>
      <c r="K31" s="59" t="s">
        <v>482</v>
      </c>
      <c r="L31" s="61">
        <v>29685489</v>
      </c>
      <c r="M31" s="83">
        <v>44996</v>
      </c>
      <c r="N31" s="59" t="s">
        <v>483</v>
      </c>
      <c r="O31" s="61">
        <v>175</v>
      </c>
      <c r="P31" s="61" t="s">
        <v>27</v>
      </c>
      <c r="Q31" s="63" t="s">
        <v>490</v>
      </c>
      <c r="R31" s="59">
        <v>45.583457699999997</v>
      </c>
      <c r="S31" s="59">
        <v>-73.460523800000004</v>
      </c>
      <c r="T31" s="59" t="s">
        <v>492</v>
      </c>
      <c r="U31" s="85" t="s">
        <v>491</v>
      </c>
      <c r="X31" s="1">
        <f>_xlfn.XLOOKUP('Projets Jerome_2'!$J31,'Projets Jerome'!$J$2:$J$37,'Projets Jerome'!$AC$2:$AC$37)</f>
        <v>45.583457699999997</v>
      </c>
      <c r="Y31" s="1">
        <f>_xlfn.XLOOKUP('Projets Jerome_2'!$J31,'Projets Jerome'!$J$2:$J$37,'Projets Jerome'!$AD$2:$AD$37)</f>
        <v>-73.460523800000004</v>
      </c>
      <c r="AB31" s="1" t="str">
        <f>_xlfn.WEBSERVICE("https://maps.googleapis.com/maps/api/distancematrix/xml?destinations="&amp;$X31&amp;"%2C"&amp;$Y31&amp;"&amp;origins=46.7677269%2C-71.2887151&amp;key=AIzaSyCHth-wrbaKBruFJQMWpdpeHAtAzdbcKh4")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1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1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1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1" s="1" t="e" cm="1">
        <f t="array" ref="AF31">_xlfn.FILTERXML(AB31,"//distance/value")/1000</f>
        <v>#VALUE!</v>
      </c>
      <c r="AG31" s="1" t="e" cm="1">
        <f t="array" ref="AG31">_xlfn.FILTERXML(AC31,"//distance/value")/1000</f>
        <v>#VALUE!</v>
      </c>
      <c r="AH31" s="1" t="e" cm="1">
        <f t="array" ref="AH31">_xlfn.FILTERXML(AD31,"//distance/value")/1000</f>
        <v>#VALUE!</v>
      </c>
      <c r="AI31" s="1" t="e" cm="1">
        <f t="array" ref="AI31">_xlfn.FILTERXML(AE31,"//distance/value")/1000</f>
        <v>#VALUE!</v>
      </c>
      <c r="AJ31" s="1" t="e">
        <f t="shared" si="8"/>
        <v>#VALUE!</v>
      </c>
      <c r="AK31" s="19" t="e" cm="1">
        <f t="array" ref="AK31">_xlfn.FILTERXML(AB31,"//duration/value")/60/60/24</f>
        <v>#VALUE!</v>
      </c>
      <c r="AL31" s="19" t="e" cm="1">
        <f t="array" ref="AL31">_xlfn.FILTERXML(AC31,"//duration/value")/60/60/24</f>
        <v>#VALUE!</v>
      </c>
      <c r="AM31" s="19" t="e" cm="1">
        <f t="array" ref="AM31">_xlfn.FILTERXML(AD31,"//duration/value")/60/60/24</f>
        <v>#VALUE!</v>
      </c>
      <c r="AN31" s="19" t="e" cm="1">
        <f t="array" ref="AN31">_xlfn.FILTERXML(AE31,"//duration/value")/60/60/24</f>
        <v>#VALUE!</v>
      </c>
      <c r="AO31" s="3" t="e">
        <f t="shared" si="9"/>
        <v>#VALUE!</v>
      </c>
      <c r="AP31" s="3" t="e">
        <f t="shared" si="10"/>
        <v>#VALUE!</v>
      </c>
      <c r="AQ31" s="19" t="e" cm="1">
        <f t="array" ref="AQ31">_xlfn.FILTERXML(_xlfn.XLOOKUP(AJ31,$AF31:$AI31,AB31:AE31),"//duration/value")/60/60/24</f>
        <v>#VALUE!</v>
      </c>
      <c r="AS31" s="1" t="s">
        <v>498</v>
      </c>
      <c r="AT31" s="1" t="s">
        <v>499</v>
      </c>
      <c r="AU31" s="1" t="s">
        <v>500</v>
      </c>
      <c r="AV31" s="1" t="s">
        <v>501</v>
      </c>
      <c r="AW31" s="1">
        <v>228.60400000000001</v>
      </c>
      <c r="AX31" s="1">
        <v>20.896999999999998</v>
      </c>
      <c r="AY31" s="1">
        <v>4567.9189999999999</v>
      </c>
      <c r="AZ31" s="1">
        <v>561.27099999999996</v>
      </c>
      <c r="BA31" s="1">
        <v>20.896999999999998</v>
      </c>
      <c r="BB31" s="19">
        <v>9.3055555555555558E-2</v>
      </c>
      <c r="BC31" s="19">
        <v>2.3043981481481481E-2</v>
      </c>
      <c r="BD31" s="19">
        <v>1.905763888888889</v>
      </c>
      <c r="BE31" s="19">
        <v>0.22884259259259263</v>
      </c>
      <c r="BF31" s="3" t="s">
        <v>281</v>
      </c>
      <c r="BG31" s="3" t="s">
        <v>281</v>
      </c>
      <c r="BH31" s="19">
        <v>2.3043981481481481E-2</v>
      </c>
    </row>
    <row r="32" spans="1:60">
      <c r="A32" s="51" t="s">
        <v>102</v>
      </c>
      <c r="B32" s="52" t="s">
        <v>485</v>
      </c>
      <c r="C32" s="52" t="s">
        <v>480</v>
      </c>
      <c r="D32" s="53">
        <v>45006</v>
      </c>
      <c r="E32" s="53">
        <v>45450</v>
      </c>
      <c r="F32" s="52" t="s">
        <v>26</v>
      </c>
      <c r="G32" s="54">
        <v>183</v>
      </c>
      <c r="H32" s="54">
        <v>0</v>
      </c>
      <c r="I32" s="81">
        <f t="shared" si="0"/>
        <v>28410.749999999996</v>
      </c>
      <c r="J32" s="55" t="s">
        <v>484</v>
      </c>
      <c r="K32" s="52" t="s">
        <v>485</v>
      </c>
      <c r="L32" s="54">
        <v>29685508</v>
      </c>
      <c r="M32" s="80">
        <v>45022</v>
      </c>
      <c r="N32" s="52" t="s">
        <v>483</v>
      </c>
      <c r="O32" s="54">
        <v>135</v>
      </c>
      <c r="P32" s="54" t="s">
        <v>27</v>
      </c>
      <c r="Q32" s="56" t="s">
        <v>490</v>
      </c>
      <c r="R32" s="52">
        <v>45.583457699999997</v>
      </c>
      <c r="S32" s="52">
        <v>-73.460523800000004</v>
      </c>
      <c r="T32" s="52" t="s">
        <v>492</v>
      </c>
      <c r="U32" s="82" t="s">
        <v>476</v>
      </c>
      <c r="X32" s="1">
        <f>_xlfn.XLOOKUP('Projets Jerome_2'!$J32,'Projets Jerome'!$J$2:$J$37,'Projets Jerome'!$AC$2:$AC$37)</f>
        <v>45.583457699999997</v>
      </c>
      <c r="Y32" s="1">
        <f>_xlfn.XLOOKUP('Projets Jerome_2'!$J32,'Projets Jerome'!$J$2:$J$37,'Projets Jerome'!$AD$2:$AD$37)</f>
        <v>-73.460523800000004</v>
      </c>
      <c r="AB32" s="1" t="str">
        <f>_xlfn.WEBSERVICE("https://maps.googleapis.com/maps/api/distancematrix/xml?destinations="&amp;$X32&amp;"%2C"&amp;$Y32&amp;"&amp;origins=46.7677269%2C-71.2887151&amp;key=AIzaSyCHth-wrbaKBruFJQMWpdpeHAtAzdbcKh4")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2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2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2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2" s="1" t="e" cm="1">
        <f t="array" ref="AF32">_xlfn.FILTERXML(AB32,"//distance/value")/1000</f>
        <v>#VALUE!</v>
      </c>
      <c r="AG32" s="1" t="e" cm="1">
        <f t="array" ref="AG32">_xlfn.FILTERXML(AC32,"//distance/value")/1000</f>
        <v>#VALUE!</v>
      </c>
      <c r="AH32" s="1" t="e" cm="1">
        <f t="array" ref="AH32">_xlfn.FILTERXML(AD32,"//distance/value")/1000</f>
        <v>#VALUE!</v>
      </c>
      <c r="AI32" s="1" t="e" cm="1">
        <f t="array" ref="AI32">_xlfn.FILTERXML(AE32,"//distance/value")/1000</f>
        <v>#VALUE!</v>
      </c>
      <c r="AJ32" s="1" t="e">
        <f t="shared" si="8"/>
        <v>#VALUE!</v>
      </c>
      <c r="AK32" s="19" t="e" cm="1">
        <f t="array" ref="AK32">_xlfn.FILTERXML(AB32,"//duration/value")/60/60/24</f>
        <v>#VALUE!</v>
      </c>
      <c r="AL32" s="19" t="e" cm="1">
        <f t="array" ref="AL32">_xlfn.FILTERXML(AC32,"//duration/value")/60/60/24</f>
        <v>#VALUE!</v>
      </c>
      <c r="AM32" s="19" t="e" cm="1">
        <f t="array" ref="AM32">_xlfn.FILTERXML(AD32,"//duration/value")/60/60/24</f>
        <v>#VALUE!</v>
      </c>
      <c r="AN32" s="19" t="e" cm="1">
        <f t="array" ref="AN32">_xlfn.FILTERXML(AE32,"//duration/value")/60/60/24</f>
        <v>#VALUE!</v>
      </c>
      <c r="AO32" s="3" t="e">
        <f t="shared" si="9"/>
        <v>#VALUE!</v>
      </c>
      <c r="AP32" s="3" t="e">
        <f t="shared" si="10"/>
        <v>#VALUE!</v>
      </c>
      <c r="AQ32" s="19" t="e" cm="1">
        <f t="array" ref="AQ32">_xlfn.FILTERXML(_xlfn.XLOOKUP(AJ32,$AF32:$AI32,AB32:AE32),"//duration/value")/60/60/24</f>
        <v>#VALUE!</v>
      </c>
      <c r="AS32" s="1" t="s">
        <v>498</v>
      </c>
      <c r="AT32" s="1" t="s">
        <v>499</v>
      </c>
      <c r="AU32" s="1" t="s">
        <v>500</v>
      </c>
      <c r="AV32" s="1" t="s">
        <v>501</v>
      </c>
      <c r="AW32" s="1">
        <v>228.60400000000001</v>
      </c>
      <c r="AX32" s="1">
        <v>20.896999999999998</v>
      </c>
      <c r="AY32" s="1">
        <v>4567.9189999999999</v>
      </c>
      <c r="AZ32" s="1">
        <v>561.27099999999996</v>
      </c>
      <c r="BA32" s="1">
        <v>20.896999999999998</v>
      </c>
      <c r="BB32" s="19">
        <v>9.3055555555555558E-2</v>
      </c>
      <c r="BC32" s="19">
        <v>2.3043981481481481E-2</v>
      </c>
      <c r="BD32" s="19">
        <v>1.905763888888889</v>
      </c>
      <c r="BE32" s="19">
        <v>0.22884259259259263</v>
      </c>
      <c r="BF32" s="3" t="s">
        <v>281</v>
      </c>
      <c r="BG32" s="3" t="s">
        <v>281</v>
      </c>
      <c r="BH32" s="19">
        <v>2.3043981481481481E-2</v>
      </c>
    </row>
    <row r="33" spans="1:60">
      <c r="A33" s="58" t="s">
        <v>333</v>
      </c>
      <c r="B33" s="59" t="s">
        <v>489</v>
      </c>
      <c r="C33" s="59" t="s">
        <v>334</v>
      </c>
      <c r="D33" s="60">
        <v>44964</v>
      </c>
      <c r="E33" s="60">
        <v>44974</v>
      </c>
      <c r="F33" s="59" t="s">
        <v>26</v>
      </c>
      <c r="G33" s="61">
        <v>20</v>
      </c>
      <c r="H33" s="61">
        <v>22.25</v>
      </c>
      <c r="I33" s="84">
        <f t="shared" si="0"/>
        <v>3449.9999999999995</v>
      </c>
      <c r="J33" s="62" t="s">
        <v>486</v>
      </c>
      <c r="K33" s="59" t="s">
        <v>487</v>
      </c>
      <c r="L33" s="61">
        <v>29685397</v>
      </c>
      <c r="M33" s="83">
        <v>44960</v>
      </c>
      <c r="N33" s="59" t="s">
        <v>30</v>
      </c>
      <c r="O33" s="61">
        <v>150</v>
      </c>
      <c r="P33" s="61" t="s">
        <v>27</v>
      </c>
      <c r="Q33" s="63" t="s">
        <v>367</v>
      </c>
      <c r="R33" s="59">
        <v>45.5349559</v>
      </c>
      <c r="S33" s="59">
        <v>-73.641190300000005</v>
      </c>
      <c r="T33" s="59" t="s">
        <v>366</v>
      </c>
      <c r="U33" s="85" t="s">
        <v>493</v>
      </c>
      <c r="X33" s="1">
        <f>_xlfn.XLOOKUP('Projets Jerome_2'!$J33,'Projets Jerome'!$J$2:$J$37,'Projets Jerome'!$AC$2:$AC$37)</f>
        <v>45.5349559</v>
      </c>
      <c r="Y33" s="1">
        <f>_xlfn.XLOOKUP('Projets Jerome_2'!$J33,'Projets Jerome'!$J$2:$J$37,'Projets Jerome'!$AD$2:$AD$37)</f>
        <v>-73.641190300000005</v>
      </c>
      <c r="AB33" s="1" t="str">
        <f>_xlfn.WEBSERVICE("https://maps.googleapis.com/maps/api/distancematrix/xml?destinations="&amp;$X33&amp;"%2C"&amp;$Y33&amp;"&amp;origins=46.7677269%2C-71.2887151&amp;key=AIzaSyCHth-wrbaKBruFJQMWpdpeHAtAzdbcKh4")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3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3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3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3" s="1" t="e" cm="1">
        <f t="array" ref="AF33">_xlfn.FILTERXML(AB33,"//distance/value")/1000</f>
        <v>#VALUE!</v>
      </c>
      <c r="AG33" s="1" t="e" cm="1">
        <f t="array" ref="AG33">_xlfn.FILTERXML(AC33,"//distance/value")/1000</f>
        <v>#VALUE!</v>
      </c>
      <c r="AH33" s="1" t="e" cm="1">
        <f t="array" ref="AH33">_xlfn.FILTERXML(AD33,"//distance/value")/1000</f>
        <v>#VALUE!</v>
      </c>
      <c r="AI33" s="1" t="e" cm="1">
        <f t="array" ref="AI33">_xlfn.FILTERXML(AE33,"//distance/value")/1000</f>
        <v>#VALUE!</v>
      </c>
      <c r="AJ33" s="1" t="e">
        <f t="shared" si="8"/>
        <v>#VALUE!</v>
      </c>
      <c r="AK33" s="19" t="e" cm="1">
        <f t="array" ref="AK33">_xlfn.FILTERXML(AB33,"//duration/value")/60/60/24</f>
        <v>#VALUE!</v>
      </c>
      <c r="AL33" s="19" t="e" cm="1">
        <f t="array" ref="AL33">_xlfn.FILTERXML(AC33,"//duration/value")/60/60/24</f>
        <v>#VALUE!</v>
      </c>
      <c r="AM33" s="19" t="e" cm="1">
        <f t="array" ref="AM33">_xlfn.FILTERXML(AD33,"//duration/value")/60/60/24</f>
        <v>#VALUE!</v>
      </c>
      <c r="AN33" s="19" t="e" cm="1">
        <f t="array" ref="AN33">_xlfn.FILTERXML(AE33,"//duration/value")/60/60/24</f>
        <v>#VALUE!</v>
      </c>
      <c r="AO33" s="3" t="e">
        <f t="shared" si="9"/>
        <v>#VALUE!</v>
      </c>
      <c r="AP33" s="3" t="e">
        <f t="shared" si="10"/>
        <v>#VALUE!</v>
      </c>
      <c r="AQ33" s="19" t="e" cm="1">
        <f t="array" ref="AQ33">_xlfn.FILTERXML(_xlfn.XLOOKUP(AJ33,$AF33:$AI33,AB33:AE33),"//duration/value")/60/60/24</f>
        <v>#VALUE!</v>
      </c>
      <c r="AS33" s="1" t="s">
        <v>502</v>
      </c>
      <c r="AT33" s="1" t="s">
        <v>503</v>
      </c>
      <c r="AU33" s="1" t="s">
        <v>504</v>
      </c>
      <c r="AV33" s="1" t="s">
        <v>505</v>
      </c>
      <c r="AW33" s="1">
        <v>246.64</v>
      </c>
      <c r="AX33" s="1">
        <v>4.8250000000000002</v>
      </c>
      <c r="AY33" s="1">
        <v>4548.9139999999998</v>
      </c>
      <c r="AZ33" s="1">
        <v>542.26599999999996</v>
      </c>
      <c r="BA33" s="1">
        <v>4.8250000000000002</v>
      </c>
      <c r="BB33" s="19">
        <v>0.10640046296296296</v>
      </c>
      <c r="BC33" s="19">
        <v>1.0138888888888888E-2</v>
      </c>
      <c r="BD33" s="19">
        <v>1.8925462962962964</v>
      </c>
      <c r="BE33" s="19">
        <v>0.21562499999999998</v>
      </c>
      <c r="BF33" s="3" t="s">
        <v>281</v>
      </c>
      <c r="BG33" s="3" t="s">
        <v>281</v>
      </c>
      <c r="BH33" s="19">
        <v>1.0138888888888888E-2</v>
      </c>
    </row>
    <row r="34" spans="1:60">
      <c r="A34" s="51"/>
      <c r="B34" s="52"/>
      <c r="C34" s="52" t="s">
        <v>181</v>
      </c>
      <c r="D34" s="53"/>
      <c r="E34" s="53"/>
      <c r="F34" s="52"/>
      <c r="G34" s="54"/>
      <c r="H34" s="54"/>
      <c r="I34" s="81"/>
      <c r="J34" s="54"/>
      <c r="K34" s="52"/>
      <c r="L34" s="54"/>
      <c r="M34" s="80"/>
      <c r="N34" s="52"/>
      <c r="O34" s="54"/>
      <c r="P34" s="54"/>
      <c r="Q34" s="56" t="s">
        <v>182</v>
      </c>
      <c r="R34" s="52">
        <v>46.767808299999999</v>
      </c>
      <c r="S34" s="52">
        <v>-71.288811699999997</v>
      </c>
      <c r="T34" s="87" t="s">
        <v>183</v>
      </c>
      <c r="U34" s="89"/>
      <c r="X34" s="1">
        <f>_xlfn.XLOOKUP('Projets Jerome_2'!$J34,'Projets Jerome'!$J$2:$J$37,'Projets Jerome'!$AC$2:$AC$37)</f>
        <v>46.767808299999999</v>
      </c>
      <c r="Y34" s="1">
        <f>_xlfn.XLOOKUP('Projets Jerome_2'!$J34,'Projets Jerome'!$J$2:$J$37,'Projets Jerome'!$AD$2:$AD$37)</f>
        <v>-71.288811699999997</v>
      </c>
      <c r="AB34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4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4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4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4" s="1" t="e" cm="1">
        <f t="array" ref="AF34">_xlfn.FILTERXML(AB34,"//distance/value")/1000</f>
        <v>#VALUE!</v>
      </c>
      <c r="AG34" s="1" t="e" cm="1">
        <f t="array" ref="AG34">_xlfn.FILTERXML(AC34,"//distance/value")/1000</f>
        <v>#VALUE!</v>
      </c>
      <c r="AH34" s="1" t="e" cm="1">
        <f t="array" ref="AH34">_xlfn.FILTERXML(AD34,"//distance/value")/1000</f>
        <v>#VALUE!</v>
      </c>
      <c r="AI34" s="1" t="e" cm="1">
        <f t="array" ref="AI34">_xlfn.FILTERXML(AE34,"//distance/value")/1000</f>
        <v>#VALUE!</v>
      </c>
      <c r="AJ34" s="1" t="e">
        <f t="shared" si="5"/>
        <v>#VALUE!</v>
      </c>
      <c r="AK34" s="19" t="e" cm="1">
        <f t="array" ref="AK34">_xlfn.FILTERXML(AB34,"//duration/value")/60/60/24</f>
        <v>#VALUE!</v>
      </c>
      <c r="AL34" s="19" t="e" cm="1">
        <f t="array" ref="AL34">_xlfn.FILTERXML(AC34,"//duration/value")/60/60/24</f>
        <v>#VALUE!</v>
      </c>
      <c r="AM34" s="19" t="e" cm="1">
        <f t="array" ref="AM34">_xlfn.FILTERXML(AD34,"//duration/value")/60/60/24</f>
        <v>#VALUE!</v>
      </c>
      <c r="AN34" s="19" t="e" cm="1">
        <f t="array" ref="AN34">_xlfn.FILTERXML(AE34,"//duration/value")/60/60/24</f>
        <v>#VALUE!</v>
      </c>
      <c r="AO34" s="3" t="e">
        <f t="shared" si="6"/>
        <v>#VALUE!</v>
      </c>
      <c r="AP34" s="3" t="e">
        <f t="shared" si="7"/>
        <v>#VALUE!</v>
      </c>
      <c r="AQ34" s="19" t="e" cm="1">
        <f t="array" ref="AQ34">_xlfn.FILTERXML(_xlfn.XLOOKUP(AJ34,$AF34:$AI34,AB34:AE34),"//duration/value")/60/60/24</f>
        <v>#VALUE!</v>
      </c>
      <c r="AS34" s="1" t="s">
        <v>472</v>
      </c>
      <c r="AT34" s="1" t="s">
        <v>473</v>
      </c>
      <c r="AU34" s="1" t="s">
        <v>474</v>
      </c>
      <c r="AV34" s="1" t="s">
        <v>475</v>
      </c>
      <c r="AW34" s="1">
        <v>0</v>
      </c>
      <c r="AX34" s="1">
        <v>246.27600000000001</v>
      </c>
      <c r="AY34" s="1">
        <v>5122.3789999999999</v>
      </c>
      <c r="AZ34" s="1">
        <v>796.02200000000005</v>
      </c>
      <c r="BA34" s="1">
        <v>0</v>
      </c>
      <c r="BB34" s="19">
        <v>0</v>
      </c>
      <c r="BC34" s="19">
        <v>0.11262731481481482</v>
      </c>
      <c r="BD34" s="19">
        <v>1.9909490740740743</v>
      </c>
      <c r="BE34" s="19">
        <v>0.31505787037037036</v>
      </c>
      <c r="BF34" s="3" t="s">
        <v>286</v>
      </c>
      <c r="BG34" s="3" t="s">
        <v>286</v>
      </c>
      <c r="BH34" s="19">
        <v>0</v>
      </c>
    </row>
    <row r="35" spans="1:60">
      <c r="A35" s="58"/>
      <c r="B35" s="59"/>
      <c r="C35" s="59" t="s">
        <v>184</v>
      </c>
      <c r="D35" s="60"/>
      <c r="E35" s="60"/>
      <c r="F35" s="59"/>
      <c r="G35" s="61"/>
      <c r="H35" s="61"/>
      <c r="I35" s="84"/>
      <c r="J35" s="61"/>
      <c r="K35" s="59"/>
      <c r="L35" s="61"/>
      <c r="M35" s="83"/>
      <c r="N35" s="59"/>
      <c r="O35" s="61"/>
      <c r="P35" s="61"/>
      <c r="Q35" s="63" t="s">
        <v>185</v>
      </c>
      <c r="R35" s="59">
        <v>45.521958400000003</v>
      </c>
      <c r="S35" s="59">
        <v>-73.613089599999995</v>
      </c>
      <c r="T35" s="90" t="s">
        <v>186</v>
      </c>
      <c r="U35" s="91"/>
      <c r="X35" s="1">
        <f>_xlfn.XLOOKUP('Projets Jerome_2'!$J35,'Projets Jerome'!$J$2:$J$37,'Projets Jerome'!$AC$2:$AC$37)</f>
        <v>46.767808299999999</v>
      </c>
      <c r="Y35" s="1">
        <f>_xlfn.XLOOKUP('Projets Jerome_2'!$J35,'Projets Jerome'!$J$2:$J$37,'Projets Jerome'!$AD$2:$AD$37)</f>
        <v>-71.288811699999997</v>
      </c>
      <c r="AB35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5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5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5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5" s="1" t="e" cm="1">
        <f t="array" ref="AF35">_xlfn.FILTERXML(AB35,"//distance/value")/1000</f>
        <v>#VALUE!</v>
      </c>
      <c r="AG35" s="1" t="e" cm="1">
        <f t="array" ref="AG35">_xlfn.FILTERXML(AC35,"//distance/value")/1000</f>
        <v>#VALUE!</v>
      </c>
      <c r="AH35" s="1" t="e" cm="1">
        <f t="array" ref="AH35">_xlfn.FILTERXML(AD35,"//distance/value")/1000</f>
        <v>#VALUE!</v>
      </c>
      <c r="AI35" s="1" t="e" cm="1">
        <f t="array" ref="AI35">_xlfn.FILTERXML(AE35,"//distance/value")/1000</f>
        <v>#VALUE!</v>
      </c>
      <c r="AJ35" s="1" t="e">
        <f t="shared" si="5"/>
        <v>#VALUE!</v>
      </c>
      <c r="AK35" s="19" t="e" cm="1">
        <f t="array" ref="AK35">_xlfn.FILTERXML(AB35,"//duration/value")/60/60/24</f>
        <v>#VALUE!</v>
      </c>
      <c r="AL35" s="19" t="e" cm="1">
        <f t="array" ref="AL35">_xlfn.FILTERXML(AC35,"//duration/value")/60/60/24</f>
        <v>#VALUE!</v>
      </c>
      <c r="AM35" s="19" t="e" cm="1">
        <f t="array" ref="AM35">_xlfn.FILTERXML(AD35,"//duration/value")/60/60/24</f>
        <v>#VALUE!</v>
      </c>
      <c r="AN35" s="19" t="e" cm="1">
        <f t="array" ref="AN35">_xlfn.FILTERXML(AE35,"//duration/value")/60/60/24</f>
        <v>#VALUE!</v>
      </c>
      <c r="AO35" s="3" t="e">
        <f t="shared" si="6"/>
        <v>#VALUE!</v>
      </c>
      <c r="AP35" s="3" t="e">
        <f t="shared" si="7"/>
        <v>#VALUE!</v>
      </c>
      <c r="AQ35" s="19" t="e" cm="1">
        <f t="array" ref="AQ35">_xlfn.FILTERXML(_xlfn.XLOOKUP(AJ35,$AF35:$AI35,AB35:AE35),"//duration/value")/60/60/24</f>
        <v>#VALUE!</v>
      </c>
      <c r="AS35" s="1" t="s">
        <v>472</v>
      </c>
      <c r="AT35" s="1" t="s">
        <v>473</v>
      </c>
      <c r="AU35" s="1" t="s">
        <v>474</v>
      </c>
      <c r="AV35" s="1" t="s">
        <v>475</v>
      </c>
      <c r="AW35" s="1">
        <v>0</v>
      </c>
      <c r="AX35" s="1">
        <v>246.27600000000001</v>
      </c>
      <c r="AY35" s="1">
        <v>5122.3789999999999</v>
      </c>
      <c r="AZ35" s="1">
        <v>796.02200000000005</v>
      </c>
      <c r="BA35" s="1">
        <v>0</v>
      </c>
      <c r="BB35" s="19">
        <v>0</v>
      </c>
      <c r="BC35" s="19">
        <v>0.11262731481481482</v>
      </c>
      <c r="BD35" s="19">
        <v>1.9909490740740743</v>
      </c>
      <c r="BE35" s="19">
        <v>0.31505787037037036</v>
      </c>
      <c r="BF35" s="3" t="s">
        <v>286</v>
      </c>
      <c r="BG35" s="3" t="s">
        <v>286</v>
      </c>
      <c r="BH35" s="19">
        <v>0</v>
      </c>
    </row>
    <row r="36" spans="1:60" ht="28.8">
      <c r="A36" s="51"/>
      <c r="B36" s="52"/>
      <c r="C36" s="52" t="s">
        <v>187</v>
      </c>
      <c r="D36" s="53"/>
      <c r="E36" s="53"/>
      <c r="F36" s="52"/>
      <c r="G36" s="54"/>
      <c r="H36" s="54"/>
      <c r="I36" s="81"/>
      <c r="J36" s="54"/>
      <c r="K36" s="52"/>
      <c r="L36" s="54"/>
      <c r="M36" s="80"/>
      <c r="N36" s="52"/>
      <c r="O36" s="54"/>
      <c r="P36" s="54"/>
      <c r="Q36" s="56" t="s">
        <v>188</v>
      </c>
      <c r="R36" s="52">
        <v>49.283854599999998</v>
      </c>
      <c r="S36" s="52">
        <v>-123.1196403</v>
      </c>
      <c r="T36" s="70" t="s">
        <v>189</v>
      </c>
      <c r="U36" s="89"/>
      <c r="X36" s="1">
        <f>_xlfn.XLOOKUP('Projets Jerome_2'!$J36,'Projets Jerome'!$J$2:$J$37,'Projets Jerome'!$AC$2:$AC$37)</f>
        <v>46.767808299999999</v>
      </c>
      <c r="Y36" s="1">
        <f>_xlfn.XLOOKUP('Projets Jerome_2'!$J36,'Projets Jerome'!$J$2:$J$37,'Projets Jerome'!$AD$2:$AD$37)</f>
        <v>-71.288811699999997</v>
      </c>
      <c r="AB36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6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6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6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6" s="1" t="e" cm="1">
        <f t="array" ref="AF36">_xlfn.FILTERXML(AB36,"//distance/value")/1000</f>
        <v>#VALUE!</v>
      </c>
      <c r="AG36" s="1" t="e" cm="1">
        <f t="array" ref="AG36">_xlfn.FILTERXML(AC36,"//distance/value")/1000</f>
        <v>#VALUE!</v>
      </c>
      <c r="AH36" s="1" t="e" cm="1">
        <f t="array" ref="AH36">_xlfn.FILTERXML(AD36,"//distance/value")/1000</f>
        <v>#VALUE!</v>
      </c>
      <c r="AI36" s="1" t="e" cm="1">
        <f t="array" ref="AI36">_xlfn.FILTERXML(AE36,"//distance/value")/1000</f>
        <v>#VALUE!</v>
      </c>
      <c r="AJ36" s="1" t="e">
        <f t="shared" si="5"/>
        <v>#VALUE!</v>
      </c>
      <c r="AK36" s="19" t="e" cm="1">
        <f t="array" ref="AK36">_xlfn.FILTERXML(AB36,"//duration/value")/60/60/24</f>
        <v>#VALUE!</v>
      </c>
      <c r="AL36" s="19" t="e" cm="1">
        <f t="array" ref="AL36">_xlfn.FILTERXML(AC36,"//duration/value")/60/60/24</f>
        <v>#VALUE!</v>
      </c>
      <c r="AM36" s="19" t="e" cm="1">
        <f t="array" ref="AM36">_xlfn.FILTERXML(AD36,"//duration/value")/60/60/24</f>
        <v>#VALUE!</v>
      </c>
      <c r="AN36" s="19" t="e" cm="1">
        <f t="array" ref="AN36">_xlfn.FILTERXML(AE36,"//duration/value")/60/60/24</f>
        <v>#VALUE!</v>
      </c>
      <c r="AO36" s="3" t="e">
        <f t="shared" si="6"/>
        <v>#VALUE!</v>
      </c>
      <c r="AP36" s="3" t="e">
        <f t="shared" si="7"/>
        <v>#VALUE!</v>
      </c>
      <c r="AQ36" s="19" t="e" cm="1">
        <f t="array" ref="AQ36">_xlfn.FILTERXML(_xlfn.XLOOKUP(AJ36,$AF36:$AI36,AB36:AE36),"//duration/value")/60/60/24</f>
        <v>#VALUE!</v>
      </c>
      <c r="AS36" s="1" t="s">
        <v>472</v>
      </c>
      <c r="AT36" s="1" t="s">
        <v>473</v>
      </c>
      <c r="AU36" s="1" t="s">
        <v>474</v>
      </c>
      <c r="AV36" s="1" t="s">
        <v>475</v>
      </c>
      <c r="AW36" s="1">
        <v>0</v>
      </c>
      <c r="AX36" s="1">
        <v>246.27600000000001</v>
      </c>
      <c r="AY36" s="1">
        <v>5122.3789999999999</v>
      </c>
      <c r="AZ36" s="1">
        <v>796.02200000000005</v>
      </c>
      <c r="BA36" s="1">
        <v>0</v>
      </c>
      <c r="BB36" s="19">
        <v>0</v>
      </c>
      <c r="BC36" s="19">
        <v>0.11262731481481482</v>
      </c>
      <c r="BD36" s="19">
        <v>1.9909490740740743</v>
      </c>
      <c r="BE36" s="19">
        <v>0.31505787037037036</v>
      </c>
      <c r="BF36" s="3" t="s">
        <v>286</v>
      </c>
      <c r="BG36" s="3" t="s">
        <v>286</v>
      </c>
      <c r="BH36" s="19">
        <v>0</v>
      </c>
    </row>
    <row r="37" spans="1:60" ht="28.8">
      <c r="A37" s="71"/>
      <c r="B37" s="20"/>
      <c r="C37" s="20" t="s">
        <v>190</v>
      </c>
      <c r="D37" s="72"/>
      <c r="E37" s="72"/>
      <c r="F37" s="20"/>
      <c r="G37" s="73"/>
      <c r="H37" s="73"/>
      <c r="I37" s="92"/>
      <c r="J37" s="73"/>
      <c r="K37" s="20"/>
      <c r="L37" s="73"/>
      <c r="M37" s="93"/>
      <c r="N37" s="20"/>
      <c r="O37" s="73"/>
      <c r="P37" s="73"/>
      <c r="Q37" s="94" t="s">
        <v>191</v>
      </c>
      <c r="R37" s="20">
        <v>43.641082500000003</v>
      </c>
      <c r="S37" s="20">
        <v>-79.378719599999997</v>
      </c>
      <c r="T37" s="75" t="s">
        <v>192</v>
      </c>
      <c r="U37" s="95"/>
      <c r="X37" s="1">
        <f>_xlfn.XLOOKUP('Projets Jerome_2'!$J37,'Projets Jerome'!$J$2:$J$37,'Projets Jerome'!$AC$2:$AC$37)</f>
        <v>46.767808299999999</v>
      </c>
      <c r="Y37" s="1">
        <f>_xlfn.XLOOKUP('Projets Jerome_2'!$J37,'Projets Jerome'!$J$2:$J$37,'Projets Jerome'!$AD$2:$AD$37)</f>
        <v>-71.288811699999997</v>
      </c>
      <c r="AB37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7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7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7" s="1" t="str">
        <f t="shared" si="4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7" s="1" t="e" cm="1">
        <f t="array" ref="AF37">_xlfn.FILTERXML(AB37,"//distance/value")/1000</f>
        <v>#VALUE!</v>
      </c>
      <c r="AG37" s="1" t="e" cm="1">
        <f t="array" ref="AG37">_xlfn.FILTERXML(AC37,"//distance/value")/1000</f>
        <v>#VALUE!</v>
      </c>
      <c r="AH37" s="1" t="e" cm="1">
        <f t="array" ref="AH37">_xlfn.FILTERXML(AD37,"//distance/value")/1000</f>
        <v>#VALUE!</v>
      </c>
      <c r="AI37" s="1" t="e" cm="1">
        <f t="array" ref="AI37">_xlfn.FILTERXML(AE37,"//distance/value")/1000</f>
        <v>#VALUE!</v>
      </c>
      <c r="AJ37" s="1" t="e">
        <f t="shared" si="5"/>
        <v>#VALUE!</v>
      </c>
      <c r="AK37" s="19" t="e" cm="1">
        <f t="array" ref="AK37">_xlfn.FILTERXML(AB37,"//duration/value")/60/60/24</f>
        <v>#VALUE!</v>
      </c>
      <c r="AL37" s="19" t="e" cm="1">
        <f t="array" ref="AL37">_xlfn.FILTERXML(AC37,"//duration/value")/60/60/24</f>
        <v>#VALUE!</v>
      </c>
      <c r="AM37" s="19" t="e" cm="1">
        <f t="array" ref="AM37">_xlfn.FILTERXML(AD37,"//duration/value")/60/60/24</f>
        <v>#VALUE!</v>
      </c>
      <c r="AN37" s="19" t="e" cm="1">
        <f t="array" ref="AN37">_xlfn.FILTERXML(AE37,"//duration/value")/60/60/24</f>
        <v>#VALUE!</v>
      </c>
      <c r="AO37" s="3" t="e">
        <f t="shared" si="6"/>
        <v>#VALUE!</v>
      </c>
      <c r="AP37" s="3" t="e">
        <f t="shared" si="7"/>
        <v>#VALUE!</v>
      </c>
      <c r="AQ37" s="19" t="e" cm="1">
        <f t="array" ref="AQ37">_xlfn.FILTERXML(_xlfn.XLOOKUP(AJ37,$AF37:$AI37,AB37:AE37),"//duration/value")/60/60/24</f>
        <v>#VALUE!</v>
      </c>
      <c r="AS37" s="1" t="s">
        <v>472</v>
      </c>
      <c r="AT37" s="1" t="s">
        <v>473</v>
      </c>
      <c r="AU37" s="1" t="s">
        <v>474</v>
      </c>
      <c r="AV37" s="1" t="s">
        <v>475</v>
      </c>
      <c r="AW37" s="1">
        <v>0</v>
      </c>
      <c r="AX37" s="1">
        <v>246.27600000000001</v>
      </c>
      <c r="AY37" s="1">
        <v>5122.3789999999999</v>
      </c>
      <c r="AZ37" s="1">
        <v>796.02200000000005</v>
      </c>
      <c r="BA37" s="1">
        <v>0</v>
      </c>
      <c r="BB37" s="19">
        <v>0</v>
      </c>
      <c r="BC37" s="19">
        <v>0.11262731481481482</v>
      </c>
      <c r="BD37" s="19">
        <v>1.9909490740740743</v>
      </c>
      <c r="BE37" s="19">
        <v>0.31505787037037036</v>
      </c>
      <c r="BF37" s="3" t="s">
        <v>286</v>
      </c>
      <c r="BG37" s="3" t="s">
        <v>286</v>
      </c>
      <c r="BH37" s="19">
        <v>0</v>
      </c>
    </row>
    <row r="38" spans="1:60">
      <c r="I38" s="18"/>
    </row>
    <row r="39" spans="1:60">
      <c r="I39" s="18"/>
      <c r="AT39" s="1" t="s">
        <v>254</v>
      </c>
    </row>
    <row r="40" spans="1:60">
      <c r="I40" s="18"/>
      <c r="AS40" s="1" t="s">
        <v>246</v>
      </c>
      <c r="AT40" s="1" t="str">
        <f>"https://maps.googleapis.com/maps/api/distancematrix/xml?destinations="&amp;"40.659569"&amp;"%2C"&amp;"-73.933783"&amp;"&amp;origins="&amp;$R34&amp;"%2C"&amp;$S34&amp;"&amp;key=AIzaSyCHth-wrbaKBruFJQMWpdpeHAtAzdbcKh4"</f>
        <v>https://maps.googleapis.com/maps/api/distancematrix/xml?destinations=40.659569%2C-73.933783&amp;origins=46.7678083%2C-71.2888117&amp;key=AIzaSyCHth-wrbaKBruFJQMWpdpeHAtAzdbcKh4</v>
      </c>
    </row>
    <row r="41" spans="1:60">
      <c r="I41" s="18"/>
      <c r="AS41" s="1" t="s">
        <v>247</v>
      </c>
      <c r="AT41" s="1" t="str">
        <f>"https://maps.googleapis.com/maps/api/distancematrix/xml?destinations="&amp;"40.659569"&amp;"%2C"&amp;"-73.933783"&amp;"&amp;origins="&amp;$R35&amp;"%2C"&amp;$S35&amp;"&amp;key=AIzaSyCHth-wrbaKBruFJQMWpdpeHAtAzdbcKh4"</f>
        <v>https://maps.googleapis.com/maps/api/distancematrix/xml?destinations=40.659569%2C-73.933783&amp;origins=45.5219584%2C-73.6130896&amp;key=AIzaSyCHth-wrbaKBruFJQMWpdpeHAtAzdbcKh4</v>
      </c>
    </row>
    <row r="42" spans="1:60">
      <c r="I42" s="18"/>
      <c r="AS42" s="1" t="s">
        <v>248</v>
      </c>
      <c r="AT42" s="1" t="str">
        <f>"https://maps.googleapis.com/maps/api/distancematrix/xml?destinations="&amp;"40.659569"&amp;"%2C"&amp;"-73.933783"&amp;"&amp;origins="&amp;$R36&amp;"%2C"&amp;$S36&amp;"&amp;key=AIzaSyCHth-wrbaKBruFJQMWpdpeHAtAzdbcKh4"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43" spans="1:60">
      <c r="I43" s="18"/>
      <c r="AS43" s="1" t="s">
        <v>249</v>
      </c>
      <c r="AT43" s="1" t="str">
        <f>"https://maps.googleapis.com/maps/api/distancematrix/xml?destinations="&amp;"40.659569"&amp;"%2C"&amp;"-73.933783"&amp;"&amp;origins="&amp;$R37&amp;"%2C"&amp;$S37&amp;"&amp;key=AIzaSyCHth-wrbaKBruFJQMWpdpeHAtAzdbcKh4"</f>
        <v>https://maps.googleapis.com/maps/api/distancematrix/xml?destinations=40.659569%2C-73.933783&amp;origins=43.6410825%2C-79.3787196&amp;key=AIzaSyCHth-wrbaKBruFJQMWpdpeHAtAzdbcKh4</v>
      </c>
    </row>
    <row r="44" spans="1:60">
      <c r="I44" s="18"/>
    </row>
    <row r="45" spans="1:60">
      <c r="I45" s="18"/>
    </row>
    <row r="46" spans="1:60">
      <c r="I46" s="18"/>
      <c r="AS46" s="1" t="s">
        <v>246</v>
      </c>
      <c r="AT46" s="1" t="s">
        <v>255</v>
      </c>
    </row>
    <row r="47" spans="1:60">
      <c r="I47" s="18"/>
      <c r="AS47" s="1" t="s">
        <v>247</v>
      </c>
      <c r="AT47" s="1" t="s">
        <v>256</v>
      </c>
    </row>
    <row r="48" spans="1:60">
      <c r="AS48" s="1" t="s">
        <v>248</v>
      </c>
      <c r="AT48" s="1" t="s">
        <v>257</v>
      </c>
    </row>
    <row r="49" spans="45:46">
      <c r="AS49" s="1" t="s">
        <v>249</v>
      </c>
      <c r="AT49" s="1" t="s">
        <v>258</v>
      </c>
    </row>
    <row r="51" spans="45:46">
      <c r="AS51" s="1" t="s">
        <v>246</v>
      </c>
      <c r="AT51" s="1" t="s">
        <v>255</v>
      </c>
    </row>
    <row r="52" spans="45:46">
      <c r="AS52" s="1" t="s">
        <v>247</v>
      </c>
      <c r="AT52" s="1" t="s">
        <v>256</v>
      </c>
    </row>
    <row r="53" spans="45:46">
      <c r="AS53" s="1" t="s">
        <v>248</v>
      </c>
      <c r="AT53" s="1" t="s">
        <v>257</v>
      </c>
    </row>
    <row r="54" spans="45:46">
      <c r="AS54" s="1" t="s">
        <v>249</v>
      </c>
      <c r="AT54" s="1" t="s">
        <v>258</v>
      </c>
    </row>
    <row r="56" spans="45:46">
      <c r="AS56" s="1" t="s">
        <v>246</v>
      </c>
      <c r="AT56" s="1" t="str">
        <f>"https://maps.googleapis.com/maps/api/distancematrix/xml?destinations="&amp;"40.659569"&amp;"%2C"&amp;"-73.933783"&amp;"&amp;origins=46.7677269%2C-71.2887151&amp;key=AIzaSyCHth-wrbaKBruFJQMWpdpeHAtAzdbcKh4"</f>
        <v>https://maps.googleapis.com/maps/api/distancematrix/xml?destinations=40.659569%2C-73.933783&amp;origins=46.7677269%2C-71.2887151&amp;key=AIzaSyCHth-wrbaKBruFJQMWpdpeHAtAzdbcKh4</v>
      </c>
    </row>
    <row r="57" spans="45:46">
      <c r="AS57" s="1" t="s">
        <v>247</v>
      </c>
      <c r="AT57" s="1" t="str">
        <f>"https://maps.googleapis.com/maps/api/distancematrix/xml?destinations="&amp;"40.659569"&amp;"%2C"&amp;"-73.933783"&amp;"&amp;origins=45.52193%2C-73.6130697&amp;key=AIzaSyCHth-wrbaKBruFJQMWpdpeHAtAzdbcKh4"</f>
        <v>https://maps.googleapis.com/maps/api/distancematrix/xml?destinations=40.659569%2C-73.933783&amp;origins=45.52193%2C-73.6130697&amp;key=AIzaSyCHth-wrbaKBruFJQMWpdpeHAtAzdbcKh4</v>
      </c>
    </row>
    <row r="58" spans="45:46">
      <c r="AS58" s="1" t="s">
        <v>248</v>
      </c>
      <c r="AT58" s="1" t="str">
        <f>"https://maps.googleapis.com/maps/api/distancematrix/xml?destinations="&amp;"40.659569"&amp;"%2C"&amp;"-73.933783"&amp;"&amp;origins=49.2838546%2C-123.1196403&amp;key=AIzaSyCHth-wrbaKBruFJQMWpdpeHAtAzdbcKh4"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59" spans="45:46">
      <c r="AS59" s="1" t="s">
        <v>249</v>
      </c>
      <c r="AT59" s="1" t="str">
        <f>"https://maps.googleapis.com/maps/api/distancematrix/xml?destinations="&amp;"40.659569"&amp;"%2C"&amp;"-73.933783"&amp;"&amp;origins=43.6410825%2C-79.3787196&amp;key=AIzaSyCHth-wrbaKBruFJQMWpdpeHAtAzdbcKh4"</f>
        <v>https://maps.googleapis.com/maps/api/distancematrix/xml?destinations=40.659569%2C-73.933783&amp;origins=43.6410825%2C-79.3787196&amp;key=AIzaSyCHth-wrbaKBruFJQMWpdpeHAtAzdbcKh4</v>
      </c>
    </row>
  </sheetData>
  <phoneticPr fontId="18" type="noConversion"/>
  <conditionalFormatting sqref="AO2:AP37 BF2:BG37">
    <cfRule type="cellIs" dxfId="7" priority="3" operator="equal">
      <formula>"Montreal"</formula>
    </cfRule>
  </conditionalFormatting>
  <conditionalFormatting sqref="AR2:AR37">
    <cfRule type="cellIs" dxfId="6" priority="2" operator="equal">
      <formula>"Montreal"</formula>
    </cfRule>
  </conditionalFormatting>
  <hyperlinks>
    <hyperlink ref="Q9" r:id="rId1" display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xr:uid="{93B46A03-FFA0-40E3-9EBF-C76D5A98599E}"/>
    <hyperlink ref="Q4" r:id="rId2" xr:uid="{D153A2DC-8016-4D09-BE63-854B3D6E0255}"/>
    <hyperlink ref="Q21" r:id="rId3" xr:uid="{768C7B79-0EB2-4858-9F0E-E6EF385437A7}"/>
    <hyperlink ref="Q7" r:id="rId4" xr:uid="{03ADF0D1-6B89-4057-B8E2-56D6CB3561B1}"/>
    <hyperlink ref="Q10" r:id="rId5" xr:uid="{2BE23043-4C50-4DDF-85C9-D44B94FF3D8A}"/>
    <hyperlink ref="Q11" r:id="rId6" xr:uid="{2121BD46-AA48-4DA1-A87B-0438FEC2A56F}"/>
    <hyperlink ref="Q5" r:id="rId7" display="https://www.google.fr/maps/place/Les+Entreprises+Tzanet/@45.563041,-73.7008035,13z/data=!4m9!1m2!2m1!1stzanet!3m5!1s0x4cc918f3f22a80a9:0xc62c2032f37672a4!8m2!3d45.5332363!4d-73.6628473!15sCgZ0emFuZXQiA4gBAVoIIgZ0emFuZXSSARRraXRjaGVuX3N1cHBseV9zdG9yZeABAA!5m1!1e1?hl=fr" xr:uid="{15786409-8DD6-47C4-99D0-3DB8B7AB529A}"/>
    <hyperlink ref="Q20" r:id="rId8" xr:uid="{9514C42F-51DC-42BF-B102-917FA23D3603}"/>
    <hyperlink ref="Q15" r:id="rId9" xr:uid="{935D8167-972F-4296-9B4B-645B09FF44B9}"/>
    <hyperlink ref="Q6" r:id="rId10" display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xr:uid="{AAC79657-2CAC-48D6-A596-E0662D31DD52}"/>
    <hyperlink ref="Q34" r:id="rId11" xr:uid="{5A2AF7A8-7C11-4C04-BCF7-BD1FE8E80AC0}"/>
    <hyperlink ref="Q35" r:id="rId12" xr:uid="{62A0B26E-6718-4378-B8A4-ED207EB1F45C}"/>
    <hyperlink ref="Q36" r:id="rId13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FC536304-8974-4E38-82C8-7AE5006A8425}"/>
    <hyperlink ref="Q37" r:id="rId14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375E5D96-8419-454C-8586-147FD112299B}"/>
    <hyperlink ref="Q3" r:id="rId15" display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" xr:uid="{C5730619-95F6-483D-BA98-3B53273CE82F}"/>
    <hyperlink ref="Q2" r:id="rId16" display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" xr:uid="{F42D57C1-2F77-4012-B684-5767B6ABFA4D}"/>
    <hyperlink ref="Q8" r:id="rId17" xr:uid="{4F3A9892-94DA-42C3-98E5-D91FFC5DC6FD}"/>
    <hyperlink ref="Q16" r:id="rId18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599FE63E-67BB-4EBC-AA26-356950BF215B}"/>
    <hyperlink ref="Q17" r:id="rId19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CC4AC24-5700-4386-9FB0-463850A358C9}"/>
    <hyperlink ref="Q18" r:id="rId20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5F7013A-355A-4104-9589-0AA6DAAEA453}"/>
    <hyperlink ref="Q14" r:id="rId21" display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" xr:uid="{211A9A14-2C55-4842-B2EF-0B4947A32C0B}"/>
    <hyperlink ref="Q12" r:id="rId22" xr:uid="{B22308BF-5E9B-4324-B8BD-FDD33A26EED3}"/>
    <hyperlink ref="Q13" r:id="rId23" display="https://www.google.fr/maps/place/LOVATO+Electric/@37.3473706,-76.2287809,7z/data=!4m5!3m4!1s0x0:0x2d8afaab31ba084e!8m2!3d36.7918965!4d-76.2460442!5m1!1e1?hl=fr" xr:uid="{2B47C1D7-09F1-478B-99BF-84BB577B8313}"/>
    <hyperlink ref="U22" r:id="rId24" xr:uid="{A56B0661-D53D-4C6B-B6A3-B333F7E050DD}"/>
    <hyperlink ref="U21" r:id="rId25" xr:uid="{674B2958-9142-4247-93D9-2B199DEBCD81}"/>
    <hyperlink ref="U10" r:id="rId26" xr:uid="{63252B0E-968D-4903-85E9-AE26C020D1C7}"/>
    <hyperlink ref="U6" r:id="rId27" xr:uid="{15C9796E-B70B-477A-8C97-57BA71FB77B7}"/>
    <hyperlink ref="U15" r:id="rId28" xr:uid="{4A619612-2B71-498A-ABCF-8C99B29DD011}"/>
    <hyperlink ref="U9" r:id="rId29" xr:uid="{8144DB44-4A3D-4EE9-BC66-DCF6985C1389}"/>
    <hyperlink ref="U7" r:id="rId30" xr:uid="{0F3CAF0E-D472-4CFF-A59E-36F93C514F31}"/>
    <hyperlink ref="U8" r:id="rId31" xr:uid="{A9BE4C8D-9B3F-4B59-81B1-B27BB5B0101B}"/>
    <hyperlink ref="U2" r:id="rId32" xr:uid="{E97220D9-0FDA-435A-A97E-1C814244BA51}"/>
    <hyperlink ref="U3" r:id="rId33" xr:uid="{4C447D64-4252-46FD-8DEB-664F14891728}"/>
    <hyperlink ref="U18" r:id="rId34" xr:uid="{4F2026DB-7B33-4E1B-9156-D271E6CC2001}"/>
    <hyperlink ref="U16" r:id="rId35" xr:uid="{6439A4DC-A6D4-4F69-A269-9BCAE60DCB0C}"/>
    <hyperlink ref="U17" r:id="rId36" xr:uid="{C276DADC-3515-44F8-9906-F7C0458497BC}"/>
    <hyperlink ref="U11" r:id="rId37" xr:uid="{F8A58757-361C-487F-A7FE-BC99C9F056AB}"/>
    <hyperlink ref="U19" r:id="rId38" xr:uid="{A4A9CC2E-7D8C-4B19-A473-DA652DA2A3F2}"/>
    <hyperlink ref="U13" r:id="rId39" xr:uid="{1C19E2B7-802C-4A23-86A7-B5490C4D974D}"/>
    <hyperlink ref="U14" r:id="rId40" xr:uid="{BD8F9356-6F9D-49FB-9260-862D66144BEE}"/>
    <hyperlink ref="U4" r:id="rId41" xr:uid="{5F214BBD-354C-47D4-90A4-B25C3A2CBD64}"/>
    <hyperlink ref="U5" r:id="rId42" xr:uid="{396406FC-0BA6-4D94-93AD-0D5ADEDBB037}"/>
    <hyperlink ref="U12" r:id="rId43" xr:uid="{113F999D-ACC9-4AB6-A6AB-8975BCEC01D2}"/>
    <hyperlink ref="U20" r:id="rId44" xr:uid="{3EEE83CF-B9B5-40BB-8F69-0239421DABA2}"/>
    <hyperlink ref="U23" r:id="rId45" xr:uid="{FAEF13DB-80BF-43C9-A27C-3642ABF353E4}"/>
    <hyperlink ref="Q28" r:id="rId46" display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xr:uid="{5CFCE33D-1274-488D-B2B4-91A6484A95CF}"/>
    <hyperlink ref="Q29" r:id="rId47" display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xr:uid="{2CB055E2-24BD-474C-896E-336CE99D5C57}"/>
    <hyperlink ref="U27" r:id="rId48" xr:uid="{CCF73201-6968-4468-B4D8-E5912DDAD5A2}"/>
    <hyperlink ref="Q25" r:id="rId49" display="https://www.google.fr/maps/place/Eclipse+Automation/@43.4101677,-80.3161492,17z/data=!4m13!1m7!3m6!1s0x882b886f8982a0cf:0xcccd96ce1e4e4160!2s55+Thompson+Dr,+Cambridge,+ON+N1T+2E4!3b1!8m2!3d43.4064259!4d-80.2896422!3m4!1s0x0:0xce04b5739fe00d09!8m2!3d43.410176!4d-80.3139658!5m1!1e1?hl=fr" xr:uid="{14F4D643-0133-49D8-A293-AA2C9A3913B1}"/>
    <hyperlink ref="U25" r:id="rId50" xr:uid="{0C82AE40-EAB5-42D9-A298-70C907307D37}"/>
    <hyperlink ref="U26" r:id="rId51" xr:uid="{C511E01A-617E-49DE-AA57-246A2EFBE8F9}"/>
    <hyperlink ref="U24" r:id="rId52" xr:uid="{F13A2F6E-D71E-49BD-BCE5-B6961B89E4D7}"/>
  </hyperlinks>
  <pageMargins left="0.7" right="0.7" top="0.75" bottom="0.75" header="0.3" footer="0.3"/>
  <pageSetup orientation="portrait"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E44F-1C35-49FF-AFD3-E28EE8F3D2EA}">
  <dimension ref="A1:BH59"/>
  <sheetViews>
    <sheetView tabSelected="1" zoomScale="73" zoomScaleNormal="85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I4" sqref="I4"/>
    </sheetView>
  </sheetViews>
  <sheetFormatPr defaultColWidth="8.88671875" defaultRowHeight="14.4" outlineLevelCol="1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3" customWidth="1" outlineLevel="1"/>
    <col min="8" max="8" width="11" style="3" customWidth="1" outlineLevel="1"/>
    <col min="9" max="9" width="15" style="3" customWidth="1" outlineLevel="1"/>
    <col min="10" max="10" width="21.6640625" style="3" bestFit="1" customWidth="1" outlineLevel="1"/>
    <col min="11" max="11" width="35.6640625" style="1" customWidth="1" outlineLevel="1"/>
    <col min="12" max="12" width="16.88671875" style="3" customWidth="1" outlineLevel="1"/>
    <col min="13" max="13" width="19" style="1" customWidth="1" outlineLevel="1"/>
    <col min="14" max="14" width="17.88671875" style="1" customWidth="1" outlineLevel="1"/>
    <col min="15" max="15" width="17.6640625" style="3" bestFit="1" customWidth="1" outlineLevel="1"/>
    <col min="16" max="16" width="15.44140625" style="3" bestFit="1" customWidth="1" outlineLevel="1"/>
    <col min="17" max="17" width="53.5546875" style="1" customWidth="1" outlineLevel="1"/>
    <col min="18" max="18" width="12.6640625" style="1" bestFit="1" customWidth="1" outlineLevel="1"/>
    <col min="19" max="19" width="13" style="1" customWidth="1" outlineLevel="1"/>
    <col min="20" max="20" width="30.6640625" style="1" customWidth="1" outlineLevel="1"/>
    <col min="21" max="27" width="8.88671875" style="1"/>
    <col min="28" max="28" width="18.21875" style="1" customWidth="1"/>
    <col min="29" max="30" width="8.88671875" style="1"/>
    <col min="31" max="31" width="22.6640625" style="1" customWidth="1"/>
    <col min="32" max="35" width="9.88671875" style="1" customWidth="1"/>
    <col min="36" max="36" width="8.88671875" style="1"/>
    <col min="37" max="40" width="12.33203125" style="1" bestFit="1" customWidth="1"/>
    <col min="41" max="41" width="10" style="3" bestFit="1" customWidth="1"/>
    <col min="42" max="42" width="10" style="3" customWidth="1"/>
    <col min="43" max="43" width="13.33203125" style="1" bestFit="1" customWidth="1"/>
    <col min="44" max="48" width="8.88671875" style="1"/>
    <col min="49" max="49" width="11.5546875" style="1" customWidth="1"/>
    <col min="50" max="50" width="10.6640625" style="1" bestFit="1" customWidth="1"/>
    <col min="51" max="51" width="11.33203125" style="1" bestFit="1" customWidth="1"/>
    <col min="52" max="52" width="11.5546875" style="1" customWidth="1"/>
    <col min="53" max="53" width="11.33203125" style="1" bestFit="1" customWidth="1"/>
    <col min="54" max="57" width="12.33203125" style="1" bestFit="1" customWidth="1"/>
    <col min="58" max="58" width="11.109375" style="1" bestFit="1" customWidth="1"/>
    <col min="59" max="59" width="11.44140625" style="1" bestFit="1" customWidth="1"/>
    <col min="60" max="60" width="12.33203125" style="1" bestFit="1" customWidth="1"/>
    <col min="61" max="16384" width="8.88671875" style="1"/>
  </cols>
  <sheetData>
    <row r="1" spans="1:60" s="2" customFormat="1" ht="43.8" thickBot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10</v>
      </c>
      <c r="J1" s="78" t="s">
        <v>11</v>
      </c>
      <c r="K1" s="78" t="s">
        <v>12</v>
      </c>
      <c r="L1" s="78" t="s">
        <v>13</v>
      </c>
      <c r="M1" s="78" t="s">
        <v>14</v>
      </c>
      <c r="N1" s="78" t="s">
        <v>15</v>
      </c>
      <c r="O1" s="78" t="s">
        <v>321</v>
      </c>
      <c r="P1" s="78" t="s">
        <v>9</v>
      </c>
      <c r="Q1" s="78" t="s">
        <v>16</v>
      </c>
      <c r="R1" s="78" t="s">
        <v>17</v>
      </c>
      <c r="S1" s="78" t="s">
        <v>18</v>
      </c>
      <c r="T1" s="78" t="s">
        <v>19</v>
      </c>
      <c r="U1" s="79" t="s">
        <v>20</v>
      </c>
      <c r="X1" s="2" t="s">
        <v>238</v>
      </c>
      <c r="Y1" s="2" t="s">
        <v>239</v>
      </c>
      <c r="AB1" s="15" t="s">
        <v>250</v>
      </c>
      <c r="AC1" s="16" t="s">
        <v>251</v>
      </c>
      <c r="AD1" s="16" t="s">
        <v>252</v>
      </c>
      <c r="AE1" s="17" t="s">
        <v>253</v>
      </c>
      <c r="AF1" s="15" t="s">
        <v>241</v>
      </c>
      <c r="AG1" s="16" t="s">
        <v>263</v>
      </c>
      <c r="AH1" s="16" t="s">
        <v>240</v>
      </c>
      <c r="AI1" s="17" t="s">
        <v>242</v>
      </c>
      <c r="AJ1" s="2" t="s">
        <v>243</v>
      </c>
      <c r="AK1" s="15" t="s">
        <v>259</v>
      </c>
      <c r="AL1" s="16" t="s">
        <v>260</v>
      </c>
      <c r="AM1" s="16" t="s">
        <v>261</v>
      </c>
      <c r="AN1" s="17" t="s">
        <v>262</v>
      </c>
      <c r="AO1" s="2" t="s">
        <v>244</v>
      </c>
      <c r="AP1" s="2" t="s">
        <v>264</v>
      </c>
      <c r="AQ1" s="2" t="s">
        <v>245</v>
      </c>
      <c r="AS1" s="15" t="s">
        <v>250</v>
      </c>
      <c r="AT1" s="16" t="s">
        <v>251</v>
      </c>
      <c r="AU1" s="16" t="s">
        <v>252</v>
      </c>
      <c r="AV1" s="17" t="s">
        <v>253</v>
      </c>
      <c r="AW1" s="15" t="s">
        <v>241</v>
      </c>
      <c r="AX1" s="16" t="s">
        <v>263</v>
      </c>
      <c r="AY1" s="16" t="s">
        <v>240</v>
      </c>
      <c r="AZ1" s="17" t="s">
        <v>242</v>
      </c>
      <c r="BA1" s="2" t="s">
        <v>243</v>
      </c>
      <c r="BB1" s="15" t="s">
        <v>259</v>
      </c>
      <c r="BC1" s="16" t="s">
        <v>260</v>
      </c>
      <c r="BD1" s="16" t="s">
        <v>261</v>
      </c>
      <c r="BE1" s="17" t="s">
        <v>262</v>
      </c>
      <c r="BF1" s="2" t="s">
        <v>244</v>
      </c>
      <c r="BG1" s="2" t="s">
        <v>264</v>
      </c>
      <c r="BH1" s="2" t="s">
        <v>245</v>
      </c>
    </row>
    <row r="2" spans="1:60">
      <c r="A2" s="51" t="s">
        <v>42</v>
      </c>
      <c r="B2" s="52" t="s">
        <v>322</v>
      </c>
      <c r="C2" s="52" t="s">
        <v>324</v>
      </c>
      <c r="D2" s="53">
        <v>44781</v>
      </c>
      <c r="E2" s="53">
        <v>45289</v>
      </c>
      <c r="F2" s="52" t="s">
        <v>36</v>
      </c>
      <c r="G2" s="54">
        <v>1463</v>
      </c>
      <c r="H2" s="54">
        <v>168</v>
      </c>
      <c r="I2" s="81">
        <f>$G2*$O2*1.15</f>
        <v>294428.75</v>
      </c>
      <c r="J2" s="55" t="s">
        <v>326</v>
      </c>
      <c r="K2" s="52" t="s">
        <v>328</v>
      </c>
      <c r="L2" s="54">
        <v>29685228</v>
      </c>
      <c r="M2" s="80">
        <v>44781</v>
      </c>
      <c r="N2" s="52" t="s">
        <v>30</v>
      </c>
      <c r="O2" s="54">
        <v>175</v>
      </c>
      <c r="P2" s="54" t="s">
        <v>27</v>
      </c>
      <c r="Q2" s="56" t="s">
        <v>371</v>
      </c>
      <c r="R2" s="52">
        <v>45.592141699999999</v>
      </c>
      <c r="S2" s="52">
        <v>-73.698460400000002</v>
      </c>
      <c r="T2" s="57" t="s">
        <v>370</v>
      </c>
      <c r="U2" s="42" t="s">
        <v>369</v>
      </c>
      <c r="X2" s="1">
        <f>_xlfn.XLOOKUP('Projets Jerome_2_test'!$J24,'Projets Jerome'!$J$2:$J$37,'Projets Jerome'!$AC$2:$AC$37)</f>
        <v>45.441891400000003</v>
      </c>
      <c r="Y2" s="1">
        <f>_xlfn.XLOOKUP('Projets Jerome_2_test'!$J24,'Projets Jerome'!$J$2:$J$37,'Projets Jerome'!$AD$2:$AD$37)</f>
        <v>-73.692530700000006</v>
      </c>
      <c r="AB2" s="1" t="str">
        <f>_xlfn.WEBSERVICE("https://maps.googleapis.com/maps/api/distancematrix/xml?destinations="&amp;$X2&amp;"%2C"&amp;$Y2&amp;"&amp;origins=46.7677269%2C-71.2887151&amp;key=AIzaSyCHth-wrbaKBruFJQMWpdpeHAtAzdbcKh4")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" s="1" t="str">
        <f>_xlfn.WEBSERVICE("https://maps.googleapis.com/maps/api/distancematrix/xml?destinations="&amp;$X2&amp;"%2C"&amp;$Y2&amp;"&amp;origins=45.5219584%2C-73.6130896&amp;key=AIzaSyCHth-wrbaKBruFJQMWpdpeHAtAzdbcKh4")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" s="1" t="str">
        <f>_xlfn.WEBSERVICE("https://maps.googleapis.com/maps/api/distancematrix/xml?destinations="&amp;$X2&amp;"%2C"&amp;$Y2&amp;"&amp;origins=49.2838546%2C-123.1196403&amp;key=AIzaSyCHth-wrbaKBruFJQMWpdpeHAtAzdbcKh4")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" s="1" t="str">
        <f>_xlfn.WEBSERVICE("https://maps.googleapis.com/maps/api/distancematrix/xml?destinations="&amp;$X2&amp;"%2C"&amp;$Y2&amp;"&amp;origins=43.6410825%2C-79.3787196&amp;key=AIzaSyCHth-wrbaKBruFJQMWpdpeHAtAzdbcKh4")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" s="1" t="e" cm="1">
        <f t="array" ref="AF2">_xlfn.FILTERXML(AB2,"//distance/value")/1000</f>
        <v>#VALUE!</v>
      </c>
      <c r="AG2" s="1" t="e" cm="1">
        <f t="array" ref="AG2">_xlfn.FILTERXML(AC2,"//distance/value")/1000</f>
        <v>#VALUE!</v>
      </c>
      <c r="AH2" s="1" t="e" cm="1">
        <f t="array" ref="AH2">_xlfn.FILTERXML(AD2,"//distance/value")/1000</f>
        <v>#VALUE!</v>
      </c>
      <c r="AI2" s="1" t="e" cm="1">
        <f t="array" ref="AI2">_xlfn.FILTERXML(AE2,"//distance/value")/1000</f>
        <v>#VALUE!</v>
      </c>
      <c r="AJ2" s="1" t="e">
        <f>MIN(AF2:AI2)</f>
        <v>#VALUE!</v>
      </c>
      <c r="AK2" s="19" t="e" cm="1">
        <f t="array" ref="AK2">_xlfn.FILTERXML(AB2,"//duration/value")/60/60/24</f>
        <v>#VALUE!</v>
      </c>
      <c r="AL2" s="19" t="e" cm="1">
        <f t="array" ref="AL2">_xlfn.FILTERXML(AC2,"//duration/value")/60/60/24</f>
        <v>#VALUE!</v>
      </c>
      <c r="AM2" s="19" t="e" cm="1">
        <f t="array" ref="AM2">_xlfn.FILTERXML(AD2,"//duration/value")/60/60/24</f>
        <v>#VALUE!</v>
      </c>
      <c r="AN2" s="19" t="e" cm="1">
        <f t="array" ref="AN2">_xlfn.FILTERXML(AE2,"//duration/value")/60/60/24</f>
        <v>#VALUE!</v>
      </c>
      <c r="AO2" s="3" t="e">
        <f>REPLACE(_xlfn.XLOOKUP(AJ2,$AF2:$AI2,$AF$1:$AI$1), 1, 9, "")</f>
        <v>#VALUE!</v>
      </c>
      <c r="AP2" s="3" t="e">
        <f>REPLACE(_xlfn.XLOOKUP(AQ2,$AK2:$AN2,$AF$1:$AI$1), 1, 9, "")</f>
        <v>#VALUE!</v>
      </c>
      <c r="AQ2" s="19" t="e" cm="1">
        <f t="array" ref="AQ2">_xlfn.FILTERXML(_xlfn.XLOOKUP(AJ2,$AF2:$AI2,AB2:AE2),"//duration/value")/60/60/24</f>
        <v>#VALUE!</v>
      </c>
      <c r="AS2" s="1" t="s">
        <v>444</v>
      </c>
      <c r="AT2" s="1" t="s">
        <v>445</v>
      </c>
      <c r="AU2" s="1" t="s">
        <v>446</v>
      </c>
      <c r="AV2" s="1" t="s">
        <v>447</v>
      </c>
      <c r="AW2" s="1">
        <v>254.42</v>
      </c>
      <c r="AX2" s="1">
        <v>22.018999999999998</v>
      </c>
      <c r="AY2" s="1">
        <v>4879.768</v>
      </c>
      <c r="AZ2" s="1">
        <v>553.41099999999994</v>
      </c>
      <c r="BA2" s="1">
        <v>22.018999999999998</v>
      </c>
      <c r="BB2" s="19">
        <v>0.1064699074074074</v>
      </c>
      <c r="BC2" s="19">
        <v>1.7951388888888888E-2</v>
      </c>
      <c r="BD2" s="19">
        <v>1.8956712962962963</v>
      </c>
      <c r="BE2" s="19">
        <v>0.2197800925925926</v>
      </c>
      <c r="BF2" s="3" t="s">
        <v>281</v>
      </c>
      <c r="BG2" s="3" t="s">
        <v>281</v>
      </c>
      <c r="BH2" s="19">
        <v>1.7951388888888888E-2</v>
      </c>
    </row>
    <row r="3" spans="1:60">
      <c r="A3" s="58" t="s">
        <v>102</v>
      </c>
      <c r="B3" s="59" t="s">
        <v>488</v>
      </c>
      <c r="C3" s="59" t="s">
        <v>480</v>
      </c>
      <c r="D3" s="60">
        <v>44996</v>
      </c>
      <c r="E3" s="60">
        <v>45495</v>
      </c>
      <c r="F3" s="59" t="s">
        <v>26</v>
      </c>
      <c r="G3" s="61">
        <v>991</v>
      </c>
      <c r="H3" s="61">
        <v>40.25</v>
      </c>
      <c r="I3" s="84">
        <f>$G3*$O3*1.2</f>
        <v>208110</v>
      </c>
      <c r="J3" s="62" t="s">
        <v>481</v>
      </c>
      <c r="K3" s="59" t="s">
        <v>482</v>
      </c>
      <c r="L3" s="61">
        <v>29685489</v>
      </c>
      <c r="M3" s="83">
        <v>44996</v>
      </c>
      <c r="N3" s="59" t="s">
        <v>483</v>
      </c>
      <c r="O3" s="61">
        <v>175</v>
      </c>
      <c r="P3" s="61" t="s">
        <v>27</v>
      </c>
      <c r="Q3" s="63" t="s">
        <v>490</v>
      </c>
      <c r="R3" s="59">
        <v>45.583457699999997</v>
      </c>
      <c r="S3" s="59">
        <v>-73.460523800000004</v>
      </c>
      <c r="T3" s="59" t="s">
        <v>492</v>
      </c>
      <c r="U3" s="85" t="s">
        <v>491</v>
      </c>
      <c r="X3" s="1">
        <f>_xlfn.XLOOKUP('Projets Jerome_2_test'!$J31,'Projets Jerome'!$J$2:$J$37,'Projets Jerome'!$AC$2:$AC$37)</f>
        <v>45.5349559</v>
      </c>
      <c r="Y3" s="1">
        <f>_xlfn.XLOOKUP('Projets Jerome_2_test'!$J31,'Projets Jerome'!$J$2:$J$37,'Projets Jerome'!$AD$2:$AD$37)</f>
        <v>-73.641190300000005</v>
      </c>
      <c r="AB3" s="1" t="str">
        <f>_xlfn.WEBSERVICE("https://maps.googleapis.com/maps/api/distancematrix/xml?destinations="&amp;$X3&amp;"%2C"&amp;$Y3&amp;"&amp;origins=46.7677269%2C-71.2887151&amp;key=AIzaSyCHth-wrbaKBruFJQMWpdpeHAtAzdbcKh4")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" s="1" t="str">
        <f>_xlfn.WEBSERVICE("https://maps.googleapis.com/maps/api/distancematrix/xml?destinations="&amp;$X3&amp;"%2C"&amp;$Y3&amp;"&amp;origins=45.5219584%2C-73.6130896&amp;key=AIzaSyCHth-wrbaKBruFJQMWpdpeHAtAzdbcKh4")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" s="1" t="str">
        <f>_xlfn.WEBSERVICE("https://maps.googleapis.com/maps/api/distancematrix/xml?destinations="&amp;$X3&amp;"%2C"&amp;$Y3&amp;"&amp;origins=49.2838546%2C-123.1196403&amp;key=AIzaSyCHth-wrbaKBruFJQMWpdpeHAtAzdbcKh4")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" s="1" t="str">
        <f>_xlfn.WEBSERVICE("https://maps.googleapis.com/maps/api/distancematrix/xml?destinations="&amp;$X3&amp;"%2C"&amp;$Y3&amp;"&amp;origins=43.6410825%2C-79.3787196&amp;key=AIzaSyCHth-wrbaKBruFJQMWpdpeHAtAzdbcKh4")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" s="1" t="e" cm="1">
        <f t="array" ref="AF3">_xlfn.FILTERXML(AB3,"//distance/value")/1000</f>
        <v>#VALUE!</v>
      </c>
      <c r="AG3" s="1" t="e" cm="1">
        <f t="array" ref="AG3">_xlfn.FILTERXML(AC3,"//distance/value")/1000</f>
        <v>#VALUE!</v>
      </c>
      <c r="AH3" s="1" t="e" cm="1">
        <f t="array" ref="AH3">_xlfn.FILTERXML(AD3,"//distance/value")/1000</f>
        <v>#VALUE!</v>
      </c>
      <c r="AI3" s="1" t="e" cm="1">
        <f t="array" ref="AI3">_xlfn.FILTERXML(AE3,"//distance/value")/1000</f>
        <v>#VALUE!</v>
      </c>
      <c r="AJ3" s="1" t="e">
        <f>MIN(AF3:AI3)</f>
        <v>#VALUE!</v>
      </c>
      <c r="AK3" s="19" t="e" cm="1">
        <f t="array" ref="AK3">_xlfn.FILTERXML(AB3,"//duration/value")/60/60/24</f>
        <v>#VALUE!</v>
      </c>
      <c r="AL3" s="19" t="e" cm="1">
        <f t="array" ref="AL3">_xlfn.FILTERXML(AC3,"//duration/value")/60/60/24</f>
        <v>#VALUE!</v>
      </c>
      <c r="AM3" s="19" t="e" cm="1">
        <f t="array" ref="AM3">_xlfn.FILTERXML(AD3,"//duration/value")/60/60/24</f>
        <v>#VALUE!</v>
      </c>
      <c r="AN3" s="19" t="e" cm="1">
        <f t="array" ref="AN3">_xlfn.FILTERXML(AE3,"//duration/value")/60/60/24</f>
        <v>#VALUE!</v>
      </c>
      <c r="AO3" s="3" t="e">
        <f>REPLACE(_xlfn.XLOOKUP(AJ3,$AF3:$AI3,$AF$1:$AI$1), 1, 9, "")</f>
        <v>#VALUE!</v>
      </c>
      <c r="AP3" s="3" t="e">
        <f>REPLACE(_xlfn.XLOOKUP(AQ3,$AK3:$AN3,$AF$1:$AI$1), 1, 9, "")</f>
        <v>#VALUE!</v>
      </c>
      <c r="AQ3" s="19" t="e" cm="1">
        <f t="array" ref="AQ3">_xlfn.FILTERXML(_xlfn.XLOOKUP(AJ3,$AF3:$AI3,AB3:AE3),"//duration/value")/60/60/24</f>
        <v>#VALUE!</v>
      </c>
      <c r="AS3" s="1" t="s">
        <v>498</v>
      </c>
      <c r="AT3" s="1" t="s">
        <v>499</v>
      </c>
      <c r="AU3" s="1" t="s">
        <v>500</v>
      </c>
      <c r="AV3" s="1" t="s">
        <v>501</v>
      </c>
      <c r="AW3" s="1">
        <v>228.60400000000001</v>
      </c>
      <c r="AX3" s="1">
        <v>20.896999999999998</v>
      </c>
      <c r="AY3" s="1">
        <v>4567.9189999999999</v>
      </c>
      <c r="AZ3" s="1">
        <v>561.27099999999996</v>
      </c>
      <c r="BA3" s="1">
        <v>20.896999999999998</v>
      </c>
      <c r="BB3" s="19">
        <v>9.3055555555555558E-2</v>
      </c>
      <c r="BC3" s="19">
        <v>2.3043981481481481E-2</v>
      </c>
      <c r="BD3" s="19">
        <v>1.905763888888889</v>
      </c>
      <c r="BE3" s="19">
        <v>0.22884259259259263</v>
      </c>
      <c r="BF3" s="3" t="s">
        <v>281</v>
      </c>
      <c r="BG3" s="3" t="s">
        <v>281</v>
      </c>
      <c r="BH3" s="19">
        <v>2.3043981481481481E-2</v>
      </c>
    </row>
    <row r="4" spans="1:60">
      <c r="A4" s="58" t="s">
        <v>203</v>
      </c>
      <c r="B4" s="59" t="s">
        <v>272</v>
      </c>
      <c r="C4" s="59" t="s">
        <v>273</v>
      </c>
      <c r="D4" s="60">
        <v>44972</v>
      </c>
      <c r="E4" s="60">
        <v>45291</v>
      </c>
      <c r="F4" s="59" t="s">
        <v>26</v>
      </c>
      <c r="G4" s="61">
        <v>923</v>
      </c>
      <c r="H4" s="61">
        <v>0</v>
      </c>
      <c r="I4" s="84">
        <f>$G4*$O4*1.2</f>
        <v>193830</v>
      </c>
      <c r="J4" s="62" t="s">
        <v>274</v>
      </c>
      <c r="K4" s="59" t="s">
        <v>272</v>
      </c>
      <c r="L4" s="61">
        <v>29685300</v>
      </c>
      <c r="M4" s="83">
        <v>44936</v>
      </c>
      <c r="N4" s="59" t="s">
        <v>30</v>
      </c>
      <c r="O4" s="61">
        <v>175</v>
      </c>
      <c r="P4" s="61" t="s">
        <v>27</v>
      </c>
      <c r="Q4" s="63" t="s">
        <v>276</v>
      </c>
      <c r="R4" s="59">
        <v>45.7559173</v>
      </c>
      <c r="S4" s="59">
        <v>-73.992652300000003</v>
      </c>
      <c r="T4" s="88" t="s">
        <v>275</v>
      </c>
      <c r="U4" s="85" t="s">
        <v>277</v>
      </c>
      <c r="X4" s="1">
        <f>_xlfn.XLOOKUP('Projets Jerome_2_test'!$J23,'Projets Jerome'!$J$2:$J$37,'Projets Jerome'!$AC$2:$AC$37)</f>
        <v>45.157066800000003</v>
      </c>
      <c r="Y4" s="1">
        <f>_xlfn.XLOOKUP('Projets Jerome_2_test'!$J23,'Projets Jerome'!$J$2:$J$37,'Projets Jerome'!$AD$2:$AD$37)</f>
        <v>-71.801298099999997</v>
      </c>
      <c r="AB4" s="1" t="str">
        <f>_xlfn.WEBSERVICE("https://maps.googleapis.com/maps/api/distancematrix/xml?destinations="&amp;$X4&amp;"%2C"&amp;$Y4&amp;"&amp;origins=46.7677269%2C-71.2887151&amp;key=AIzaSyCHth-wrbaKBruFJQMWpdpeHAtAzdbcKh4")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4" s="1" t="str">
        <f>_xlfn.WEBSERVICE("https://maps.googleapis.com/maps/api/distancematrix/xml?destinations="&amp;$X4&amp;"%2C"&amp;$Y4&amp;"&amp;origins=45.5219584%2C-73.6130896&amp;key=AIzaSyCHth-wrbaKBruFJQMWpdpeHAtAzdbcKh4")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4" s="1" t="str">
        <f>_xlfn.WEBSERVICE("https://maps.googleapis.com/maps/api/distancematrix/xml?destinations="&amp;$X4&amp;"%2C"&amp;$Y4&amp;"&amp;origins=49.2838546%2C-123.1196403&amp;key=AIzaSyCHth-wrbaKBruFJQMWpdpeHAtAzdbcKh4")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4" s="1" t="str">
        <f>_xlfn.WEBSERVICE("https://maps.googleapis.com/maps/api/distancematrix/xml?destinations="&amp;$X4&amp;"%2C"&amp;$Y4&amp;"&amp;origins=43.6410825%2C-79.3787196&amp;key=AIzaSyCHth-wrbaKBruFJQMWpdpeHAtAzdbcKh4")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4" s="1" t="e" cm="1">
        <f t="array" ref="AF4">_xlfn.FILTERXML(AB4,"//distance/value")/1000</f>
        <v>#VALUE!</v>
      </c>
      <c r="AG4" s="1" t="e" cm="1">
        <f t="array" ref="AG4">_xlfn.FILTERXML(AC4,"//distance/value")/1000</f>
        <v>#VALUE!</v>
      </c>
      <c r="AH4" s="1" t="e" cm="1">
        <f t="array" ref="AH4">_xlfn.FILTERXML(AD4,"//distance/value")/1000</f>
        <v>#VALUE!</v>
      </c>
      <c r="AI4" s="1" t="e" cm="1">
        <f t="array" ref="AI4">_xlfn.FILTERXML(AE4,"//distance/value")/1000</f>
        <v>#VALUE!</v>
      </c>
      <c r="AJ4" s="1" t="e">
        <f>MIN(AF4:AI4)</f>
        <v>#VALUE!</v>
      </c>
      <c r="AK4" s="19" t="e" cm="1">
        <f t="array" ref="AK4">_xlfn.FILTERXML(AB4,"//duration/value")/60/60/24</f>
        <v>#VALUE!</v>
      </c>
      <c r="AL4" s="19" t="e" cm="1">
        <f t="array" ref="AL4">_xlfn.FILTERXML(AC4,"//duration/value")/60/60/24</f>
        <v>#VALUE!</v>
      </c>
      <c r="AM4" s="19" t="e" cm="1">
        <f t="array" ref="AM4">_xlfn.FILTERXML(AD4,"//duration/value")/60/60/24</f>
        <v>#VALUE!</v>
      </c>
      <c r="AN4" s="19" t="e" cm="1">
        <f t="array" ref="AN4">_xlfn.FILTERXML(AE4,"//duration/value")/60/60/24</f>
        <v>#VALUE!</v>
      </c>
      <c r="AO4" s="3" t="e">
        <f>REPLACE(_xlfn.XLOOKUP(AJ4,$AF4:$AI4,$AF$1:$AI$1), 1, 9, "")</f>
        <v>#VALUE!</v>
      </c>
      <c r="AP4" s="3" t="e">
        <f>REPLACE(_xlfn.XLOOKUP(AQ4,$AK4:$AN4,$AF$1:$AI$1), 1, 9, "")</f>
        <v>#VALUE!</v>
      </c>
      <c r="AQ4" s="19" t="e" cm="1">
        <f t="array" ref="AQ4">_xlfn.FILTERXML(_xlfn.XLOOKUP(AJ4,$AF4:$AI4,AB4:AE4),"//duration/value")/60/60/24</f>
        <v>#VALUE!</v>
      </c>
      <c r="AS4" s="1" t="s">
        <v>440</v>
      </c>
      <c r="AT4" s="1" t="s">
        <v>441</v>
      </c>
      <c r="AU4" s="1" t="s">
        <v>442</v>
      </c>
      <c r="AV4" s="1" t="s">
        <v>443</v>
      </c>
      <c r="AW4" s="1">
        <v>284.53300000000002</v>
      </c>
      <c r="AX4" s="1">
        <v>45.375</v>
      </c>
      <c r="AY4" s="1">
        <v>4899.0510000000004</v>
      </c>
      <c r="AZ4" s="1">
        <v>572.69399999999996</v>
      </c>
      <c r="BA4" s="1">
        <v>45.375</v>
      </c>
      <c r="BB4" s="19">
        <v>0.1158101851851852</v>
      </c>
      <c r="BC4" s="19">
        <v>2.6585648148148146E-2</v>
      </c>
      <c r="BD4" s="19">
        <v>1.9029166666666664</v>
      </c>
      <c r="BE4" s="19">
        <v>0.22701388888888888</v>
      </c>
      <c r="BF4" s="3" t="s">
        <v>281</v>
      </c>
      <c r="BG4" s="3" t="s">
        <v>281</v>
      </c>
      <c r="BH4" s="19">
        <v>2.6585648148148146E-2</v>
      </c>
    </row>
    <row r="5" spans="1:60">
      <c r="A5" s="51" t="s">
        <v>23</v>
      </c>
      <c r="B5" s="52" t="s">
        <v>169</v>
      </c>
      <c r="C5" s="52" t="s">
        <v>170</v>
      </c>
      <c r="D5" s="80">
        <v>44846</v>
      </c>
      <c r="E5" s="80">
        <v>45289</v>
      </c>
      <c r="F5" s="52" t="s">
        <v>36</v>
      </c>
      <c r="G5" s="54">
        <v>981</v>
      </c>
      <c r="H5" s="54">
        <v>93.5</v>
      </c>
      <c r="I5" s="81">
        <f>$G5*$O5*1.15</f>
        <v>186144.75</v>
      </c>
      <c r="J5" s="54" t="s">
        <v>171</v>
      </c>
      <c r="K5" s="52" t="s">
        <v>169</v>
      </c>
      <c r="L5" s="54">
        <v>29685241</v>
      </c>
      <c r="M5" s="80">
        <v>44846</v>
      </c>
      <c r="N5" s="52" t="s">
        <v>30</v>
      </c>
      <c r="O5" s="54">
        <v>165</v>
      </c>
      <c r="P5" s="54" t="s">
        <v>27</v>
      </c>
      <c r="Q5" s="56" t="s">
        <v>172</v>
      </c>
      <c r="R5" s="52">
        <v>45.529286800000001</v>
      </c>
      <c r="S5" s="52">
        <v>-73.664845299999996</v>
      </c>
      <c r="T5" s="87" t="s">
        <v>173</v>
      </c>
      <c r="U5" s="82" t="s">
        <v>174</v>
      </c>
      <c r="X5" s="1">
        <f>_xlfn.XLOOKUP('Projets Jerome_2_test'!$J22,'Projets Jerome'!$J$2:$J$37,'Projets Jerome'!$AC$2:$AC$37)</f>
        <v>46.623594199999999</v>
      </c>
      <c r="Y5" s="1">
        <f>_xlfn.XLOOKUP('Projets Jerome_2_test'!$J22,'Projets Jerome'!$J$2:$J$37,'Projets Jerome'!$AD$2:$AD$37)</f>
        <v>-71.500496200000001</v>
      </c>
      <c r="AB5" s="1" t="str">
        <f>_xlfn.WEBSERVICE("https://maps.googleapis.com/maps/api/distancematrix/xml?destinations="&amp;$X5&amp;"%2C"&amp;$Y5&amp;"&amp;origins=46.7677269%2C-71.2887151&amp;key=AIzaSyCHth-wrbaKBruFJQMWpdpeHAtAzdbcKh4")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5" s="1" t="str">
        <f>_xlfn.WEBSERVICE("https://maps.googleapis.com/maps/api/distancematrix/xml?destinations="&amp;$X5&amp;"%2C"&amp;$Y5&amp;"&amp;origins=45.5219584%2C-73.6130896&amp;key=AIzaSyCHth-wrbaKBruFJQMWpdpeHAtAzdbcKh4")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5" s="1" t="str">
        <f>_xlfn.WEBSERVICE("https://maps.googleapis.com/maps/api/distancematrix/xml?destinations="&amp;$X5&amp;"%2C"&amp;$Y5&amp;"&amp;origins=49.2838546%2C-123.1196403&amp;key=AIzaSyCHth-wrbaKBruFJQMWpdpeHAtAzdbcKh4")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5" s="1" t="str">
        <f>_xlfn.WEBSERVICE("https://maps.googleapis.com/maps/api/distancematrix/xml?destinations="&amp;$X5&amp;"%2C"&amp;$Y5&amp;"&amp;origins=43.6410825%2C-79.3787196&amp;key=AIzaSyCHth-wrbaKBruFJQMWpdpeHAtAzdbcKh4")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5" s="1" t="e" cm="1">
        <f t="array" ref="AF5">_xlfn.FILTERXML(AB5,"//distance/value")/1000</f>
        <v>#VALUE!</v>
      </c>
      <c r="AG5" s="1" t="e" cm="1">
        <f t="array" ref="AG5">_xlfn.FILTERXML(AC5,"//distance/value")/1000</f>
        <v>#VALUE!</v>
      </c>
      <c r="AH5" s="1" t="e" cm="1">
        <f t="array" ref="AH5">_xlfn.FILTERXML(AD5,"//distance/value")/1000</f>
        <v>#VALUE!</v>
      </c>
      <c r="AI5" s="1" t="e" cm="1">
        <f t="array" ref="AI5">_xlfn.FILTERXML(AE5,"//distance/value")/1000</f>
        <v>#VALUE!</v>
      </c>
      <c r="AJ5" s="1" t="e">
        <f>MIN(AF5:AI5)</f>
        <v>#VALUE!</v>
      </c>
      <c r="AK5" s="19" t="e" cm="1">
        <f t="array" ref="AK5">_xlfn.FILTERXML(AB5,"//duration/value")/60/60/24</f>
        <v>#VALUE!</v>
      </c>
      <c r="AL5" s="19" t="e" cm="1">
        <f t="array" ref="AL5">_xlfn.FILTERXML(AC5,"//duration/value")/60/60/24</f>
        <v>#VALUE!</v>
      </c>
      <c r="AM5" s="19" t="e" cm="1">
        <f t="array" ref="AM5">_xlfn.FILTERXML(AD5,"//duration/value")/60/60/24</f>
        <v>#VALUE!</v>
      </c>
      <c r="AN5" s="19" t="e" cm="1">
        <f t="array" ref="AN5">_xlfn.FILTERXML(AE5,"//duration/value")/60/60/24</f>
        <v>#VALUE!</v>
      </c>
      <c r="AO5" s="3" t="e">
        <f>REPLACE(_xlfn.XLOOKUP(AJ5,$AF5:$AI5,$AF$1:$AI$1), 1, 9, "")</f>
        <v>#VALUE!</v>
      </c>
      <c r="AP5" s="3" t="e">
        <f>REPLACE(_xlfn.XLOOKUP(AQ5,$AK5:$AN5,$AF$1:$AI$1), 1, 9, "")</f>
        <v>#VALUE!</v>
      </c>
      <c r="AQ5" s="19" t="e" cm="1">
        <f t="array" ref="AQ5">_xlfn.FILTERXML(_xlfn.XLOOKUP(AJ5,$AF5:$AI5,AB5:AE5),"//duration/value")/60/60/24</f>
        <v>#VALUE!</v>
      </c>
      <c r="AS5" s="1" t="s">
        <v>436</v>
      </c>
      <c r="AT5" s="1" t="s">
        <v>437</v>
      </c>
      <c r="AU5" s="1" t="s">
        <v>438</v>
      </c>
      <c r="AV5" s="1" t="s">
        <v>439</v>
      </c>
      <c r="AW5" s="1">
        <v>249.02500000000001</v>
      </c>
      <c r="AX5" s="1">
        <v>6.7880000000000003</v>
      </c>
      <c r="AY5" s="1">
        <v>4869.4750000000004</v>
      </c>
      <c r="AZ5" s="1">
        <v>543.11900000000003</v>
      </c>
      <c r="BA5" s="1">
        <v>6.7880000000000003</v>
      </c>
      <c r="BB5" s="19">
        <v>0.10568287037037037</v>
      </c>
      <c r="BC5" s="19">
        <v>1.0960648148148148E-2</v>
      </c>
      <c r="BD5" s="19">
        <v>1.8923842592592592</v>
      </c>
      <c r="BE5" s="19">
        <v>0.21649305555555556</v>
      </c>
      <c r="BF5" s="3" t="s">
        <v>281</v>
      </c>
      <c r="BG5" s="3" t="s">
        <v>281</v>
      </c>
      <c r="BH5" s="19">
        <v>1.0960648148148148E-2</v>
      </c>
    </row>
    <row r="6" spans="1:60" ht="28.8">
      <c r="A6" s="58" t="s">
        <v>23</v>
      </c>
      <c r="B6" s="59" t="s">
        <v>162</v>
      </c>
      <c r="C6" s="59" t="s">
        <v>163</v>
      </c>
      <c r="D6" s="83">
        <v>44866</v>
      </c>
      <c r="E6" s="83">
        <v>45291</v>
      </c>
      <c r="F6" s="59" t="s">
        <v>36</v>
      </c>
      <c r="G6" s="61">
        <v>815</v>
      </c>
      <c r="H6" s="61">
        <v>1</v>
      </c>
      <c r="I6" s="84">
        <f>$G6*$O6*1.15</f>
        <v>159332.5</v>
      </c>
      <c r="J6" s="61" t="s">
        <v>164</v>
      </c>
      <c r="K6" s="59" t="s">
        <v>165</v>
      </c>
      <c r="L6" s="61">
        <v>29685265</v>
      </c>
      <c r="M6" s="83">
        <v>44876</v>
      </c>
      <c r="N6" s="59" t="s">
        <v>30</v>
      </c>
      <c r="O6" s="61">
        <v>170</v>
      </c>
      <c r="P6" s="61" t="s">
        <v>27</v>
      </c>
      <c r="Q6" s="63" t="s">
        <v>166</v>
      </c>
      <c r="R6" s="59">
        <v>45.929332700000003</v>
      </c>
      <c r="S6" s="59">
        <v>-73.016694200000003</v>
      </c>
      <c r="T6" s="69" t="s">
        <v>167</v>
      </c>
      <c r="U6" s="85" t="s">
        <v>168</v>
      </c>
      <c r="X6" s="1">
        <f>_xlfn.XLOOKUP('Projets Jerome_2_test'!$J21,'Projets Jerome'!$J$2:$J$37,'Projets Jerome'!$AC$2:$AC$37)</f>
        <v>45.6243664</v>
      </c>
      <c r="Y6" s="1">
        <f>_xlfn.XLOOKUP('Projets Jerome_2_test'!$J21,'Projets Jerome'!$J$2:$J$37,'Projets Jerome'!$AD$2:$AD$37)</f>
        <v>-73.567282199999994</v>
      </c>
      <c r="AB6" s="1" t="str">
        <f>_xlfn.WEBSERVICE("https://maps.googleapis.com/maps/api/distancematrix/xml?destinations="&amp;$X6&amp;"%2C"&amp;$Y6&amp;"&amp;origins=46.7677269%2C-71.2887151&amp;key=AIzaSyCHth-wrbaKBruFJQMWpdpeHAtAzdbcKh4")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6" s="1" t="str">
        <f>_xlfn.WEBSERVICE("https://maps.googleapis.com/maps/api/distancematrix/xml?destinations="&amp;$X6&amp;"%2C"&amp;$Y6&amp;"&amp;origins=45.5219584%2C-73.6130896&amp;key=AIzaSyCHth-wrbaKBruFJQMWpdpeHAtAzdbcKh4")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6" s="1" t="str">
        <f>_xlfn.WEBSERVICE("https://maps.googleapis.com/maps/api/distancematrix/xml?destinations="&amp;$X6&amp;"%2C"&amp;$Y6&amp;"&amp;origins=49.2838546%2C-123.1196403&amp;key=AIzaSyCHth-wrbaKBruFJQMWpdpeHAtAzdbcKh4")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6" s="1" t="str">
        <f>_xlfn.WEBSERVICE("https://maps.googleapis.com/maps/api/distancematrix/xml?destinations="&amp;$X6&amp;"%2C"&amp;$Y6&amp;"&amp;origins=43.6410825%2C-79.3787196&amp;key=AIzaSyCHth-wrbaKBruFJQMWpdpeHAtAzdbcKh4")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6" s="1" t="e" cm="1">
        <f t="array" ref="AF6">_xlfn.FILTERXML(AB6,"//distance/value")/1000</f>
        <v>#VALUE!</v>
      </c>
      <c r="AG6" s="1" t="e" cm="1">
        <f t="array" ref="AG6">_xlfn.FILTERXML(AC6,"//distance/value")/1000</f>
        <v>#VALUE!</v>
      </c>
      <c r="AH6" s="1" t="e" cm="1">
        <f t="array" ref="AH6">_xlfn.FILTERXML(AD6,"//distance/value")/1000</f>
        <v>#VALUE!</v>
      </c>
      <c r="AI6" s="1" t="e" cm="1">
        <f t="array" ref="AI6">_xlfn.FILTERXML(AE6,"//distance/value")/1000</f>
        <v>#VALUE!</v>
      </c>
      <c r="AJ6" s="1" t="e">
        <f>MIN(AF6:AI6)</f>
        <v>#VALUE!</v>
      </c>
      <c r="AK6" s="19" t="e" cm="1">
        <f t="array" ref="AK6">_xlfn.FILTERXML(AB6,"//duration/value")/60/60/24</f>
        <v>#VALUE!</v>
      </c>
      <c r="AL6" s="19" t="e" cm="1">
        <f t="array" ref="AL6">_xlfn.FILTERXML(AC6,"//duration/value")/60/60/24</f>
        <v>#VALUE!</v>
      </c>
      <c r="AM6" s="19" t="e" cm="1">
        <f t="array" ref="AM6">_xlfn.FILTERXML(AD6,"//duration/value")/60/60/24</f>
        <v>#VALUE!</v>
      </c>
      <c r="AN6" s="19" t="e" cm="1">
        <f t="array" ref="AN6">_xlfn.FILTERXML(AE6,"//duration/value")/60/60/24</f>
        <v>#VALUE!</v>
      </c>
      <c r="AO6" s="3" t="e">
        <f>REPLACE(_xlfn.XLOOKUP(AJ6,$AF6:$AI6,$AF$1:$AI$1), 1, 9, "")</f>
        <v>#VALUE!</v>
      </c>
      <c r="AP6" s="3" t="e">
        <f>REPLACE(_xlfn.XLOOKUP(AQ6,$AK6:$AN6,$AF$1:$AI$1), 1, 9, "")</f>
        <v>#VALUE!</v>
      </c>
      <c r="AQ6" s="19" t="e" cm="1">
        <f t="array" ref="AQ6">_xlfn.FILTERXML(_xlfn.XLOOKUP(AJ6,$AF6:$AI6,AB6:AE6),"//duration/value")/60/60/24</f>
        <v>#VALUE!</v>
      </c>
      <c r="AS6" s="1" t="s">
        <v>432</v>
      </c>
      <c r="AT6" s="1" t="s">
        <v>433</v>
      </c>
      <c r="AU6" s="1" t="s">
        <v>434</v>
      </c>
      <c r="AV6" s="1" t="s">
        <v>435</v>
      </c>
      <c r="AW6" s="1">
        <v>197.815</v>
      </c>
      <c r="AX6" s="1">
        <v>102.672</v>
      </c>
      <c r="AY6" s="1">
        <v>4978.3149999999996</v>
      </c>
      <c r="AZ6" s="1">
        <v>651.95799999999997</v>
      </c>
      <c r="BA6" s="1">
        <v>102.672</v>
      </c>
      <c r="BB6" s="19">
        <v>8.4953703703703698E-2</v>
      </c>
      <c r="BC6" s="19">
        <v>5.7986111111111106E-2</v>
      </c>
      <c r="BD6" s="19">
        <v>1.9355555555555555</v>
      </c>
      <c r="BE6" s="19">
        <v>0.25966435185185188</v>
      </c>
      <c r="BF6" s="3" t="s">
        <v>281</v>
      </c>
      <c r="BG6" s="3" t="s">
        <v>281</v>
      </c>
      <c r="BH6" s="19">
        <v>5.7986111111111106E-2</v>
      </c>
    </row>
    <row r="7" spans="1:60" ht="28.8">
      <c r="A7" s="51" t="s">
        <v>42</v>
      </c>
      <c r="B7" s="52" t="s">
        <v>50</v>
      </c>
      <c r="C7" s="52" t="s">
        <v>51</v>
      </c>
      <c r="D7" s="80">
        <v>44392</v>
      </c>
      <c r="E7" s="80">
        <v>44925</v>
      </c>
      <c r="F7" s="52" t="s">
        <v>36</v>
      </c>
      <c r="G7" s="54">
        <v>781</v>
      </c>
      <c r="H7" s="54">
        <v>759.25</v>
      </c>
      <c r="I7" s="81">
        <f>$G7*$O7*1.15</f>
        <v>148194.75</v>
      </c>
      <c r="J7" s="54" t="s">
        <v>52</v>
      </c>
      <c r="K7" s="52" t="s">
        <v>53</v>
      </c>
      <c r="L7" s="54">
        <v>29684798</v>
      </c>
      <c r="M7" s="80">
        <v>44392</v>
      </c>
      <c r="N7" s="52" t="s">
        <v>30</v>
      </c>
      <c r="O7" s="54">
        <v>165</v>
      </c>
      <c r="P7" s="54" t="s">
        <v>27</v>
      </c>
      <c r="Q7" s="56" t="s">
        <v>54</v>
      </c>
      <c r="R7" s="52">
        <v>50.473944199999998</v>
      </c>
      <c r="S7" s="52">
        <v>-104.70972999999999</v>
      </c>
      <c r="T7" s="70" t="s">
        <v>55</v>
      </c>
      <c r="U7" s="82" t="s">
        <v>56</v>
      </c>
      <c r="X7" s="1">
        <f>_xlfn.XLOOKUP('Projets Jerome_2_test'!$J4,'Projets Jerome'!$J$2:$J$37,'Projets Jerome'!$AC$2:$AC$37)</f>
        <v>45.7559173</v>
      </c>
      <c r="Y7" s="1">
        <f>_xlfn.XLOOKUP('Projets Jerome_2_test'!$J4,'Projets Jerome'!$J$2:$J$37,'Projets Jerome'!$AD$2:$AD$37)</f>
        <v>-73.992652300000003</v>
      </c>
      <c r="AB7" s="1" t="str">
        <f>_xlfn.WEBSERVICE("https://maps.googleapis.com/maps/api/distancematrix/xml?destinations="&amp;$X7&amp;"%2C"&amp;$Y7&amp;"&amp;origins=46.7677269%2C-71.2887151&amp;key=AIzaSyCHth-wrbaKBruFJQMWpdpeHAtAzdbcKh4")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7" s="1" t="str">
        <f>_xlfn.WEBSERVICE("https://maps.googleapis.com/maps/api/distancematrix/xml?destinations="&amp;$X7&amp;"%2C"&amp;$Y7&amp;"&amp;origins=45.5219584%2C-73.6130896&amp;key=AIzaSyCHth-wrbaKBruFJQMWpdpeHAtAzdbcKh4")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7" s="1" t="str">
        <f>_xlfn.WEBSERVICE("https://maps.googleapis.com/maps/api/distancematrix/xml?destinations="&amp;$X7&amp;"%2C"&amp;$Y7&amp;"&amp;origins=49.2838546%2C-123.1196403&amp;key=AIzaSyCHth-wrbaKBruFJQMWpdpeHAtAzdbcKh4")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7" s="1" t="str">
        <f>_xlfn.WEBSERVICE("https://maps.googleapis.com/maps/api/distancematrix/xml?destinations="&amp;$X7&amp;"%2C"&amp;$Y7&amp;"&amp;origins=43.6410825%2C-79.3787196&amp;key=AIzaSyCHth-wrbaKBruFJQMWpdpeHAtAzdbcKh4")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7" s="1" t="e" cm="1">
        <f t="array" ref="AF7">_xlfn.FILTERXML(AB7,"//distance/value")/1000</f>
        <v>#VALUE!</v>
      </c>
      <c r="AG7" s="1" t="e" cm="1">
        <f t="array" ref="AG7">_xlfn.FILTERXML(AC7,"//distance/value")/1000</f>
        <v>#VALUE!</v>
      </c>
      <c r="AH7" s="1" t="e" cm="1">
        <f t="array" ref="AH7">_xlfn.FILTERXML(AD7,"//distance/value")/1000</f>
        <v>#VALUE!</v>
      </c>
      <c r="AI7" s="1" t="e" cm="1">
        <f t="array" ref="AI7">_xlfn.FILTERXML(AE7,"//distance/value")/1000</f>
        <v>#VALUE!</v>
      </c>
      <c r="AJ7" s="1" t="e">
        <f>MIN(AF7:AI7)</f>
        <v>#VALUE!</v>
      </c>
      <c r="AK7" s="19" t="e" cm="1">
        <f t="array" ref="AK7">_xlfn.FILTERXML(AB7,"//duration/value")/60/60/24</f>
        <v>#VALUE!</v>
      </c>
      <c r="AL7" s="19" t="e" cm="1">
        <f t="array" ref="AL7">_xlfn.FILTERXML(AC7,"//duration/value")/60/60/24</f>
        <v>#VALUE!</v>
      </c>
      <c r="AM7" s="19" t="e" cm="1">
        <f t="array" ref="AM7">_xlfn.FILTERXML(AD7,"//duration/value")/60/60/24</f>
        <v>#VALUE!</v>
      </c>
      <c r="AN7" s="19" t="e" cm="1">
        <f t="array" ref="AN7">_xlfn.FILTERXML(AE7,"//duration/value")/60/60/24</f>
        <v>#VALUE!</v>
      </c>
      <c r="AO7" s="3" t="e">
        <f>REPLACE(_xlfn.XLOOKUP(AJ7,$AF7:$AI7,$AF$1:$AI$1), 1, 9, "")</f>
        <v>#VALUE!</v>
      </c>
      <c r="AP7" s="3" t="e">
        <f>REPLACE(_xlfn.XLOOKUP(AQ7,$AK7:$AN7,$AF$1:$AI$1), 1, 9, "")</f>
        <v>#VALUE!</v>
      </c>
      <c r="AQ7" s="19" t="e" cm="1">
        <f t="array" ref="AQ7">_xlfn.FILTERXML(_xlfn.XLOOKUP(AJ7,$AF7:$AI7,AB7:AE7),"//duration/value")/60/60/24</f>
        <v>#VALUE!</v>
      </c>
      <c r="AS7" s="1" t="s">
        <v>380</v>
      </c>
      <c r="AT7" s="1" t="s">
        <v>381</v>
      </c>
      <c r="AU7" s="1" t="s">
        <v>382</v>
      </c>
      <c r="AV7" s="1" t="s">
        <v>383</v>
      </c>
      <c r="AW7" s="1">
        <v>3091.4009999999998</v>
      </c>
      <c r="AX7" s="1">
        <v>2852.2429999999999</v>
      </c>
      <c r="AY7" s="1">
        <v>1722.5440000000001</v>
      </c>
      <c r="AZ7" s="1">
        <v>2692.6950000000002</v>
      </c>
      <c r="BA7" s="1">
        <v>1722.5440000000001</v>
      </c>
      <c r="BB7" s="19">
        <v>1.3522453703703705</v>
      </c>
      <c r="BC7" s="19">
        <v>1.2630208333333333</v>
      </c>
      <c r="BD7" s="19">
        <v>0.7450810185185186</v>
      </c>
      <c r="BE7" s="19">
        <v>1.0592592592592591</v>
      </c>
      <c r="BF7" s="3" t="s">
        <v>248</v>
      </c>
      <c r="BG7" s="3" t="s">
        <v>248</v>
      </c>
      <c r="BH7" s="19">
        <v>0.7450810185185186</v>
      </c>
    </row>
    <row r="8" spans="1:60" ht="28.8">
      <c r="A8" s="58" t="s">
        <v>42</v>
      </c>
      <c r="B8" s="59" t="s">
        <v>88</v>
      </c>
      <c r="C8" s="59" t="s">
        <v>89</v>
      </c>
      <c r="D8" s="83">
        <v>44536</v>
      </c>
      <c r="E8" s="83">
        <v>44925</v>
      </c>
      <c r="F8" s="59" t="s">
        <v>36</v>
      </c>
      <c r="G8" s="61">
        <v>579</v>
      </c>
      <c r="H8" s="61">
        <v>468.25</v>
      </c>
      <c r="I8" s="84">
        <f>$G8*$O8*1.15</f>
        <v>109865.24999999999</v>
      </c>
      <c r="J8" s="61" t="s">
        <v>90</v>
      </c>
      <c r="K8" s="59" t="s">
        <v>91</v>
      </c>
      <c r="L8" s="61">
        <v>29684857</v>
      </c>
      <c r="M8" s="83">
        <v>44536</v>
      </c>
      <c r="N8" s="59" t="s">
        <v>30</v>
      </c>
      <c r="O8" s="61">
        <v>165</v>
      </c>
      <c r="P8" s="61" t="s">
        <v>27</v>
      </c>
      <c r="Q8" s="63" t="s">
        <v>92</v>
      </c>
      <c r="R8" s="59">
        <v>43.642127299999999</v>
      </c>
      <c r="S8" s="59">
        <v>-79.673906000000002</v>
      </c>
      <c r="T8" s="69" t="s">
        <v>93</v>
      </c>
      <c r="U8" s="85" t="s">
        <v>94</v>
      </c>
      <c r="X8" s="1">
        <f>_xlfn.XLOOKUP('Projets Jerome_2_test'!$J9,'Projets Jerome'!$J$2:$J$37,'Projets Jerome'!$AC$2:$AC$37)</f>
        <v>45.595933899999999</v>
      </c>
      <c r="Y8" s="1">
        <f>_xlfn.XLOOKUP('Projets Jerome_2_test'!$J9,'Projets Jerome'!$J$2:$J$37,'Projets Jerome'!$AD$2:$AD$37)</f>
        <v>-73.623009600000003</v>
      </c>
      <c r="AB8" s="1" t="str">
        <f>_xlfn.WEBSERVICE("https://maps.googleapis.com/maps/api/distancematrix/xml?destinations="&amp;$X8&amp;"%2C"&amp;$Y8&amp;"&amp;origins=46.7677269%2C-71.2887151&amp;key=AIzaSyCHth-wrbaKBruFJQMWpdpeHAtAzdbcKh4")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8" s="1" t="str">
        <f>_xlfn.WEBSERVICE("https://maps.googleapis.com/maps/api/distancematrix/xml?destinations="&amp;$X8&amp;"%2C"&amp;$Y8&amp;"&amp;origins=45.5219584%2C-73.6130896&amp;key=AIzaSyCHth-wrbaKBruFJQMWpdpeHAtAzdbcKh4")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8" s="1" t="str">
        <f>_xlfn.WEBSERVICE("https://maps.googleapis.com/maps/api/distancematrix/xml?destinations="&amp;$X8&amp;"%2C"&amp;$Y8&amp;"&amp;origins=49.2838546%2C-123.1196403&amp;key=AIzaSyCHth-wrbaKBruFJQMWpdpeHAtAzdbcKh4")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8" s="1" t="str">
        <f>_xlfn.WEBSERVICE("https://maps.googleapis.com/maps/api/distancematrix/xml?destinations="&amp;$X8&amp;"%2C"&amp;$Y8&amp;"&amp;origins=43.6410825%2C-79.3787196&amp;key=AIzaSyCHth-wrbaKBruFJQMWpdpeHAtAzdbcKh4")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8" s="1" t="e" cm="1">
        <f t="array" ref="AF8">_xlfn.FILTERXML(AB8,"//distance/value")/1000</f>
        <v>#VALUE!</v>
      </c>
      <c r="AG8" s="1" t="e" cm="1">
        <f t="array" ref="AG8">_xlfn.FILTERXML(AC8,"//distance/value")/1000</f>
        <v>#VALUE!</v>
      </c>
      <c r="AH8" s="1" t="e" cm="1">
        <f t="array" ref="AH8">_xlfn.FILTERXML(AD8,"//distance/value")/1000</f>
        <v>#VALUE!</v>
      </c>
      <c r="AI8" s="1" t="e" cm="1">
        <f t="array" ref="AI8">_xlfn.FILTERXML(AE8,"//distance/value")/1000</f>
        <v>#VALUE!</v>
      </c>
      <c r="AJ8" s="1" t="e">
        <f>MIN(AF8:AI8)</f>
        <v>#VALUE!</v>
      </c>
      <c r="AK8" s="19" t="e" cm="1">
        <f t="array" ref="AK8">_xlfn.FILTERXML(AB8,"//duration/value")/60/60/24</f>
        <v>#VALUE!</v>
      </c>
      <c r="AL8" s="19" t="e" cm="1">
        <f t="array" ref="AL8">_xlfn.FILTERXML(AC8,"//duration/value")/60/60/24</f>
        <v>#VALUE!</v>
      </c>
      <c r="AM8" s="19" t="e" cm="1">
        <f t="array" ref="AM8">_xlfn.FILTERXML(AD8,"//duration/value")/60/60/24</f>
        <v>#VALUE!</v>
      </c>
      <c r="AN8" s="19" t="e" cm="1">
        <f t="array" ref="AN8">_xlfn.FILTERXML(AE8,"//duration/value")/60/60/24</f>
        <v>#VALUE!</v>
      </c>
      <c r="AO8" s="3" t="e">
        <f>REPLACE(_xlfn.XLOOKUP(AJ8,$AF8:$AI8,$AF$1:$AI$1), 1, 9, "")</f>
        <v>#VALUE!</v>
      </c>
      <c r="AP8" s="3" t="e">
        <f>REPLACE(_xlfn.XLOOKUP(AQ8,$AK8:$AN8,$AF$1:$AI$1), 1, 9, "")</f>
        <v>#VALUE!</v>
      </c>
      <c r="AQ8" s="19" t="e" cm="1">
        <f t="array" ref="AQ8">_xlfn.FILTERXML(_xlfn.XLOOKUP(AJ8,$AF8:$AI8,AB8:AE8),"//duration/value")/60/60/24</f>
        <v>#VALUE!</v>
      </c>
      <c r="AS8" s="1" t="s">
        <v>396</v>
      </c>
      <c r="AT8" s="1" t="s">
        <v>397</v>
      </c>
      <c r="AU8" s="1" t="s">
        <v>398</v>
      </c>
      <c r="AV8" s="1" t="s">
        <v>399</v>
      </c>
      <c r="AW8" s="1">
        <v>813.99199999999996</v>
      </c>
      <c r="AX8" s="1">
        <v>560.40099999999995</v>
      </c>
      <c r="AY8" s="1">
        <v>4313.9790000000003</v>
      </c>
      <c r="AZ8" s="1">
        <v>33.375999999999998</v>
      </c>
      <c r="BA8" s="1">
        <v>33.375999999999998</v>
      </c>
      <c r="BB8" s="19">
        <v>0.32340277777777776</v>
      </c>
      <c r="BC8" s="19">
        <v>0.22956018518518517</v>
      </c>
      <c r="BD8" s="19">
        <v>1.6755439814814814</v>
      </c>
      <c r="BE8" s="19">
        <v>1.818287037037037E-2</v>
      </c>
      <c r="BF8" s="3" t="s">
        <v>249</v>
      </c>
      <c r="BG8" s="3" t="s">
        <v>249</v>
      </c>
      <c r="BH8" s="19">
        <v>1.818287037037037E-2</v>
      </c>
    </row>
    <row r="9" spans="1:60" ht="28.8">
      <c r="A9" s="51" t="s">
        <v>42</v>
      </c>
      <c r="B9" s="52" t="s">
        <v>126</v>
      </c>
      <c r="C9" s="52" t="s">
        <v>127</v>
      </c>
      <c r="D9" s="80">
        <v>44820</v>
      </c>
      <c r="E9" s="80">
        <v>45044</v>
      </c>
      <c r="F9" s="52" t="s">
        <v>36</v>
      </c>
      <c r="G9" s="54">
        <v>407</v>
      </c>
      <c r="H9" s="54">
        <v>9</v>
      </c>
      <c r="I9" s="81">
        <f>$G9*$O9*1.15</f>
        <v>86589.25</v>
      </c>
      <c r="J9" s="54" t="s">
        <v>128</v>
      </c>
      <c r="K9" s="52" t="s">
        <v>129</v>
      </c>
      <c r="L9" s="54">
        <v>29685237</v>
      </c>
      <c r="M9" s="80">
        <v>44820</v>
      </c>
      <c r="N9" s="52" t="s">
        <v>30</v>
      </c>
      <c r="O9" s="54">
        <v>185</v>
      </c>
      <c r="P9" s="54" t="s">
        <v>27</v>
      </c>
      <c r="Q9" s="56" t="s">
        <v>130</v>
      </c>
      <c r="R9" s="52">
        <v>45.595933899999999</v>
      </c>
      <c r="S9" s="52">
        <v>-73.623009600000003</v>
      </c>
      <c r="T9" s="70" t="s">
        <v>131</v>
      </c>
      <c r="U9" s="82" t="s">
        <v>132</v>
      </c>
      <c r="X9" s="1">
        <f>_xlfn.XLOOKUP('Projets Jerome_2_test'!$J14,'Projets Jerome'!$J$2:$J$37,'Projets Jerome'!$AC$2:$AC$37)</f>
        <v>45.6243664</v>
      </c>
      <c r="Y9" s="1">
        <f>_xlfn.XLOOKUP('Projets Jerome_2_test'!$J14,'Projets Jerome'!$J$2:$J$37,'Projets Jerome'!$AD$2:$AD$37)</f>
        <v>-73.567282199999994</v>
      </c>
      <c r="AB9" s="1" t="str">
        <f>_xlfn.WEBSERVICE("https://maps.googleapis.com/maps/api/distancematrix/xml?destinations="&amp;$X9&amp;"%2C"&amp;$Y9&amp;"&amp;origins=46.7677269%2C-71.2887151&amp;key=AIzaSyCHth-wrbaKBruFJQMWpdpeHAtAzdbcKh4")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9" s="1" t="str">
        <f>_xlfn.WEBSERVICE("https://maps.googleapis.com/maps/api/distancematrix/xml?destinations="&amp;$X9&amp;"%2C"&amp;$Y9&amp;"&amp;origins=45.5219584%2C-73.6130896&amp;key=AIzaSyCHth-wrbaKBruFJQMWpdpeHAtAzdbcKh4")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9" s="1" t="str">
        <f>_xlfn.WEBSERVICE("https://maps.googleapis.com/maps/api/distancematrix/xml?destinations="&amp;$X9&amp;"%2C"&amp;$Y9&amp;"&amp;origins=49.2838546%2C-123.1196403&amp;key=AIzaSyCHth-wrbaKBruFJQMWpdpeHAtAzdbcKh4")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9" s="1" t="str">
        <f>_xlfn.WEBSERVICE("https://maps.googleapis.com/maps/api/distancematrix/xml?destinations="&amp;$X9&amp;"%2C"&amp;$Y9&amp;"&amp;origins=43.6410825%2C-79.3787196&amp;key=AIzaSyCHth-wrbaKBruFJQMWpdpeHAtAzdbcKh4")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9" s="1" t="e" cm="1">
        <f t="array" ref="AF9">_xlfn.FILTERXML(AB9,"//distance/value")/1000</f>
        <v>#VALUE!</v>
      </c>
      <c r="AG9" s="1" t="e" cm="1">
        <f t="array" ref="AG9">_xlfn.FILTERXML(AC9,"//distance/value")/1000</f>
        <v>#VALUE!</v>
      </c>
      <c r="AH9" s="1" t="e" cm="1">
        <f t="array" ref="AH9">_xlfn.FILTERXML(AD9,"//distance/value")/1000</f>
        <v>#VALUE!</v>
      </c>
      <c r="AI9" s="1" t="e" cm="1">
        <f t="array" ref="AI9">_xlfn.FILTERXML(AE9,"//distance/value")/1000</f>
        <v>#VALUE!</v>
      </c>
      <c r="AJ9" s="1" t="e">
        <f>MIN(AF9:AI9)</f>
        <v>#VALUE!</v>
      </c>
      <c r="AK9" s="19" t="e" cm="1">
        <f t="array" ref="AK9">_xlfn.FILTERXML(AB9,"//duration/value")/60/60/24</f>
        <v>#VALUE!</v>
      </c>
      <c r="AL9" s="19" t="e" cm="1">
        <f t="array" ref="AL9">_xlfn.FILTERXML(AC9,"//duration/value")/60/60/24</f>
        <v>#VALUE!</v>
      </c>
      <c r="AM9" s="19" t="e" cm="1">
        <f t="array" ref="AM9">_xlfn.FILTERXML(AD9,"//duration/value")/60/60/24</f>
        <v>#VALUE!</v>
      </c>
      <c r="AN9" s="19" t="e" cm="1">
        <f t="array" ref="AN9">_xlfn.FILTERXML(AE9,"//duration/value")/60/60/24</f>
        <v>#VALUE!</v>
      </c>
      <c r="AO9" s="3" t="e">
        <f>REPLACE(_xlfn.XLOOKUP(AJ9,$AF9:$AI9,$AF$1:$AI$1), 1, 9, "")</f>
        <v>#VALUE!</v>
      </c>
      <c r="AP9" s="3" t="e">
        <f>REPLACE(_xlfn.XLOOKUP(AQ9,$AK9:$AN9,$AF$1:$AI$1), 1, 9, "")</f>
        <v>#VALUE!</v>
      </c>
      <c r="AQ9" s="19" t="e" cm="1">
        <f t="array" ref="AQ9">_xlfn.FILTERXML(_xlfn.XLOOKUP(AJ9,$AF9:$AI9,AB9:AE9),"//duration/value")/60/60/24</f>
        <v>#VALUE!</v>
      </c>
      <c r="AS9" s="1" t="s">
        <v>416</v>
      </c>
      <c r="AT9" s="1" t="s">
        <v>417</v>
      </c>
      <c r="AU9" s="1" t="s">
        <v>418</v>
      </c>
      <c r="AV9" s="1" t="s">
        <v>419</v>
      </c>
      <c r="AW9" s="1">
        <v>243.28299999999999</v>
      </c>
      <c r="AX9" s="1">
        <v>14.951000000000001</v>
      </c>
      <c r="AY9" s="1">
        <v>4877.6360000000004</v>
      </c>
      <c r="AZ9" s="1">
        <v>551.28</v>
      </c>
      <c r="BA9" s="1">
        <v>14.951000000000001</v>
      </c>
      <c r="BB9" s="19">
        <v>0.10511574074074075</v>
      </c>
      <c r="BC9" s="19">
        <v>1.9027777777777779E-2</v>
      </c>
      <c r="BD9" s="19">
        <v>1.8996064814814815</v>
      </c>
      <c r="BE9" s="19">
        <v>0.22371527777777778</v>
      </c>
      <c r="BF9" s="3" t="s">
        <v>281</v>
      </c>
      <c r="BG9" s="3" t="s">
        <v>281</v>
      </c>
      <c r="BH9" s="19">
        <v>1.9027777777777779E-2</v>
      </c>
    </row>
    <row r="10" spans="1:60">
      <c r="A10" s="51" t="s">
        <v>23</v>
      </c>
      <c r="B10" s="52" t="s">
        <v>24</v>
      </c>
      <c r="C10" s="52" t="s">
        <v>25</v>
      </c>
      <c r="D10" s="80">
        <v>44105</v>
      </c>
      <c r="E10" s="80">
        <v>44925</v>
      </c>
      <c r="F10" s="52" t="s">
        <v>226</v>
      </c>
      <c r="G10" s="54">
        <v>456</v>
      </c>
      <c r="H10" s="54">
        <v>605.75</v>
      </c>
      <c r="I10" s="81">
        <f>$G10*$O10*1.15</f>
        <v>86526</v>
      </c>
      <c r="J10" s="54" t="s">
        <v>28</v>
      </c>
      <c r="K10" s="52" t="s">
        <v>29</v>
      </c>
      <c r="L10" s="54">
        <v>29684478</v>
      </c>
      <c r="M10" s="80">
        <v>44113</v>
      </c>
      <c r="N10" s="52" t="s">
        <v>30</v>
      </c>
      <c r="O10" s="54">
        <v>165</v>
      </c>
      <c r="P10" s="54" t="s">
        <v>27</v>
      </c>
      <c r="Q10" s="56" t="s">
        <v>31</v>
      </c>
      <c r="R10" s="52">
        <v>45.5853088</v>
      </c>
      <c r="S10" s="52">
        <v>-73.709455800000001</v>
      </c>
      <c r="T10" s="52" t="s">
        <v>32</v>
      </c>
      <c r="U10" s="82" t="s">
        <v>33</v>
      </c>
      <c r="X10" s="1">
        <f>_xlfn.XLOOKUP('Projets Jerome_2_test'!$J2,'Projets Jerome'!$J$2:$J$37,'Projets Jerome'!$AC$2:$AC$37)</f>
        <v>45.592141699999999</v>
      </c>
      <c r="Y10" s="1">
        <f>_xlfn.XLOOKUP('Projets Jerome_2_test'!$J2,'Projets Jerome'!$J$2:$J$37,'Projets Jerome'!$AD$2:$AD$37)</f>
        <v>-73.698460400000002</v>
      </c>
      <c r="AB10" s="1" t="str">
        <f>_xlfn.WEBSERVICE("https://maps.googleapis.com/maps/api/distancematrix/xml?destinations="&amp;$X10&amp;"%2C"&amp;$Y10&amp;"&amp;origins=46.7677269%2C-71.2887151&amp;key=AIzaSyCHth-wrbaKBruFJQMWpdpeHAtAzdbcKh4")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0" s="1" t="str">
        <f>_xlfn.WEBSERVICE("https://maps.googleapis.com/maps/api/distancematrix/xml?destinations="&amp;$X10&amp;"%2C"&amp;$Y10&amp;"&amp;origins=45.5219584%2C-73.6130896&amp;key=AIzaSyCHth-wrbaKBruFJQMWpdpeHAtAzdbcKh4")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0" s="1" t="str">
        <f>_xlfn.WEBSERVICE("https://maps.googleapis.com/maps/api/distancematrix/xml?destinations="&amp;$X10&amp;"%2C"&amp;$Y10&amp;"&amp;origins=49.2838546%2C-123.1196403&amp;key=AIzaSyCHth-wrbaKBruFJQMWpdpeHAtAzdbcKh4")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0" s="1" t="str">
        <f>_xlfn.WEBSERVICE("https://maps.googleapis.com/maps/api/distancematrix/xml?destinations="&amp;$X10&amp;"%2C"&amp;$Y10&amp;"&amp;origins=43.6410825%2C-79.3787196&amp;key=AIzaSyCHth-wrbaKBruFJQMWpdpeHAtAzdbcKh4")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0" s="1" t="e" cm="1">
        <f t="array" ref="AF10">_xlfn.FILTERXML(AB10,"//distance/value")/1000</f>
        <v>#VALUE!</v>
      </c>
      <c r="AG10" s="1" t="e" cm="1">
        <f t="array" ref="AG10">_xlfn.FILTERXML(AC10,"//distance/value")/1000</f>
        <v>#VALUE!</v>
      </c>
      <c r="AH10" s="1" t="e" cm="1">
        <f t="array" ref="AH10">_xlfn.FILTERXML(AD10,"//distance/value")/1000</f>
        <v>#VALUE!</v>
      </c>
      <c r="AI10" s="1" t="e" cm="1">
        <f t="array" ref="AI10">_xlfn.FILTERXML(AE10,"//distance/value")/1000</f>
        <v>#VALUE!</v>
      </c>
      <c r="AJ10" s="1" t="e">
        <f>MIN(AF10:AI10)</f>
        <v>#VALUE!</v>
      </c>
      <c r="AK10" s="19" t="e" cm="1">
        <f t="array" ref="AK10">_xlfn.FILTERXML(AB10,"//duration/value")/60/60/24</f>
        <v>#VALUE!</v>
      </c>
      <c r="AL10" s="19" t="e" cm="1">
        <f t="array" ref="AL10">_xlfn.FILTERXML(AC10,"//duration/value")/60/60/24</f>
        <v>#VALUE!</v>
      </c>
      <c r="AM10" s="19" t="e" cm="1">
        <f t="array" ref="AM10">_xlfn.FILTERXML(AD10,"//duration/value")/60/60/24</f>
        <v>#VALUE!</v>
      </c>
      <c r="AN10" s="19" t="e" cm="1">
        <f t="array" ref="AN10">_xlfn.FILTERXML(AE10,"//duration/value")/60/60/24</f>
        <v>#VALUE!</v>
      </c>
      <c r="AO10" s="3" t="e">
        <f>REPLACE(_xlfn.XLOOKUP(AJ10,$AF10:$AI10,$AF$1:$AI$1), 1, 9, "")</f>
        <v>#VALUE!</v>
      </c>
      <c r="AP10" s="3" t="e">
        <f>REPLACE(_xlfn.XLOOKUP(AQ10,$AK10:$AN10,$AF$1:$AI$1), 1, 9, "")</f>
        <v>#VALUE!</v>
      </c>
      <c r="AQ10" s="19" t="e" cm="1">
        <f t="array" ref="AQ10">_xlfn.FILTERXML(_xlfn.XLOOKUP(AJ10,$AF10:$AI10,AB10:AE10),"//duration/value")/60/60/24</f>
        <v>#VALUE!</v>
      </c>
      <c r="AS10" s="1" t="s">
        <v>372</v>
      </c>
      <c r="AT10" s="1" t="s">
        <v>373</v>
      </c>
      <c r="AU10" s="1" t="s">
        <v>374</v>
      </c>
      <c r="AV10" s="1" t="s">
        <v>375</v>
      </c>
      <c r="AW10" s="1">
        <v>255.21700000000001</v>
      </c>
      <c r="AX10" s="1">
        <v>18.956</v>
      </c>
      <c r="AY10" s="1">
        <v>4876.7049999999999</v>
      </c>
      <c r="AZ10" s="1">
        <v>550.34799999999996</v>
      </c>
      <c r="BA10" s="1">
        <v>18.956</v>
      </c>
      <c r="BB10" s="19">
        <v>0.10671296296296295</v>
      </c>
      <c r="BC10" s="19">
        <v>1.6111111111111111E-2</v>
      </c>
      <c r="BD10" s="19">
        <v>1.8938310185185185</v>
      </c>
      <c r="BE10" s="19">
        <v>0.21793981481481481</v>
      </c>
      <c r="BF10" s="3" t="s">
        <v>281</v>
      </c>
      <c r="BG10" s="3" t="s">
        <v>281</v>
      </c>
      <c r="BH10" s="19">
        <v>1.6111111111111111E-2</v>
      </c>
    </row>
    <row r="11" spans="1:60" ht="28.8">
      <c r="A11" s="58" t="s">
        <v>42</v>
      </c>
      <c r="B11" s="59" t="s">
        <v>43</v>
      </c>
      <c r="C11" s="59" t="s">
        <v>44</v>
      </c>
      <c r="D11" s="83">
        <v>44375</v>
      </c>
      <c r="E11" s="83">
        <v>44925</v>
      </c>
      <c r="F11" s="59" t="s">
        <v>36</v>
      </c>
      <c r="G11" s="61">
        <v>401</v>
      </c>
      <c r="H11" s="61">
        <v>274</v>
      </c>
      <c r="I11" s="84">
        <f>$G11*$O11*1.15</f>
        <v>76089.75</v>
      </c>
      <c r="J11" s="61" t="s">
        <v>45</v>
      </c>
      <c r="K11" s="59" t="s">
        <v>46</v>
      </c>
      <c r="L11" s="61">
        <v>29685238</v>
      </c>
      <c r="M11" s="83">
        <v>44391</v>
      </c>
      <c r="N11" s="59" t="s">
        <v>30</v>
      </c>
      <c r="O11" s="61">
        <v>165</v>
      </c>
      <c r="P11" s="61" t="s">
        <v>27</v>
      </c>
      <c r="Q11" s="63" t="s">
        <v>47</v>
      </c>
      <c r="R11" s="59">
        <v>45.610830499999999</v>
      </c>
      <c r="S11" s="59">
        <v>-73.856530699999993</v>
      </c>
      <c r="T11" s="69" t="s">
        <v>48</v>
      </c>
      <c r="U11" s="85" t="s">
        <v>49</v>
      </c>
      <c r="X11" s="1">
        <f>_xlfn.XLOOKUP('Projets Jerome_2_test'!$J3,'Projets Jerome'!$J$2:$J$37,'Projets Jerome'!$AC$2:$AC$37)</f>
        <v>45.583457699999997</v>
      </c>
      <c r="Y11" s="1">
        <f>_xlfn.XLOOKUP('Projets Jerome_2_test'!$J3,'Projets Jerome'!$J$2:$J$37,'Projets Jerome'!$AD$2:$AD$37)</f>
        <v>-73.460523800000004</v>
      </c>
      <c r="AB11" s="1" t="str">
        <f>_xlfn.WEBSERVICE("https://maps.googleapis.com/maps/api/distancematrix/xml?destinations="&amp;$X11&amp;"%2C"&amp;$Y11&amp;"&amp;origins=46.7677269%2C-71.2887151&amp;key=AIzaSyCHth-wrbaKBruFJQMWpdpeHAtAzdbcKh4")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1" s="1" t="str">
        <f>_xlfn.WEBSERVICE("https://maps.googleapis.com/maps/api/distancematrix/xml?destinations="&amp;$X11&amp;"%2C"&amp;$Y11&amp;"&amp;origins=45.5219584%2C-73.6130896&amp;key=AIzaSyCHth-wrbaKBruFJQMWpdpeHAtAzdbcKh4")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1" s="1" t="str">
        <f>_xlfn.WEBSERVICE("https://maps.googleapis.com/maps/api/distancematrix/xml?destinations="&amp;$X11&amp;"%2C"&amp;$Y11&amp;"&amp;origins=49.2838546%2C-123.1196403&amp;key=AIzaSyCHth-wrbaKBruFJQMWpdpeHAtAzdbcKh4")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1" s="1" t="str">
        <f>_xlfn.WEBSERVICE("https://maps.googleapis.com/maps/api/distancematrix/xml?destinations="&amp;$X11&amp;"%2C"&amp;$Y11&amp;"&amp;origins=43.6410825%2C-79.3787196&amp;key=AIzaSyCHth-wrbaKBruFJQMWpdpeHAtAzdbcKh4")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1" s="1" t="e" cm="1">
        <f t="array" ref="AF11">_xlfn.FILTERXML(AB11,"//distance/value")/1000</f>
        <v>#VALUE!</v>
      </c>
      <c r="AG11" s="1" t="e" cm="1">
        <f t="array" ref="AG11">_xlfn.FILTERXML(AC11,"//distance/value")/1000</f>
        <v>#VALUE!</v>
      </c>
      <c r="AH11" s="1" t="e" cm="1">
        <f t="array" ref="AH11">_xlfn.FILTERXML(AD11,"//distance/value")/1000</f>
        <v>#VALUE!</v>
      </c>
      <c r="AI11" s="1" t="e" cm="1">
        <f t="array" ref="AI11">_xlfn.FILTERXML(AE11,"//distance/value")/1000</f>
        <v>#VALUE!</v>
      </c>
      <c r="AJ11" s="1" t="e">
        <f>MIN(AF11:AI11)</f>
        <v>#VALUE!</v>
      </c>
      <c r="AK11" s="19" t="e" cm="1">
        <f t="array" ref="AK11">_xlfn.FILTERXML(AB11,"//duration/value")/60/60/24</f>
        <v>#VALUE!</v>
      </c>
      <c r="AL11" s="19" t="e" cm="1">
        <f t="array" ref="AL11">_xlfn.FILTERXML(AC11,"//duration/value")/60/60/24</f>
        <v>#VALUE!</v>
      </c>
      <c r="AM11" s="19" t="e" cm="1">
        <f t="array" ref="AM11">_xlfn.FILTERXML(AD11,"//duration/value")/60/60/24</f>
        <v>#VALUE!</v>
      </c>
      <c r="AN11" s="19" t="e" cm="1">
        <f t="array" ref="AN11">_xlfn.FILTERXML(AE11,"//duration/value")/60/60/24</f>
        <v>#VALUE!</v>
      </c>
      <c r="AO11" s="3" t="e">
        <f>REPLACE(_xlfn.XLOOKUP(AJ11,$AF11:$AI11,$AF$1:$AI$1), 1, 9, "")</f>
        <v>#VALUE!</v>
      </c>
      <c r="AP11" s="3" t="e">
        <f>REPLACE(_xlfn.XLOOKUP(AQ11,$AK11:$AN11,$AF$1:$AI$1), 1, 9, "")</f>
        <v>#VALUE!</v>
      </c>
      <c r="AQ11" s="19" t="e" cm="1">
        <f t="array" ref="AQ11">_xlfn.FILTERXML(_xlfn.XLOOKUP(AJ11,$AF11:$AI11,AB11:AE11),"//duration/value")/60/60/24</f>
        <v>#VALUE!</v>
      </c>
      <c r="AS11" s="1" t="s">
        <v>376</v>
      </c>
      <c r="AT11" s="1" t="s">
        <v>377</v>
      </c>
      <c r="AU11" s="1" t="s">
        <v>378</v>
      </c>
      <c r="AV11" s="1" t="s">
        <v>379</v>
      </c>
      <c r="AW11" s="1">
        <v>266.89</v>
      </c>
      <c r="AX11" s="1">
        <v>27.878</v>
      </c>
      <c r="AY11" s="1">
        <v>4878.7719999999999</v>
      </c>
      <c r="AZ11" s="1">
        <v>552.41499999999996</v>
      </c>
      <c r="BA11" s="1">
        <v>27.878</v>
      </c>
      <c r="BB11" s="19">
        <v>0.10960648148148149</v>
      </c>
      <c r="BC11" s="19">
        <v>2.1111111111111108E-2</v>
      </c>
      <c r="BD11" s="19">
        <v>1.8956018518518516</v>
      </c>
      <c r="BE11" s="19">
        <v>0.21971064814814814</v>
      </c>
      <c r="BF11" s="3" t="s">
        <v>281</v>
      </c>
      <c r="BG11" s="3" t="s">
        <v>281</v>
      </c>
      <c r="BH11" s="19">
        <v>2.1111111111111108E-2</v>
      </c>
    </row>
    <row r="12" spans="1:60">
      <c r="A12" s="58" t="s">
        <v>203</v>
      </c>
      <c r="B12" s="59" t="s">
        <v>337</v>
      </c>
      <c r="C12" s="59" t="s">
        <v>338</v>
      </c>
      <c r="D12" s="60">
        <v>44350</v>
      </c>
      <c r="E12" s="60">
        <v>44925</v>
      </c>
      <c r="F12" s="59" t="s">
        <v>226</v>
      </c>
      <c r="G12" s="61">
        <v>340</v>
      </c>
      <c r="H12" s="61">
        <v>495.5</v>
      </c>
      <c r="I12" s="84">
        <f>$G12*$O12*1.15</f>
        <v>60604.999999999993</v>
      </c>
      <c r="J12" s="62" t="s">
        <v>339</v>
      </c>
      <c r="K12" s="59" t="s">
        <v>340</v>
      </c>
      <c r="L12" s="61">
        <v>29684797</v>
      </c>
      <c r="M12" s="83">
        <v>44350</v>
      </c>
      <c r="N12" s="59" t="s">
        <v>271</v>
      </c>
      <c r="O12" s="61">
        <v>155</v>
      </c>
      <c r="P12" s="61" t="s">
        <v>27</v>
      </c>
      <c r="Q12" s="63" t="s">
        <v>356</v>
      </c>
      <c r="R12" s="59">
        <v>45.623523900000002</v>
      </c>
      <c r="S12" s="59">
        <v>-73.5627779</v>
      </c>
      <c r="T12" s="44" t="s">
        <v>354</v>
      </c>
      <c r="U12" s="43" t="s">
        <v>355</v>
      </c>
      <c r="X12" s="1">
        <f>_xlfn.XLOOKUP('Projets Jerome_2_test'!$J27,'Projets Jerome'!$J$2:$J$37,'Projets Jerome'!$AC$2:$AC$37)</f>
        <v>45.438667799999997</v>
      </c>
      <c r="Y12" s="1">
        <f>_xlfn.XLOOKUP('Projets Jerome_2_test'!$J27,'Projets Jerome'!$J$2:$J$37,'Projets Jerome'!$AD$2:$AD$37)</f>
        <v>-73.682047600000004</v>
      </c>
      <c r="AB12" s="1" t="str">
        <f>_xlfn.WEBSERVICE("https://maps.googleapis.com/maps/api/distancematrix/xml?destinations="&amp;$X12&amp;"%2C"&amp;$Y12&amp;"&amp;origins=46.7677269%2C-71.2887151&amp;key=AIzaSyCHth-wrbaKBruFJQMWpdpeHAtAzdbcKh4")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2" s="1" t="str">
        <f>_xlfn.WEBSERVICE("https://maps.googleapis.com/maps/api/distancematrix/xml?destinations="&amp;$X12&amp;"%2C"&amp;$Y12&amp;"&amp;origins=45.5219584%2C-73.6130896&amp;key=AIzaSyCHth-wrbaKBruFJQMWpdpeHAtAzdbcKh4")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2" s="1" t="str">
        <f>_xlfn.WEBSERVICE("https://maps.googleapis.com/maps/api/distancematrix/xml?destinations="&amp;$X12&amp;"%2C"&amp;$Y12&amp;"&amp;origins=49.2838546%2C-123.1196403&amp;key=AIzaSyCHth-wrbaKBruFJQMWpdpeHAtAzdbcKh4")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2" s="1" t="str">
        <f>_xlfn.WEBSERVICE("https://maps.googleapis.com/maps/api/distancematrix/xml?destinations="&amp;$X12&amp;"%2C"&amp;$Y12&amp;"&amp;origins=43.6410825%2C-79.3787196&amp;key=AIzaSyCHth-wrbaKBruFJQMWpdpeHAtAzdbcKh4")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2" s="1" t="e" cm="1">
        <f t="array" ref="AF12">_xlfn.FILTERXML(AB12,"//distance/value")/1000</f>
        <v>#VALUE!</v>
      </c>
      <c r="AG12" s="1" t="e" cm="1">
        <f t="array" ref="AG12">_xlfn.FILTERXML(AC12,"//distance/value")/1000</f>
        <v>#VALUE!</v>
      </c>
      <c r="AH12" s="1" t="e" cm="1">
        <f t="array" ref="AH12">_xlfn.FILTERXML(AD12,"//distance/value")/1000</f>
        <v>#VALUE!</v>
      </c>
      <c r="AI12" s="1" t="e" cm="1">
        <f t="array" ref="AI12">_xlfn.FILTERXML(AE12,"//distance/value")/1000</f>
        <v>#VALUE!</v>
      </c>
      <c r="AJ12" s="1" t="e">
        <f>MIN(AF12:AI12)</f>
        <v>#VALUE!</v>
      </c>
      <c r="AK12" s="19" t="e" cm="1">
        <f t="array" ref="AK12">_xlfn.FILTERXML(AB12,"//duration/value")/60/60/24</f>
        <v>#VALUE!</v>
      </c>
      <c r="AL12" s="19" t="e" cm="1">
        <f t="array" ref="AL12">_xlfn.FILTERXML(AC12,"//duration/value")/60/60/24</f>
        <v>#VALUE!</v>
      </c>
      <c r="AM12" s="19" t="e" cm="1">
        <f t="array" ref="AM12">_xlfn.FILTERXML(AD12,"//duration/value")/60/60/24</f>
        <v>#VALUE!</v>
      </c>
      <c r="AN12" s="19" t="e" cm="1">
        <f t="array" ref="AN12">_xlfn.FILTERXML(AE12,"//duration/value")/60/60/24</f>
        <v>#VALUE!</v>
      </c>
      <c r="AO12" s="3" t="e">
        <f>REPLACE(_xlfn.XLOOKUP(AJ12,$AF12:$AI12,$AF$1:$AI$1), 1, 9, "")</f>
        <v>#VALUE!</v>
      </c>
      <c r="AP12" s="3" t="e">
        <f>REPLACE(_xlfn.XLOOKUP(AQ12,$AK12:$AN12,$AF$1:$AI$1), 1, 9, "")</f>
        <v>#VALUE!</v>
      </c>
      <c r="AQ12" s="19" t="e" cm="1">
        <f t="array" ref="AQ12">_xlfn.FILTERXML(_xlfn.XLOOKUP(AJ12,$AF12:$AI12,AB12:AE12),"//duration/value")/60/60/24</f>
        <v>#VALUE!</v>
      </c>
      <c r="AS12" s="1" t="s">
        <v>460</v>
      </c>
      <c r="AT12" s="1" t="s">
        <v>461</v>
      </c>
      <c r="AU12" s="1" t="s">
        <v>462</v>
      </c>
      <c r="AV12" s="1" t="s">
        <v>463</v>
      </c>
      <c r="AW12" s="1">
        <v>246.05699999999999</v>
      </c>
      <c r="AX12" s="1">
        <v>19.599</v>
      </c>
      <c r="AY12" s="1">
        <v>4882.2839999999997</v>
      </c>
      <c r="AZ12" s="1">
        <v>555.92700000000002</v>
      </c>
      <c r="BA12" s="1">
        <v>19.599</v>
      </c>
      <c r="BB12" s="19">
        <v>9.9814814814814801E-2</v>
      </c>
      <c r="BC12" s="19">
        <v>1.7986111111111109E-2</v>
      </c>
      <c r="BD12" s="19">
        <v>1.8985648148148149</v>
      </c>
      <c r="BE12" s="19">
        <v>0.22267361111111109</v>
      </c>
      <c r="BF12" s="3" t="s">
        <v>281</v>
      </c>
      <c r="BG12" s="3" t="s">
        <v>281</v>
      </c>
      <c r="BH12" s="19">
        <v>1.7986111111111109E-2</v>
      </c>
    </row>
    <row r="13" spans="1:60">
      <c r="A13" s="51" t="s">
        <v>42</v>
      </c>
      <c r="B13" s="52" t="s">
        <v>71</v>
      </c>
      <c r="C13" s="52" t="s">
        <v>72</v>
      </c>
      <c r="D13" s="80">
        <v>44519</v>
      </c>
      <c r="E13" s="80">
        <v>44925</v>
      </c>
      <c r="F13" s="52" t="s">
        <v>36</v>
      </c>
      <c r="G13" s="54">
        <v>212</v>
      </c>
      <c r="H13" s="54">
        <v>214.75</v>
      </c>
      <c r="I13" s="81">
        <f>$G13*$O13*1.15</f>
        <v>47540.999999999993</v>
      </c>
      <c r="J13" s="54" t="s">
        <v>73</v>
      </c>
      <c r="K13" s="52" t="s">
        <v>74</v>
      </c>
      <c r="L13" s="54">
        <v>29684853</v>
      </c>
      <c r="M13" s="80">
        <v>44519</v>
      </c>
      <c r="N13" s="52" t="s">
        <v>30</v>
      </c>
      <c r="O13" s="54">
        <v>195</v>
      </c>
      <c r="P13" s="54" t="s">
        <v>27</v>
      </c>
      <c r="Q13" s="56" t="s">
        <v>75</v>
      </c>
      <c r="R13" s="52">
        <v>43.178300999999998</v>
      </c>
      <c r="S13" s="52">
        <v>-80.241827799999996</v>
      </c>
      <c r="T13" s="52" t="s">
        <v>76</v>
      </c>
      <c r="U13" s="82" t="s">
        <v>77</v>
      </c>
      <c r="X13" s="1">
        <f>_xlfn.XLOOKUP('Projets Jerome_2_test'!$J6,'Projets Jerome'!$J$2:$J$37,'Projets Jerome'!$AC$2:$AC$37)</f>
        <v>45.929332700000003</v>
      </c>
      <c r="Y13" s="1">
        <f>_xlfn.XLOOKUP('Projets Jerome_2_test'!$J6,'Projets Jerome'!$J$2:$J$37,'Projets Jerome'!$AD$2:$AD$37)</f>
        <v>-73.016694200000003</v>
      </c>
      <c r="AB13" s="1" t="str">
        <f>_xlfn.WEBSERVICE("https://maps.googleapis.com/maps/api/distancematrix/xml?destinations="&amp;$X13&amp;"%2C"&amp;$Y13&amp;"&amp;origins=46.7677269%2C-71.2887151&amp;key=AIzaSyCHth-wrbaKBruFJQMWpdpeHAtAzdbcKh4")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3" s="1" t="str">
        <f>_xlfn.WEBSERVICE("https://maps.googleapis.com/maps/api/distancematrix/xml?destinations="&amp;$X13&amp;"%2C"&amp;$Y13&amp;"&amp;origins=45.5219584%2C-73.6130896&amp;key=AIzaSyCHth-wrbaKBruFJQMWpdpeHAtAzdbcKh4")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3" s="1" t="str">
        <f>_xlfn.WEBSERVICE("https://maps.googleapis.com/maps/api/distancematrix/xml?destinations="&amp;$X13&amp;"%2C"&amp;$Y13&amp;"&amp;origins=49.2838546%2C-123.1196403&amp;key=AIzaSyCHth-wrbaKBruFJQMWpdpeHAtAzdbcKh4")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3" s="1" t="str">
        <f>_xlfn.WEBSERVICE("https://maps.googleapis.com/maps/api/distancematrix/xml?destinations="&amp;$X13&amp;"%2C"&amp;$Y13&amp;"&amp;origins=43.6410825%2C-79.3787196&amp;key=AIzaSyCHth-wrbaKBruFJQMWpdpeHAtAzdbcKh4")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3" s="1" t="e" cm="1">
        <f t="array" ref="AF13">_xlfn.FILTERXML(AB13,"//distance/value")/1000</f>
        <v>#VALUE!</v>
      </c>
      <c r="AG13" s="1" t="e" cm="1">
        <f t="array" ref="AG13">_xlfn.FILTERXML(AC13,"//distance/value")/1000</f>
        <v>#VALUE!</v>
      </c>
      <c r="AH13" s="1" t="e" cm="1">
        <f t="array" ref="AH13">_xlfn.FILTERXML(AD13,"//distance/value")/1000</f>
        <v>#VALUE!</v>
      </c>
      <c r="AI13" s="1" t="e" cm="1">
        <f t="array" ref="AI13">_xlfn.FILTERXML(AE13,"//distance/value")/1000</f>
        <v>#VALUE!</v>
      </c>
      <c r="AJ13" s="1" t="e">
        <f>MIN(AF13:AI13)</f>
        <v>#VALUE!</v>
      </c>
      <c r="AK13" s="19" t="e" cm="1">
        <f t="array" ref="AK13">_xlfn.FILTERXML(AB13,"//duration/value")/60/60/24</f>
        <v>#VALUE!</v>
      </c>
      <c r="AL13" s="19" t="e" cm="1">
        <f t="array" ref="AL13">_xlfn.FILTERXML(AC13,"//duration/value")/60/60/24</f>
        <v>#VALUE!</v>
      </c>
      <c r="AM13" s="19" t="e" cm="1">
        <f t="array" ref="AM13">_xlfn.FILTERXML(AD13,"//duration/value")/60/60/24</f>
        <v>#VALUE!</v>
      </c>
      <c r="AN13" s="19" t="e" cm="1">
        <f t="array" ref="AN13">_xlfn.FILTERXML(AE13,"//duration/value")/60/60/24</f>
        <v>#VALUE!</v>
      </c>
      <c r="AO13" s="3" t="e">
        <f>REPLACE(_xlfn.XLOOKUP(AJ13,$AF13:$AI13,$AF$1:$AI$1), 1, 9, "")</f>
        <v>#VALUE!</v>
      </c>
      <c r="AP13" s="3" t="e">
        <f>REPLACE(_xlfn.XLOOKUP(AQ13,$AK13:$AN13,$AF$1:$AI$1), 1, 9, "")</f>
        <v>#VALUE!</v>
      </c>
      <c r="AQ13" s="19" t="e" cm="1">
        <f t="array" ref="AQ13">_xlfn.FILTERXML(_xlfn.XLOOKUP(AJ13,$AF13:$AI13,AB13:AE13),"//duration/value")/60/60/24</f>
        <v>#VALUE!</v>
      </c>
      <c r="AS13" s="1" t="s">
        <v>388</v>
      </c>
      <c r="AT13" s="1" t="s">
        <v>389</v>
      </c>
      <c r="AU13" s="1" t="s">
        <v>390</v>
      </c>
      <c r="AV13" s="1" t="s">
        <v>391</v>
      </c>
      <c r="AW13" s="1">
        <v>893.51300000000003</v>
      </c>
      <c r="AX13" s="1">
        <v>639.92200000000003</v>
      </c>
      <c r="AY13" s="1">
        <v>4244.5429999999997</v>
      </c>
      <c r="AZ13" s="1">
        <v>97.984999999999999</v>
      </c>
      <c r="BA13" s="1">
        <v>97.984999999999999</v>
      </c>
      <c r="BB13" s="19">
        <v>0.35339120370370369</v>
      </c>
      <c r="BC13" s="19">
        <v>0.25953703703703707</v>
      </c>
      <c r="BD13" s="19">
        <v>1.6477083333333331</v>
      </c>
      <c r="BE13" s="19">
        <v>4.313657407407407E-2</v>
      </c>
      <c r="BF13" s="3" t="s">
        <v>249</v>
      </c>
      <c r="BG13" s="3" t="s">
        <v>249</v>
      </c>
      <c r="BH13" s="19">
        <v>4.313657407407407E-2</v>
      </c>
    </row>
    <row r="14" spans="1:60">
      <c r="A14" s="58" t="s">
        <v>42</v>
      </c>
      <c r="B14" s="59" t="s">
        <v>348</v>
      </c>
      <c r="C14" s="59" t="s">
        <v>346</v>
      </c>
      <c r="D14" s="60">
        <v>44790</v>
      </c>
      <c r="E14" s="60">
        <v>45289</v>
      </c>
      <c r="F14" s="59" t="s">
        <v>36</v>
      </c>
      <c r="G14" s="61">
        <v>238</v>
      </c>
      <c r="H14" s="61">
        <v>233</v>
      </c>
      <c r="I14" s="84">
        <f>$G14*$O14*1.15</f>
        <v>45160.5</v>
      </c>
      <c r="J14" s="62" t="s">
        <v>349</v>
      </c>
      <c r="K14" s="59" t="s">
        <v>348</v>
      </c>
      <c r="L14" s="61">
        <v>29685229</v>
      </c>
      <c r="M14" s="83">
        <v>44790</v>
      </c>
      <c r="N14" s="59" t="s">
        <v>30</v>
      </c>
      <c r="O14" s="61">
        <v>165</v>
      </c>
      <c r="P14" s="61" t="s">
        <v>27</v>
      </c>
      <c r="Q14" s="63" t="s">
        <v>353</v>
      </c>
      <c r="R14" s="59">
        <v>45.6243664</v>
      </c>
      <c r="S14" s="59">
        <v>-73.567282199999994</v>
      </c>
      <c r="T14" s="44" t="s">
        <v>352</v>
      </c>
      <c r="U14" s="85" t="s">
        <v>350</v>
      </c>
      <c r="X14" s="1">
        <f>_xlfn.XLOOKUP('Projets Jerome_2_test'!$J29,'Projets Jerome'!$J$2:$J$37,'Projets Jerome'!$AC$2:$AC$37)</f>
        <v>45.891391800000001</v>
      </c>
      <c r="Y14" s="1">
        <f>_xlfn.XLOOKUP('Projets Jerome_2_test'!$J29,'Projets Jerome'!$J$2:$J$37,'Projets Jerome'!$AD$2:$AD$37)</f>
        <v>-122.7430619</v>
      </c>
      <c r="AB14" s="1" t="str">
        <f>_xlfn.WEBSERVICE("https://maps.googleapis.com/maps/api/distancematrix/xml?destinations="&amp;$X14&amp;"%2C"&amp;$Y14&amp;"&amp;origins=46.7677269%2C-71.2887151&amp;key=AIzaSyCHth-wrbaKBruFJQMWpdpeHAtAzdbcKh4")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4" s="1" t="str">
        <f>_xlfn.WEBSERVICE("https://maps.googleapis.com/maps/api/distancematrix/xml?destinations="&amp;$X14&amp;"%2C"&amp;$Y14&amp;"&amp;origins=45.5219584%2C-73.6130896&amp;key=AIzaSyCHth-wrbaKBruFJQMWpdpeHAtAzdbcKh4")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4" s="1" t="str">
        <f>_xlfn.WEBSERVICE("https://maps.googleapis.com/maps/api/distancematrix/xml?destinations="&amp;$X14&amp;"%2C"&amp;$Y14&amp;"&amp;origins=49.2838546%2C-123.1196403&amp;key=AIzaSyCHth-wrbaKBruFJQMWpdpeHAtAzdbcKh4")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4" s="1" t="str">
        <f>_xlfn.WEBSERVICE("https://maps.googleapis.com/maps/api/distancematrix/xml?destinations="&amp;$X14&amp;"%2C"&amp;$Y14&amp;"&amp;origins=43.6410825%2C-79.3787196&amp;key=AIzaSyCHth-wrbaKBruFJQMWpdpeHAtAzdbcKh4")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4" s="1" t="e" cm="1">
        <f t="array" ref="AF14">_xlfn.FILTERXML(AB14,"//distance/value")/1000</f>
        <v>#VALUE!</v>
      </c>
      <c r="AG14" s="1" t="e" cm="1">
        <f t="array" ref="AG14">_xlfn.FILTERXML(AC14,"//distance/value")/1000</f>
        <v>#VALUE!</v>
      </c>
      <c r="AH14" s="1" t="e" cm="1">
        <f t="array" ref="AH14">_xlfn.FILTERXML(AD14,"//distance/value")/1000</f>
        <v>#VALUE!</v>
      </c>
      <c r="AI14" s="1" t="e" cm="1">
        <f t="array" ref="AI14">_xlfn.FILTERXML(AE14,"//distance/value")/1000</f>
        <v>#VALUE!</v>
      </c>
      <c r="AJ14" s="1" t="e">
        <f>MIN(AF14:AI14)</f>
        <v>#VALUE!</v>
      </c>
      <c r="AK14" s="19" t="e" cm="1">
        <f t="array" ref="AK14">_xlfn.FILTERXML(AB14,"//duration/value")/60/60/24</f>
        <v>#VALUE!</v>
      </c>
      <c r="AL14" s="19" t="e" cm="1">
        <f t="array" ref="AL14">_xlfn.FILTERXML(AC14,"//duration/value")/60/60/24</f>
        <v>#VALUE!</v>
      </c>
      <c r="AM14" s="19" t="e" cm="1">
        <f t="array" ref="AM14">_xlfn.FILTERXML(AD14,"//duration/value")/60/60/24</f>
        <v>#VALUE!</v>
      </c>
      <c r="AN14" s="19" t="e" cm="1">
        <f t="array" ref="AN14">_xlfn.FILTERXML(AE14,"//duration/value")/60/60/24</f>
        <v>#VALUE!</v>
      </c>
      <c r="AO14" s="3" t="e">
        <f>REPLACE(_xlfn.XLOOKUP(AJ14,$AF14:$AI14,$AF$1:$AI$1), 1, 9, "")</f>
        <v>#VALUE!</v>
      </c>
      <c r="AP14" s="3" t="e">
        <f>REPLACE(_xlfn.XLOOKUP(AQ14,$AK14:$AN14,$AF$1:$AI$1), 1, 9, "")</f>
        <v>#VALUE!</v>
      </c>
      <c r="AQ14" s="19" t="e" cm="1">
        <f t="array" ref="AQ14">_xlfn.FILTERXML(_xlfn.XLOOKUP(AJ14,$AF14:$AI14,AB14:AE14),"//duration/value")/60/60/24</f>
        <v>#VALUE!</v>
      </c>
      <c r="AS14" s="1" t="s">
        <v>468</v>
      </c>
      <c r="AT14" s="1" t="s">
        <v>469</v>
      </c>
      <c r="AU14" s="1" t="s">
        <v>470</v>
      </c>
      <c r="AV14" s="1" t="s">
        <v>471</v>
      </c>
      <c r="AW14" s="1">
        <v>246.46700000000001</v>
      </c>
      <c r="AX14" s="1">
        <v>20.007999999999999</v>
      </c>
      <c r="AY14" s="1">
        <v>4882.6930000000002</v>
      </c>
      <c r="AZ14" s="1">
        <v>556.33699999999999</v>
      </c>
      <c r="BA14" s="1">
        <v>20.007999999999999</v>
      </c>
      <c r="BB14" s="19">
        <v>0.10012731481481481</v>
      </c>
      <c r="BC14" s="19">
        <v>1.8298611111111113E-2</v>
      </c>
      <c r="BD14" s="19">
        <v>1.8988888888888891</v>
      </c>
      <c r="BE14" s="19">
        <v>0.22299768518518517</v>
      </c>
      <c r="BF14" s="3" t="s">
        <v>281</v>
      </c>
      <c r="BG14" s="3" t="s">
        <v>281</v>
      </c>
      <c r="BH14" s="19">
        <v>1.8298611111111113E-2</v>
      </c>
    </row>
    <row r="15" spans="1:60" ht="28.8">
      <c r="A15" s="58" t="s">
        <v>23</v>
      </c>
      <c r="B15" s="59" t="s">
        <v>119</v>
      </c>
      <c r="C15" s="59" t="s">
        <v>120</v>
      </c>
      <c r="D15" s="83">
        <v>44690</v>
      </c>
      <c r="E15" s="83">
        <v>44985</v>
      </c>
      <c r="F15" s="59" t="s">
        <v>36</v>
      </c>
      <c r="G15" s="61">
        <v>230</v>
      </c>
      <c r="H15" s="61">
        <v>87.75</v>
      </c>
      <c r="I15" s="84">
        <f>$G15*$O15*1.15</f>
        <v>39675</v>
      </c>
      <c r="J15" s="61" t="s">
        <v>121</v>
      </c>
      <c r="K15" s="59" t="s">
        <v>122</v>
      </c>
      <c r="L15" s="61">
        <v>29685185</v>
      </c>
      <c r="M15" s="83">
        <v>44696</v>
      </c>
      <c r="N15" s="59" t="s">
        <v>30</v>
      </c>
      <c r="O15" s="61">
        <v>150</v>
      </c>
      <c r="P15" s="61" t="s">
        <v>112</v>
      </c>
      <c r="Q15" s="63" t="s">
        <v>123</v>
      </c>
      <c r="R15" s="59">
        <v>36.791963199999998</v>
      </c>
      <c r="S15" s="59">
        <v>-76.246086000000005</v>
      </c>
      <c r="T15" s="69" t="s">
        <v>124</v>
      </c>
      <c r="U15" s="85" t="s">
        <v>125</v>
      </c>
      <c r="X15" s="1">
        <f>_xlfn.XLOOKUP('Projets Jerome_2_test'!$J13,'Projets Jerome'!$J$2:$J$37,'Projets Jerome'!$AC$2:$AC$37)</f>
        <v>43.178300999999998</v>
      </c>
      <c r="Y15" s="1">
        <f>_xlfn.XLOOKUP('Projets Jerome_2_test'!$J13,'Projets Jerome'!$J$2:$J$37,'Projets Jerome'!$AD$2:$AD$37)</f>
        <v>-80.241827799999996</v>
      </c>
      <c r="AB15" s="1" t="str">
        <f>_xlfn.WEBSERVICE("https://maps.googleapis.com/maps/api/distancematrix/xml?destinations="&amp;$X15&amp;"%2C"&amp;$Y15&amp;"&amp;origins=46.7677269%2C-71.2887151&amp;key=AIzaSyCHth-wrbaKBruFJQMWpdpeHAtAzdbcKh4")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5" s="1" t="str">
        <f>_xlfn.WEBSERVICE("https://maps.googleapis.com/maps/api/distancematrix/xml?destinations="&amp;$X15&amp;"%2C"&amp;$Y15&amp;"&amp;origins=45.5219584%2C-73.6130896&amp;key=AIzaSyCHth-wrbaKBruFJQMWpdpeHAtAzdbcKh4")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5" s="1" t="str">
        <f>_xlfn.WEBSERVICE("https://maps.googleapis.com/maps/api/distancematrix/xml?destinations="&amp;$X15&amp;"%2C"&amp;$Y15&amp;"&amp;origins=49.2838546%2C-123.1196403&amp;key=AIzaSyCHth-wrbaKBruFJQMWpdpeHAtAzdbcKh4")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5" s="1" t="str">
        <f>_xlfn.WEBSERVICE("https://maps.googleapis.com/maps/api/distancematrix/xml?destinations="&amp;$X15&amp;"%2C"&amp;$Y15&amp;"&amp;origins=43.6410825%2C-79.3787196&amp;key=AIzaSyCHth-wrbaKBruFJQMWpdpeHAtAzdbcKh4")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5" s="1" t="e" cm="1">
        <f t="array" ref="AF15">_xlfn.FILTERXML(AB15,"//distance/value")/1000</f>
        <v>#VALUE!</v>
      </c>
      <c r="AG15" s="1" t="e" cm="1">
        <f t="array" ref="AG15">_xlfn.FILTERXML(AC15,"//distance/value")/1000</f>
        <v>#VALUE!</v>
      </c>
      <c r="AH15" s="1" t="e" cm="1">
        <f t="array" ref="AH15">_xlfn.FILTERXML(AD15,"//distance/value")/1000</f>
        <v>#VALUE!</v>
      </c>
      <c r="AI15" s="1" t="e" cm="1">
        <f t="array" ref="AI15">_xlfn.FILTERXML(AE15,"//distance/value")/1000</f>
        <v>#VALUE!</v>
      </c>
      <c r="AJ15" s="1" t="e">
        <f>MIN(AF15:AI15)</f>
        <v>#VALUE!</v>
      </c>
      <c r="AK15" s="19" t="e" cm="1">
        <f t="array" ref="AK15">_xlfn.FILTERXML(AB15,"//duration/value")/60/60/24</f>
        <v>#VALUE!</v>
      </c>
      <c r="AL15" s="19" t="e" cm="1">
        <f t="array" ref="AL15">_xlfn.FILTERXML(AC15,"//duration/value")/60/60/24</f>
        <v>#VALUE!</v>
      </c>
      <c r="AM15" s="19" t="e" cm="1">
        <f t="array" ref="AM15">_xlfn.FILTERXML(AD15,"//duration/value")/60/60/24</f>
        <v>#VALUE!</v>
      </c>
      <c r="AN15" s="19" t="e" cm="1">
        <f t="array" ref="AN15">_xlfn.FILTERXML(AE15,"//duration/value")/60/60/24</f>
        <v>#VALUE!</v>
      </c>
      <c r="AO15" s="3" t="e">
        <f>REPLACE(_xlfn.XLOOKUP(AJ15,$AF15:$AI15,$AF$1:$AI$1), 1, 9, "")</f>
        <v>#VALUE!</v>
      </c>
      <c r="AP15" s="3" t="e">
        <f>REPLACE(_xlfn.XLOOKUP(AQ15,$AK15:$AN15,$AF$1:$AI$1), 1, 9, "")</f>
        <v>#VALUE!</v>
      </c>
      <c r="AQ15" s="19" t="e" cm="1">
        <f t="array" ref="AQ15">_xlfn.FILTERXML(_xlfn.XLOOKUP(AJ15,$AF15:$AI15,AB15:AE15),"//duration/value")/60/60/24</f>
        <v>#VALUE!</v>
      </c>
      <c r="AS15" s="1" t="s">
        <v>412</v>
      </c>
      <c r="AT15" s="1" t="s">
        <v>413</v>
      </c>
      <c r="AU15" s="1" t="s">
        <v>414</v>
      </c>
      <c r="AV15" s="1" t="s">
        <v>415</v>
      </c>
      <c r="AW15" s="1">
        <v>1390.2049999999999</v>
      </c>
      <c r="AX15" s="1">
        <v>1170.9860000000001</v>
      </c>
      <c r="AY15" s="1">
        <v>4939.9229999999998</v>
      </c>
      <c r="AZ15" s="1">
        <v>1083.854</v>
      </c>
      <c r="BA15" s="1">
        <v>1083.854</v>
      </c>
      <c r="BB15" s="19">
        <v>0.57505787037037037</v>
      </c>
      <c r="BC15" s="19">
        <v>0.49809027777777781</v>
      </c>
      <c r="BD15" s="19">
        <v>1.9241203703703702</v>
      </c>
      <c r="BE15" s="19">
        <v>0.46572916666666669</v>
      </c>
      <c r="BF15" s="3" t="s">
        <v>249</v>
      </c>
      <c r="BG15" s="3" t="s">
        <v>249</v>
      </c>
      <c r="BH15" s="19">
        <v>0.46572916666666669</v>
      </c>
    </row>
    <row r="16" spans="1:60" ht="28.8">
      <c r="A16" s="58" t="s">
        <v>102</v>
      </c>
      <c r="B16" s="59" t="s">
        <v>103</v>
      </c>
      <c r="C16" s="59" t="s">
        <v>104</v>
      </c>
      <c r="D16" s="83">
        <v>44562</v>
      </c>
      <c r="E16" s="83">
        <v>44962</v>
      </c>
      <c r="F16" s="59" t="s">
        <v>36</v>
      </c>
      <c r="G16" s="61">
        <v>200</v>
      </c>
      <c r="H16" s="61">
        <v>5</v>
      </c>
      <c r="I16" s="84">
        <f>$G16*$O16*1.15</f>
        <v>39100</v>
      </c>
      <c r="J16" s="61" t="s">
        <v>105</v>
      </c>
      <c r="K16" s="59" t="s">
        <v>106</v>
      </c>
      <c r="L16" s="61">
        <v>29685103</v>
      </c>
      <c r="M16" s="83">
        <v>44571</v>
      </c>
      <c r="N16" s="59" t="s">
        <v>30</v>
      </c>
      <c r="O16" s="61">
        <v>170</v>
      </c>
      <c r="P16" s="61" t="s">
        <v>27</v>
      </c>
      <c r="Q16" s="63" t="s">
        <v>107</v>
      </c>
      <c r="R16" s="59">
        <v>45.471083700000001</v>
      </c>
      <c r="S16" s="59">
        <v>-73.694928099999998</v>
      </c>
      <c r="T16" s="69" t="s">
        <v>108</v>
      </c>
      <c r="U16" s="85" t="s">
        <v>109</v>
      </c>
      <c r="X16" s="1">
        <f>_xlfn.XLOOKUP('Projets Jerome_2_test'!$J11,'Projets Jerome'!$J$2:$J$37,'Projets Jerome'!$AC$2:$AC$37)</f>
        <v>45.610830499999999</v>
      </c>
      <c r="Y16" s="1">
        <f>_xlfn.XLOOKUP('Projets Jerome_2_test'!$J11,'Projets Jerome'!$J$2:$J$37,'Projets Jerome'!$AD$2:$AD$37)</f>
        <v>-73.856530699999993</v>
      </c>
      <c r="AB16" s="1" t="str">
        <f>_xlfn.WEBSERVICE("https://maps.googleapis.com/maps/api/distancematrix/xml?destinations="&amp;$X16&amp;"%2C"&amp;$Y16&amp;"&amp;origins=46.7677269%2C-71.2887151&amp;key=AIzaSyCHth-wrbaKBruFJQMWpdpeHAtAzdbcKh4")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6" s="1" t="str">
        <f>_xlfn.WEBSERVICE("https://maps.googleapis.com/maps/api/distancematrix/xml?destinations="&amp;$X16&amp;"%2C"&amp;$Y16&amp;"&amp;origins=45.5219584%2C-73.6130896&amp;key=AIzaSyCHth-wrbaKBruFJQMWpdpeHAtAzdbcKh4")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6" s="1" t="str">
        <f>_xlfn.WEBSERVICE("https://maps.googleapis.com/maps/api/distancematrix/xml?destinations="&amp;$X16&amp;"%2C"&amp;$Y16&amp;"&amp;origins=49.2838546%2C-123.1196403&amp;key=AIzaSyCHth-wrbaKBruFJQMWpdpeHAtAzdbcKh4")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6" s="1" t="str">
        <f>_xlfn.WEBSERVICE("https://maps.googleapis.com/maps/api/distancematrix/xml?destinations="&amp;$X16&amp;"%2C"&amp;$Y16&amp;"&amp;origins=43.6410825%2C-79.3787196&amp;key=AIzaSyCHth-wrbaKBruFJQMWpdpeHAtAzdbcKh4")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6" s="1" t="e" cm="1">
        <f t="array" ref="AF16">_xlfn.FILTERXML(AB16,"//distance/value")/1000</f>
        <v>#VALUE!</v>
      </c>
      <c r="AG16" s="1" t="e" cm="1">
        <f t="array" ref="AG16">_xlfn.FILTERXML(AC16,"//distance/value")/1000</f>
        <v>#VALUE!</v>
      </c>
      <c r="AH16" s="1" t="e" cm="1">
        <f t="array" ref="AH16">_xlfn.FILTERXML(AD16,"//distance/value")/1000</f>
        <v>#VALUE!</v>
      </c>
      <c r="AI16" s="1" t="e" cm="1">
        <f t="array" ref="AI16">_xlfn.FILTERXML(AE16,"//distance/value")/1000</f>
        <v>#VALUE!</v>
      </c>
      <c r="AJ16" s="1" t="e">
        <f>MIN(AF16:AI16)</f>
        <v>#VALUE!</v>
      </c>
      <c r="AK16" s="19" t="e" cm="1">
        <f t="array" ref="AK16">_xlfn.FILTERXML(AB16,"//duration/value")/60/60/24</f>
        <v>#VALUE!</v>
      </c>
      <c r="AL16" s="19" t="e" cm="1">
        <f t="array" ref="AL16">_xlfn.FILTERXML(AC16,"//duration/value")/60/60/24</f>
        <v>#VALUE!</v>
      </c>
      <c r="AM16" s="19" t="e" cm="1">
        <f t="array" ref="AM16">_xlfn.FILTERXML(AD16,"//duration/value")/60/60/24</f>
        <v>#VALUE!</v>
      </c>
      <c r="AN16" s="19" t="e" cm="1">
        <f t="array" ref="AN16">_xlfn.FILTERXML(AE16,"//duration/value")/60/60/24</f>
        <v>#VALUE!</v>
      </c>
      <c r="AO16" s="3" t="e">
        <f>REPLACE(_xlfn.XLOOKUP(AJ16,$AF16:$AI16,$AF$1:$AI$1), 1, 9, "")</f>
        <v>#VALUE!</v>
      </c>
      <c r="AP16" s="3" t="e">
        <f>REPLACE(_xlfn.XLOOKUP(AQ16,$AK16:$AN16,$AF$1:$AI$1), 1, 9, "")</f>
        <v>#VALUE!</v>
      </c>
      <c r="AQ16" s="19" t="e" cm="1">
        <f t="array" ref="AQ16">_xlfn.FILTERXML(_xlfn.XLOOKUP(AJ16,$AF16:$AI16,AB16:AE16),"//duration/value")/60/60/24</f>
        <v>#VALUE!</v>
      </c>
      <c r="AS16" s="1" t="s">
        <v>404</v>
      </c>
      <c r="AT16" s="1" t="s">
        <v>405</v>
      </c>
      <c r="AU16" s="1" t="s">
        <v>406</v>
      </c>
      <c r="AV16" s="1" t="s">
        <v>407</v>
      </c>
      <c r="AW16" s="1">
        <v>262.87400000000002</v>
      </c>
      <c r="AX16" s="1">
        <v>10.914999999999999</v>
      </c>
      <c r="AY16" s="1">
        <v>4862.3109999999997</v>
      </c>
      <c r="AZ16" s="1">
        <v>535.95500000000004</v>
      </c>
      <c r="BA16" s="1">
        <v>10.914999999999999</v>
      </c>
      <c r="BB16" s="19">
        <v>0.11004629629629629</v>
      </c>
      <c r="BC16" s="19">
        <v>1.638888888888889E-2</v>
      </c>
      <c r="BD16" s="19">
        <v>1.8888425925925925</v>
      </c>
      <c r="BE16" s="19">
        <v>0.21295138888888887</v>
      </c>
      <c r="BF16" s="3" t="s">
        <v>281</v>
      </c>
      <c r="BG16" s="3" t="s">
        <v>281</v>
      </c>
      <c r="BH16" s="19">
        <v>1.638888888888889E-2</v>
      </c>
    </row>
    <row r="17" spans="1:60" ht="28.8">
      <c r="A17" s="58" t="s">
        <v>42</v>
      </c>
      <c r="B17" s="59" t="s">
        <v>57</v>
      </c>
      <c r="C17" s="59" t="s">
        <v>65</v>
      </c>
      <c r="D17" s="83">
        <v>44440</v>
      </c>
      <c r="E17" s="83">
        <v>44925</v>
      </c>
      <c r="F17" s="59" t="s">
        <v>26</v>
      </c>
      <c r="G17" s="61">
        <v>200</v>
      </c>
      <c r="H17" s="61">
        <v>103.25</v>
      </c>
      <c r="I17" s="84">
        <f>$G17*$O17*1.15</f>
        <v>35650</v>
      </c>
      <c r="J17" s="61" t="s">
        <v>66</v>
      </c>
      <c r="K17" s="59" t="s">
        <v>67</v>
      </c>
      <c r="L17" s="61">
        <v>29684829</v>
      </c>
      <c r="M17" s="83">
        <v>44461</v>
      </c>
      <c r="N17" s="59" t="s">
        <v>61</v>
      </c>
      <c r="O17" s="61">
        <v>155</v>
      </c>
      <c r="P17" s="61" t="s">
        <v>27</v>
      </c>
      <c r="Q17" s="63" t="s">
        <v>68</v>
      </c>
      <c r="R17" s="59">
        <v>45.533356400000002</v>
      </c>
      <c r="S17" s="59">
        <v>-73.662945699999995</v>
      </c>
      <c r="T17" s="69" t="s">
        <v>69</v>
      </c>
      <c r="U17" s="85" t="s">
        <v>70</v>
      </c>
      <c r="X17" s="1">
        <f>_xlfn.XLOOKUP('Projets Jerome_2_test'!$J5,'Projets Jerome'!$J$2:$J$37,'Projets Jerome'!$AC$2:$AC$37)</f>
        <v>45.529286800000001</v>
      </c>
      <c r="Y17" s="1">
        <f>_xlfn.XLOOKUP('Projets Jerome_2_test'!$J5,'Projets Jerome'!$J$2:$J$37,'Projets Jerome'!$AD$2:$AD$37)</f>
        <v>-73.664845299999996</v>
      </c>
      <c r="AB17" s="1" t="str">
        <f>_xlfn.WEBSERVICE("https://maps.googleapis.com/maps/api/distancematrix/xml?destinations="&amp;$X17&amp;"%2C"&amp;$Y17&amp;"&amp;origins=46.7677269%2C-71.2887151&amp;key=AIzaSyCHth-wrbaKBruFJQMWpdpeHAtAzdbcKh4")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7" s="1" t="str">
        <f>_xlfn.WEBSERVICE("https://maps.googleapis.com/maps/api/distancematrix/xml?destinations="&amp;$X17&amp;"%2C"&amp;$Y17&amp;"&amp;origins=45.5219584%2C-73.6130896&amp;key=AIzaSyCHth-wrbaKBruFJQMWpdpeHAtAzdbcKh4")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7" s="1" t="str">
        <f>_xlfn.WEBSERVICE("https://maps.googleapis.com/maps/api/distancematrix/xml?destinations="&amp;$X17&amp;"%2C"&amp;$Y17&amp;"&amp;origins=49.2838546%2C-123.1196403&amp;key=AIzaSyCHth-wrbaKBruFJQMWpdpeHAtAzdbcKh4")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7" s="1" t="str">
        <f>_xlfn.WEBSERVICE("https://maps.googleapis.com/maps/api/distancematrix/xml?destinations="&amp;$X17&amp;"%2C"&amp;$Y17&amp;"&amp;origins=43.6410825%2C-79.3787196&amp;key=AIzaSyCHth-wrbaKBruFJQMWpdpeHAtAzdbcKh4")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7" s="1" t="e" cm="1">
        <f t="array" ref="AF17">_xlfn.FILTERXML(AB17,"//distance/value")/1000</f>
        <v>#VALUE!</v>
      </c>
      <c r="AG17" s="1" t="e" cm="1">
        <f t="array" ref="AG17">_xlfn.FILTERXML(AC17,"//distance/value")/1000</f>
        <v>#VALUE!</v>
      </c>
      <c r="AH17" s="1" t="e" cm="1">
        <f t="array" ref="AH17">_xlfn.FILTERXML(AD17,"//distance/value")/1000</f>
        <v>#VALUE!</v>
      </c>
      <c r="AI17" s="1" t="e" cm="1">
        <f t="array" ref="AI17">_xlfn.FILTERXML(AE17,"//distance/value")/1000</f>
        <v>#VALUE!</v>
      </c>
      <c r="AJ17" s="1" t="e">
        <f>MIN(AF17:AI17)</f>
        <v>#VALUE!</v>
      </c>
      <c r="AK17" s="19" t="e" cm="1">
        <f t="array" ref="AK17">_xlfn.FILTERXML(AB17,"//duration/value")/60/60/24</f>
        <v>#VALUE!</v>
      </c>
      <c r="AL17" s="19" t="e" cm="1">
        <f t="array" ref="AL17">_xlfn.FILTERXML(AC17,"//duration/value")/60/60/24</f>
        <v>#VALUE!</v>
      </c>
      <c r="AM17" s="19" t="e" cm="1">
        <f t="array" ref="AM17">_xlfn.FILTERXML(AD17,"//duration/value")/60/60/24</f>
        <v>#VALUE!</v>
      </c>
      <c r="AN17" s="19" t="e" cm="1">
        <f t="array" ref="AN17">_xlfn.FILTERXML(AE17,"//duration/value")/60/60/24</f>
        <v>#VALUE!</v>
      </c>
      <c r="AO17" s="3" t="e">
        <f>REPLACE(_xlfn.XLOOKUP(AJ17,$AF17:$AI17,$AF$1:$AI$1), 1, 9, "")</f>
        <v>#VALUE!</v>
      </c>
      <c r="AP17" s="3" t="e">
        <f>REPLACE(_xlfn.XLOOKUP(AQ17,$AK17:$AN17,$AF$1:$AI$1), 1, 9, "")</f>
        <v>#VALUE!</v>
      </c>
      <c r="AQ17" s="19" t="e" cm="1">
        <f t="array" ref="AQ17">_xlfn.FILTERXML(_xlfn.XLOOKUP(AJ17,$AF17:$AI17,AB17:AE17),"//duration/value")/60/60/24</f>
        <v>#VALUE!</v>
      </c>
      <c r="AS17" s="1" t="s">
        <v>384</v>
      </c>
      <c r="AT17" s="1" t="s">
        <v>385</v>
      </c>
      <c r="AU17" s="1" t="s">
        <v>386</v>
      </c>
      <c r="AV17" s="1" t="s">
        <v>387</v>
      </c>
      <c r="AW17" s="1">
        <v>248.018</v>
      </c>
      <c r="AX17" s="1">
        <v>5.6660000000000004</v>
      </c>
      <c r="AY17" s="1">
        <v>4869.6980000000003</v>
      </c>
      <c r="AZ17" s="1">
        <v>543.34100000000001</v>
      </c>
      <c r="BA17" s="1">
        <v>5.6660000000000004</v>
      </c>
      <c r="BB17" s="19">
        <v>0.10621527777777777</v>
      </c>
      <c r="BC17" s="19">
        <v>1.1863425925925925E-2</v>
      </c>
      <c r="BD17" s="19">
        <v>1.8924421296296297</v>
      </c>
      <c r="BE17" s="19">
        <v>0.21655092592592592</v>
      </c>
      <c r="BF17" s="3" t="s">
        <v>281</v>
      </c>
      <c r="BG17" s="3" t="s">
        <v>281</v>
      </c>
      <c r="BH17" s="19">
        <v>1.1863425925925925E-2</v>
      </c>
    </row>
    <row r="18" spans="1:60" ht="28.8">
      <c r="A18" s="51" t="s">
        <v>42</v>
      </c>
      <c r="B18" s="52" t="s">
        <v>160</v>
      </c>
      <c r="C18" s="52" t="s">
        <v>134</v>
      </c>
      <c r="D18" s="80">
        <v>44858</v>
      </c>
      <c r="E18" s="80">
        <v>45016</v>
      </c>
      <c r="F18" s="52" t="s">
        <v>36</v>
      </c>
      <c r="G18" s="54">
        <v>166</v>
      </c>
      <c r="H18" s="54">
        <v>1</v>
      </c>
      <c r="I18" s="81">
        <f>$G18*$O18*1.15</f>
        <v>31498.499999999996</v>
      </c>
      <c r="J18" s="54" t="s">
        <v>161</v>
      </c>
      <c r="K18" s="52" t="s">
        <v>160</v>
      </c>
      <c r="L18" s="54">
        <v>29685255</v>
      </c>
      <c r="M18" s="80">
        <v>44858</v>
      </c>
      <c r="N18" s="52" t="s">
        <v>81</v>
      </c>
      <c r="O18" s="54">
        <v>165</v>
      </c>
      <c r="P18" s="54" t="s">
        <v>27</v>
      </c>
      <c r="Q18" s="56" t="s">
        <v>136</v>
      </c>
      <c r="R18" s="52">
        <v>45.157066800000003</v>
      </c>
      <c r="S18" s="52">
        <v>-71.801298099999997</v>
      </c>
      <c r="T18" s="70" t="s">
        <v>137</v>
      </c>
      <c r="U18" s="82" t="s">
        <v>234</v>
      </c>
      <c r="X18" s="1">
        <f>_xlfn.XLOOKUP('Projets Jerome_2_test'!$J20,'Projets Jerome'!$J$2:$J$37,'Projets Jerome'!$AC$2:$AC$37)</f>
        <v>43.406425900000002</v>
      </c>
      <c r="Y18" s="1">
        <f>_xlfn.XLOOKUP('Projets Jerome_2_test'!$J20,'Projets Jerome'!$J$2:$J$37,'Projets Jerome'!$AD$2:$AD$37)</f>
        <v>-80.289642200000003</v>
      </c>
      <c r="AB18" s="1" t="str">
        <f>_xlfn.WEBSERVICE("https://maps.googleapis.com/maps/api/distancematrix/xml?destinations="&amp;$X18&amp;"%2C"&amp;$Y18&amp;"&amp;origins=46.7677269%2C-71.2887151&amp;key=AIzaSyCHth-wrbaKBruFJQMWpdpeHAtAzdbcKh4")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8" s="1" t="str">
        <f>_xlfn.WEBSERVICE("https://maps.googleapis.com/maps/api/distancematrix/xml?destinations="&amp;$X18&amp;"%2C"&amp;$Y18&amp;"&amp;origins=45.5219584%2C-73.6130896&amp;key=AIzaSyCHth-wrbaKBruFJQMWpdpeHAtAzdbcKh4")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8" s="1" t="str">
        <f>_xlfn.WEBSERVICE("https://maps.googleapis.com/maps/api/distancematrix/xml?destinations="&amp;$X18&amp;"%2C"&amp;$Y18&amp;"&amp;origins=49.2838546%2C-123.1196403&amp;key=AIzaSyCHth-wrbaKBruFJQMWpdpeHAtAzdbcKh4")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8" s="1" t="str">
        <f>_xlfn.WEBSERVICE("https://maps.googleapis.com/maps/api/distancematrix/xml?destinations="&amp;$X18&amp;"%2C"&amp;$Y18&amp;"&amp;origins=43.6410825%2C-79.3787196&amp;key=AIzaSyCHth-wrbaKBruFJQMWpdpeHAtAzdbcKh4")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8" s="1" t="e" cm="1">
        <f t="array" ref="AF18">_xlfn.FILTERXML(AB18,"//distance/value")/1000</f>
        <v>#VALUE!</v>
      </c>
      <c r="AG18" s="1" t="e" cm="1">
        <f t="array" ref="AG18">_xlfn.FILTERXML(AC18,"//distance/value")/1000</f>
        <v>#VALUE!</v>
      </c>
      <c r="AH18" s="1" t="e" cm="1">
        <f t="array" ref="AH18">_xlfn.FILTERXML(AD18,"//distance/value")/1000</f>
        <v>#VALUE!</v>
      </c>
      <c r="AI18" s="1" t="e" cm="1">
        <f t="array" ref="AI18">_xlfn.FILTERXML(AE18,"//distance/value")/1000</f>
        <v>#VALUE!</v>
      </c>
      <c r="AJ18" s="1" t="e">
        <f>MIN(AF18:AI18)</f>
        <v>#VALUE!</v>
      </c>
      <c r="AK18" s="19" t="e" cm="1">
        <f t="array" ref="AK18">_xlfn.FILTERXML(AB18,"//duration/value")/60/60/24</f>
        <v>#VALUE!</v>
      </c>
      <c r="AL18" s="19" t="e" cm="1">
        <f t="array" ref="AL18">_xlfn.FILTERXML(AC18,"//duration/value")/60/60/24</f>
        <v>#VALUE!</v>
      </c>
      <c r="AM18" s="19" t="e" cm="1">
        <f t="array" ref="AM18">_xlfn.FILTERXML(AD18,"//duration/value")/60/60/24</f>
        <v>#VALUE!</v>
      </c>
      <c r="AN18" s="19" t="e" cm="1">
        <f t="array" ref="AN18">_xlfn.FILTERXML(AE18,"//duration/value")/60/60/24</f>
        <v>#VALUE!</v>
      </c>
      <c r="AO18" s="3" t="e">
        <f>REPLACE(_xlfn.XLOOKUP(AJ18,$AF18:$AI18,$AF$1:$AI$1), 1, 9, "")</f>
        <v>#VALUE!</v>
      </c>
      <c r="AP18" s="3" t="e">
        <f>REPLACE(_xlfn.XLOOKUP(AQ18,$AK18:$AN18,$AF$1:$AI$1), 1, 9, "")</f>
        <v>#VALUE!</v>
      </c>
      <c r="AQ18" s="19" t="e" cm="1">
        <f t="array" ref="AQ18">_xlfn.FILTERXML(_xlfn.XLOOKUP(AJ18,$AF18:$AI18,AB18:AE18),"//duration/value")/60/60/24</f>
        <v>#VALUE!</v>
      </c>
      <c r="AS18" s="1" t="s">
        <v>420</v>
      </c>
      <c r="AT18" s="1" t="s">
        <v>421</v>
      </c>
      <c r="AU18" s="1" t="s">
        <v>422</v>
      </c>
      <c r="AV18" s="1" t="s">
        <v>423</v>
      </c>
      <c r="AW18" s="1">
        <v>257.37400000000002</v>
      </c>
      <c r="AX18" s="1">
        <v>174.81299999999999</v>
      </c>
      <c r="AY18" s="1">
        <v>5037.3770000000004</v>
      </c>
      <c r="AZ18" s="1">
        <v>711.02</v>
      </c>
      <c r="BA18" s="1">
        <v>174.81299999999999</v>
      </c>
      <c r="BB18" s="19">
        <v>0.10650462962962964</v>
      </c>
      <c r="BC18" s="19">
        <v>8.7673611111111105E-2</v>
      </c>
      <c r="BD18" s="19">
        <v>1.9615393518518518</v>
      </c>
      <c r="BE18" s="19">
        <v>0.28563657407407406</v>
      </c>
      <c r="BF18" s="3" t="s">
        <v>281</v>
      </c>
      <c r="BG18" s="3" t="s">
        <v>281</v>
      </c>
      <c r="BH18" s="19">
        <v>8.7673611111111105E-2</v>
      </c>
    </row>
    <row r="19" spans="1:60">
      <c r="A19" s="51" t="s">
        <v>102</v>
      </c>
      <c r="B19" s="52" t="s">
        <v>485</v>
      </c>
      <c r="C19" s="52" t="s">
        <v>480</v>
      </c>
      <c r="D19" s="53">
        <v>45006</v>
      </c>
      <c r="E19" s="53">
        <v>45450</v>
      </c>
      <c r="F19" s="52" t="s">
        <v>26</v>
      </c>
      <c r="G19" s="54">
        <v>183</v>
      </c>
      <c r="H19" s="54">
        <v>0</v>
      </c>
      <c r="I19" s="81">
        <f>$G19*$O19*1.15</f>
        <v>28410.749999999996</v>
      </c>
      <c r="J19" s="55" t="s">
        <v>484</v>
      </c>
      <c r="K19" s="52" t="s">
        <v>485</v>
      </c>
      <c r="L19" s="54">
        <v>29685508</v>
      </c>
      <c r="M19" s="80">
        <v>45022</v>
      </c>
      <c r="N19" s="52" t="s">
        <v>483</v>
      </c>
      <c r="O19" s="54">
        <v>135</v>
      </c>
      <c r="P19" s="54" t="s">
        <v>27</v>
      </c>
      <c r="Q19" s="56" t="s">
        <v>490</v>
      </c>
      <c r="R19" s="52">
        <v>45.583457699999997</v>
      </c>
      <c r="S19" s="52">
        <v>-73.460523800000004</v>
      </c>
      <c r="T19" s="52" t="s">
        <v>492</v>
      </c>
      <c r="U19" s="82" t="s">
        <v>476</v>
      </c>
      <c r="X19" s="1">
        <f>_xlfn.XLOOKUP('Projets Jerome_2_test'!$J32,'Projets Jerome'!$J$2:$J$37,'Projets Jerome'!$AC$2:$AC$37)</f>
        <v>45.438667799999997</v>
      </c>
      <c r="Y19" s="1">
        <f>_xlfn.XLOOKUP('Projets Jerome_2_test'!$J32,'Projets Jerome'!$J$2:$J$37,'Projets Jerome'!$AD$2:$AD$37)</f>
        <v>-73.682047600000004</v>
      </c>
      <c r="AB19" s="1" t="str">
        <f>_xlfn.WEBSERVICE("https://maps.googleapis.com/maps/api/distancematrix/xml?destinations="&amp;$X19&amp;"%2C"&amp;$Y19&amp;"&amp;origins=46.7677269%2C-71.2887151&amp;key=AIzaSyCHth-wrbaKBruFJQMWpdpeHAtAzdbcKh4")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9" s="1" t="str">
        <f>_xlfn.WEBSERVICE("https://maps.googleapis.com/maps/api/distancematrix/xml?destinations="&amp;$X19&amp;"%2C"&amp;$Y19&amp;"&amp;origins=45.5219584%2C-73.6130896&amp;key=AIzaSyCHth-wrbaKBruFJQMWpdpeHAtAzdbcKh4")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9" s="1" t="str">
        <f>_xlfn.WEBSERVICE("https://maps.googleapis.com/maps/api/distancematrix/xml?destinations="&amp;$X19&amp;"%2C"&amp;$Y19&amp;"&amp;origins=49.2838546%2C-123.1196403&amp;key=AIzaSyCHth-wrbaKBruFJQMWpdpeHAtAzdbcKh4")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9" s="1" t="str">
        <f>_xlfn.WEBSERVICE("https://maps.googleapis.com/maps/api/distancematrix/xml?destinations="&amp;$X19&amp;"%2C"&amp;$Y19&amp;"&amp;origins=43.6410825%2C-79.3787196&amp;key=AIzaSyCHth-wrbaKBruFJQMWpdpeHAtAzdbcKh4")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9" s="1" t="e" cm="1">
        <f t="array" ref="AF19">_xlfn.FILTERXML(AB19,"//distance/value")/1000</f>
        <v>#VALUE!</v>
      </c>
      <c r="AG19" s="1" t="e" cm="1">
        <f t="array" ref="AG19">_xlfn.FILTERXML(AC19,"//distance/value")/1000</f>
        <v>#VALUE!</v>
      </c>
      <c r="AH19" s="1" t="e" cm="1">
        <f t="array" ref="AH19">_xlfn.FILTERXML(AD19,"//distance/value")/1000</f>
        <v>#VALUE!</v>
      </c>
      <c r="AI19" s="1" t="e" cm="1">
        <f t="array" ref="AI19">_xlfn.FILTERXML(AE19,"//distance/value")/1000</f>
        <v>#VALUE!</v>
      </c>
      <c r="AJ19" s="1" t="e">
        <f>MIN(AF19:AI19)</f>
        <v>#VALUE!</v>
      </c>
      <c r="AK19" s="19" t="e" cm="1">
        <f t="array" ref="AK19">_xlfn.FILTERXML(AB19,"//duration/value")/60/60/24</f>
        <v>#VALUE!</v>
      </c>
      <c r="AL19" s="19" t="e" cm="1">
        <f t="array" ref="AL19">_xlfn.FILTERXML(AC19,"//duration/value")/60/60/24</f>
        <v>#VALUE!</v>
      </c>
      <c r="AM19" s="19" t="e" cm="1">
        <f t="array" ref="AM19">_xlfn.FILTERXML(AD19,"//duration/value")/60/60/24</f>
        <v>#VALUE!</v>
      </c>
      <c r="AN19" s="19" t="e" cm="1">
        <f t="array" ref="AN19">_xlfn.FILTERXML(AE19,"//duration/value")/60/60/24</f>
        <v>#VALUE!</v>
      </c>
      <c r="AO19" s="3" t="e">
        <f>REPLACE(_xlfn.XLOOKUP(AJ19,$AF19:$AI19,$AF$1:$AI$1), 1, 9, "")</f>
        <v>#VALUE!</v>
      </c>
      <c r="AP19" s="3" t="e">
        <f>REPLACE(_xlfn.XLOOKUP(AQ19,$AK19:$AN19,$AF$1:$AI$1), 1, 9, "")</f>
        <v>#VALUE!</v>
      </c>
      <c r="AQ19" s="19" t="e" cm="1">
        <f t="array" ref="AQ19">_xlfn.FILTERXML(_xlfn.XLOOKUP(AJ19,$AF19:$AI19,AB19:AE19),"//duration/value")/60/60/24</f>
        <v>#VALUE!</v>
      </c>
      <c r="AS19" s="1" t="s">
        <v>498</v>
      </c>
      <c r="AT19" s="1" t="s">
        <v>499</v>
      </c>
      <c r="AU19" s="1" t="s">
        <v>500</v>
      </c>
      <c r="AV19" s="1" t="s">
        <v>501</v>
      </c>
      <c r="AW19" s="1">
        <v>228.60400000000001</v>
      </c>
      <c r="AX19" s="1">
        <v>20.896999999999998</v>
      </c>
      <c r="AY19" s="1">
        <v>4567.9189999999999</v>
      </c>
      <c r="AZ19" s="1">
        <v>561.27099999999996</v>
      </c>
      <c r="BA19" s="1">
        <v>20.896999999999998</v>
      </c>
      <c r="BB19" s="19">
        <v>9.3055555555555558E-2</v>
      </c>
      <c r="BC19" s="19">
        <v>2.3043981481481481E-2</v>
      </c>
      <c r="BD19" s="19">
        <v>1.905763888888889</v>
      </c>
      <c r="BE19" s="19">
        <v>0.22884259259259263</v>
      </c>
      <c r="BF19" s="3" t="s">
        <v>281</v>
      </c>
      <c r="BG19" s="3" t="s">
        <v>281</v>
      </c>
      <c r="BH19" s="19">
        <v>2.3043981481481481E-2</v>
      </c>
    </row>
    <row r="20" spans="1:60">
      <c r="A20" s="58" t="s">
        <v>42</v>
      </c>
      <c r="B20" s="59" t="s">
        <v>329</v>
      </c>
      <c r="C20" s="59" t="s">
        <v>330</v>
      </c>
      <c r="D20" s="60">
        <v>44113</v>
      </c>
      <c r="E20" s="60">
        <v>45289</v>
      </c>
      <c r="F20" s="59" t="s">
        <v>36</v>
      </c>
      <c r="G20" s="61">
        <v>145</v>
      </c>
      <c r="H20" s="61">
        <v>86.5</v>
      </c>
      <c r="I20" s="84">
        <f>$G20*$O20*1.15</f>
        <v>28347.499999999996</v>
      </c>
      <c r="J20" s="62" t="s">
        <v>331</v>
      </c>
      <c r="K20" s="59" t="s">
        <v>332</v>
      </c>
      <c r="L20" s="61">
        <v>29684480</v>
      </c>
      <c r="M20" s="83">
        <v>44113</v>
      </c>
      <c r="N20" s="59" t="s">
        <v>30</v>
      </c>
      <c r="O20" s="61">
        <v>170</v>
      </c>
      <c r="P20" s="61" t="s">
        <v>27</v>
      </c>
      <c r="Q20" s="63" t="s">
        <v>361</v>
      </c>
      <c r="R20" s="59">
        <v>43.406425900000002</v>
      </c>
      <c r="S20" s="59">
        <v>-80.289642200000003</v>
      </c>
      <c r="T20" s="88" t="s">
        <v>360</v>
      </c>
      <c r="U20" s="43" t="s">
        <v>362</v>
      </c>
      <c r="X20" s="1">
        <f>_xlfn.XLOOKUP('Projets Jerome_2_test'!$J25,'Projets Jerome'!$J$2:$J$37,'Projets Jerome'!$AC$2:$AC$37)</f>
        <v>45.528230499999999</v>
      </c>
      <c r="Y20" s="1">
        <f>_xlfn.XLOOKUP('Projets Jerome_2_test'!$J25,'Projets Jerome'!$J$2:$J$37,'Projets Jerome'!$AD$2:$AD$37)</f>
        <v>-73.665722000000002</v>
      </c>
      <c r="AB20" s="1" t="str">
        <f>_xlfn.WEBSERVICE("https://maps.googleapis.com/maps/api/distancematrix/xml?destinations="&amp;$X20&amp;"%2C"&amp;$Y20&amp;"&amp;origins=46.7677269%2C-71.2887151&amp;key=AIzaSyCHth-wrbaKBruFJQMWpdpeHAtAzdbcKh4")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0" s="1" t="str">
        <f>_xlfn.WEBSERVICE("https://maps.googleapis.com/maps/api/distancematrix/xml?destinations="&amp;$X20&amp;"%2C"&amp;$Y20&amp;"&amp;origins=45.5219584%2C-73.6130896&amp;key=AIzaSyCHth-wrbaKBruFJQMWpdpeHAtAzdbcKh4")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0" s="1" t="str">
        <f>_xlfn.WEBSERVICE("https://maps.googleapis.com/maps/api/distancematrix/xml?destinations="&amp;$X20&amp;"%2C"&amp;$Y20&amp;"&amp;origins=49.2838546%2C-123.1196403&amp;key=AIzaSyCHth-wrbaKBruFJQMWpdpeHAtAzdbcKh4")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0" s="1" t="str">
        <f>_xlfn.WEBSERVICE("https://maps.googleapis.com/maps/api/distancematrix/xml?destinations="&amp;$X20&amp;"%2C"&amp;$Y20&amp;"&amp;origins=43.6410825%2C-79.3787196&amp;key=AIzaSyCHth-wrbaKBruFJQMWpdpeHAtAzdbcKh4")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0" s="1" t="e" cm="1">
        <f t="array" ref="AF20">_xlfn.FILTERXML(AB20,"//distance/value")/1000</f>
        <v>#VALUE!</v>
      </c>
      <c r="AG20" s="1" t="e" cm="1">
        <f t="array" ref="AG20">_xlfn.FILTERXML(AC20,"//distance/value")/1000</f>
        <v>#VALUE!</v>
      </c>
      <c r="AH20" s="1" t="e" cm="1">
        <f t="array" ref="AH20">_xlfn.FILTERXML(AD20,"//distance/value")/1000</f>
        <v>#VALUE!</v>
      </c>
      <c r="AI20" s="1" t="e" cm="1">
        <f t="array" ref="AI20">_xlfn.FILTERXML(AE20,"//distance/value")/1000</f>
        <v>#VALUE!</v>
      </c>
      <c r="AJ20" s="1" t="e">
        <f>MIN(AF20:AI20)</f>
        <v>#VALUE!</v>
      </c>
      <c r="AK20" s="19" t="e" cm="1">
        <f t="array" ref="AK20">_xlfn.FILTERXML(AB20,"//duration/value")/60/60/24</f>
        <v>#VALUE!</v>
      </c>
      <c r="AL20" s="19" t="e" cm="1">
        <f t="array" ref="AL20">_xlfn.FILTERXML(AC20,"//duration/value")/60/60/24</f>
        <v>#VALUE!</v>
      </c>
      <c r="AM20" s="19" t="e" cm="1">
        <f t="array" ref="AM20">_xlfn.FILTERXML(AD20,"//duration/value")/60/60/24</f>
        <v>#VALUE!</v>
      </c>
      <c r="AN20" s="19" t="e" cm="1">
        <f t="array" ref="AN20">_xlfn.FILTERXML(AE20,"//duration/value")/60/60/24</f>
        <v>#VALUE!</v>
      </c>
      <c r="AO20" s="3" t="e">
        <f>REPLACE(_xlfn.XLOOKUP(AJ20,$AF20:$AI20,$AF$1:$AI$1), 1, 9, "")</f>
        <v>#VALUE!</v>
      </c>
      <c r="AP20" s="3" t="e">
        <f>REPLACE(_xlfn.XLOOKUP(AQ20,$AK20:$AN20,$AF$1:$AI$1), 1, 9, "")</f>
        <v>#VALUE!</v>
      </c>
      <c r="AQ20" s="19" t="e" cm="1">
        <f t="array" ref="AQ20">_xlfn.FILTERXML(_xlfn.XLOOKUP(AJ20,$AF20:$AI20,AB20:AE20),"//duration/value")/60/60/24</f>
        <v>#VALUE!</v>
      </c>
      <c r="AS20" s="1" t="s">
        <v>452</v>
      </c>
      <c r="AT20" s="1" t="s">
        <v>453</v>
      </c>
      <c r="AU20" s="1" t="s">
        <v>454</v>
      </c>
      <c r="AV20" s="1" t="s">
        <v>455</v>
      </c>
      <c r="AW20" s="1">
        <v>870.298</v>
      </c>
      <c r="AX20" s="1">
        <v>616.70799999999997</v>
      </c>
      <c r="AY20" s="1">
        <v>4255.5060000000003</v>
      </c>
      <c r="AZ20" s="1">
        <v>89.698999999999998</v>
      </c>
      <c r="BA20" s="1">
        <v>89.698999999999998</v>
      </c>
      <c r="BB20" s="19">
        <v>0.34432870370370372</v>
      </c>
      <c r="BC20" s="19">
        <v>0.25048611111111113</v>
      </c>
      <c r="BD20" s="19">
        <v>1.6519097222222223</v>
      </c>
      <c r="BE20" s="19">
        <v>3.9340277777777773E-2</v>
      </c>
      <c r="BF20" s="3" t="s">
        <v>249</v>
      </c>
      <c r="BG20" s="3" t="s">
        <v>249</v>
      </c>
      <c r="BH20" s="19">
        <v>3.9340277777777773E-2</v>
      </c>
    </row>
    <row r="21" spans="1:60">
      <c r="A21" s="51" t="s">
        <v>42</v>
      </c>
      <c r="B21" s="52" t="s">
        <v>345</v>
      </c>
      <c r="C21" s="52" t="s">
        <v>346</v>
      </c>
      <c r="D21" s="53">
        <v>44542</v>
      </c>
      <c r="E21" s="53">
        <v>45044</v>
      </c>
      <c r="F21" s="52" t="s">
        <v>36</v>
      </c>
      <c r="G21" s="54">
        <v>147</v>
      </c>
      <c r="H21" s="54">
        <v>170</v>
      </c>
      <c r="I21" s="81">
        <f>$G21*$O21*1.15</f>
        <v>27893.249999999996</v>
      </c>
      <c r="J21" s="55" t="s">
        <v>347</v>
      </c>
      <c r="K21" s="52" t="s">
        <v>345</v>
      </c>
      <c r="L21" s="54">
        <v>29684873</v>
      </c>
      <c r="M21" s="80">
        <v>44547</v>
      </c>
      <c r="N21" s="52" t="s">
        <v>30</v>
      </c>
      <c r="O21" s="54">
        <v>165</v>
      </c>
      <c r="P21" s="54" t="s">
        <v>27</v>
      </c>
      <c r="Q21" s="56" t="s">
        <v>353</v>
      </c>
      <c r="R21" s="52">
        <v>45.6243664</v>
      </c>
      <c r="S21" s="52">
        <v>-73.567282199999994</v>
      </c>
      <c r="T21" s="31" t="s">
        <v>352</v>
      </c>
      <c r="U21" s="82" t="s">
        <v>351</v>
      </c>
      <c r="X21" s="1">
        <f>_xlfn.XLOOKUP('Projets Jerome_2_test'!$J28,'Projets Jerome'!$J$2:$J$37,'Projets Jerome'!$AC$2:$AC$37)</f>
        <v>45.441891400000003</v>
      </c>
      <c r="Y21" s="1">
        <f>_xlfn.XLOOKUP('Projets Jerome_2_test'!$J28,'Projets Jerome'!$J$2:$J$37,'Projets Jerome'!$AD$2:$AD$37)</f>
        <v>-73.692530700000006</v>
      </c>
      <c r="AB21" s="1" t="str">
        <f>_xlfn.WEBSERVICE("https://maps.googleapis.com/maps/api/distancematrix/xml?destinations="&amp;$X21&amp;"%2C"&amp;$Y21&amp;"&amp;origins=46.7677269%2C-71.2887151&amp;key=AIzaSyCHth-wrbaKBruFJQMWpdpeHAtAzdbcKh4")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1" s="1" t="str">
        <f>_xlfn.WEBSERVICE("https://maps.googleapis.com/maps/api/distancematrix/xml?destinations="&amp;$X21&amp;"%2C"&amp;$Y21&amp;"&amp;origins=45.5219584%2C-73.6130896&amp;key=AIzaSyCHth-wrbaKBruFJQMWpdpeHAtAzdbcKh4")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1" s="1" t="str">
        <f>_xlfn.WEBSERVICE("https://maps.googleapis.com/maps/api/distancematrix/xml?destinations="&amp;$X21&amp;"%2C"&amp;$Y21&amp;"&amp;origins=49.2838546%2C-123.1196403&amp;key=AIzaSyCHth-wrbaKBruFJQMWpdpeHAtAzdbcKh4")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1" s="1" t="str">
        <f>_xlfn.WEBSERVICE("https://maps.googleapis.com/maps/api/distancematrix/xml?destinations="&amp;$X21&amp;"%2C"&amp;$Y21&amp;"&amp;origins=43.6410825%2C-79.3787196&amp;key=AIzaSyCHth-wrbaKBruFJQMWpdpeHAtAzdbcKh4")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1" s="1" t="e" cm="1">
        <f t="array" ref="AF21">_xlfn.FILTERXML(AB21,"//distance/value")/1000</f>
        <v>#VALUE!</v>
      </c>
      <c r="AG21" s="1" t="e" cm="1">
        <f t="array" ref="AG21">_xlfn.FILTERXML(AC21,"//distance/value")/1000</f>
        <v>#VALUE!</v>
      </c>
      <c r="AH21" s="1" t="e" cm="1">
        <f t="array" ref="AH21">_xlfn.FILTERXML(AD21,"//distance/value")/1000</f>
        <v>#VALUE!</v>
      </c>
      <c r="AI21" s="1" t="e" cm="1">
        <f t="array" ref="AI21">_xlfn.FILTERXML(AE21,"//distance/value")/1000</f>
        <v>#VALUE!</v>
      </c>
      <c r="AJ21" s="1" t="e">
        <f>MIN(AF21:AI21)</f>
        <v>#VALUE!</v>
      </c>
      <c r="AK21" s="19" t="e" cm="1">
        <f t="array" ref="AK21">_xlfn.FILTERXML(AB21,"//duration/value")/60/60/24</f>
        <v>#VALUE!</v>
      </c>
      <c r="AL21" s="19" t="e" cm="1">
        <f t="array" ref="AL21">_xlfn.FILTERXML(AC21,"//duration/value")/60/60/24</f>
        <v>#VALUE!</v>
      </c>
      <c r="AM21" s="19" t="e" cm="1">
        <f t="array" ref="AM21">_xlfn.FILTERXML(AD21,"//duration/value")/60/60/24</f>
        <v>#VALUE!</v>
      </c>
      <c r="AN21" s="19" t="e" cm="1">
        <f t="array" ref="AN21">_xlfn.FILTERXML(AE21,"//duration/value")/60/60/24</f>
        <v>#VALUE!</v>
      </c>
      <c r="AO21" s="3" t="e">
        <f>REPLACE(_xlfn.XLOOKUP(AJ21,$AF21:$AI21,$AF$1:$AI$1), 1, 9, "")</f>
        <v>#VALUE!</v>
      </c>
      <c r="AP21" s="3" t="e">
        <f>REPLACE(_xlfn.XLOOKUP(AQ21,$AK21:$AN21,$AF$1:$AI$1), 1, 9, "")</f>
        <v>#VALUE!</v>
      </c>
      <c r="AQ21" s="19" t="e" cm="1">
        <f t="array" ref="AQ21">_xlfn.FILTERXML(_xlfn.XLOOKUP(AJ21,$AF21:$AI21,AB21:AE21),"//duration/value")/60/60/24</f>
        <v>#VALUE!</v>
      </c>
      <c r="AS21" s="1" t="s">
        <v>468</v>
      </c>
      <c r="AT21" s="1" t="s">
        <v>469</v>
      </c>
      <c r="AU21" s="1" t="s">
        <v>470</v>
      </c>
      <c r="AV21" s="1" t="s">
        <v>471</v>
      </c>
      <c r="AW21" s="1">
        <v>246.46700000000001</v>
      </c>
      <c r="AX21" s="1">
        <v>20.007999999999999</v>
      </c>
      <c r="AY21" s="1">
        <v>4882.6930000000002</v>
      </c>
      <c r="AZ21" s="1">
        <v>556.33699999999999</v>
      </c>
      <c r="BA21" s="1">
        <v>20.007999999999999</v>
      </c>
      <c r="BB21" s="19">
        <v>0.10012731481481481</v>
      </c>
      <c r="BC21" s="19">
        <v>1.8298611111111113E-2</v>
      </c>
      <c r="BD21" s="19">
        <v>1.8988888888888891</v>
      </c>
      <c r="BE21" s="19">
        <v>0.22299768518518517</v>
      </c>
      <c r="BF21" s="3" t="s">
        <v>281</v>
      </c>
      <c r="BG21" s="3" t="s">
        <v>281</v>
      </c>
      <c r="BH21" s="19">
        <v>1.8298611111111113E-2</v>
      </c>
    </row>
    <row r="22" spans="1:60" ht="28.8">
      <c r="A22" s="58" t="s">
        <v>42</v>
      </c>
      <c r="B22" s="59" t="s">
        <v>139</v>
      </c>
      <c r="C22" s="59" t="s">
        <v>154</v>
      </c>
      <c r="D22" s="83">
        <v>44895</v>
      </c>
      <c r="E22" s="83">
        <v>45015</v>
      </c>
      <c r="F22" s="59" t="s">
        <v>226</v>
      </c>
      <c r="G22" s="61">
        <v>78</v>
      </c>
      <c r="H22" s="61"/>
      <c r="I22" s="84">
        <f>$G22*$O22*1.15</f>
        <v>15697.499999999998</v>
      </c>
      <c r="J22" s="61" t="s">
        <v>155</v>
      </c>
      <c r="K22" s="59" t="s">
        <v>156</v>
      </c>
      <c r="L22" s="61">
        <v>29685280</v>
      </c>
      <c r="M22" s="83">
        <v>44901</v>
      </c>
      <c r="N22" s="59" t="s">
        <v>81</v>
      </c>
      <c r="O22" s="61">
        <v>175</v>
      </c>
      <c r="P22" s="61" t="s">
        <v>27</v>
      </c>
      <c r="Q22" s="63" t="s">
        <v>157</v>
      </c>
      <c r="R22" s="59">
        <v>46.623594199999999</v>
      </c>
      <c r="S22" s="59">
        <v>-71.500496200000001</v>
      </c>
      <c r="T22" s="69" t="s">
        <v>158</v>
      </c>
      <c r="U22" s="85" t="s">
        <v>159</v>
      </c>
      <c r="X22" s="1">
        <f>_xlfn.XLOOKUP('Projets Jerome_2_test'!$J19,'Projets Jerome'!$J$2:$J$37,'Projets Jerome'!$AC$2:$AC$37)</f>
        <v>45.583457699999997</v>
      </c>
      <c r="Y22" s="1">
        <f>_xlfn.XLOOKUP('Projets Jerome_2_test'!$J19,'Projets Jerome'!$J$2:$J$37,'Projets Jerome'!$AD$2:$AD$37)</f>
        <v>-73.460523800000004</v>
      </c>
      <c r="AB22" s="1" t="str">
        <f>_xlfn.WEBSERVICE("https://maps.googleapis.com/maps/api/distancematrix/xml?destinations="&amp;$X22&amp;"%2C"&amp;$Y22&amp;"&amp;origins=46.7677269%2C-71.2887151&amp;key=AIzaSyCHth-wrbaKBruFJQMWpdpeHAtAzdbcKh4")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2" s="1" t="str">
        <f>_xlfn.WEBSERVICE("https://maps.googleapis.com/maps/api/distancematrix/xml?destinations="&amp;$X22&amp;"%2C"&amp;$Y22&amp;"&amp;origins=45.5219584%2C-73.6130896&amp;key=AIzaSyCHth-wrbaKBruFJQMWpdpeHAtAzdbcKh4")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2" s="1" t="str">
        <f>_xlfn.WEBSERVICE("https://maps.googleapis.com/maps/api/distancematrix/xml?destinations="&amp;$X22&amp;"%2C"&amp;$Y22&amp;"&amp;origins=49.2838546%2C-123.1196403&amp;key=AIzaSyCHth-wrbaKBruFJQMWpdpeHAtAzdbcKh4")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2" s="1" t="str">
        <f>_xlfn.WEBSERVICE("https://maps.googleapis.com/maps/api/distancematrix/xml?destinations="&amp;$X22&amp;"%2C"&amp;$Y22&amp;"&amp;origins=43.6410825%2C-79.3787196&amp;key=AIzaSyCHth-wrbaKBruFJQMWpdpeHAtAzdbcKh4")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2" s="1" t="e" cm="1">
        <f t="array" ref="AF22">_xlfn.FILTERXML(AB22,"//distance/value")/1000</f>
        <v>#VALUE!</v>
      </c>
      <c r="AG22" s="1" t="e" cm="1">
        <f t="array" ref="AG22">_xlfn.FILTERXML(AC22,"//distance/value")/1000</f>
        <v>#VALUE!</v>
      </c>
      <c r="AH22" s="1" t="e" cm="1">
        <f t="array" ref="AH22">_xlfn.FILTERXML(AD22,"//distance/value")/1000</f>
        <v>#VALUE!</v>
      </c>
      <c r="AI22" s="1" t="e" cm="1">
        <f t="array" ref="AI22">_xlfn.FILTERXML(AE22,"//distance/value")/1000</f>
        <v>#VALUE!</v>
      </c>
      <c r="AJ22" s="1" t="e">
        <f>MIN(AF22:AI22)</f>
        <v>#VALUE!</v>
      </c>
      <c r="AK22" s="19" t="e" cm="1">
        <f t="array" ref="AK22">_xlfn.FILTERXML(AB22,"//duration/value")/60/60/24</f>
        <v>#VALUE!</v>
      </c>
      <c r="AL22" s="19" t="e" cm="1">
        <f t="array" ref="AL22">_xlfn.FILTERXML(AC22,"//duration/value")/60/60/24</f>
        <v>#VALUE!</v>
      </c>
      <c r="AM22" s="19" t="e" cm="1">
        <f t="array" ref="AM22">_xlfn.FILTERXML(AD22,"//duration/value")/60/60/24</f>
        <v>#VALUE!</v>
      </c>
      <c r="AN22" s="19" t="e" cm="1">
        <f t="array" ref="AN22">_xlfn.FILTERXML(AE22,"//duration/value")/60/60/24</f>
        <v>#VALUE!</v>
      </c>
      <c r="AO22" s="3" t="e">
        <f>REPLACE(_xlfn.XLOOKUP(AJ22,$AF22:$AI22,$AF$1:$AI$1), 1, 9, "")</f>
        <v>#VALUE!</v>
      </c>
      <c r="AP22" s="3" t="e">
        <f>REPLACE(_xlfn.XLOOKUP(AQ22,$AK22:$AN22,$AF$1:$AI$1), 1, 9, "")</f>
        <v>#VALUE!</v>
      </c>
      <c r="AQ22" s="19" t="e" cm="1">
        <f t="array" ref="AQ22">_xlfn.FILTERXML(_xlfn.XLOOKUP(AJ22,$AF22:$AI22,AB22:AE22),"//duration/value")/60/60/24</f>
        <v>#VALUE!</v>
      </c>
      <c r="AS22" s="1" t="s">
        <v>428</v>
      </c>
      <c r="AT22" s="1" t="s">
        <v>429</v>
      </c>
      <c r="AU22" s="1" t="s">
        <v>430</v>
      </c>
      <c r="AV22" s="1" t="s">
        <v>431</v>
      </c>
      <c r="AW22" s="1">
        <v>29.158999999999999</v>
      </c>
      <c r="AX22" s="1">
        <v>220.113</v>
      </c>
      <c r="AY22" s="1">
        <v>5096.2150000000001</v>
      </c>
      <c r="AZ22" s="1">
        <v>769.85900000000004</v>
      </c>
      <c r="BA22" s="1">
        <v>29.158999999999999</v>
      </c>
      <c r="BB22" s="19">
        <v>1.4525462962962964E-2</v>
      </c>
      <c r="BC22" s="19">
        <v>0.10130787037037037</v>
      </c>
      <c r="BD22" s="19">
        <v>1.9796412037037037</v>
      </c>
      <c r="BE22" s="19">
        <v>0.30375000000000002</v>
      </c>
      <c r="BF22" s="3" t="s">
        <v>286</v>
      </c>
      <c r="BG22" s="3" t="s">
        <v>286</v>
      </c>
      <c r="BH22" s="19">
        <v>1.4525462962962964E-2</v>
      </c>
    </row>
    <row r="23" spans="1:60" ht="28.8">
      <c r="A23" s="58" t="s">
        <v>42</v>
      </c>
      <c r="B23" s="59" t="s">
        <v>133</v>
      </c>
      <c r="C23" s="59" t="s">
        <v>134</v>
      </c>
      <c r="D23" s="83">
        <v>44820</v>
      </c>
      <c r="E23" s="83">
        <v>44925</v>
      </c>
      <c r="F23" s="59" t="s">
        <v>226</v>
      </c>
      <c r="G23" s="61">
        <v>56</v>
      </c>
      <c r="H23" s="61">
        <v>31.75</v>
      </c>
      <c r="I23" s="84">
        <f>$G23*$O23*1.15</f>
        <v>10626</v>
      </c>
      <c r="J23" s="61" t="s">
        <v>135</v>
      </c>
      <c r="K23" s="59" t="s">
        <v>133</v>
      </c>
      <c r="L23" s="61">
        <v>29685240</v>
      </c>
      <c r="M23" s="83">
        <v>44826</v>
      </c>
      <c r="N23" s="59" t="s">
        <v>81</v>
      </c>
      <c r="O23" s="61">
        <v>165</v>
      </c>
      <c r="P23" s="61" t="s">
        <v>27</v>
      </c>
      <c r="Q23" s="63" t="s">
        <v>136</v>
      </c>
      <c r="R23" s="59">
        <v>45.157066800000003</v>
      </c>
      <c r="S23" s="59">
        <v>-71.801298099999997</v>
      </c>
      <c r="T23" s="69" t="s">
        <v>137</v>
      </c>
      <c r="U23" s="85" t="s">
        <v>138</v>
      </c>
      <c r="X23" s="1">
        <f>_xlfn.XLOOKUP('Projets Jerome_2_test'!$J15,'Projets Jerome'!$J$2:$J$37,'Projets Jerome'!$AC$2:$AC$37)</f>
        <v>36.791963199999998</v>
      </c>
      <c r="Y23" s="1">
        <f>_xlfn.XLOOKUP('Projets Jerome_2_test'!$J15,'Projets Jerome'!$J$2:$J$37,'Projets Jerome'!$AD$2:$AD$37)</f>
        <v>-76.246086000000005</v>
      </c>
      <c r="AB23" s="1" t="str">
        <f>_xlfn.WEBSERVICE("https://maps.googleapis.com/maps/api/distancematrix/xml?destinations="&amp;$X23&amp;"%2C"&amp;$Y23&amp;"&amp;origins=46.7677269%2C-71.2887151&amp;key=AIzaSyCHth-wrbaKBruFJQMWpdpeHAtAzdbcKh4")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3" s="1" t="str">
        <f>_xlfn.WEBSERVICE("https://maps.googleapis.com/maps/api/distancematrix/xml?destinations="&amp;$X23&amp;"%2C"&amp;$Y23&amp;"&amp;origins=45.5219584%2C-73.6130896&amp;key=AIzaSyCHth-wrbaKBruFJQMWpdpeHAtAzdbcKh4")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3" s="1" t="str">
        <f>_xlfn.WEBSERVICE("https://maps.googleapis.com/maps/api/distancematrix/xml?destinations="&amp;$X23&amp;"%2C"&amp;$Y23&amp;"&amp;origins=49.2838546%2C-123.1196403&amp;key=AIzaSyCHth-wrbaKBruFJQMWpdpeHAtAzdbcKh4")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3" s="1" t="str">
        <f>_xlfn.WEBSERVICE("https://maps.googleapis.com/maps/api/distancematrix/xml?destinations="&amp;$X23&amp;"%2C"&amp;$Y23&amp;"&amp;origins=43.6410825%2C-79.3787196&amp;key=AIzaSyCHth-wrbaKBruFJQMWpdpeHAtAzdbcKh4")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3" s="1" t="e" cm="1">
        <f t="array" ref="AF23">_xlfn.FILTERXML(AB23,"//distance/value")/1000</f>
        <v>#VALUE!</v>
      </c>
      <c r="AG23" s="1" t="e" cm="1">
        <f t="array" ref="AG23">_xlfn.FILTERXML(AC23,"//distance/value")/1000</f>
        <v>#VALUE!</v>
      </c>
      <c r="AH23" s="1" t="e" cm="1">
        <f t="array" ref="AH23">_xlfn.FILTERXML(AD23,"//distance/value")/1000</f>
        <v>#VALUE!</v>
      </c>
      <c r="AI23" s="1" t="e" cm="1">
        <f t="array" ref="AI23">_xlfn.FILTERXML(AE23,"//distance/value")/1000</f>
        <v>#VALUE!</v>
      </c>
      <c r="AJ23" s="1" t="e">
        <f>MIN(AF23:AI23)</f>
        <v>#VALUE!</v>
      </c>
      <c r="AK23" s="19" t="e" cm="1">
        <f t="array" ref="AK23">_xlfn.FILTERXML(AB23,"//duration/value")/60/60/24</f>
        <v>#VALUE!</v>
      </c>
      <c r="AL23" s="19" t="e" cm="1">
        <f t="array" ref="AL23">_xlfn.FILTERXML(AC23,"//duration/value")/60/60/24</f>
        <v>#VALUE!</v>
      </c>
      <c r="AM23" s="19" t="e" cm="1">
        <f t="array" ref="AM23">_xlfn.FILTERXML(AD23,"//duration/value")/60/60/24</f>
        <v>#VALUE!</v>
      </c>
      <c r="AN23" s="19" t="e" cm="1">
        <f t="array" ref="AN23">_xlfn.FILTERXML(AE23,"//duration/value")/60/60/24</f>
        <v>#VALUE!</v>
      </c>
      <c r="AO23" s="3" t="e">
        <f>REPLACE(_xlfn.XLOOKUP(AJ23,$AF23:$AI23,$AF$1:$AI$1), 1, 9, "")</f>
        <v>#VALUE!</v>
      </c>
      <c r="AP23" s="3" t="e">
        <f>REPLACE(_xlfn.XLOOKUP(AQ23,$AK23:$AN23,$AF$1:$AI$1), 1, 9, "")</f>
        <v>#VALUE!</v>
      </c>
      <c r="AQ23" s="19" t="e" cm="1">
        <f t="array" ref="AQ23">_xlfn.FILTERXML(_xlfn.XLOOKUP(AJ23,$AF23:$AI23,AB23:AE23),"//duration/value")/60/60/24</f>
        <v>#VALUE!</v>
      </c>
      <c r="AS23" s="1" t="s">
        <v>420</v>
      </c>
      <c r="AT23" s="1" t="s">
        <v>421</v>
      </c>
      <c r="AU23" s="1" t="s">
        <v>422</v>
      </c>
      <c r="AV23" s="1" t="s">
        <v>423</v>
      </c>
      <c r="AW23" s="1">
        <v>257.37400000000002</v>
      </c>
      <c r="AX23" s="1">
        <v>174.81299999999999</v>
      </c>
      <c r="AY23" s="1">
        <v>5037.3770000000004</v>
      </c>
      <c r="AZ23" s="1">
        <v>711.02</v>
      </c>
      <c r="BA23" s="1">
        <v>174.81299999999999</v>
      </c>
      <c r="BB23" s="19">
        <v>0.10650462962962964</v>
      </c>
      <c r="BC23" s="19">
        <v>8.7673611111111105E-2</v>
      </c>
      <c r="BD23" s="19">
        <v>1.9615393518518518</v>
      </c>
      <c r="BE23" s="19">
        <v>0.28563657407407406</v>
      </c>
      <c r="BF23" s="3" t="s">
        <v>281</v>
      </c>
      <c r="BG23" s="3" t="s">
        <v>281</v>
      </c>
      <c r="BH23" s="19">
        <v>8.7673611111111105E-2</v>
      </c>
    </row>
    <row r="24" spans="1:60">
      <c r="A24" s="58" t="s">
        <v>42</v>
      </c>
      <c r="B24" s="59" t="s">
        <v>78</v>
      </c>
      <c r="C24" s="59" t="s">
        <v>79</v>
      </c>
      <c r="D24" s="83">
        <v>44531</v>
      </c>
      <c r="E24" s="83">
        <v>44926</v>
      </c>
      <c r="F24" s="59" t="s">
        <v>226</v>
      </c>
      <c r="G24" s="61">
        <v>40</v>
      </c>
      <c r="H24" s="61">
        <v>46.5</v>
      </c>
      <c r="I24" s="84">
        <f>$G24*$O24*1.15</f>
        <v>7359.9999999999991</v>
      </c>
      <c r="J24" s="61" t="s">
        <v>80</v>
      </c>
      <c r="K24" s="59" t="s">
        <v>78</v>
      </c>
      <c r="L24" s="61">
        <v>29684859</v>
      </c>
      <c r="M24" s="83">
        <v>44532</v>
      </c>
      <c r="N24" s="59" t="s">
        <v>81</v>
      </c>
      <c r="O24" s="61">
        <v>160</v>
      </c>
      <c r="P24" s="61" t="s">
        <v>27</v>
      </c>
      <c r="Q24" s="63" t="s">
        <v>82</v>
      </c>
      <c r="R24" s="59">
        <v>45.441891400000003</v>
      </c>
      <c r="S24" s="59">
        <v>-73.692530700000006</v>
      </c>
      <c r="T24" s="59" t="s">
        <v>83</v>
      </c>
      <c r="U24" s="85" t="s">
        <v>84</v>
      </c>
      <c r="X24" s="1">
        <f>_xlfn.XLOOKUP('Projets Jerome_2_test'!$J7,'Projets Jerome'!$J$2:$J$37,'Projets Jerome'!$AC$2:$AC$37)</f>
        <v>50.473944199999998</v>
      </c>
      <c r="Y24" s="1">
        <f>_xlfn.XLOOKUP('Projets Jerome_2_test'!$J7,'Projets Jerome'!$J$2:$J$37,'Projets Jerome'!$AD$2:$AD$37)</f>
        <v>-104.70972999999999</v>
      </c>
      <c r="AB24" s="1" t="str">
        <f>_xlfn.WEBSERVICE("https://maps.googleapis.com/maps/api/distancematrix/xml?destinations="&amp;$X24&amp;"%2C"&amp;$Y24&amp;"&amp;origins=46.7677269%2C-71.2887151&amp;key=AIzaSyCHth-wrbaKBruFJQMWpdpeHAtAzdbcKh4")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4" s="1" t="str">
        <f>_xlfn.WEBSERVICE("https://maps.googleapis.com/maps/api/distancematrix/xml?destinations="&amp;$X24&amp;"%2C"&amp;$Y24&amp;"&amp;origins=45.5219584%2C-73.6130896&amp;key=AIzaSyCHth-wrbaKBruFJQMWpdpeHAtAzdbcKh4")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4" s="1" t="str">
        <f>_xlfn.WEBSERVICE("https://maps.googleapis.com/maps/api/distancematrix/xml?destinations="&amp;$X24&amp;"%2C"&amp;$Y24&amp;"&amp;origins=49.2838546%2C-123.1196403&amp;key=AIzaSyCHth-wrbaKBruFJQMWpdpeHAtAzdbcKh4")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4" s="1" t="str">
        <f>_xlfn.WEBSERVICE("https://maps.googleapis.com/maps/api/distancematrix/xml?destinations="&amp;$X24&amp;"%2C"&amp;$Y24&amp;"&amp;origins=43.6410825%2C-79.3787196&amp;key=AIzaSyCHth-wrbaKBruFJQMWpdpeHAtAzdbcKh4")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4" s="1" t="e" cm="1">
        <f t="array" ref="AF24">_xlfn.FILTERXML(AB24,"//distance/value")/1000</f>
        <v>#VALUE!</v>
      </c>
      <c r="AG24" s="1" t="e" cm="1">
        <f t="array" ref="AG24">_xlfn.FILTERXML(AC24,"//distance/value")/1000</f>
        <v>#VALUE!</v>
      </c>
      <c r="AH24" s="1" t="e" cm="1">
        <f t="array" ref="AH24">_xlfn.FILTERXML(AD24,"//distance/value")/1000</f>
        <v>#VALUE!</v>
      </c>
      <c r="AI24" s="1" t="e" cm="1">
        <f t="array" ref="AI24">_xlfn.FILTERXML(AE24,"//distance/value")/1000</f>
        <v>#VALUE!</v>
      </c>
      <c r="AJ24" s="1" t="e">
        <f>MIN(AF24:AI24)</f>
        <v>#VALUE!</v>
      </c>
      <c r="AK24" s="19" t="e" cm="1">
        <f t="array" ref="AK24">_xlfn.FILTERXML(AB24,"//duration/value")/60/60/24</f>
        <v>#VALUE!</v>
      </c>
      <c r="AL24" s="19" t="e" cm="1">
        <f t="array" ref="AL24">_xlfn.FILTERXML(AC24,"//duration/value")/60/60/24</f>
        <v>#VALUE!</v>
      </c>
      <c r="AM24" s="19" t="e" cm="1">
        <f t="array" ref="AM24">_xlfn.FILTERXML(AD24,"//duration/value")/60/60/24</f>
        <v>#VALUE!</v>
      </c>
      <c r="AN24" s="19" t="e" cm="1">
        <f t="array" ref="AN24">_xlfn.FILTERXML(AE24,"//duration/value")/60/60/24</f>
        <v>#VALUE!</v>
      </c>
      <c r="AO24" s="3" t="e">
        <f>REPLACE(_xlfn.XLOOKUP(AJ24,$AF24:$AI24,$AF$1:$AI$1), 1, 9, "")</f>
        <v>#VALUE!</v>
      </c>
      <c r="AP24" s="3" t="e">
        <f>REPLACE(_xlfn.XLOOKUP(AQ24,$AK24:$AN24,$AF$1:$AI$1), 1, 9, "")</f>
        <v>#VALUE!</v>
      </c>
      <c r="AQ24" s="19" t="e" cm="1">
        <f t="array" ref="AQ24">_xlfn.FILTERXML(_xlfn.XLOOKUP(AJ24,$AF24:$AI24,AB24:AE24),"//duration/value")/60/60/24</f>
        <v>#VALUE!</v>
      </c>
      <c r="AS24" s="1" t="s">
        <v>392</v>
      </c>
      <c r="AT24" s="1" t="s">
        <v>393</v>
      </c>
      <c r="AU24" s="1" t="s">
        <v>394</v>
      </c>
      <c r="AV24" s="1" t="s">
        <v>395</v>
      </c>
      <c r="AW24" s="1">
        <v>260.74099999999999</v>
      </c>
      <c r="AX24" s="1">
        <v>20.283000000000001</v>
      </c>
      <c r="AY24" s="1">
        <v>4855.9679999999998</v>
      </c>
      <c r="AZ24" s="1">
        <v>529.61199999999997</v>
      </c>
      <c r="BA24" s="1">
        <v>20.283000000000001</v>
      </c>
      <c r="BB24" s="19">
        <v>0.10910879629629631</v>
      </c>
      <c r="BC24" s="19">
        <v>1.849537037037037E-2</v>
      </c>
      <c r="BD24" s="19">
        <v>1.8876157407407408</v>
      </c>
      <c r="BE24" s="19">
        <v>0.21172453703703706</v>
      </c>
      <c r="BF24" s="3" t="s">
        <v>281</v>
      </c>
      <c r="BG24" s="3" t="s">
        <v>281</v>
      </c>
      <c r="BH24" s="19">
        <v>1.849537037037037E-2</v>
      </c>
    </row>
    <row r="25" spans="1:60">
      <c r="A25" s="51" t="s">
        <v>42</v>
      </c>
      <c r="B25" s="52" t="s">
        <v>95</v>
      </c>
      <c r="C25" s="52" t="s">
        <v>96</v>
      </c>
      <c r="D25" s="80">
        <v>44564</v>
      </c>
      <c r="E25" s="80">
        <v>44953</v>
      </c>
      <c r="F25" s="52" t="s">
        <v>36</v>
      </c>
      <c r="G25" s="54">
        <v>38</v>
      </c>
      <c r="H25" s="54">
        <v>18.25</v>
      </c>
      <c r="I25" s="81">
        <f>$G25*$O25*1.15</f>
        <v>6991.9999999999991</v>
      </c>
      <c r="J25" s="54" t="s">
        <v>97</v>
      </c>
      <c r="K25" s="52" t="s">
        <v>98</v>
      </c>
      <c r="L25" s="54">
        <v>29685098</v>
      </c>
      <c r="M25" s="80">
        <v>44565</v>
      </c>
      <c r="N25" s="52" t="s">
        <v>61</v>
      </c>
      <c r="O25" s="54">
        <v>160</v>
      </c>
      <c r="P25" s="54" t="s">
        <v>27</v>
      </c>
      <c r="Q25" s="56" t="s">
        <v>99</v>
      </c>
      <c r="R25" s="52">
        <v>45.528230499999999</v>
      </c>
      <c r="S25" s="52">
        <v>-73.665722000000002</v>
      </c>
      <c r="T25" s="86" t="s">
        <v>100</v>
      </c>
      <c r="U25" s="82" t="s">
        <v>101</v>
      </c>
      <c r="X25" s="1">
        <f>_xlfn.XLOOKUP('Projets Jerome_2_test'!$J10,'Projets Jerome'!$J$2:$J$37,'Projets Jerome'!$AC$2:$AC$37)</f>
        <v>45.5853088</v>
      </c>
      <c r="Y25" s="1">
        <f>_xlfn.XLOOKUP('Projets Jerome_2_test'!$J10,'Projets Jerome'!$J$2:$J$37,'Projets Jerome'!$AD$2:$AD$37)</f>
        <v>-73.709455800000001</v>
      </c>
      <c r="AB25" s="1" t="str">
        <f>_xlfn.WEBSERVICE("https://maps.googleapis.com/maps/api/distancematrix/xml?destinations="&amp;$X25&amp;"%2C"&amp;$Y25&amp;"&amp;origins=46.7677269%2C-71.2887151&amp;key=AIzaSyCHth-wrbaKBruFJQMWpdpeHAtAzdbcKh4")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5" s="1" t="str">
        <f>_xlfn.WEBSERVICE("https://maps.googleapis.com/maps/api/distancematrix/xml?destinations="&amp;$X25&amp;"%2C"&amp;$Y25&amp;"&amp;origins=45.5219584%2C-73.6130896&amp;key=AIzaSyCHth-wrbaKBruFJQMWpdpeHAtAzdbcKh4")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5" s="1" t="str">
        <f>_xlfn.WEBSERVICE("https://maps.googleapis.com/maps/api/distancematrix/xml?destinations="&amp;$X25&amp;"%2C"&amp;$Y25&amp;"&amp;origins=49.2838546%2C-123.1196403&amp;key=AIzaSyCHth-wrbaKBruFJQMWpdpeHAtAzdbcKh4")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5" s="1" t="str">
        <f>_xlfn.WEBSERVICE("https://maps.googleapis.com/maps/api/distancematrix/xml?destinations="&amp;$X25&amp;"%2C"&amp;$Y25&amp;"&amp;origins=43.6410825%2C-79.3787196&amp;key=AIzaSyCHth-wrbaKBruFJQMWpdpeHAtAzdbcKh4")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5" s="1" t="e" cm="1">
        <f t="array" ref="AF25">_xlfn.FILTERXML(AB25,"//distance/value")/1000</f>
        <v>#VALUE!</v>
      </c>
      <c r="AG25" s="1" t="e" cm="1">
        <f t="array" ref="AG25">_xlfn.FILTERXML(AC25,"//distance/value")/1000</f>
        <v>#VALUE!</v>
      </c>
      <c r="AH25" s="1" t="e" cm="1">
        <f t="array" ref="AH25">_xlfn.FILTERXML(AD25,"//distance/value")/1000</f>
        <v>#VALUE!</v>
      </c>
      <c r="AI25" s="1" t="e" cm="1">
        <f t="array" ref="AI25">_xlfn.FILTERXML(AE25,"//distance/value")/1000</f>
        <v>#VALUE!</v>
      </c>
      <c r="AJ25" s="1" t="e">
        <f>MIN(AF25:AI25)</f>
        <v>#VALUE!</v>
      </c>
      <c r="AK25" s="19" t="e" cm="1">
        <f t="array" ref="AK25">_xlfn.FILTERXML(AB25,"//duration/value")/60/60/24</f>
        <v>#VALUE!</v>
      </c>
      <c r="AL25" s="19" t="e" cm="1">
        <f t="array" ref="AL25">_xlfn.FILTERXML(AC25,"//duration/value")/60/60/24</f>
        <v>#VALUE!</v>
      </c>
      <c r="AM25" s="19" t="e" cm="1">
        <f t="array" ref="AM25">_xlfn.FILTERXML(AD25,"//duration/value")/60/60/24</f>
        <v>#VALUE!</v>
      </c>
      <c r="AN25" s="19" t="e" cm="1">
        <f t="array" ref="AN25">_xlfn.FILTERXML(AE25,"//duration/value")/60/60/24</f>
        <v>#VALUE!</v>
      </c>
      <c r="AO25" s="3" t="e">
        <f>REPLACE(_xlfn.XLOOKUP(AJ25,$AF25:$AI25,$AF$1:$AI$1), 1, 9, "")</f>
        <v>#VALUE!</v>
      </c>
      <c r="AP25" s="3" t="e">
        <f>REPLACE(_xlfn.XLOOKUP(AQ25,$AK25:$AN25,$AF$1:$AI$1), 1, 9, "")</f>
        <v>#VALUE!</v>
      </c>
      <c r="AQ25" s="19" t="e" cm="1">
        <f t="array" ref="AQ25">_xlfn.FILTERXML(_xlfn.XLOOKUP(AJ25,$AF25:$AI25,AB25:AE25),"//duration/value")/60/60/24</f>
        <v>#VALUE!</v>
      </c>
      <c r="AS25" s="1" t="s">
        <v>400</v>
      </c>
      <c r="AT25" s="1" t="s">
        <v>401</v>
      </c>
      <c r="AU25" s="1" t="s">
        <v>402</v>
      </c>
      <c r="AV25" s="1" t="s">
        <v>403</v>
      </c>
      <c r="AW25" s="1">
        <v>248.99600000000001</v>
      </c>
      <c r="AX25" s="1">
        <v>6.7590000000000003</v>
      </c>
      <c r="AY25" s="1">
        <v>4869.4470000000001</v>
      </c>
      <c r="AZ25" s="1">
        <v>543.09</v>
      </c>
      <c r="BA25" s="1">
        <v>6.7590000000000003</v>
      </c>
      <c r="BB25" s="19">
        <v>0.10572916666666667</v>
      </c>
      <c r="BC25" s="19">
        <v>1.1006944444444444E-2</v>
      </c>
      <c r="BD25" s="19">
        <v>1.8924421296296297</v>
      </c>
      <c r="BE25" s="19">
        <v>0.21653935185185183</v>
      </c>
      <c r="BF25" s="3" t="s">
        <v>281</v>
      </c>
      <c r="BG25" s="3" t="s">
        <v>281</v>
      </c>
      <c r="BH25" s="19">
        <v>1.1006944444444444E-2</v>
      </c>
    </row>
    <row r="26" spans="1:60" ht="28.8">
      <c r="A26" s="58" t="s">
        <v>102</v>
      </c>
      <c r="B26" s="59" t="s">
        <v>146</v>
      </c>
      <c r="C26" s="59" t="s">
        <v>140</v>
      </c>
      <c r="D26" s="83">
        <v>44839</v>
      </c>
      <c r="E26" s="83">
        <v>45015</v>
      </c>
      <c r="F26" s="59" t="s">
        <v>226</v>
      </c>
      <c r="G26" s="61">
        <v>40</v>
      </c>
      <c r="H26" s="61">
        <v>0</v>
      </c>
      <c r="I26" s="84">
        <f>$G26*$O26*1.15</f>
        <v>6209.9999999999991</v>
      </c>
      <c r="J26" s="61" t="s">
        <v>147</v>
      </c>
      <c r="K26" s="59" t="s">
        <v>148</v>
      </c>
      <c r="L26" s="61">
        <v>29685276</v>
      </c>
      <c r="M26" s="83">
        <v>44893</v>
      </c>
      <c r="N26" s="59" t="s">
        <v>81</v>
      </c>
      <c r="O26" s="61">
        <v>135</v>
      </c>
      <c r="P26" s="61" t="s">
        <v>27</v>
      </c>
      <c r="Q26" s="63" t="s">
        <v>143</v>
      </c>
      <c r="R26" s="59">
        <v>45.438667799999997</v>
      </c>
      <c r="S26" s="59">
        <v>-73.682047600000004</v>
      </c>
      <c r="T26" s="69" t="s">
        <v>144</v>
      </c>
      <c r="U26" s="85" t="s">
        <v>149</v>
      </c>
      <c r="X26" s="1">
        <f>_xlfn.XLOOKUP('Projets Jerome_2_test'!$J17,'Projets Jerome'!$J$2:$J$37,'Projets Jerome'!$AC$2:$AC$37)</f>
        <v>45.533356400000002</v>
      </c>
      <c r="Y26" s="1">
        <f>_xlfn.XLOOKUP('Projets Jerome_2_test'!$J17,'Projets Jerome'!$J$2:$J$37,'Projets Jerome'!$AD$2:$AD$37)</f>
        <v>-73.662945699999995</v>
      </c>
      <c r="AB26" s="1" t="str">
        <f>_xlfn.WEBSERVICE("https://maps.googleapis.com/maps/api/distancematrix/xml?destinations="&amp;$X26&amp;"%2C"&amp;$Y26&amp;"&amp;origins=46.7677269%2C-71.2887151&amp;key=AIzaSyCHth-wrbaKBruFJQMWpdpeHAtAzdbcKh4")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6" s="1" t="str">
        <f>_xlfn.WEBSERVICE("https://maps.googleapis.com/maps/api/distancematrix/xml?destinations="&amp;$X26&amp;"%2C"&amp;$Y26&amp;"&amp;origins=45.5219584%2C-73.6130896&amp;key=AIzaSyCHth-wrbaKBruFJQMWpdpeHAtAzdbcKh4")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6" s="1" t="str">
        <f>_xlfn.WEBSERVICE("https://maps.googleapis.com/maps/api/distancematrix/xml?destinations="&amp;$X26&amp;"%2C"&amp;$Y26&amp;"&amp;origins=49.2838546%2C-123.1196403&amp;key=AIzaSyCHth-wrbaKBruFJQMWpdpeHAtAzdbcKh4")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6" s="1" t="str">
        <f>_xlfn.WEBSERVICE("https://maps.googleapis.com/maps/api/distancematrix/xml?destinations="&amp;$X26&amp;"%2C"&amp;$Y26&amp;"&amp;origins=43.6410825%2C-79.3787196&amp;key=AIzaSyCHth-wrbaKBruFJQMWpdpeHAtAzdbcKh4")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6" s="1" t="e" cm="1">
        <f t="array" ref="AF26">_xlfn.FILTERXML(AB26,"//distance/value")/1000</f>
        <v>#VALUE!</v>
      </c>
      <c r="AG26" s="1" t="e" cm="1">
        <f t="array" ref="AG26">_xlfn.FILTERXML(AC26,"//distance/value")/1000</f>
        <v>#VALUE!</v>
      </c>
      <c r="AH26" s="1" t="e" cm="1">
        <f t="array" ref="AH26">_xlfn.FILTERXML(AD26,"//distance/value")/1000</f>
        <v>#VALUE!</v>
      </c>
      <c r="AI26" s="1" t="e" cm="1">
        <f t="array" ref="AI26">_xlfn.FILTERXML(AE26,"//distance/value")/1000</f>
        <v>#VALUE!</v>
      </c>
      <c r="AJ26" s="1" t="e">
        <f>MIN(AF26:AI26)</f>
        <v>#VALUE!</v>
      </c>
      <c r="AK26" s="19" t="e" cm="1">
        <f t="array" ref="AK26">_xlfn.FILTERXML(AB26,"//duration/value")/60/60/24</f>
        <v>#VALUE!</v>
      </c>
      <c r="AL26" s="19" t="e" cm="1">
        <f t="array" ref="AL26">_xlfn.FILTERXML(AC26,"//duration/value")/60/60/24</f>
        <v>#VALUE!</v>
      </c>
      <c r="AM26" s="19" t="e" cm="1">
        <f t="array" ref="AM26">_xlfn.FILTERXML(AD26,"//duration/value")/60/60/24</f>
        <v>#VALUE!</v>
      </c>
      <c r="AN26" s="19" t="e" cm="1">
        <f t="array" ref="AN26">_xlfn.FILTERXML(AE26,"//duration/value")/60/60/24</f>
        <v>#VALUE!</v>
      </c>
      <c r="AO26" s="3" t="e">
        <f>REPLACE(_xlfn.XLOOKUP(AJ26,$AF26:$AI26,$AF$1:$AI$1), 1, 9, "")</f>
        <v>#VALUE!</v>
      </c>
      <c r="AP26" s="3" t="e">
        <f>REPLACE(_xlfn.XLOOKUP(AQ26,$AK26:$AN26,$AF$1:$AI$1), 1, 9, "")</f>
        <v>#VALUE!</v>
      </c>
      <c r="AQ26" s="19" t="e" cm="1">
        <f t="array" ref="AQ26">_xlfn.FILTERXML(_xlfn.XLOOKUP(AJ26,$AF26:$AI26,AB26:AE26),"//duration/value")/60/60/24</f>
        <v>#VALUE!</v>
      </c>
      <c r="AS26" s="1" t="s">
        <v>424</v>
      </c>
      <c r="AT26" s="1" t="s">
        <v>425</v>
      </c>
      <c r="AU26" s="1" t="s">
        <v>426</v>
      </c>
      <c r="AV26" s="1" t="s">
        <v>427</v>
      </c>
      <c r="AW26" s="1">
        <v>261.88600000000002</v>
      </c>
      <c r="AX26" s="1">
        <v>21.428000000000001</v>
      </c>
      <c r="AY26" s="1">
        <v>4857.1130000000003</v>
      </c>
      <c r="AZ26" s="1">
        <v>530.75699999999995</v>
      </c>
      <c r="BA26" s="1">
        <v>21.428000000000001</v>
      </c>
      <c r="BB26" s="19">
        <v>0.11138888888888888</v>
      </c>
      <c r="BC26" s="19">
        <v>2.0787037037037038E-2</v>
      </c>
      <c r="BD26" s="19">
        <v>1.8899074074074074</v>
      </c>
      <c r="BE26" s="19">
        <v>0.21401620370370369</v>
      </c>
      <c r="BF26" s="3" t="s">
        <v>281</v>
      </c>
      <c r="BG26" s="3" t="s">
        <v>281</v>
      </c>
      <c r="BH26" s="19">
        <v>2.0787037037037038E-2</v>
      </c>
    </row>
    <row r="27" spans="1:60" ht="28.8">
      <c r="A27" s="51" t="s">
        <v>102</v>
      </c>
      <c r="B27" s="52" t="s">
        <v>150</v>
      </c>
      <c r="C27" s="52" t="s">
        <v>140</v>
      </c>
      <c r="D27" s="80">
        <v>44839</v>
      </c>
      <c r="E27" s="80">
        <v>45015</v>
      </c>
      <c r="F27" s="52" t="s">
        <v>36</v>
      </c>
      <c r="G27" s="54">
        <v>30</v>
      </c>
      <c r="H27" s="54">
        <v>21.75</v>
      </c>
      <c r="I27" s="81">
        <f>$G27*$O27*1.15</f>
        <v>5692.5</v>
      </c>
      <c r="J27" s="54" t="s">
        <v>151</v>
      </c>
      <c r="K27" s="52" t="s">
        <v>152</v>
      </c>
      <c r="L27" s="54">
        <v>29685224</v>
      </c>
      <c r="M27" s="80">
        <v>44775</v>
      </c>
      <c r="N27" s="52" t="s">
        <v>81</v>
      </c>
      <c r="O27" s="54">
        <v>165</v>
      </c>
      <c r="P27" s="54" t="s">
        <v>27</v>
      </c>
      <c r="Q27" s="56" t="s">
        <v>143</v>
      </c>
      <c r="R27" s="52">
        <v>45.438667799999997</v>
      </c>
      <c r="S27" s="52">
        <v>-73.682047600000004</v>
      </c>
      <c r="T27" s="70" t="s">
        <v>144</v>
      </c>
      <c r="U27" s="82" t="s">
        <v>153</v>
      </c>
      <c r="X27" s="1">
        <f>_xlfn.XLOOKUP('Projets Jerome_2_test'!$J18,'Projets Jerome'!$J$2:$J$37,'Projets Jerome'!$AC$2:$AC$37)</f>
        <v>45.157066800000003</v>
      </c>
      <c r="Y27" s="1">
        <f>_xlfn.XLOOKUP('Projets Jerome_2_test'!$J18,'Projets Jerome'!$J$2:$J$37,'Projets Jerome'!$AD$2:$AD$37)</f>
        <v>-71.801298099999997</v>
      </c>
      <c r="AB27" s="1" t="str">
        <f>_xlfn.WEBSERVICE("https://maps.googleapis.com/maps/api/distancematrix/xml?destinations="&amp;$X27&amp;"%2C"&amp;$Y27&amp;"&amp;origins=46.7677269%2C-71.2887151&amp;key=AIzaSyCHth-wrbaKBruFJQMWpdpeHAtAzdbcKh4")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7" s="1" t="str">
        <f>_xlfn.WEBSERVICE("https://maps.googleapis.com/maps/api/distancematrix/xml?destinations="&amp;$X27&amp;"%2C"&amp;$Y27&amp;"&amp;origins=45.5219584%2C-73.6130896&amp;key=AIzaSyCHth-wrbaKBruFJQMWpdpeHAtAzdbcKh4")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7" s="1" t="str">
        <f>_xlfn.WEBSERVICE("https://maps.googleapis.com/maps/api/distancematrix/xml?destinations="&amp;$X27&amp;"%2C"&amp;$Y27&amp;"&amp;origins=49.2838546%2C-123.1196403&amp;key=AIzaSyCHth-wrbaKBruFJQMWpdpeHAtAzdbcKh4")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7" s="1" t="str">
        <f>_xlfn.WEBSERVICE("https://maps.googleapis.com/maps/api/distancematrix/xml?destinations="&amp;$X27&amp;"%2C"&amp;$Y27&amp;"&amp;origins=43.6410825%2C-79.3787196&amp;key=AIzaSyCHth-wrbaKBruFJQMWpdpeHAtAzdbcKh4")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7" s="1" t="e" cm="1">
        <f t="array" ref="AF27">_xlfn.FILTERXML(AB27,"//distance/value")/1000</f>
        <v>#VALUE!</v>
      </c>
      <c r="AG27" s="1" t="e" cm="1">
        <f t="array" ref="AG27">_xlfn.FILTERXML(AC27,"//distance/value")/1000</f>
        <v>#VALUE!</v>
      </c>
      <c r="AH27" s="1" t="e" cm="1">
        <f t="array" ref="AH27">_xlfn.FILTERXML(AD27,"//distance/value")/1000</f>
        <v>#VALUE!</v>
      </c>
      <c r="AI27" s="1" t="e" cm="1">
        <f t="array" ref="AI27">_xlfn.FILTERXML(AE27,"//distance/value")/1000</f>
        <v>#VALUE!</v>
      </c>
      <c r="AJ27" s="1" t="e">
        <f>MIN(AF27:AI27)</f>
        <v>#VALUE!</v>
      </c>
      <c r="AK27" s="19" t="e" cm="1">
        <f t="array" ref="AK27">_xlfn.FILTERXML(AB27,"//duration/value")/60/60/24</f>
        <v>#VALUE!</v>
      </c>
      <c r="AL27" s="19" t="e" cm="1">
        <f t="array" ref="AL27">_xlfn.FILTERXML(AC27,"//duration/value")/60/60/24</f>
        <v>#VALUE!</v>
      </c>
      <c r="AM27" s="19" t="e" cm="1">
        <f t="array" ref="AM27">_xlfn.FILTERXML(AD27,"//duration/value")/60/60/24</f>
        <v>#VALUE!</v>
      </c>
      <c r="AN27" s="19" t="e" cm="1">
        <f t="array" ref="AN27">_xlfn.FILTERXML(AE27,"//duration/value")/60/60/24</f>
        <v>#VALUE!</v>
      </c>
      <c r="AO27" s="3" t="e">
        <f>REPLACE(_xlfn.XLOOKUP(AJ27,$AF27:$AI27,$AF$1:$AI$1), 1, 9, "")</f>
        <v>#VALUE!</v>
      </c>
      <c r="AP27" s="3" t="e">
        <f>REPLACE(_xlfn.XLOOKUP(AQ27,$AK27:$AN27,$AF$1:$AI$1), 1, 9, "")</f>
        <v>#VALUE!</v>
      </c>
      <c r="AQ27" s="19" t="e" cm="1">
        <f t="array" ref="AQ27">_xlfn.FILTERXML(_xlfn.XLOOKUP(AJ27,$AF27:$AI27,AB27:AE27),"//duration/value")/60/60/24</f>
        <v>#VALUE!</v>
      </c>
      <c r="AS27" s="1" t="s">
        <v>424</v>
      </c>
      <c r="AT27" s="1" t="s">
        <v>425</v>
      </c>
      <c r="AU27" s="1" t="s">
        <v>426</v>
      </c>
      <c r="AV27" s="1" t="s">
        <v>427</v>
      </c>
      <c r="AW27" s="1">
        <v>261.88600000000002</v>
      </c>
      <c r="AX27" s="1">
        <v>21.428000000000001</v>
      </c>
      <c r="AY27" s="1">
        <v>4857.1130000000003</v>
      </c>
      <c r="AZ27" s="1">
        <v>530.75699999999995</v>
      </c>
      <c r="BA27" s="1">
        <v>21.428000000000001</v>
      </c>
      <c r="BB27" s="19">
        <v>0.11138888888888888</v>
      </c>
      <c r="BC27" s="19">
        <v>2.0787037037037038E-2</v>
      </c>
      <c r="BD27" s="19">
        <v>1.8899074074074074</v>
      </c>
      <c r="BE27" s="19">
        <v>0.21401620370370369</v>
      </c>
      <c r="BF27" s="3" t="s">
        <v>281</v>
      </c>
      <c r="BG27" s="3" t="s">
        <v>281</v>
      </c>
      <c r="BH27" s="19">
        <v>2.0787037037037038E-2</v>
      </c>
    </row>
    <row r="28" spans="1:60">
      <c r="A28" s="51" t="s">
        <v>42</v>
      </c>
      <c r="B28" s="52" t="s">
        <v>85</v>
      </c>
      <c r="C28" s="52" t="s">
        <v>79</v>
      </c>
      <c r="D28" s="80">
        <v>44893</v>
      </c>
      <c r="E28" s="80">
        <v>45092</v>
      </c>
      <c r="F28" s="52" t="s">
        <v>26</v>
      </c>
      <c r="G28" s="54">
        <v>30</v>
      </c>
      <c r="H28" s="54"/>
      <c r="I28" s="81">
        <f>$G28*$O28*1.15</f>
        <v>5520</v>
      </c>
      <c r="J28" s="54" t="s">
        <v>86</v>
      </c>
      <c r="K28" s="52" t="s">
        <v>87</v>
      </c>
      <c r="L28" s="54">
        <v>29685279</v>
      </c>
      <c r="M28" s="80">
        <v>44893</v>
      </c>
      <c r="N28" s="52" t="s">
        <v>81</v>
      </c>
      <c r="O28" s="54">
        <v>160</v>
      </c>
      <c r="P28" s="54" t="s">
        <v>27</v>
      </c>
      <c r="Q28" s="56" t="s">
        <v>82</v>
      </c>
      <c r="R28" s="52">
        <v>45.441891400000003</v>
      </c>
      <c r="S28" s="52">
        <v>-73.692530700000006</v>
      </c>
      <c r="T28" s="52" t="s">
        <v>83</v>
      </c>
      <c r="U28" s="82" t="s">
        <v>84</v>
      </c>
      <c r="X28" s="1">
        <f>_xlfn.XLOOKUP('Projets Jerome_2_test'!$J8,'Projets Jerome'!$J$2:$J$37,'Projets Jerome'!$AC$2:$AC$37)</f>
        <v>43.642127299999999</v>
      </c>
      <c r="Y28" s="1">
        <f>_xlfn.XLOOKUP('Projets Jerome_2_test'!$J8,'Projets Jerome'!$J$2:$J$37,'Projets Jerome'!$AD$2:$AD$37)</f>
        <v>-79.673906000000002</v>
      </c>
      <c r="AB28" s="1" t="str">
        <f>_xlfn.WEBSERVICE("https://maps.googleapis.com/maps/api/distancematrix/xml?destinations="&amp;$X28&amp;"%2C"&amp;$Y28&amp;"&amp;origins=46.7677269%2C-71.2887151&amp;key=AIzaSyCHth-wrbaKBruFJQMWpdpeHAtAzdbcKh4")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8" s="1" t="str">
        <f>_xlfn.WEBSERVICE("https://maps.googleapis.com/maps/api/distancematrix/xml?destinations="&amp;$X28&amp;"%2C"&amp;$Y28&amp;"&amp;origins=45.5219584%2C-73.6130896&amp;key=AIzaSyCHth-wrbaKBruFJQMWpdpeHAtAzdbcKh4")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8" s="1" t="str">
        <f>_xlfn.WEBSERVICE("https://maps.googleapis.com/maps/api/distancematrix/xml?destinations="&amp;$X28&amp;"%2C"&amp;$Y28&amp;"&amp;origins=49.2838546%2C-123.1196403&amp;key=AIzaSyCHth-wrbaKBruFJQMWpdpeHAtAzdbcKh4")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8" s="1" t="str">
        <f>_xlfn.WEBSERVICE("https://maps.googleapis.com/maps/api/distancematrix/xml?destinations="&amp;$X28&amp;"%2C"&amp;$Y28&amp;"&amp;origins=43.6410825%2C-79.3787196&amp;key=AIzaSyCHth-wrbaKBruFJQMWpdpeHAtAzdbcKh4")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8" s="1" t="e" cm="1">
        <f t="array" ref="AF28">_xlfn.FILTERXML(AB28,"//distance/value")/1000</f>
        <v>#VALUE!</v>
      </c>
      <c r="AG28" s="1" t="e" cm="1">
        <f t="array" ref="AG28">_xlfn.FILTERXML(AC28,"//distance/value")/1000</f>
        <v>#VALUE!</v>
      </c>
      <c r="AH28" s="1" t="e" cm="1">
        <f t="array" ref="AH28">_xlfn.FILTERXML(AD28,"//distance/value")/1000</f>
        <v>#VALUE!</v>
      </c>
      <c r="AI28" s="1" t="e" cm="1">
        <f t="array" ref="AI28">_xlfn.FILTERXML(AE28,"//distance/value")/1000</f>
        <v>#VALUE!</v>
      </c>
      <c r="AJ28" s="1" t="e">
        <f>MIN(AF28:AI28)</f>
        <v>#VALUE!</v>
      </c>
      <c r="AK28" s="19" t="e" cm="1">
        <f t="array" ref="AK28">_xlfn.FILTERXML(AB28,"//duration/value")/60/60/24</f>
        <v>#VALUE!</v>
      </c>
      <c r="AL28" s="19" t="e" cm="1">
        <f t="array" ref="AL28">_xlfn.FILTERXML(AC28,"//duration/value")/60/60/24</f>
        <v>#VALUE!</v>
      </c>
      <c r="AM28" s="19" t="e" cm="1">
        <f t="array" ref="AM28">_xlfn.FILTERXML(AD28,"//duration/value")/60/60/24</f>
        <v>#VALUE!</v>
      </c>
      <c r="AN28" s="19" t="e" cm="1">
        <f t="array" ref="AN28">_xlfn.FILTERXML(AE28,"//duration/value")/60/60/24</f>
        <v>#VALUE!</v>
      </c>
      <c r="AO28" s="3" t="e">
        <f>REPLACE(_xlfn.XLOOKUP(AJ28,$AF28:$AI28,$AF$1:$AI$1), 1, 9, "")</f>
        <v>#VALUE!</v>
      </c>
      <c r="AP28" s="3" t="e">
        <f>REPLACE(_xlfn.XLOOKUP(AQ28,$AK28:$AN28,$AF$1:$AI$1), 1, 9, "")</f>
        <v>#VALUE!</v>
      </c>
      <c r="AQ28" s="19" t="e" cm="1">
        <f t="array" ref="AQ28">_xlfn.FILTERXML(_xlfn.XLOOKUP(AJ28,$AF28:$AI28,AB28:AE28),"//duration/value")/60/60/24</f>
        <v>#VALUE!</v>
      </c>
      <c r="AS28" s="1" t="s">
        <v>392</v>
      </c>
      <c r="AT28" s="1" t="s">
        <v>393</v>
      </c>
      <c r="AU28" s="1" t="s">
        <v>394</v>
      </c>
      <c r="AV28" s="1" t="s">
        <v>395</v>
      </c>
      <c r="AW28" s="1">
        <v>260.74099999999999</v>
      </c>
      <c r="AX28" s="1">
        <v>20.283000000000001</v>
      </c>
      <c r="AY28" s="1">
        <v>4855.9679999999998</v>
      </c>
      <c r="AZ28" s="1">
        <v>529.61199999999997</v>
      </c>
      <c r="BA28" s="1">
        <v>20.283000000000001</v>
      </c>
      <c r="BB28" s="19">
        <v>0.10910879629629631</v>
      </c>
      <c r="BC28" s="19">
        <v>1.849537037037037E-2</v>
      </c>
      <c r="BD28" s="19">
        <v>1.8876157407407408</v>
      </c>
      <c r="BE28" s="19">
        <v>0.21172453703703706</v>
      </c>
      <c r="BF28" s="3" t="s">
        <v>281</v>
      </c>
      <c r="BG28" s="3" t="s">
        <v>281</v>
      </c>
      <c r="BH28" s="19">
        <v>1.849537037037037E-2</v>
      </c>
    </row>
    <row r="29" spans="1:60">
      <c r="A29" s="51" t="s">
        <v>42</v>
      </c>
      <c r="B29" s="52" t="s">
        <v>110</v>
      </c>
      <c r="C29" s="52" t="s">
        <v>111</v>
      </c>
      <c r="D29" s="80">
        <v>44607</v>
      </c>
      <c r="E29" s="80">
        <v>44681</v>
      </c>
      <c r="F29" s="52" t="s">
        <v>226</v>
      </c>
      <c r="G29" s="54">
        <v>21</v>
      </c>
      <c r="H29" s="54">
        <v>5.25</v>
      </c>
      <c r="I29" s="81">
        <f>$G29*$O29*1.15</f>
        <v>4467.75</v>
      </c>
      <c r="J29" s="54" t="s">
        <v>113</v>
      </c>
      <c r="K29" s="52" t="s">
        <v>114</v>
      </c>
      <c r="L29" s="54">
        <v>29685081</v>
      </c>
      <c r="M29" s="80">
        <v>44607</v>
      </c>
      <c r="N29" s="52" t="s">
        <v>115</v>
      </c>
      <c r="O29" s="54">
        <v>185</v>
      </c>
      <c r="P29" s="54" t="s">
        <v>112</v>
      </c>
      <c r="Q29" s="56" t="s">
        <v>116</v>
      </c>
      <c r="R29" s="52">
        <v>45.891391800000001</v>
      </c>
      <c r="S29" s="52">
        <v>-122.7430619</v>
      </c>
      <c r="T29" s="87" t="s">
        <v>117</v>
      </c>
      <c r="U29" s="82" t="s">
        <v>118</v>
      </c>
      <c r="X29" s="1">
        <f>_xlfn.XLOOKUP('Projets Jerome_2_test'!$J12,'Projets Jerome'!$J$2:$J$37,'Projets Jerome'!$AC$2:$AC$37)</f>
        <v>45.623523900000002</v>
      </c>
      <c r="Y29" s="1">
        <f>_xlfn.XLOOKUP('Projets Jerome_2_test'!$J12,'Projets Jerome'!$J$2:$J$37,'Projets Jerome'!$AD$2:$AD$37)</f>
        <v>-73.5627779</v>
      </c>
      <c r="AB29" s="1" t="str">
        <f>_xlfn.WEBSERVICE("https://maps.googleapis.com/maps/api/distancematrix/xml?destinations="&amp;$X29&amp;"%2C"&amp;$Y29&amp;"&amp;origins=46.7677269%2C-71.2887151&amp;key=AIzaSyCHth-wrbaKBruFJQMWpdpeHAtAzdbcKh4")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29" s="1" t="str">
        <f>_xlfn.WEBSERVICE("https://maps.googleapis.com/maps/api/distancematrix/xml?destinations="&amp;$X29&amp;"%2C"&amp;$Y29&amp;"&amp;origins=45.5219584%2C-73.6130896&amp;key=AIzaSyCHth-wrbaKBruFJQMWpdpeHAtAzdbcKh4")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29" s="1" t="str">
        <f>_xlfn.WEBSERVICE("https://maps.googleapis.com/maps/api/distancematrix/xml?destinations="&amp;$X29&amp;"%2C"&amp;$Y29&amp;"&amp;origins=49.2838546%2C-123.1196403&amp;key=AIzaSyCHth-wrbaKBruFJQMWpdpeHAtAzdbcKh4")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29" s="1" t="str">
        <f>_xlfn.WEBSERVICE("https://maps.googleapis.com/maps/api/distancematrix/xml?destinations="&amp;$X29&amp;"%2C"&amp;$Y29&amp;"&amp;origins=43.6410825%2C-79.3787196&amp;key=AIzaSyCHth-wrbaKBruFJQMWpdpeHAtAzdbcKh4")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29" s="1" t="e" cm="1">
        <f t="array" ref="AF29">_xlfn.FILTERXML(AB29,"//distance/value")/1000</f>
        <v>#VALUE!</v>
      </c>
      <c r="AG29" s="1" t="e" cm="1">
        <f t="array" ref="AG29">_xlfn.FILTERXML(AC29,"//distance/value")/1000</f>
        <v>#VALUE!</v>
      </c>
      <c r="AH29" s="1" t="e" cm="1">
        <f t="array" ref="AH29">_xlfn.FILTERXML(AD29,"//distance/value")/1000</f>
        <v>#VALUE!</v>
      </c>
      <c r="AI29" s="1" t="e" cm="1">
        <f t="array" ref="AI29">_xlfn.FILTERXML(AE29,"//distance/value")/1000</f>
        <v>#VALUE!</v>
      </c>
      <c r="AJ29" s="1" t="e">
        <f>MIN(AF29:AI29)</f>
        <v>#VALUE!</v>
      </c>
      <c r="AK29" s="19" t="e" cm="1">
        <f t="array" ref="AK29">_xlfn.FILTERXML(AB29,"//duration/value")/60/60/24</f>
        <v>#VALUE!</v>
      </c>
      <c r="AL29" s="19" t="e" cm="1">
        <f t="array" ref="AL29">_xlfn.FILTERXML(AC29,"//duration/value")/60/60/24</f>
        <v>#VALUE!</v>
      </c>
      <c r="AM29" s="19" t="e" cm="1">
        <f t="array" ref="AM29">_xlfn.FILTERXML(AD29,"//duration/value")/60/60/24</f>
        <v>#VALUE!</v>
      </c>
      <c r="AN29" s="19" t="e" cm="1">
        <f t="array" ref="AN29">_xlfn.FILTERXML(AE29,"//duration/value")/60/60/24</f>
        <v>#VALUE!</v>
      </c>
      <c r="AO29" s="3" t="e">
        <f>REPLACE(_xlfn.XLOOKUP(AJ29,$AF29:$AI29,$AF$1:$AI$1), 1, 9, "")</f>
        <v>#VALUE!</v>
      </c>
      <c r="AP29" s="3" t="e">
        <f>REPLACE(_xlfn.XLOOKUP(AQ29,$AK29:$AN29,$AF$1:$AI$1), 1, 9, "")</f>
        <v>#VALUE!</v>
      </c>
      <c r="AQ29" s="19" t="e" cm="1">
        <f t="array" ref="AQ29">_xlfn.FILTERXML(_xlfn.XLOOKUP(AJ29,$AF29:$AI29,AB29:AE29),"//duration/value")/60/60/24</f>
        <v>#VALUE!</v>
      </c>
      <c r="AS29" s="1" t="s">
        <v>408</v>
      </c>
      <c r="AT29" s="1" t="s">
        <v>409</v>
      </c>
      <c r="AU29" s="1" t="s">
        <v>410</v>
      </c>
      <c r="AV29" s="1" t="s">
        <v>411</v>
      </c>
      <c r="AW29" s="1">
        <v>5037.8490000000002</v>
      </c>
      <c r="AX29" s="1">
        <v>4784.259</v>
      </c>
      <c r="AY29" s="1">
        <v>465.05700000000002</v>
      </c>
      <c r="AZ29" s="1">
        <v>4254.4110000000001</v>
      </c>
      <c r="BA29" s="1">
        <v>465.05700000000002</v>
      </c>
      <c r="BB29" s="19">
        <v>1.9275347222222223</v>
      </c>
      <c r="BC29" s="19">
        <v>1.8336921296296298</v>
      </c>
      <c r="BD29" s="19">
        <v>0.20355324074074074</v>
      </c>
      <c r="BE29" s="19">
        <v>1.6216203703703702</v>
      </c>
      <c r="BF29" s="3" t="s">
        <v>248</v>
      </c>
      <c r="BG29" s="3" t="s">
        <v>248</v>
      </c>
      <c r="BH29" s="19">
        <v>0.20355324074074074</v>
      </c>
    </row>
    <row r="30" spans="1:60">
      <c r="A30" s="51" t="s">
        <v>42</v>
      </c>
      <c r="B30" s="52" t="s">
        <v>479</v>
      </c>
      <c r="C30" s="52" t="s">
        <v>324</v>
      </c>
      <c r="D30" s="53">
        <v>44878</v>
      </c>
      <c r="E30" s="53">
        <v>44926</v>
      </c>
      <c r="F30" s="52" t="s">
        <v>26</v>
      </c>
      <c r="G30" s="54">
        <v>23</v>
      </c>
      <c r="H30" s="54">
        <v>58</v>
      </c>
      <c r="I30" s="81">
        <f>$G30*$O30*1.15</f>
        <v>3570.7499999999995</v>
      </c>
      <c r="J30" s="55" t="s">
        <v>478</v>
      </c>
      <c r="K30" s="52" t="s">
        <v>479</v>
      </c>
      <c r="L30" s="54">
        <v>29685263</v>
      </c>
      <c r="M30" s="80">
        <v>44874</v>
      </c>
      <c r="N30" s="52" t="s">
        <v>30</v>
      </c>
      <c r="O30" s="54">
        <v>135</v>
      </c>
      <c r="P30" s="54" t="s">
        <v>27</v>
      </c>
      <c r="Q30" s="56" t="s">
        <v>371</v>
      </c>
      <c r="R30" s="52">
        <v>45.592141699999999</v>
      </c>
      <c r="S30" s="52">
        <v>-73.698460400000002</v>
      </c>
      <c r="T30" s="52" t="s">
        <v>370</v>
      </c>
      <c r="U30" s="82" t="s">
        <v>369</v>
      </c>
      <c r="X30" s="1">
        <f>_xlfn.XLOOKUP('Projets Jerome_2_test'!$J30,'Projets Jerome'!$J$2:$J$37,'Projets Jerome'!$AC$2:$AC$37)</f>
        <v>45.592141699999999</v>
      </c>
      <c r="Y30" s="1">
        <f>_xlfn.XLOOKUP('Projets Jerome_2_test'!$J30,'Projets Jerome'!$J$2:$J$37,'Projets Jerome'!$AD$2:$AD$37)</f>
        <v>-73.698460400000002</v>
      </c>
      <c r="AB30" s="1" t="str">
        <f>_xlfn.WEBSERVICE("https://maps.googleapis.com/maps/api/distancematrix/xml?destinations="&amp;$X30&amp;"%2C"&amp;$Y30&amp;"&amp;origins=46.7677269%2C-71.2887151&amp;key=AIzaSyCHth-wrbaKBruFJQMWpdpeHAtAzdbcKh4")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0" s="1" t="str">
        <f>_xlfn.WEBSERVICE("https://maps.googleapis.com/maps/api/distancematrix/xml?destinations="&amp;$X30&amp;"%2C"&amp;$Y30&amp;"&amp;origins=45.5219584%2C-73.6130896&amp;key=AIzaSyCHth-wrbaKBruFJQMWpdpeHAtAzdbcKh4")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0" s="1" t="str">
        <f>_xlfn.WEBSERVICE("https://maps.googleapis.com/maps/api/distancematrix/xml?destinations="&amp;$X30&amp;"%2C"&amp;$Y30&amp;"&amp;origins=49.2838546%2C-123.1196403&amp;key=AIzaSyCHth-wrbaKBruFJQMWpdpeHAtAzdbcKh4")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0" s="1" t="str">
        <f>_xlfn.WEBSERVICE("https://maps.googleapis.com/maps/api/distancematrix/xml?destinations="&amp;$X30&amp;"%2C"&amp;$Y30&amp;"&amp;origins=43.6410825%2C-79.3787196&amp;key=AIzaSyCHth-wrbaKBruFJQMWpdpeHAtAzdbcKh4")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0" s="1" t="e" cm="1">
        <f t="array" ref="AF30">_xlfn.FILTERXML(AB30,"//distance/value")/1000</f>
        <v>#VALUE!</v>
      </c>
      <c r="AG30" s="1" t="e" cm="1">
        <f t="array" ref="AG30">_xlfn.FILTERXML(AC30,"//distance/value")/1000</f>
        <v>#VALUE!</v>
      </c>
      <c r="AH30" s="1" t="e" cm="1">
        <f t="array" ref="AH30">_xlfn.FILTERXML(AD30,"//distance/value")/1000</f>
        <v>#VALUE!</v>
      </c>
      <c r="AI30" s="1" t="e" cm="1">
        <f t="array" ref="AI30">_xlfn.FILTERXML(AE30,"//distance/value")/1000</f>
        <v>#VALUE!</v>
      </c>
      <c r="AJ30" s="1" t="e">
        <f>MIN(AF30:AI30)</f>
        <v>#VALUE!</v>
      </c>
      <c r="AK30" s="19" t="e" cm="1">
        <f t="array" ref="AK30">_xlfn.FILTERXML(AB30,"//duration/value")/60/60/24</f>
        <v>#VALUE!</v>
      </c>
      <c r="AL30" s="19" t="e" cm="1">
        <f t="array" ref="AL30">_xlfn.FILTERXML(AC30,"//duration/value")/60/60/24</f>
        <v>#VALUE!</v>
      </c>
      <c r="AM30" s="19" t="e" cm="1">
        <f t="array" ref="AM30">_xlfn.FILTERXML(AD30,"//duration/value")/60/60/24</f>
        <v>#VALUE!</v>
      </c>
      <c r="AN30" s="19" t="e" cm="1">
        <f t="array" ref="AN30">_xlfn.FILTERXML(AE30,"//duration/value")/60/60/24</f>
        <v>#VALUE!</v>
      </c>
      <c r="AO30" s="3" t="e">
        <f>REPLACE(_xlfn.XLOOKUP(AJ30,$AF30:$AI30,$AF$1:$AI$1), 1, 9, "")</f>
        <v>#VALUE!</v>
      </c>
      <c r="AP30" s="3" t="e">
        <f>REPLACE(_xlfn.XLOOKUP(AQ30,$AK30:$AN30,$AF$1:$AI$1), 1, 9, "")</f>
        <v>#VALUE!</v>
      </c>
      <c r="AQ30" s="19" t="e" cm="1">
        <f t="array" ref="AQ30">_xlfn.FILTERXML(_xlfn.XLOOKUP(AJ30,$AF30:$AI30,AB30:AE30),"//duration/value")/60/60/24</f>
        <v>#VALUE!</v>
      </c>
      <c r="AS30" s="1" t="s">
        <v>494</v>
      </c>
      <c r="AT30" s="1" t="s">
        <v>495</v>
      </c>
      <c r="AU30" s="1" t="s">
        <v>496</v>
      </c>
      <c r="AV30" s="1" t="s">
        <v>497</v>
      </c>
      <c r="AW30" s="1">
        <v>254.42</v>
      </c>
      <c r="AX30" s="1">
        <v>22.018999999999998</v>
      </c>
      <c r="AY30" s="1">
        <v>4560.0590000000002</v>
      </c>
      <c r="AZ30" s="1">
        <v>553.41099999999994</v>
      </c>
      <c r="BA30" s="1">
        <v>22.018999999999998</v>
      </c>
      <c r="BB30" s="19">
        <v>0.1062037037037037</v>
      </c>
      <c r="BC30" s="19">
        <v>1.8136574074074072E-2</v>
      </c>
      <c r="BD30" s="19">
        <v>1.897175925925926</v>
      </c>
      <c r="BE30" s="19">
        <v>0.22025462962962963</v>
      </c>
      <c r="BF30" s="3" t="s">
        <v>281</v>
      </c>
      <c r="BG30" s="3" t="s">
        <v>281</v>
      </c>
      <c r="BH30" s="19">
        <v>1.8136574074074072E-2</v>
      </c>
    </row>
    <row r="31" spans="1:60">
      <c r="A31" s="58" t="s">
        <v>333</v>
      </c>
      <c r="B31" s="59" t="s">
        <v>489</v>
      </c>
      <c r="C31" s="59" t="s">
        <v>334</v>
      </c>
      <c r="D31" s="60">
        <v>44964</v>
      </c>
      <c r="E31" s="60">
        <v>44974</v>
      </c>
      <c r="F31" s="59" t="s">
        <v>26</v>
      </c>
      <c r="G31" s="61">
        <v>20</v>
      </c>
      <c r="H31" s="61">
        <v>22.25</v>
      </c>
      <c r="I31" s="84">
        <f>$G31*$O31*1.15</f>
        <v>3449.9999999999995</v>
      </c>
      <c r="J31" s="62" t="s">
        <v>486</v>
      </c>
      <c r="K31" s="59" t="s">
        <v>487</v>
      </c>
      <c r="L31" s="61">
        <v>29685397</v>
      </c>
      <c r="M31" s="83">
        <v>44960</v>
      </c>
      <c r="N31" s="59" t="s">
        <v>30</v>
      </c>
      <c r="O31" s="61">
        <v>150</v>
      </c>
      <c r="P31" s="61" t="s">
        <v>27</v>
      </c>
      <c r="Q31" s="63" t="s">
        <v>367</v>
      </c>
      <c r="R31" s="59">
        <v>45.5349559</v>
      </c>
      <c r="S31" s="59">
        <v>-73.641190300000005</v>
      </c>
      <c r="T31" s="59" t="s">
        <v>366</v>
      </c>
      <c r="U31" s="85" t="s">
        <v>493</v>
      </c>
      <c r="X31" s="1">
        <f>_xlfn.XLOOKUP('Projets Jerome_2_test'!$J33,'Projets Jerome'!$J$2:$J$37,'Projets Jerome'!$AC$2:$AC$37)</f>
        <v>45.5349559</v>
      </c>
      <c r="Y31" s="1">
        <f>_xlfn.XLOOKUP('Projets Jerome_2_test'!$J33,'Projets Jerome'!$J$2:$J$37,'Projets Jerome'!$AD$2:$AD$37)</f>
        <v>-73.641190300000005</v>
      </c>
      <c r="AB31" s="1" t="str">
        <f>_xlfn.WEBSERVICE("https://maps.googleapis.com/maps/api/distancematrix/xml?destinations="&amp;$X31&amp;"%2C"&amp;$Y31&amp;"&amp;origins=46.7677269%2C-71.2887151&amp;key=AIzaSyCHth-wrbaKBruFJQMWpdpeHAtAzdbcKh4")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1" s="1" t="str">
        <f>_xlfn.WEBSERVICE("https://maps.googleapis.com/maps/api/distancematrix/xml?destinations="&amp;$X31&amp;"%2C"&amp;$Y31&amp;"&amp;origins=45.5219584%2C-73.6130896&amp;key=AIzaSyCHth-wrbaKBruFJQMWpdpeHAtAzdbcKh4")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1" s="1" t="str">
        <f>_xlfn.WEBSERVICE("https://maps.googleapis.com/maps/api/distancematrix/xml?destinations="&amp;$X31&amp;"%2C"&amp;$Y31&amp;"&amp;origins=49.2838546%2C-123.1196403&amp;key=AIzaSyCHth-wrbaKBruFJQMWpdpeHAtAzdbcKh4")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1" s="1" t="str">
        <f>_xlfn.WEBSERVICE("https://maps.googleapis.com/maps/api/distancematrix/xml?destinations="&amp;$X31&amp;"%2C"&amp;$Y31&amp;"&amp;origins=43.6410825%2C-79.3787196&amp;key=AIzaSyCHth-wrbaKBruFJQMWpdpeHAtAzdbcKh4")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1" s="1" t="e" cm="1">
        <f t="array" ref="AF31">_xlfn.FILTERXML(AB31,"//distance/value")/1000</f>
        <v>#VALUE!</v>
      </c>
      <c r="AG31" s="1" t="e" cm="1">
        <f t="array" ref="AG31">_xlfn.FILTERXML(AC31,"//distance/value")/1000</f>
        <v>#VALUE!</v>
      </c>
      <c r="AH31" s="1" t="e" cm="1">
        <f t="array" ref="AH31">_xlfn.FILTERXML(AD31,"//distance/value")/1000</f>
        <v>#VALUE!</v>
      </c>
      <c r="AI31" s="1" t="e" cm="1">
        <f t="array" ref="AI31">_xlfn.FILTERXML(AE31,"//distance/value")/1000</f>
        <v>#VALUE!</v>
      </c>
      <c r="AJ31" s="1" t="e">
        <f>MIN(AF31:AI31)</f>
        <v>#VALUE!</v>
      </c>
      <c r="AK31" s="19" t="e" cm="1">
        <f t="array" ref="AK31">_xlfn.FILTERXML(AB31,"//duration/value")/60/60/24</f>
        <v>#VALUE!</v>
      </c>
      <c r="AL31" s="19" t="e" cm="1">
        <f t="array" ref="AL31">_xlfn.FILTERXML(AC31,"//duration/value")/60/60/24</f>
        <v>#VALUE!</v>
      </c>
      <c r="AM31" s="19" t="e" cm="1">
        <f t="array" ref="AM31">_xlfn.FILTERXML(AD31,"//duration/value")/60/60/24</f>
        <v>#VALUE!</v>
      </c>
      <c r="AN31" s="19" t="e" cm="1">
        <f t="array" ref="AN31">_xlfn.FILTERXML(AE31,"//duration/value")/60/60/24</f>
        <v>#VALUE!</v>
      </c>
      <c r="AO31" s="3" t="e">
        <f>REPLACE(_xlfn.XLOOKUP(AJ31,$AF31:$AI31,$AF$1:$AI$1), 1, 9, "")</f>
        <v>#VALUE!</v>
      </c>
      <c r="AP31" s="3" t="e">
        <f>REPLACE(_xlfn.XLOOKUP(AQ31,$AK31:$AN31,$AF$1:$AI$1), 1, 9, "")</f>
        <v>#VALUE!</v>
      </c>
      <c r="AQ31" s="19" t="e" cm="1">
        <f t="array" ref="AQ31">_xlfn.FILTERXML(_xlfn.XLOOKUP(AJ31,$AF31:$AI31,AB31:AE31),"//duration/value")/60/60/24</f>
        <v>#VALUE!</v>
      </c>
      <c r="AS31" s="1" t="s">
        <v>502</v>
      </c>
      <c r="AT31" s="1" t="s">
        <v>503</v>
      </c>
      <c r="AU31" s="1" t="s">
        <v>504</v>
      </c>
      <c r="AV31" s="1" t="s">
        <v>505</v>
      </c>
      <c r="AW31" s="1">
        <v>246.64</v>
      </c>
      <c r="AX31" s="1">
        <v>4.8250000000000002</v>
      </c>
      <c r="AY31" s="1">
        <v>4548.9139999999998</v>
      </c>
      <c r="AZ31" s="1">
        <v>542.26599999999996</v>
      </c>
      <c r="BA31" s="1">
        <v>4.8250000000000002</v>
      </c>
      <c r="BB31" s="19">
        <v>0.10640046296296296</v>
      </c>
      <c r="BC31" s="19">
        <v>1.0138888888888888E-2</v>
      </c>
      <c r="BD31" s="19">
        <v>1.8925462962962964</v>
      </c>
      <c r="BE31" s="19">
        <v>0.21562499999999998</v>
      </c>
      <c r="BF31" s="3" t="s">
        <v>281</v>
      </c>
      <c r="BG31" s="3" t="s">
        <v>281</v>
      </c>
      <c r="BH31" s="19">
        <v>1.0138888888888888E-2</v>
      </c>
    </row>
    <row r="32" spans="1:60" ht="28.8">
      <c r="A32" s="51" t="s">
        <v>102</v>
      </c>
      <c r="B32" s="52" t="s">
        <v>139</v>
      </c>
      <c r="C32" s="52" t="s">
        <v>140</v>
      </c>
      <c r="D32" s="80">
        <v>44839</v>
      </c>
      <c r="E32" s="80">
        <v>45015</v>
      </c>
      <c r="F32" s="52" t="s">
        <v>226</v>
      </c>
      <c r="G32" s="54">
        <v>16</v>
      </c>
      <c r="H32" s="54">
        <v>11</v>
      </c>
      <c r="I32" s="81">
        <f>$G32*$O32*1.15</f>
        <v>3035.9999999999995</v>
      </c>
      <c r="J32" s="54" t="s">
        <v>141</v>
      </c>
      <c r="K32" s="52" t="s">
        <v>142</v>
      </c>
      <c r="L32" s="54">
        <v>29685243</v>
      </c>
      <c r="M32" s="80">
        <v>44839</v>
      </c>
      <c r="N32" s="52" t="s">
        <v>81</v>
      </c>
      <c r="O32" s="54">
        <v>165</v>
      </c>
      <c r="P32" s="54" t="s">
        <v>27</v>
      </c>
      <c r="Q32" s="56" t="s">
        <v>143</v>
      </c>
      <c r="R32" s="52">
        <v>45.438667799999997</v>
      </c>
      <c r="S32" s="52">
        <v>-73.682047600000004</v>
      </c>
      <c r="T32" s="70" t="s">
        <v>144</v>
      </c>
      <c r="U32" s="82" t="s">
        <v>145</v>
      </c>
      <c r="X32" s="1">
        <f>_xlfn.XLOOKUP('Projets Jerome_2_test'!$J16,'Projets Jerome'!$J$2:$J$37,'Projets Jerome'!$AC$2:$AC$37)</f>
        <v>45.471083700000001</v>
      </c>
      <c r="Y32" s="1">
        <f>_xlfn.XLOOKUP('Projets Jerome_2_test'!$J16,'Projets Jerome'!$J$2:$J$37,'Projets Jerome'!$AD$2:$AD$37)</f>
        <v>-73.694928099999998</v>
      </c>
      <c r="AB32" s="1" t="str">
        <f>_xlfn.WEBSERVICE("https://maps.googleapis.com/maps/api/distancematrix/xml?destinations="&amp;$X32&amp;"%2C"&amp;$Y32&amp;"&amp;origins=46.7677269%2C-71.2887151&amp;key=AIzaSyCHth-wrbaKBruFJQMWpdpeHAtAzdbcKh4")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2" s="1" t="str">
        <f>_xlfn.WEBSERVICE("https://maps.googleapis.com/maps/api/distancematrix/xml?destinations="&amp;$X32&amp;"%2C"&amp;$Y32&amp;"&amp;origins=45.5219584%2C-73.6130896&amp;key=AIzaSyCHth-wrbaKBruFJQMWpdpeHAtAzdbcKh4")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2" s="1" t="str">
        <f>_xlfn.WEBSERVICE("https://maps.googleapis.com/maps/api/distancematrix/xml?destinations="&amp;$X32&amp;"%2C"&amp;$Y32&amp;"&amp;origins=49.2838546%2C-123.1196403&amp;key=AIzaSyCHth-wrbaKBruFJQMWpdpeHAtAzdbcKh4")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2" s="1" t="str">
        <f>_xlfn.WEBSERVICE("https://maps.googleapis.com/maps/api/distancematrix/xml?destinations="&amp;$X32&amp;"%2C"&amp;$Y32&amp;"&amp;origins=43.6410825%2C-79.3787196&amp;key=AIzaSyCHth-wrbaKBruFJQMWpdpeHAtAzdbcKh4")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2" s="1" t="e" cm="1">
        <f t="array" ref="AF32">_xlfn.FILTERXML(AB32,"//distance/value")/1000</f>
        <v>#VALUE!</v>
      </c>
      <c r="AG32" s="1" t="e" cm="1">
        <f t="array" ref="AG32">_xlfn.FILTERXML(AC32,"//distance/value")/1000</f>
        <v>#VALUE!</v>
      </c>
      <c r="AH32" s="1" t="e" cm="1">
        <f t="array" ref="AH32">_xlfn.FILTERXML(AD32,"//distance/value")/1000</f>
        <v>#VALUE!</v>
      </c>
      <c r="AI32" s="1" t="e" cm="1">
        <f t="array" ref="AI32">_xlfn.FILTERXML(AE32,"//distance/value")/1000</f>
        <v>#VALUE!</v>
      </c>
      <c r="AJ32" s="1" t="e">
        <f>MIN(AF32:AI32)</f>
        <v>#VALUE!</v>
      </c>
      <c r="AK32" s="19" t="e" cm="1">
        <f t="array" ref="AK32">_xlfn.FILTERXML(AB32,"//duration/value")/60/60/24</f>
        <v>#VALUE!</v>
      </c>
      <c r="AL32" s="19" t="e" cm="1">
        <f t="array" ref="AL32">_xlfn.FILTERXML(AC32,"//duration/value")/60/60/24</f>
        <v>#VALUE!</v>
      </c>
      <c r="AM32" s="19" t="e" cm="1">
        <f t="array" ref="AM32">_xlfn.FILTERXML(AD32,"//duration/value")/60/60/24</f>
        <v>#VALUE!</v>
      </c>
      <c r="AN32" s="19" t="e" cm="1">
        <f t="array" ref="AN32">_xlfn.FILTERXML(AE32,"//duration/value")/60/60/24</f>
        <v>#VALUE!</v>
      </c>
      <c r="AO32" s="3" t="e">
        <f>REPLACE(_xlfn.XLOOKUP(AJ32,$AF32:$AI32,$AF$1:$AI$1), 1, 9, "")</f>
        <v>#VALUE!</v>
      </c>
      <c r="AP32" s="3" t="e">
        <f>REPLACE(_xlfn.XLOOKUP(AQ32,$AK32:$AN32,$AF$1:$AI$1), 1, 9, "")</f>
        <v>#VALUE!</v>
      </c>
      <c r="AQ32" s="19" t="e" cm="1">
        <f t="array" ref="AQ32">_xlfn.FILTERXML(_xlfn.XLOOKUP(AJ32,$AF32:$AI32,AB32:AE32),"//duration/value")/60/60/24</f>
        <v>#VALUE!</v>
      </c>
      <c r="AS32" s="1" t="s">
        <v>424</v>
      </c>
      <c r="AT32" s="1" t="s">
        <v>425</v>
      </c>
      <c r="AU32" s="1" t="s">
        <v>426</v>
      </c>
      <c r="AV32" s="1" t="s">
        <v>427</v>
      </c>
      <c r="AW32" s="1">
        <v>261.88600000000002</v>
      </c>
      <c r="AX32" s="1">
        <v>21.428000000000001</v>
      </c>
      <c r="AY32" s="1">
        <v>4857.1130000000003</v>
      </c>
      <c r="AZ32" s="1">
        <v>530.75699999999995</v>
      </c>
      <c r="BA32" s="1">
        <v>21.428000000000001</v>
      </c>
      <c r="BB32" s="19">
        <v>0.11138888888888888</v>
      </c>
      <c r="BC32" s="19">
        <v>2.0787037037037038E-2</v>
      </c>
      <c r="BD32" s="19">
        <v>1.8899074074074074</v>
      </c>
      <c r="BE32" s="19">
        <v>0.21401620370370369</v>
      </c>
      <c r="BF32" s="3" t="s">
        <v>281</v>
      </c>
      <c r="BG32" s="3" t="s">
        <v>281</v>
      </c>
      <c r="BH32" s="19">
        <v>2.0787037037037038E-2</v>
      </c>
    </row>
    <row r="33" spans="1:60">
      <c r="A33" s="51" t="s">
        <v>333</v>
      </c>
      <c r="B33" s="52" t="s">
        <v>78</v>
      </c>
      <c r="C33" s="52" t="s">
        <v>334</v>
      </c>
      <c r="D33" s="53">
        <v>44893</v>
      </c>
      <c r="E33" s="53">
        <v>45077</v>
      </c>
      <c r="F33" s="52" t="s">
        <v>26</v>
      </c>
      <c r="G33" s="54">
        <v>8</v>
      </c>
      <c r="H33" s="54">
        <v>5.25</v>
      </c>
      <c r="I33" s="81">
        <f>$G33*$O33*1.15</f>
        <v>1793.9999999999998</v>
      </c>
      <c r="J33" s="55" t="s">
        <v>335</v>
      </c>
      <c r="K33" s="52" t="s">
        <v>336</v>
      </c>
      <c r="L33" s="54">
        <v>29685033</v>
      </c>
      <c r="M33" s="80">
        <v>44893</v>
      </c>
      <c r="N33" s="52" t="s">
        <v>30</v>
      </c>
      <c r="O33" s="54">
        <v>195</v>
      </c>
      <c r="P33" s="54" t="s">
        <v>27</v>
      </c>
      <c r="Q33" s="56" t="s">
        <v>367</v>
      </c>
      <c r="R33" s="52">
        <v>45.5349559</v>
      </c>
      <c r="S33" s="52">
        <v>-73.641190300000005</v>
      </c>
      <c r="T33" s="31" t="s">
        <v>366</v>
      </c>
      <c r="U33" s="42" t="s">
        <v>368</v>
      </c>
      <c r="X33" s="1">
        <f>_xlfn.XLOOKUP('Projets Jerome_2_test'!$J26,'Projets Jerome'!$J$2:$J$37,'Projets Jerome'!$AC$2:$AC$37)</f>
        <v>45.438667799999997</v>
      </c>
      <c r="Y33" s="1">
        <f>_xlfn.XLOOKUP('Projets Jerome_2_test'!$J26,'Projets Jerome'!$J$2:$J$37,'Projets Jerome'!$AD$2:$AD$37)</f>
        <v>-73.682047600000004</v>
      </c>
      <c r="AB33" s="1" t="str">
        <f>_xlfn.WEBSERVICE("https://maps.googleapis.com/maps/api/distancematrix/xml?destinations="&amp;$X33&amp;"%2C"&amp;$Y33&amp;"&amp;origins=46.7677269%2C-71.2887151&amp;key=AIzaSyCHth-wrbaKBruFJQMWpdpeHAtAzdbcKh4")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3" s="1" t="str">
        <f>_xlfn.WEBSERVICE("https://maps.googleapis.com/maps/api/distancematrix/xml?destinations="&amp;$X33&amp;"%2C"&amp;$Y33&amp;"&amp;origins=45.5219584%2C-73.6130896&amp;key=AIzaSyCHth-wrbaKBruFJQMWpdpeHAtAzdbcKh4")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3" s="1" t="str">
        <f>_xlfn.WEBSERVICE("https://maps.googleapis.com/maps/api/distancematrix/xml?destinations="&amp;$X33&amp;"%2C"&amp;$Y33&amp;"&amp;origins=49.2838546%2C-123.1196403&amp;key=AIzaSyCHth-wrbaKBruFJQMWpdpeHAtAzdbcKh4")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3" s="1" t="str">
        <f>_xlfn.WEBSERVICE("https://maps.googleapis.com/maps/api/distancematrix/xml?destinations="&amp;$X33&amp;"%2C"&amp;$Y33&amp;"&amp;origins=43.6410825%2C-79.3787196&amp;key=AIzaSyCHth-wrbaKBruFJQMWpdpeHAtAzdbcKh4")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3" s="1" t="e" cm="1">
        <f t="array" ref="AF33">_xlfn.FILTERXML(AB33,"//distance/value")/1000</f>
        <v>#VALUE!</v>
      </c>
      <c r="AG33" s="1" t="e" cm="1">
        <f t="array" ref="AG33">_xlfn.FILTERXML(AC33,"//distance/value")/1000</f>
        <v>#VALUE!</v>
      </c>
      <c r="AH33" s="1" t="e" cm="1">
        <f t="array" ref="AH33">_xlfn.FILTERXML(AD33,"//distance/value")/1000</f>
        <v>#VALUE!</v>
      </c>
      <c r="AI33" s="1" t="e" cm="1">
        <f t="array" ref="AI33">_xlfn.FILTERXML(AE33,"//distance/value")/1000</f>
        <v>#VALUE!</v>
      </c>
      <c r="AJ33" s="1" t="e">
        <f>MIN(AF33:AI33)</f>
        <v>#VALUE!</v>
      </c>
      <c r="AK33" s="19" t="e" cm="1">
        <f t="array" ref="AK33">_xlfn.FILTERXML(AB33,"//duration/value")/60/60/24</f>
        <v>#VALUE!</v>
      </c>
      <c r="AL33" s="19" t="e" cm="1">
        <f t="array" ref="AL33">_xlfn.FILTERXML(AC33,"//duration/value")/60/60/24</f>
        <v>#VALUE!</v>
      </c>
      <c r="AM33" s="19" t="e" cm="1">
        <f t="array" ref="AM33">_xlfn.FILTERXML(AD33,"//duration/value")/60/60/24</f>
        <v>#VALUE!</v>
      </c>
      <c r="AN33" s="19" t="e" cm="1">
        <f t="array" ref="AN33">_xlfn.FILTERXML(AE33,"//duration/value")/60/60/24</f>
        <v>#VALUE!</v>
      </c>
      <c r="AO33" s="3" t="e">
        <f>REPLACE(_xlfn.XLOOKUP(AJ33,$AF33:$AI33,$AF$1:$AI$1), 1, 9, "")</f>
        <v>#VALUE!</v>
      </c>
      <c r="AP33" s="3" t="e">
        <f>REPLACE(_xlfn.XLOOKUP(AQ33,$AK33:$AN33,$AF$1:$AI$1), 1, 9, "")</f>
        <v>#VALUE!</v>
      </c>
      <c r="AQ33" s="19" t="e" cm="1">
        <f t="array" ref="AQ33">_xlfn.FILTERXML(_xlfn.XLOOKUP(AJ33,$AF33:$AI33,AB33:AE33),"//duration/value")/60/60/24</f>
        <v>#VALUE!</v>
      </c>
      <c r="AS33" s="1" t="s">
        <v>456</v>
      </c>
      <c r="AT33" s="1" t="s">
        <v>457</v>
      </c>
      <c r="AU33" s="1" t="s">
        <v>458</v>
      </c>
      <c r="AV33" s="1" t="s">
        <v>459</v>
      </c>
      <c r="AW33" s="1">
        <v>246.72200000000001</v>
      </c>
      <c r="AX33" s="1">
        <v>4.8250000000000002</v>
      </c>
      <c r="AY33" s="1">
        <v>4868.6229999999996</v>
      </c>
      <c r="AZ33" s="1">
        <v>542.26599999999996</v>
      </c>
      <c r="BA33" s="1">
        <v>4.8250000000000002</v>
      </c>
      <c r="BB33" s="19">
        <v>0.10430555555555554</v>
      </c>
      <c r="BC33" s="19">
        <v>1.005787037037037E-2</v>
      </c>
      <c r="BD33" s="19">
        <v>1.8910995370370369</v>
      </c>
      <c r="BE33" s="19">
        <v>0.21520833333333333</v>
      </c>
      <c r="BF33" s="3" t="s">
        <v>281</v>
      </c>
      <c r="BG33" s="3" t="s">
        <v>281</v>
      </c>
      <c r="BH33" s="19">
        <v>1.005787037037037E-2</v>
      </c>
    </row>
    <row r="34" spans="1:60">
      <c r="A34" s="51"/>
      <c r="B34" s="52"/>
      <c r="C34" s="52" t="s">
        <v>181</v>
      </c>
      <c r="D34" s="53"/>
      <c r="E34" s="53"/>
      <c r="F34" s="52"/>
      <c r="G34" s="54"/>
      <c r="H34" s="54"/>
      <c r="I34" s="81"/>
      <c r="J34" s="54"/>
      <c r="K34" s="52"/>
      <c r="L34" s="54"/>
      <c r="M34" s="80"/>
      <c r="N34" s="52"/>
      <c r="O34" s="54"/>
      <c r="P34" s="54"/>
      <c r="Q34" s="56" t="s">
        <v>182</v>
      </c>
      <c r="R34" s="52">
        <v>46.767808299999999</v>
      </c>
      <c r="S34" s="52">
        <v>-71.288811699999997</v>
      </c>
      <c r="T34" s="87" t="s">
        <v>183</v>
      </c>
      <c r="U34" s="89"/>
      <c r="X34" s="1">
        <f>_xlfn.XLOOKUP('Projets Jerome_2_test'!$J34,'Projets Jerome'!$J$2:$J$37,'Projets Jerome'!$AC$2:$AC$37)</f>
        <v>46.767808299999999</v>
      </c>
      <c r="Y34" s="1">
        <f>_xlfn.XLOOKUP('Projets Jerome_2_test'!$J34,'Projets Jerome'!$J$2:$J$37,'Projets Jerome'!$AD$2:$AD$37)</f>
        <v>-71.288811699999997</v>
      </c>
      <c r="AB34" s="1" t="str">
        <f>_xlfn.WEBSERVICE("https://maps.googleapis.com/maps/api/distancematrix/xml?destinations="&amp;$X34&amp;"%2C"&amp;$Y34&amp;"&amp;origins=46.7677269%2C-71.2887151&amp;key=AIzaSyCHth-wrbaKBruFJQMWpdpeHAtAzdbcKh4")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4" s="1" t="str">
        <f>_xlfn.WEBSERVICE("https://maps.googleapis.com/maps/api/distancematrix/xml?destinations="&amp;$X34&amp;"%2C"&amp;$Y34&amp;"&amp;origins=45.5219584%2C-73.6130896&amp;key=AIzaSyCHth-wrbaKBruFJQMWpdpeHAtAzdbcKh4")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4" s="1" t="str">
        <f>_xlfn.WEBSERVICE("https://maps.googleapis.com/maps/api/distancematrix/xml?destinations="&amp;$X34&amp;"%2C"&amp;$Y34&amp;"&amp;origins=49.2838546%2C-123.1196403&amp;key=AIzaSyCHth-wrbaKBruFJQMWpdpeHAtAzdbcKh4")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4" s="1" t="str">
        <f>_xlfn.WEBSERVICE("https://maps.googleapis.com/maps/api/distancematrix/xml?destinations="&amp;$X34&amp;"%2C"&amp;$Y34&amp;"&amp;origins=43.6410825%2C-79.3787196&amp;key=AIzaSyCHth-wrbaKBruFJQMWpdpeHAtAzdbcKh4")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4" s="1" t="e" cm="1">
        <f t="array" ref="AF34">_xlfn.FILTERXML(AB34,"//distance/value")/1000</f>
        <v>#VALUE!</v>
      </c>
      <c r="AG34" s="1" t="e" cm="1">
        <f t="array" ref="AG34">_xlfn.FILTERXML(AC34,"//distance/value")/1000</f>
        <v>#VALUE!</v>
      </c>
      <c r="AH34" s="1" t="e" cm="1">
        <f t="array" ref="AH34">_xlfn.FILTERXML(AD34,"//distance/value")/1000</f>
        <v>#VALUE!</v>
      </c>
      <c r="AI34" s="1" t="e" cm="1">
        <f t="array" ref="AI34">_xlfn.FILTERXML(AE34,"//distance/value")/1000</f>
        <v>#VALUE!</v>
      </c>
      <c r="AJ34" s="1" t="e">
        <f>MIN(AF34:AI34)</f>
        <v>#VALUE!</v>
      </c>
      <c r="AK34" s="19" t="e" cm="1">
        <f t="array" ref="AK34">_xlfn.FILTERXML(AB34,"//duration/value")/60/60/24</f>
        <v>#VALUE!</v>
      </c>
      <c r="AL34" s="19" t="e" cm="1">
        <f t="array" ref="AL34">_xlfn.FILTERXML(AC34,"//duration/value")/60/60/24</f>
        <v>#VALUE!</v>
      </c>
      <c r="AM34" s="19" t="e" cm="1">
        <f t="array" ref="AM34">_xlfn.FILTERXML(AD34,"//duration/value")/60/60/24</f>
        <v>#VALUE!</v>
      </c>
      <c r="AN34" s="19" t="e" cm="1">
        <f t="array" ref="AN34">_xlfn.FILTERXML(AE34,"//duration/value")/60/60/24</f>
        <v>#VALUE!</v>
      </c>
      <c r="AO34" s="3" t="e">
        <f>REPLACE(_xlfn.XLOOKUP(AJ34,$AF34:$AI34,$AF$1:$AI$1), 1, 9, "")</f>
        <v>#VALUE!</v>
      </c>
      <c r="AP34" s="3" t="e">
        <f>REPLACE(_xlfn.XLOOKUP(AQ34,$AK34:$AN34,$AF$1:$AI$1), 1, 9, "")</f>
        <v>#VALUE!</v>
      </c>
      <c r="AQ34" s="19" t="e" cm="1">
        <f t="array" ref="AQ34">_xlfn.FILTERXML(_xlfn.XLOOKUP(AJ34,$AF34:$AI34,AB34:AE34),"//duration/value")/60/60/24</f>
        <v>#VALUE!</v>
      </c>
      <c r="AS34" s="1" t="s">
        <v>472</v>
      </c>
      <c r="AT34" s="1" t="s">
        <v>473</v>
      </c>
      <c r="AU34" s="1" t="s">
        <v>474</v>
      </c>
      <c r="AV34" s="1" t="s">
        <v>475</v>
      </c>
      <c r="AW34" s="1">
        <v>0</v>
      </c>
      <c r="AX34" s="1">
        <v>246.27600000000001</v>
      </c>
      <c r="AY34" s="1">
        <v>5122.3789999999999</v>
      </c>
      <c r="AZ34" s="1">
        <v>796.02200000000005</v>
      </c>
      <c r="BA34" s="1">
        <v>0</v>
      </c>
      <c r="BB34" s="19">
        <v>0</v>
      </c>
      <c r="BC34" s="19">
        <v>0.11262731481481482</v>
      </c>
      <c r="BD34" s="19">
        <v>1.9909490740740743</v>
      </c>
      <c r="BE34" s="19">
        <v>0.31505787037037036</v>
      </c>
      <c r="BF34" s="3" t="s">
        <v>286</v>
      </c>
      <c r="BG34" s="3" t="s">
        <v>286</v>
      </c>
      <c r="BH34" s="19">
        <v>0</v>
      </c>
    </row>
    <row r="35" spans="1:60">
      <c r="A35" s="58"/>
      <c r="B35" s="59"/>
      <c r="C35" s="59" t="s">
        <v>184</v>
      </c>
      <c r="D35" s="60"/>
      <c r="E35" s="60"/>
      <c r="F35" s="59"/>
      <c r="G35" s="61"/>
      <c r="H35" s="61"/>
      <c r="I35" s="84"/>
      <c r="J35" s="61"/>
      <c r="K35" s="59"/>
      <c r="L35" s="61"/>
      <c r="M35" s="83"/>
      <c r="N35" s="59"/>
      <c r="O35" s="61"/>
      <c r="P35" s="61"/>
      <c r="Q35" s="63" t="s">
        <v>185</v>
      </c>
      <c r="R35" s="59">
        <v>45.521958400000003</v>
      </c>
      <c r="S35" s="59">
        <v>-73.613089599999995</v>
      </c>
      <c r="T35" s="90" t="s">
        <v>186</v>
      </c>
      <c r="U35" s="91"/>
      <c r="X35" s="1">
        <f>_xlfn.XLOOKUP('Projets Jerome_2_test'!$J35,'Projets Jerome'!$J$2:$J$37,'Projets Jerome'!$AC$2:$AC$37)</f>
        <v>46.767808299999999</v>
      </c>
      <c r="Y35" s="1">
        <f>_xlfn.XLOOKUP('Projets Jerome_2_test'!$J35,'Projets Jerome'!$J$2:$J$37,'Projets Jerome'!$AD$2:$AD$37)</f>
        <v>-71.288811699999997</v>
      </c>
      <c r="AB35" s="1" t="str">
        <f>_xlfn.WEBSERVICE("https://maps.googleapis.com/maps/api/distancematrix/xml?destinations="&amp;$X35&amp;"%2C"&amp;$Y35&amp;"&amp;origins=46.7677269%2C-71.2887151&amp;key=AIzaSyCHth-wrbaKBruFJQMWpdpeHAtAzdbcKh4")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5" s="1" t="str">
        <f>_xlfn.WEBSERVICE("https://maps.googleapis.com/maps/api/distancematrix/xml?destinations="&amp;$X35&amp;"%2C"&amp;$Y35&amp;"&amp;origins=45.5219584%2C-73.6130896&amp;key=AIzaSyCHth-wrbaKBruFJQMWpdpeHAtAzdbcKh4")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5" s="1" t="str">
        <f>_xlfn.WEBSERVICE("https://maps.googleapis.com/maps/api/distancematrix/xml?destinations="&amp;$X35&amp;"%2C"&amp;$Y35&amp;"&amp;origins=49.2838546%2C-123.1196403&amp;key=AIzaSyCHth-wrbaKBruFJQMWpdpeHAtAzdbcKh4")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5" s="1" t="str">
        <f>_xlfn.WEBSERVICE("https://maps.googleapis.com/maps/api/distancematrix/xml?destinations="&amp;$X35&amp;"%2C"&amp;$Y35&amp;"&amp;origins=43.6410825%2C-79.3787196&amp;key=AIzaSyCHth-wrbaKBruFJQMWpdpeHAtAzdbcKh4")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5" s="1" t="e" cm="1">
        <f t="array" ref="AF35">_xlfn.FILTERXML(AB35,"//distance/value")/1000</f>
        <v>#VALUE!</v>
      </c>
      <c r="AG35" s="1" t="e" cm="1">
        <f t="array" ref="AG35">_xlfn.FILTERXML(AC35,"//distance/value")/1000</f>
        <v>#VALUE!</v>
      </c>
      <c r="AH35" s="1" t="e" cm="1">
        <f t="array" ref="AH35">_xlfn.FILTERXML(AD35,"//distance/value")/1000</f>
        <v>#VALUE!</v>
      </c>
      <c r="AI35" s="1" t="e" cm="1">
        <f t="array" ref="AI35">_xlfn.FILTERXML(AE35,"//distance/value")/1000</f>
        <v>#VALUE!</v>
      </c>
      <c r="AJ35" s="1" t="e">
        <f>MIN(AF35:AI35)</f>
        <v>#VALUE!</v>
      </c>
      <c r="AK35" s="19" t="e" cm="1">
        <f t="array" ref="AK35">_xlfn.FILTERXML(AB35,"//duration/value")/60/60/24</f>
        <v>#VALUE!</v>
      </c>
      <c r="AL35" s="19" t="e" cm="1">
        <f t="array" ref="AL35">_xlfn.FILTERXML(AC35,"//duration/value")/60/60/24</f>
        <v>#VALUE!</v>
      </c>
      <c r="AM35" s="19" t="e" cm="1">
        <f t="array" ref="AM35">_xlfn.FILTERXML(AD35,"//duration/value")/60/60/24</f>
        <v>#VALUE!</v>
      </c>
      <c r="AN35" s="19" t="e" cm="1">
        <f t="array" ref="AN35">_xlfn.FILTERXML(AE35,"//duration/value")/60/60/24</f>
        <v>#VALUE!</v>
      </c>
      <c r="AO35" s="3" t="e">
        <f>REPLACE(_xlfn.XLOOKUP(AJ35,$AF35:$AI35,$AF$1:$AI$1), 1, 9, "")</f>
        <v>#VALUE!</v>
      </c>
      <c r="AP35" s="3" t="e">
        <f>REPLACE(_xlfn.XLOOKUP(AQ35,$AK35:$AN35,$AF$1:$AI$1), 1, 9, "")</f>
        <v>#VALUE!</v>
      </c>
      <c r="AQ35" s="19" t="e" cm="1">
        <f t="array" ref="AQ35">_xlfn.FILTERXML(_xlfn.XLOOKUP(AJ35,$AF35:$AI35,AB35:AE35),"//duration/value")/60/60/24</f>
        <v>#VALUE!</v>
      </c>
      <c r="AS35" s="1" t="s">
        <v>472</v>
      </c>
      <c r="AT35" s="1" t="s">
        <v>473</v>
      </c>
      <c r="AU35" s="1" t="s">
        <v>474</v>
      </c>
      <c r="AV35" s="1" t="s">
        <v>475</v>
      </c>
      <c r="AW35" s="1">
        <v>0</v>
      </c>
      <c r="AX35" s="1">
        <v>246.27600000000001</v>
      </c>
      <c r="AY35" s="1">
        <v>5122.3789999999999</v>
      </c>
      <c r="AZ35" s="1">
        <v>796.02200000000005</v>
      </c>
      <c r="BA35" s="1">
        <v>0</v>
      </c>
      <c r="BB35" s="19">
        <v>0</v>
      </c>
      <c r="BC35" s="19">
        <v>0.11262731481481482</v>
      </c>
      <c r="BD35" s="19">
        <v>1.9909490740740743</v>
      </c>
      <c r="BE35" s="19">
        <v>0.31505787037037036</v>
      </c>
      <c r="BF35" s="3" t="s">
        <v>286</v>
      </c>
      <c r="BG35" s="3" t="s">
        <v>286</v>
      </c>
      <c r="BH35" s="19">
        <v>0</v>
      </c>
    </row>
    <row r="36" spans="1:60" ht="28.8">
      <c r="A36" s="51"/>
      <c r="B36" s="52"/>
      <c r="C36" s="52" t="s">
        <v>187</v>
      </c>
      <c r="D36" s="53"/>
      <c r="E36" s="53"/>
      <c r="F36" s="52"/>
      <c r="G36" s="54"/>
      <c r="H36" s="54"/>
      <c r="I36" s="81"/>
      <c r="J36" s="54"/>
      <c r="K36" s="52"/>
      <c r="L36" s="54"/>
      <c r="M36" s="80"/>
      <c r="N36" s="52"/>
      <c r="O36" s="54"/>
      <c r="P36" s="54"/>
      <c r="Q36" s="56" t="s">
        <v>188</v>
      </c>
      <c r="R36" s="52">
        <v>49.283854599999998</v>
      </c>
      <c r="S36" s="52">
        <v>-123.1196403</v>
      </c>
      <c r="T36" s="70" t="s">
        <v>189</v>
      </c>
      <c r="U36" s="89"/>
      <c r="X36" s="1">
        <f>_xlfn.XLOOKUP('Projets Jerome_2_test'!$J36,'Projets Jerome'!$J$2:$J$37,'Projets Jerome'!$AC$2:$AC$37)</f>
        <v>46.767808299999999</v>
      </c>
      <c r="Y36" s="1">
        <f>_xlfn.XLOOKUP('Projets Jerome_2_test'!$J36,'Projets Jerome'!$J$2:$J$37,'Projets Jerome'!$AD$2:$AD$37)</f>
        <v>-71.288811699999997</v>
      </c>
      <c r="AB36" s="1" t="str">
        <f>_xlfn.WEBSERVICE("https://maps.googleapis.com/maps/api/distancematrix/xml?destinations="&amp;$X36&amp;"%2C"&amp;$Y36&amp;"&amp;origins=46.7677269%2C-71.2887151&amp;key=AIzaSyCHth-wrbaKBruFJQMWpdpeHAtAzdbcKh4")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6" s="1" t="str">
        <f>_xlfn.WEBSERVICE("https://maps.googleapis.com/maps/api/distancematrix/xml?destinations="&amp;$X36&amp;"%2C"&amp;$Y36&amp;"&amp;origins=45.5219584%2C-73.6130896&amp;key=AIzaSyCHth-wrbaKBruFJQMWpdpeHAtAzdbcKh4")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6" s="1" t="str">
        <f>_xlfn.WEBSERVICE("https://maps.googleapis.com/maps/api/distancematrix/xml?destinations="&amp;$X36&amp;"%2C"&amp;$Y36&amp;"&amp;origins=49.2838546%2C-123.1196403&amp;key=AIzaSyCHth-wrbaKBruFJQMWpdpeHAtAzdbcKh4")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6" s="1" t="str">
        <f>_xlfn.WEBSERVICE("https://maps.googleapis.com/maps/api/distancematrix/xml?destinations="&amp;$X36&amp;"%2C"&amp;$Y36&amp;"&amp;origins=43.6410825%2C-79.3787196&amp;key=AIzaSyCHth-wrbaKBruFJQMWpdpeHAtAzdbcKh4")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6" s="1" t="e" cm="1">
        <f t="array" ref="AF36">_xlfn.FILTERXML(AB36,"//distance/value")/1000</f>
        <v>#VALUE!</v>
      </c>
      <c r="AG36" s="1" t="e" cm="1">
        <f t="array" ref="AG36">_xlfn.FILTERXML(AC36,"//distance/value")/1000</f>
        <v>#VALUE!</v>
      </c>
      <c r="AH36" s="1" t="e" cm="1">
        <f t="array" ref="AH36">_xlfn.FILTERXML(AD36,"//distance/value")/1000</f>
        <v>#VALUE!</v>
      </c>
      <c r="AI36" s="1" t="e" cm="1">
        <f t="array" ref="AI36">_xlfn.FILTERXML(AE36,"//distance/value")/1000</f>
        <v>#VALUE!</v>
      </c>
      <c r="AJ36" s="1" t="e">
        <f>MIN(AF36:AI36)</f>
        <v>#VALUE!</v>
      </c>
      <c r="AK36" s="19" t="e" cm="1">
        <f t="array" ref="AK36">_xlfn.FILTERXML(AB36,"//duration/value")/60/60/24</f>
        <v>#VALUE!</v>
      </c>
      <c r="AL36" s="19" t="e" cm="1">
        <f t="array" ref="AL36">_xlfn.FILTERXML(AC36,"//duration/value")/60/60/24</f>
        <v>#VALUE!</v>
      </c>
      <c r="AM36" s="19" t="e" cm="1">
        <f t="array" ref="AM36">_xlfn.FILTERXML(AD36,"//duration/value")/60/60/24</f>
        <v>#VALUE!</v>
      </c>
      <c r="AN36" s="19" t="e" cm="1">
        <f t="array" ref="AN36">_xlfn.FILTERXML(AE36,"//duration/value")/60/60/24</f>
        <v>#VALUE!</v>
      </c>
      <c r="AO36" s="3" t="e">
        <f>REPLACE(_xlfn.XLOOKUP(AJ36,$AF36:$AI36,$AF$1:$AI$1), 1, 9, "")</f>
        <v>#VALUE!</v>
      </c>
      <c r="AP36" s="3" t="e">
        <f>REPLACE(_xlfn.XLOOKUP(AQ36,$AK36:$AN36,$AF$1:$AI$1), 1, 9, "")</f>
        <v>#VALUE!</v>
      </c>
      <c r="AQ36" s="19" t="e" cm="1">
        <f t="array" ref="AQ36">_xlfn.FILTERXML(_xlfn.XLOOKUP(AJ36,$AF36:$AI36,AB36:AE36),"//duration/value")/60/60/24</f>
        <v>#VALUE!</v>
      </c>
      <c r="AS36" s="1" t="s">
        <v>472</v>
      </c>
      <c r="AT36" s="1" t="s">
        <v>473</v>
      </c>
      <c r="AU36" s="1" t="s">
        <v>474</v>
      </c>
      <c r="AV36" s="1" t="s">
        <v>475</v>
      </c>
      <c r="AW36" s="1">
        <v>0</v>
      </c>
      <c r="AX36" s="1">
        <v>246.27600000000001</v>
      </c>
      <c r="AY36" s="1">
        <v>5122.3789999999999</v>
      </c>
      <c r="AZ36" s="1">
        <v>796.02200000000005</v>
      </c>
      <c r="BA36" s="1">
        <v>0</v>
      </c>
      <c r="BB36" s="19">
        <v>0</v>
      </c>
      <c r="BC36" s="19">
        <v>0.11262731481481482</v>
      </c>
      <c r="BD36" s="19">
        <v>1.9909490740740743</v>
      </c>
      <c r="BE36" s="19">
        <v>0.31505787037037036</v>
      </c>
      <c r="BF36" s="3" t="s">
        <v>286</v>
      </c>
      <c r="BG36" s="3" t="s">
        <v>286</v>
      </c>
      <c r="BH36" s="19">
        <v>0</v>
      </c>
    </row>
    <row r="37" spans="1:60" ht="28.8">
      <c r="A37" s="71"/>
      <c r="B37" s="20"/>
      <c r="C37" s="20" t="s">
        <v>190</v>
      </c>
      <c r="D37" s="72"/>
      <c r="E37" s="72"/>
      <c r="F37" s="20"/>
      <c r="G37" s="73"/>
      <c r="H37" s="73"/>
      <c r="I37" s="92"/>
      <c r="J37" s="73"/>
      <c r="K37" s="20"/>
      <c r="L37" s="73"/>
      <c r="M37" s="93"/>
      <c r="N37" s="20"/>
      <c r="O37" s="73"/>
      <c r="P37" s="73"/>
      <c r="Q37" s="94" t="s">
        <v>191</v>
      </c>
      <c r="R37" s="20">
        <v>43.641082500000003</v>
      </c>
      <c r="S37" s="20">
        <v>-79.378719599999997</v>
      </c>
      <c r="T37" s="75" t="s">
        <v>192</v>
      </c>
      <c r="U37" s="95"/>
      <c r="X37" s="1">
        <f>_xlfn.XLOOKUP('Projets Jerome_2_test'!$J37,'Projets Jerome'!$J$2:$J$37,'Projets Jerome'!$AC$2:$AC$37)</f>
        <v>46.767808299999999</v>
      </c>
      <c r="Y37" s="1">
        <f>_xlfn.XLOOKUP('Projets Jerome_2_test'!$J37,'Projets Jerome'!$J$2:$J$37,'Projets Jerome'!$AD$2:$AD$37)</f>
        <v>-71.288811699999997</v>
      </c>
      <c r="AB37" s="1" t="str">
        <f>_xlfn.WEBSERVICE("https://maps.googleapis.com/maps/api/distancematrix/xml?destinations="&amp;$X37&amp;"%2C"&amp;$Y37&amp;"&amp;origins=46.7677269%2C-71.2887151&amp;key=AIzaSyCHth-wrbaKBruFJQMWpdpeHAtAzdbcKh4")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37" s="1" t="str">
        <f>_xlfn.WEBSERVICE("https://maps.googleapis.com/maps/api/distancematrix/xml?destinations="&amp;$X37&amp;"%2C"&amp;$Y37&amp;"&amp;origins=45.5219584%2C-73.6130896&amp;key=AIzaSyCHth-wrbaKBruFJQMWpdpeHAtAzdbcKh4")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37" s="1" t="str">
        <f>_xlfn.WEBSERVICE("https://maps.googleapis.com/maps/api/distancematrix/xml?destinations="&amp;$X37&amp;"%2C"&amp;$Y37&amp;"&amp;origins=49.2838546%2C-123.1196403&amp;key=AIzaSyCHth-wrbaKBruFJQMWpdpeHAtAzdbcKh4")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37" s="1" t="str">
        <f>_xlfn.WEBSERVICE("https://maps.googleapis.com/maps/api/distancematrix/xml?destinations="&amp;$X37&amp;"%2C"&amp;$Y37&amp;"&amp;origins=43.6410825%2C-79.3787196&amp;key=AIzaSyCHth-wrbaKBruFJQMWpdpeHAtAzdbcKh4")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37" s="1" t="e" cm="1">
        <f t="array" ref="AF37">_xlfn.FILTERXML(AB37,"//distance/value")/1000</f>
        <v>#VALUE!</v>
      </c>
      <c r="AG37" s="1" t="e" cm="1">
        <f t="array" ref="AG37">_xlfn.FILTERXML(AC37,"//distance/value")/1000</f>
        <v>#VALUE!</v>
      </c>
      <c r="AH37" s="1" t="e" cm="1">
        <f t="array" ref="AH37">_xlfn.FILTERXML(AD37,"//distance/value")/1000</f>
        <v>#VALUE!</v>
      </c>
      <c r="AI37" s="1" t="e" cm="1">
        <f t="array" ref="AI37">_xlfn.FILTERXML(AE37,"//distance/value")/1000</f>
        <v>#VALUE!</v>
      </c>
      <c r="AJ37" s="1" t="e">
        <f>MIN(AF37:AI37)</f>
        <v>#VALUE!</v>
      </c>
      <c r="AK37" s="19" t="e" cm="1">
        <f t="array" ref="AK37">_xlfn.FILTERXML(AB37,"//duration/value")/60/60/24</f>
        <v>#VALUE!</v>
      </c>
      <c r="AL37" s="19" t="e" cm="1">
        <f t="array" ref="AL37">_xlfn.FILTERXML(AC37,"//duration/value")/60/60/24</f>
        <v>#VALUE!</v>
      </c>
      <c r="AM37" s="19" t="e" cm="1">
        <f t="array" ref="AM37">_xlfn.FILTERXML(AD37,"//duration/value")/60/60/24</f>
        <v>#VALUE!</v>
      </c>
      <c r="AN37" s="19" t="e" cm="1">
        <f t="array" ref="AN37">_xlfn.FILTERXML(AE37,"//duration/value")/60/60/24</f>
        <v>#VALUE!</v>
      </c>
      <c r="AO37" s="3" t="e">
        <f>REPLACE(_xlfn.XLOOKUP(AJ37,$AF37:$AI37,$AF$1:$AI$1), 1, 9, "")</f>
        <v>#VALUE!</v>
      </c>
      <c r="AP37" s="3" t="e">
        <f>REPLACE(_xlfn.XLOOKUP(AQ37,$AK37:$AN37,$AF$1:$AI$1), 1, 9, "")</f>
        <v>#VALUE!</v>
      </c>
      <c r="AQ37" s="19" t="e" cm="1">
        <f t="array" ref="AQ37">_xlfn.FILTERXML(_xlfn.XLOOKUP(AJ37,$AF37:$AI37,AB37:AE37),"//duration/value")/60/60/24</f>
        <v>#VALUE!</v>
      </c>
      <c r="AS37" s="1" t="s">
        <v>472</v>
      </c>
      <c r="AT37" s="1" t="s">
        <v>473</v>
      </c>
      <c r="AU37" s="1" t="s">
        <v>474</v>
      </c>
      <c r="AV37" s="1" t="s">
        <v>475</v>
      </c>
      <c r="AW37" s="1">
        <v>0</v>
      </c>
      <c r="AX37" s="1">
        <v>246.27600000000001</v>
      </c>
      <c r="AY37" s="1">
        <v>5122.3789999999999</v>
      </c>
      <c r="AZ37" s="1">
        <v>796.02200000000005</v>
      </c>
      <c r="BA37" s="1">
        <v>0</v>
      </c>
      <c r="BB37" s="19">
        <v>0</v>
      </c>
      <c r="BC37" s="19">
        <v>0.11262731481481482</v>
      </c>
      <c r="BD37" s="19">
        <v>1.9909490740740743</v>
      </c>
      <c r="BE37" s="19">
        <v>0.31505787037037036</v>
      </c>
      <c r="BF37" s="3" t="s">
        <v>286</v>
      </c>
      <c r="BG37" s="3" t="s">
        <v>286</v>
      </c>
      <c r="BH37" s="19">
        <v>0</v>
      </c>
    </row>
    <row r="38" spans="1:60">
      <c r="I38" s="18"/>
    </row>
    <row r="39" spans="1:60">
      <c r="I39" s="18"/>
      <c r="AT39" s="1" t="s">
        <v>254</v>
      </c>
    </row>
    <row r="40" spans="1:60">
      <c r="I40" s="18"/>
      <c r="AS40" s="1" t="s">
        <v>246</v>
      </c>
      <c r="AT40" s="1" t="str">
        <f>"https://maps.googleapis.com/maps/api/distancematrix/xml?destinations="&amp;"40.659569"&amp;"%2C"&amp;"-73.933783"&amp;"&amp;origins="&amp;$R34&amp;"%2C"&amp;$S34&amp;"&amp;key=AIzaSyCHth-wrbaKBruFJQMWpdpeHAtAzdbcKh4"</f>
        <v>https://maps.googleapis.com/maps/api/distancematrix/xml?destinations=40.659569%2C-73.933783&amp;origins=46.7678083%2C-71.2888117&amp;key=AIzaSyCHth-wrbaKBruFJQMWpdpeHAtAzdbcKh4</v>
      </c>
    </row>
    <row r="41" spans="1:60">
      <c r="I41" s="18"/>
      <c r="AS41" s="1" t="s">
        <v>247</v>
      </c>
      <c r="AT41" s="1" t="str">
        <f>"https://maps.googleapis.com/maps/api/distancematrix/xml?destinations="&amp;"40.659569"&amp;"%2C"&amp;"-73.933783"&amp;"&amp;origins="&amp;$R35&amp;"%2C"&amp;$S35&amp;"&amp;key=AIzaSyCHth-wrbaKBruFJQMWpdpeHAtAzdbcKh4"</f>
        <v>https://maps.googleapis.com/maps/api/distancematrix/xml?destinations=40.659569%2C-73.933783&amp;origins=45.5219584%2C-73.6130896&amp;key=AIzaSyCHth-wrbaKBruFJQMWpdpeHAtAzdbcKh4</v>
      </c>
    </row>
    <row r="42" spans="1:60">
      <c r="I42" s="18"/>
      <c r="AS42" s="1" t="s">
        <v>248</v>
      </c>
      <c r="AT42" s="1" t="str">
        <f>"https://maps.googleapis.com/maps/api/distancematrix/xml?destinations="&amp;"40.659569"&amp;"%2C"&amp;"-73.933783"&amp;"&amp;origins="&amp;$R36&amp;"%2C"&amp;$S36&amp;"&amp;key=AIzaSyCHth-wrbaKBruFJQMWpdpeHAtAzdbcKh4"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43" spans="1:60">
      <c r="I43" s="18"/>
      <c r="AS43" s="1" t="s">
        <v>249</v>
      </c>
      <c r="AT43" s="1" t="str">
        <f>"https://maps.googleapis.com/maps/api/distancematrix/xml?destinations="&amp;"40.659569"&amp;"%2C"&amp;"-73.933783"&amp;"&amp;origins="&amp;$R37&amp;"%2C"&amp;$S37&amp;"&amp;key=AIzaSyCHth-wrbaKBruFJQMWpdpeHAtAzdbcKh4"</f>
        <v>https://maps.googleapis.com/maps/api/distancematrix/xml?destinations=40.659569%2C-73.933783&amp;origins=43.6410825%2C-79.3787196&amp;key=AIzaSyCHth-wrbaKBruFJQMWpdpeHAtAzdbcKh4</v>
      </c>
    </row>
    <row r="44" spans="1:60">
      <c r="I44" s="18"/>
    </row>
    <row r="45" spans="1:60">
      <c r="I45" s="18"/>
    </row>
    <row r="46" spans="1:60">
      <c r="I46" s="18"/>
      <c r="AS46" s="1" t="s">
        <v>246</v>
      </c>
      <c r="AT46" s="1" t="s">
        <v>255</v>
      </c>
    </row>
    <row r="47" spans="1:60">
      <c r="I47" s="18"/>
      <c r="AS47" s="1" t="s">
        <v>247</v>
      </c>
      <c r="AT47" s="1" t="s">
        <v>256</v>
      </c>
    </row>
    <row r="48" spans="1:60">
      <c r="AS48" s="1" t="s">
        <v>248</v>
      </c>
      <c r="AT48" s="1" t="s">
        <v>257</v>
      </c>
    </row>
    <row r="49" spans="45:46">
      <c r="AS49" s="1" t="s">
        <v>249</v>
      </c>
      <c r="AT49" s="1" t="s">
        <v>258</v>
      </c>
    </row>
    <row r="51" spans="45:46">
      <c r="AS51" s="1" t="s">
        <v>246</v>
      </c>
      <c r="AT51" s="1" t="s">
        <v>255</v>
      </c>
    </row>
    <row r="52" spans="45:46">
      <c r="AS52" s="1" t="s">
        <v>247</v>
      </c>
      <c r="AT52" s="1" t="s">
        <v>256</v>
      </c>
    </row>
    <row r="53" spans="45:46">
      <c r="AS53" s="1" t="s">
        <v>248</v>
      </c>
      <c r="AT53" s="1" t="s">
        <v>257</v>
      </c>
    </row>
    <row r="54" spans="45:46">
      <c r="AS54" s="1" t="s">
        <v>249</v>
      </c>
      <c r="AT54" s="1" t="s">
        <v>258</v>
      </c>
    </row>
    <row r="56" spans="45:46">
      <c r="AS56" s="1" t="s">
        <v>246</v>
      </c>
      <c r="AT56" s="1" t="str">
        <f>"https://maps.googleapis.com/maps/api/distancematrix/xml?destinations="&amp;"40.659569"&amp;"%2C"&amp;"-73.933783"&amp;"&amp;origins=46.7677269%2C-71.2887151&amp;key=AIzaSyCHth-wrbaKBruFJQMWpdpeHAtAzdbcKh4"</f>
        <v>https://maps.googleapis.com/maps/api/distancematrix/xml?destinations=40.659569%2C-73.933783&amp;origins=46.7677269%2C-71.2887151&amp;key=AIzaSyCHth-wrbaKBruFJQMWpdpeHAtAzdbcKh4</v>
      </c>
    </row>
    <row r="57" spans="45:46">
      <c r="AS57" s="1" t="s">
        <v>247</v>
      </c>
      <c r="AT57" s="1" t="str">
        <f>"https://maps.googleapis.com/maps/api/distancematrix/xml?destinations="&amp;"40.659569"&amp;"%2C"&amp;"-73.933783"&amp;"&amp;origins=45.52193%2C-73.6130697&amp;key=AIzaSyCHth-wrbaKBruFJQMWpdpeHAtAzdbcKh4"</f>
        <v>https://maps.googleapis.com/maps/api/distancematrix/xml?destinations=40.659569%2C-73.933783&amp;origins=45.52193%2C-73.6130697&amp;key=AIzaSyCHth-wrbaKBruFJQMWpdpeHAtAzdbcKh4</v>
      </c>
    </row>
    <row r="58" spans="45:46">
      <c r="AS58" s="1" t="s">
        <v>248</v>
      </c>
      <c r="AT58" s="1" t="str">
        <f>"https://maps.googleapis.com/maps/api/distancematrix/xml?destinations="&amp;"40.659569"&amp;"%2C"&amp;"-73.933783"&amp;"&amp;origins=49.2838546%2C-123.1196403&amp;key=AIzaSyCHth-wrbaKBruFJQMWpdpeHAtAzdbcKh4"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59" spans="45:46">
      <c r="AS59" s="1" t="s">
        <v>249</v>
      </c>
      <c r="AT59" s="1" t="str">
        <f>"https://maps.googleapis.com/maps/api/distancematrix/xml?destinations="&amp;"40.659569"&amp;"%2C"&amp;"-73.933783"&amp;"&amp;origins=43.6410825%2C-79.3787196&amp;key=AIzaSyCHth-wrbaKBruFJQMWpdpeHAtAzdbcKh4"</f>
        <v>https://maps.googleapis.com/maps/api/distancematrix/xml?destinations=40.659569%2C-73.933783&amp;origins=43.6410825%2C-79.3787196&amp;key=AIzaSyCHth-wrbaKBruFJQMWpdpeHAtAzdbcKh4</v>
      </c>
    </row>
  </sheetData>
  <autoFilter ref="A1:BH37" xr:uid="{4246E44F-1C35-49FF-AFD3-E28EE8F3D2EA}">
    <sortState xmlns:xlrd2="http://schemas.microsoft.com/office/spreadsheetml/2017/richdata2" ref="A2:BH37">
      <sortCondition descending="1" ref="I1:I37"/>
    </sortState>
  </autoFilter>
  <conditionalFormatting sqref="AO2:AP37 BF2:BG37">
    <cfRule type="cellIs" dxfId="1" priority="2" operator="equal">
      <formula>"Montreal"</formula>
    </cfRule>
  </conditionalFormatting>
  <conditionalFormatting sqref="AR2:AR37">
    <cfRule type="cellIs" dxfId="0" priority="1" operator="equal">
      <formula>"Montreal"</formula>
    </cfRule>
  </conditionalFormatting>
  <hyperlinks>
    <hyperlink ref="Q8" r:id="rId1" display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xr:uid="{C9FCF261-D883-4130-A370-FD6288F28BD2}"/>
    <hyperlink ref="Q7" r:id="rId2" xr:uid="{9EFCFECF-E646-40E5-98BB-EE1C652ACDB8}"/>
    <hyperlink ref="Q6" r:id="rId3" xr:uid="{7D9A4676-6F3C-477A-8ADC-E0C7C8D2E9EA}"/>
    <hyperlink ref="Q24" r:id="rId4" xr:uid="{E4690EEB-6CB7-450A-BEEE-8D88498A2D05}"/>
    <hyperlink ref="Q25" r:id="rId5" xr:uid="{8A2AE29B-2E22-4EB1-86AD-A71541A6F14A}"/>
    <hyperlink ref="Q16" r:id="rId6" xr:uid="{5B641240-54E9-427C-8642-FDC2F25A2901}"/>
    <hyperlink ref="Q17" r:id="rId7" display="https://www.google.fr/maps/place/Les+Entreprises+Tzanet/@45.563041,-73.7008035,13z/data=!4m9!1m2!2m1!1stzanet!3m5!1s0x4cc918f3f22a80a9:0xc62c2032f37672a4!8m2!3d45.5332363!4d-73.6628473!15sCgZ0emFuZXQiA4gBAVoIIgZ0emFuZXSSARRraXRjaGVuX3N1cHBseV9zdG9yZeABAA!5m1!1e1?hl=fr" xr:uid="{05065731-A7C3-4D8A-BB11-1295F04E7190}"/>
    <hyperlink ref="Q18" r:id="rId8" xr:uid="{37FD574A-A3B5-4AAB-9E59-2D9683DF8837}"/>
    <hyperlink ref="Q23" r:id="rId9" xr:uid="{A6F2750E-0C32-40B0-84EF-9294010E2008}"/>
    <hyperlink ref="Q13" r:id="rId10" display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xr:uid="{5688C4A9-D34E-4E6F-83F9-805E504FA426}"/>
    <hyperlink ref="Q34" r:id="rId11" xr:uid="{F063F5FA-1D5D-47EC-8EB3-085608F37260}"/>
    <hyperlink ref="Q35" r:id="rId12" xr:uid="{F014A80E-824E-4CC1-B59A-743F1D7388FC}"/>
    <hyperlink ref="Q36" r:id="rId13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3D66A0A3-22ED-451C-9CF7-0C5421EEEBC6}"/>
    <hyperlink ref="Q37" r:id="rId14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AE9CD57B-DBE3-4126-A9BD-3E2C4BBDE154}"/>
    <hyperlink ref="Q11" r:id="rId15" display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" xr:uid="{0463836E-3643-47EA-BDDE-3AFEFDB07B9A}"/>
    <hyperlink ref="Q10" r:id="rId16" display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" xr:uid="{3234EB30-A35C-4CB6-8BF1-733D64D48C16}"/>
    <hyperlink ref="Q28" r:id="rId17" xr:uid="{148C9D1C-0022-47E9-88D9-84A0796DEF7C}"/>
    <hyperlink ref="Q32" r:id="rId18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14D7D30B-7EE0-482B-97B7-C02AF36411E6}"/>
    <hyperlink ref="Q26" r:id="rId19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BF2609CC-9B70-427E-96D2-25632F478B22}"/>
    <hyperlink ref="Q27" r:id="rId20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AB6BC14E-DE15-4FC2-85A7-B11EE1187DB5}"/>
    <hyperlink ref="Q9" r:id="rId21" display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" xr:uid="{C267871D-C126-4888-9CD8-836B1138C94C}"/>
    <hyperlink ref="Q29" r:id="rId22" xr:uid="{0937F255-E53C-4671-A6CF-911613B843C0}"/>
    <hyperlink ref="Q15" r:id="rId23" display="https://www.google.fr/maps/place/LOVATO+Electric/@37.3473706,-76.2287809,7z/data=!4m5!3m4!1s0x0:0x2d8afaab31ba084e!8m2!3d36.7918965!4d-76.2460442!5m1!1e1?hl=fr" xr:uid="{046A236B-8D59-4943-8EBA-165B91FF4562}"/>
    <hyperlink ref="U5" r:id="rId24" xr:uid="{98A5E791-3207-482B-96EE-9EFDFCDE32B6}"/>
    <hyperlink ref="U6" r:id="rId25" xr:uid="{941A2676-47B1-4BB1-8B38-27EEEDA8C2C5}"/>
    <hyperlink ref="U25" r:id="rId26" xr:uid="{D1735CC5-E22C-471F-8AA9-8FAB372DA633}"/>
    <hyperlink ref="U13" r:id="rId27" xr:uid="{02F3133A-6C9E-4334-B3A5-2505DFCE42D1}"/>
    <hyperlink ref="U23" r:id="rId28" xr:uid="{F52475C5-498A-45BC-8FD6-B94E46CC37F0}"/>
    <hyperlink ref="U8" r:id="rId29" xr:uid="{4E30AA4A-7979-433F-80F4-92D1308D0727}"/>
    <hyperlink ref="U24" r:id="rId30" xr:uid="{081295CA-DDE3-47BB-BEB3-38C27FFDD09E}"/>
    <hyperlink ref="U28" r:id="rId31" xr:uid="{7C56587B-AB25-49C6-9871-265F75F3AF2D}"/>
    <hyperlink ref="U10" r:id="rId32" xr:uid="{26C4906A-B8FE-442D-ABCC-1C76FFCDDAA3}"/>
    <hyperlink ref="U11" r:id="rId33" xr:uid="{22A7A018-DF73-42DE-9582-7C1BAF785091}"/>
    <hyperlink ref="U27" r:id="rId34" xr:uid="{13D548AA-AE5B-4E0A-9E50-35DC240A7CE5}"/>
    <hyperlink ref="U32" r:id="rId35" xr:uid="{6EAAB295-3A0D-4747-94D9-193E983F903B}"/>
    <hyperlink ref="U26" r:id="rId36" xr:uid="{37115004-F546-4995-A8A8-A5A54122CEA7}"/>
    <hyperlink ref="U16" r:id="rId37" xr:uid="{DB35D6F9-5725-4C1C-A50D-F7E37F32B6EF}"/>
    <hyperlink ref="U22" r:id="rId38" xr:uid="{A35CBE20-1B5E-4512-95B9-D6F743093816}"/>
    <hyperlink ref="U15" r:id="rId39" xr:uid="{35B3D1CC-14BE-4BE2-A6E1-CC4B8F694F73}"/>
    <hyperlink ref="U9" r:id="rId40" xr:uid="{32678D7B-A755-4633-8829-C6AD11ECC60E}"/>
    <hyperlink ref="U7" r:id="rId41" xr:uid="{59C67C5F-AFDE-4B47-8713-D5A1938C52F3}"/>
    <hyperlink ref="U17" r:id="rId42" xr:uid="{B47B0375-AD42-4FED-B6FC-E0F02464A553}"/>
    <hyperlink ref="U29" r:id="rId43" xr:uid="{2B4F6680-5E1E-4B31-87D8-EFBA72E2C94E}"/>
    <hyperlink ref="U18" r:id="rId44" xr:uid="{BB5DA71A-3F47-43D1-B1FB-56910244AC01}"/>
    <hyperlink ref="U4" r:id="rId45" xr:uid="{AD530B9A-4EA4-4610-A762-B0AF58A0C0C4}"/>
    <hyperlink ref="Q21" r:id="rId46" display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xr:uid="{24BA540B-E532-4774-A574-E4D2B76FBEAD}"/>
    <hyperlink ref="Q14" r:id="rId47" display="https://www.google.fr/maps/place/Groupe+Dissan+Inc+(Le)+%2F+Dissan+Group/@45.6243664,-73.5694709,17z/data=!4m13!1m7!3m6!1s0x4cc91e2378e664cd:0x967d599837aacf1!2s9900+Bd+du+Golf,+Anjou,+QC+H1J+2Y7!3b1!8m2!3d45.6243664!4d-73.5672822!3m4!1s0x4cc91e1866640307:0xa4b6bb4b279266a1!8m2!3d45.6243396!4d-73.5674347!5m1!1e1?hl=fr" xr:uid="{A17322ED-FB8D-4EF4-8681-3823A8FE2C9D}"/>
    <hyperlink ref="U12" r:id="rId48" xr:uid="{1F6CD68B-623A-472B-9447-3E783D1C428D}"/>
    <hyperlink ref="Q20" r:id="rId49" display="https://www.google.fr/maps/place/Eclipse+Automation/@43.4101677,-80.3161492,17z/data=!4m13!1m7!3m6!1s0x882b886f8982a0cf:0xcccd96ce1e4e4160!2s55+Thompson+Dr,+Cambridge,+ON+N1T+2E4!3b1!8m2!3d43.4064259!4d-80.2896422!3m4!1s0x0:0xce04b5739fe00d09!8m2!3d43.410176!4d-80.3139658!5m1!1e1?hl=fr" xr:uid="{EB79D32D-BAE6-4E8C-8124-7CEC37A5E44F}"/>
    <hyperlink ref="U20" r:id="rId50" xr:uid="{8518AF74-9624-45EA-A502-3E7DCA65B2A1}"/>
    <hyperlink ref="U33" r:id="rId51" xr:uid="{5587829E-1D07-4933-88E8-7C49FC96D6EF}"/>
    <hyperlink ref="U2" r:id="rId52" xr:uid="{ED194802-997D-47E7-83D8-30864A1D8DD6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1384-3FB5-4B74-947C-EE5CA67D0B64}">
  <dimension ref="A1:BH32"/>
  <sheetViews>
    <sheetView zoomScale="73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H7" sqref="H7"/>
    </sheetView>
  </sheetViews>
  <sheetFormatPr defaultColWidth="8.88671875" defaultRowHeight="14.4" outlineLevelCol="1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3" customWidth="1" outlineLevel="1"/>
    <col min="8" max="8" width="11" style="3" customWidth="1" outlineLevel="1"/>
    <col min="9" max="9" width="30.6640625" style="3" customWidth="1" outlineLevel="1"/>
    <col min="10" max="10" width="21.6640625" style="3" bestFit="1" customWidth="1" outlineLevel="1"/>
    <col min="11" max="11" width="35.6640625" style="1" customWidth="1" outlineLevel="1"/>
    <col min="12" max="12" width="16.88671875" style="3" customWidth="1" outlineLevel="1"/>
    <col min="13" max="13" width="19" style="1" customWidth="1" outlineLevel="1"/>
    <col min="14" max="16" width="17.88671875" style="1" customWidth="1" outlineLevel="1"/>
    <col min="17" max="17" width="53.5546875" style="1" customWidth="1" outlineLevel="1"/>
    <col min="18" max="18" width="27.21875" style="1" customWidth="1" outlineLevel="1"/>
    <col min="19" max="19" width="13" style="1" customWidth="1" outlineLevel="1"/>
    <col min="20" max="20" width="30.6640625" style="1" customWidth="1" outlineLevel="1"/>
    <col min="21" max="27" width="8.88671875" style="1"/>
    <col min="28" max="28" width="64.5546875" style="1" customWidth="1"/>
    <col min="29" max="30" width="8.88671875" style="1"/>
    <col min="31" max="31" width="22.6640625" style="1" customWidth="1"/>
    <col min="32" max="35" width="9.88671875" style="1" customWidth="1"/>
    <col min="36" max="36" width="8.88671875" style="1"/>
    <col min="37" max="40" width="12.33203125" style="1" bestFit="1" customWidth="1"/>
    <col min="41" max="41" width="10" style="3" bestFit="1" customWidth="1"/>
    <col min="42" max="42" width="10" style="3" customWidth="1"/>
    <col min="43" max="43" width="13.33203125" style="1" bestFit="1" customWidth="1"/>
    <col min="44" max="48" width="8.88671875" style="1"/>
    <col min="49" max="49" width="11.5546875" style="1" customWidth="1"/>
    <col min="50" max="50" width="10.6640625" style="1" bestFit="1" customWidth="1"/>
    <col min="51" max="51" width="11.33203125" style="1" bestFit="1" customWidth="1"/>
    <col min="52" max="52" width="11.5546875" style="1" customWidth="1"/>
    <col min="53" max="53" width="11.33203125" style="1" bestFit="1" customWidth="1"/>
    <col min="54" max="57" width="12.33203125" style="1" bestFit="1" customWidth="1"/>
    <col min="58" max="58" width="11.109375" style="1" bestFit="1" customWidth="1"/>
    <col min="59" max="59" width="11.44140625" style="1" bestFit="1" customWidth="1"/>
    <col min="60" max="60" width="12.33203125" style="1" bestFit="1" customWidth="1"/>
    <col min="61" max="16384" width="8.88671875" style="1"/>
  </cols>
  <sheetData>
    <row r="1" spans="1:60" s="2" customFormat="1" ht="43.8" thickBot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10</v>
      </c>
      <c r="J1" s="78" t="s">
        <v>11</v>
      </c>
      <c r="K1" s="78" t="s">
        <v>12</v>
      </c>
      <c r="L1" s="78" t="s">
        <v>13</v>
      </c>
      <c r="M1" s="78" t="s">
        <v>14</v>
      </c>
      <c r="N1" s="78" t="s">
        <v>15</v>
      </c>
      <c r="O1" s="78" t="s">
        <v>321</v>
      </c>
      <c r="P1" s="78" t="s">
        <v>9</v>
      </c>
      <c r="Q1" s="78" t="s">
        <v>16</v>
      </c>
      <c r="R1" s="78" t="s">
        <v>17</v>
      </c>
      <c r="S1" s="78" t="s">
        <v>18</v>
      </c>
      <c r="T1" s="78" t="s">
        <v>19</v>
      </c>
      <c r="U1" s="79" t="s">
        <v>20</v>
      </c>
      <c r="X1" s="2" t="s">
        <v>238</v>
      </c>
      <c r="Y1" s="2" t="s">
        <v>239</v>
      </c>
      <c r="AB1" s="15" t="s">
        <v>250</v>
      </c>
      <c r="AC1" s="16" t="s">
        <v>251</v>
      </c>
      <c r="AD1" s="16" t="s">
        <v>252</v>
      </c>
      <c r="AE1" s="17" t="s">
        <v>253</v>
      </c>
      <c r="AF1" s="15" t="s">
        <v>241</v>
      </c>
      <c r="AG1" s="16" t="s">
        <v>263</v>
      </c>
      <c r="AH1" s="16" t="s">
        <v>240</v>
      </c>
      <c r="AI1" s="17" t="s">
        <v>242</v>
      </c>
      <c r="AJ1" s="2" t="s">
        <v>243</v>
      </c>
      <c r="AK1" s="15" t="s">
        <v>259</v>
      </c>
      <c r="AL1" s="16" t="s">
        <v>260</v>
      </c>
      <c r="AM1" s="16" t="s">
        <v>261</v>
      </c>
      <c r="AN1" s="17" t="s">
        <v>262</v>
      </c>
      <c r="AO1" s="2" t="s">
        <v>244</v>
      </c>
      <c r="AP1" s="2" t="s">
        <v>264</v>
      </c>
      <c r="AQ1" s="2" t="s">
        <v>245</v>
      </c>
      <c r="AS1" s="15" t="s">
        <v>250</v>
      </c>
      <c r="AT1" s="16" t="s">
        <v>251</v>
      </c>
      <c r="AU1" s="16" t="s">
        <v>252</v>
      </c>
      <c r="AV1" s="17" t="s">
        <v>253</v>
      </c>
      <c r="AW1" s="15" t="s">
        <v>241</v>
      </c>
      <c r="AX1" s="16" t="s">
        <v>263</v>
      </c>
      <c r="AY1" s="16" t="s">
        <v>240</v>
      </c>
      <c r="AZ1" s="17" t="s">
        <v>242</v>
      </c>
      <c r="BA1" s="2" t="s">
        <v>243</v>
      </c>
      <c r="BB1" s="15" t="s">
        <v>259</v>
      </c>
      <c r="BC1" s="16" t="s">
        <v>260</v>
      </c>
      <c r="BD1" s="16" t="s">
        <v>261</v>
      </c>
      <c r="BE1" s="17" t="s">
        <v>262</v>
      </c>
      <c r="BF1" s="2" t="s">
        <v>244</v>
      </c>
      <c r="BG1" s="2" t="s">
        <v>264</v>
      </c>
      <c r="BH1" s="2" t="s">
        <v>245</v>
      </c>
    </row>
    <row r="2" spans="1:60" ht="28.8">
      <c r="A2" s="51" t="s">
        <v>23</v>
      </c>
      <c r="B2" s="52" t="s">
        <v>34</v>
      </c>
      <c r="C2" s="52" t="s">
        <v>35</v>
      </c>
      <c r="D2" s="80">
        <v>44297</v>
      </c>
      <c r="E2" s="80">
        <v>44925</v>
      </c>
      <c r="F2" s="52" t="s">
        <v>36</v>
      </c>
      <c r="G2" s="54">
        <v>207</v>
      </c>
      <c r="H2" s="54">
        <v>159.75</v>
      </c>
      <c r="I2" s="81">
        <f>'Projets Jerome'!$G2*Projets_cherif!$O2*1.15</f>
        <v>81282</v>
      </c>
      <c r="J2" s="54" t="s">
        <v>37</v>
      </c>
      <c r="K2" s="52" t="s">
        <v>38</v>
      </c>
      <c r="L2" s="54">
        <v>29684754</v>
      </c>
      <c r="M2" s="80">
        <v>44297</v>
      </c>
      <c r="N2" s="52" t="s">
        <v>30</v>
      </c>
      <c r="O2" s="54">
        <v>155</v>
      </c>
      <c r="P2" s="54" t="s">
        <v>27</v>
      </c>
      <c r="Q2" s="56" t="s">
        <v>39</v>
      </c>
      <c r="R2" s="52">
        <v>46.340088999999999</v>
      </c>
      <c r="S2" s="52">
        <v>-72.554929400000006</v>
      </c>
      <c r="T2" s="70" t="s">
        <v>40</v>
      </c>
      <c r="U2" s="82" t="s">
        <v>41</v>
      </c>
      <c r="X2" s="1" t="e">
        <f>_xlfn.XLOOKUP(Projets_cherif!$J2,'Projets Jerome'!$J$2:$J$22,'Projets Jerome'!$AC$2:$AC$22)</f>
        <v>#N/A</v>
      </c>
      <c r="Y2" s="1" t="e">
        <f>_xlfn.XLOOKUP(Projets_cherif!$J2,'Projets Jerome'!$J$2:$J$22,'Projets Jerome'!$AD$2:$AD$22)</f>
        <v>#N/A</v>
      </c>
      <c r="AB2" s="1" t="e">
        <f t="shared" ref="AB2:AB5" si="0">_xlfn.WEBSERVICE("https://maps.googleapis.com/maps/api/distancematrix/xml?destinations="&amp;$X2&amp;"%2C"&amp;$Y2&amp;"&amp;origins=46.7677269%2C-71.2887151&amp;key=AIzaSyCHth-wrbaKBruFJQMWpdpeHAtAzdbcKh4")</f>
        <v>#N/A</v>
      </c>
      <c r="AC2" s="1" t="e">
        <f t="shared" ref="AC2:AC6" si="1">_xlfn.WEBSERVICE("https://maps.googleapis.com/maps/api/distancematrix/xml?destinations="&amp;$X2&amp;"%2C"&amp;$Y2&amp;"&amp;origins=45.5219584%2C-73.6130896&amp;key=AIzaSyCHth-wrbaKBruFJQMWpdpeHAtAzdbcKh4")</f>
        <v>#N/A</v>
      </c>
      <c r="AD2" s="1" t="e">
        <f t="shared" ref="AD2:AD6" si="2">_xlfn.WEBSERVICE("https://maps.googleapis.com/maps/api/distancematrix/xml?destinations="&amp;$X2&amp;"%2C"&amp;$Y2&amp;"&amp;origins=49.2838546%2C-123.1196403&amp;key=AIzaSyCHth-wrbaKBruFJQMWpdpeHAtAzdbcKh4")</f>
        <v>#N/A</v>
      </c>
      <c r="AE2" s="1" t="e">
        <f t="shared" ref="AE2:AE6" si="3">_xlfn.WEBSERVICE("https://maps.googleapis.com/maps/api/distancematrix/xml?destinations="&amp;$X2&amp;"%2C"&amp;$Y2&amp;"&amp;origins=43.6410825%2C-79.3787196&amp;key=AIzaSyCHth-wrbaKBruFJQMWpdpeHAtAzdbcKh4")</f>
        <v>#N/A</v>
      </c>
      <c r="AF2" s="1" t="e" cm="1">
        <f t="array" ref="AF2">_xlfn.FILTERXML(AB2,"//distance/value")/1000</f>
        <v>#N/A</v>
      </c>
      <c r="AG2" s="1" t="e" cm="1">
        <f t="array" ref="AG2">_xlfn.FILTERXML(AC2,"//distance/value")/1000</f>
        <v>#N/A</v>
      </c>
      <c r="AH2" s="1" t="e" cm="1">
        <f t="array" ref="AH2">_xlfn.FILTERXML(AD2,"//distance/value")/1000</f>
        <v>#N/A</v>
      </c>
      <c r="AI2" s="1" t="e" cm="1">
        <f t="array" ref="AI2">_xlfn.FILTERXML(AE2,"//distance/value")/1000</f>
        <v>#N/A</v>
      </c>
      <c r="AJ2" s="1" t="e">
        <f t="shared" ref="AJ2:AJ6" si="4">MIN(AF2:AI2)</f>
        <v>#N/A</v>
      </c>
      <c r="AK2" s="19" t="e" cm="1">
        <f t="array" ref="AK2">_xlfn.FILTERXML(AB2,"//duration/value")/60/60/24</f>
        <v>#N/A</v>
      </c>
      <c r="AL2" s="19" t="e" cm="1">
        <f t="array" ref="AL2">_xlfn.FILTERXML(AC2,"//duration/value")/60/60/24</f>
        <v>#N/A</v>
      </c>
      <c r="AM2" s="19" t="e" cm="1">
        <f t="array" ref="AM2">_xlfn.FILTERXML(AD2,"//duration/value")/60/60/24</f>
        <v>#N/A</v>
      </c>
      <c r="AN2" s="19" t="e" cm="1">
        <f t="array" ref="AN2">_xlfn.FILTERXML(AE2,"//duration/value")/60/60/24</f>
        <v>#N/A</v>
      </c>
      <c r="AO2" s="3" t="e">
        <f t="shared" ref="AO2:AO6" si="5">REPLACE(_xlfn.XLOOKUP(AJ2,$AF2:$AI2,$AF$1:$AI$1), 1, 9, "")</f>
        <v>#N/A</v>
      </c>
      <c r="AP2" s="3" t="e">
        <f t="shared" ref="AP2:AP6" si="6">REPLACE(_xlfn.XLOOKUP(AQ2,$AK2:$AN2,$AF$1:$AI$1), 1, 9, "")</f>
        <v>#N/A</v>
      </c>
      <c r="AQ2" s="19" t="e" cm="1">
        <f t="array" ref="AQ2">_xlfn.FILTERXML(_xlfn.XLOOKUP(AJ2,$AF2:$AI2,AB2:AE2),"//duration/value")/60/60/24</f>
        <v>#N/A</v>
      </c>
      <c r="AS2" s="1" t="s">
        <v>282</v>
      </c>
      <c r="AT2" s="1" t="s">
        <v>283</v>
      </c>
      <c r="AU2" s="1" t="s">
        <v>284</v>
      </c>
      <c r="AV2" s="1" t="s">
        <v>285</v>
      </c>
      <c r="AW2" s="1">
        <v>123.801</v>
      </c>
      <c r="AX2" s="1">
        <v>139.41499999999999</v>
      </c>
      <c r="AY2" s="1">
        <v>4682.3810000000003</v>
      </c>
      <c r="AZ2" s="1">
        <v>675.74300000000005</v>
      </c>
      <c r="BA2" s="1">
        <v>123.801</v>
      </c>
      <c r="BB2" s="19">
        <v>5.1180555555555556E-2</v>
      </c>
      <c r="BC2" s="19">
        <v>6.4490740740740737E-2</v>
      </c>
      <c r="BD2" s="19">
        <v>1.9194791666666668</v>
      </c>
      <c r="BE2" s="19">
        <v>0.26869212962962963</v>
      </c>
      <c r="BF2" s="3" t="s">
        <v>286</v>
      </c>
      <c r="BG2" s="3" t="s">
        <v>286</v>
      </c>
      <c r="BH2" s="19">
        <v>5.1180555555555556E-2</v>
      </c>
    </row>
    <row r="3" spans="1:60" ht="28.8">
      <c r="A3" s="58" t="s">
        <v>42</v>
      </c>
      <c r="B3" s="59" t="s">
        <v>57</v>
      </c>
      <c r="C3" s="59" t="s">
        <v>58</v>
      </c>
      <c r="D3" s="83">
        <v>44409</v>
      </c>
      <c r="E3" s="83">
        <v>44926</v>
      </c>
      <c r="F3" s="59" t="s">
        <v>36</v>
      </c>
      <c r="G3" s="61">
        <v>202</v>
      </c>
      <c r="H3" s="61">
        <v>76.75</v>
      </c>
      <c r="I3" s="84">
        <f>'Projets Jerome'!$G3*Projets_cherif!$O3*1.15</f>
        <v>69172.5</v>
      </c>
      <c r="J3" s="61" t="s">
        <v>59</v>
      </c>
      <c r="K3" s="59" t="s">
        <v>60</v>
      </c>
      <c r="L3" s="61">
        <v>29684804</v>
      </c>
      <c r="M3" s="83">
        <v>44412</v>
      </c>
      <c r="N3" s="59" t="s">
        <v>61</v>
      </c>
      <c r="O3" s="61">
        <v>150</v>
      </c>
      <c r="P3" s="61" t="s">
        <v>27</v>
      </c>
      <c r="Q3" s="63" t="s">
        <v>62</v>
      </c>
      <c r="R3" s="59">
        <v>45.597503199999998</v>
      </c>
      <c r="S3" s="59">
        <v>-73.216579800000005</v>
      </c>
      <c r="T3" s="69" t="s">
        <v>63</v>
      </c>
      <c r="U3" s="85" t="s">
        <v>64</v>
      </c>
      <c r="X3" s="1" t="e">
        <f>_xlfn.XLOOKUP(Projets_cherif!$J3,'Projets Jerome'!$J$2:$J$22,'Projets Jerome'!$AC$2:$AC$22)</f>
        <v>#N/A</v>
      </c>
      <c r="Y3" s="1" t="e">
        <f>_xlfn.XLOOKUP(Projets_cherif!$J3,'Projets Jerome'!$J$2:$J$22,'Projets Jerome'!$AD$2:$AD$22)</f>
        <v>#N/A</v>
      </c>
      <c r="AB3" s="1" t="e">
        <f t="shared" si="0"/>
        <v>#N/A</v>
      </c>
      <c r="AC3" s="1" t="e">
        <f t="shared" si="1"/>
        <v>#N/A</v>
      </c>
      <c r="AD3" s="1" t="e">
        <f t="shared" si="2"/>
        <v>#N/A</v>
      </c>
      <c r="AE3" s="1" t="e">
        <f t="shared" si="3"/>
        <v>#N/A</v>
      </c>
      <c r="AF3" s="1" t="e" cm="1">
        <f t="array" ref="AF3">_xlfn.FILTERXML(AB3,"//distance/value")/1000</f>
        <v>#N/A</v>
      </c>
      <c r="AG3" s="1" t="e" cm="1">
        <f t="array" ref="AG3">_xlfn.FILTERXML(AC3,"//distance/value")/1000</f>
        <v>#N/A</v>
      </c>
      <c r="AH3" s="1" t="e" cm="1">
        <f t="array" ref="AH3">_xlfn.FILTERXML(AD3,"//distance/value")/1000</f>
        <v>#N/A</v>
      </c>
      <c r="AI3" s="1" t="e" cm="1">
        <f t="array" ref="AI3">_xlfn.FILTERXML(AE3,"//distance/value")/1000</f>
        <v>#N/A</v>
      </c>
      <c r="AJ3" s="1" t="e">
        <f t="shared" si="4"/>
        <v>#N/A</v>
      </c>
      <c r="AK3" s="19" t="e" cm="1">
        <f t="array" ref="AK3">_xlfn.FILTERXML(AB3,"//duration/value")/60/60/24</f>
        <v>#N/A</v>
      </c>
      <c r="AL3" s="19" t="e" cm="1">
        <f t="array" ref="AL3">_xlfn.FILTERXML(AC3,"//duration/value")/60/60/24</f>
        <v>#N/A</v>
      </c>
      <c r="AM3" s="19" t="e" cm="1">
        <f t="array" ref="AM3">_xlfn.FILTERXML(AD3,"//duration/value")/60/60/24</f>
        <v>#N/A</v>
      </c>
      <c r="AN3" s="19" t="e" cm="1">
        <f t="array" ref="AN3">_xlfn.FILTERXML(AE3,"//duration/value")/60/60/24</f>
        <v>#N/A</v>
      </c>
      <c r="AO3" s="3" t="e">
        <f t="shared" si="5"/>
        <v>#N/A</v>
      </c>
      <c r="AP3" s="3" t="e">
        <f t="shared" si="6"/>
        <v>#N/A</v>
      </c>
      <c r="AQ3" s="19" t="e" cm="1">
        <f t="array" ref="AQ3">_xlfn.FILTERXML(_xlfn.XLOOKUP(AJ3,$AF3:$AI3,AB3:AE3),"//duration/value")/60/60/24</f>
        <v>#N/A</v>
      </c>
      <c r="AS3" s="1" t="s">
        <v>287</v>
      </c>
      <c r="AT3" s="1" t="s">
        <v>288</v>
      </c>
      <c r="AU3" s="1" t="s">
        <v>289</v>
      </c>
      <c r="AV3" s="1" t="s">
        <v>290</v>
      </c>
      <c r="AW3" s="1">
        <v>208.30600000000001</v>
      </c>
      <c r="AX3" s="1">
        <v>40.302</v>
      </c>
      <c r="AY3" s="1">
        <v>4588.0330000000004</v>
      </c>
      <c r="AZ3" s="1">
        <v>590.04600000000005</v>
      </c>
      <c r="BA3" s="1">
        <v>40.302</v>
      </c>
      <c r="BB3" s="19">
        <v>8.4768518518518521E-2</v>
      </c>
      <c r="BC3" s="19">
        <v>3.142361111111111E-2</v>
      </c>
      <c r="BD3" s="19">
        <v>1.8858796296296294</v>
      </c>
      <c r="BE3" s="19">
        <v>0.23296296296296293</v>
      </c>
      <c r="BF3" s="3" t="s">
        <v>281</v>
      </c>
      <c r="BG3" s="3" t="s">
        <v>281</v>
      </c>
      <c r="BH3" s="19">
        <v>3.142361111111111E-2</v>
      </c>
    </row>
    <row r="4" spans="1:60" ht="43.2">
      <c r="A4" s="51" t="s">
        <v>42</v>
      </c>
      <c r="B4" s="96" t="s">
        <v>231</v>
      </c>
      <c r="C4" s="52" t="s">
        <v>228</v>
      </c>
      <c r="D4" s="53">
        <v>44917</v>
      </c>
      <c r="E4" s="53">
        <v>45015</v>
      </c>
      <c r="F4" s="52" t="s">
        <v>26</v>
      </c>
      <c r="G4" s="54">
        <v>46</v>
      </c>
      <c r="H4" s="54"/>
      <c r="I4" s="81">
        <f>'Projets Jerome'!$G4*Projets_cherif!$O4*1.15</f>
        <v>148194.75</v>
      </c>
      <c r="J4" s="97" t="s">
        <v>232</v>
      </c>
      <c r="K4" s="98" t="s">
        <v>95</v>
      </c>
      <c r="L4" s="54">
        <v>29685283</v>
      </c>
      <c r="M4" s="53">
        <v>44917</v>
      </c>
      <c r="N4" s="52" t="s">
        <v>230</v>
      </c>
      <c r="O4" s="54">
        <v>165</v>
      </c>
      <c r="P4" s="54" t="s">
        <v>27</v>
      </c>
      <c r="Q4" s="56" t="s">
        <v>229</v>
      </c>
      <c r="R4" s="52">
        <v>45.594031999999999</v>
      </c>
      <c r="S4" s="52">
        <v>-73.743847000000002</v>
      </c>
      <c r="T4" s="70" t="s">
        <v>227</v>
      </c>
      <c r="U4" s="82" t="s">
        <v>233</v>
      </c>
      <c r="X4" s="1" t="e">
        <f>_xlfn.XLOOKUP(Projets_cherif!$J4,'Projets Jerome'!$J$2:$J$22,'Projets Jerome'!$AC$2:$AC$22)</f>
        <v>#N/A</v>
      </c>
      <c r="Y4" s="1" t="e">
        <f>_xlfn.XLOOKUP(Projets_cherif!$J4,'Projets Jerome'!$J$2:$J$22,'Projets Jerome'!$AD$2:$AD$22)</f>
        <v>#N/A</v>
      </c>
      <c r="AB4" s="1" t="e">
        <f t="shared" si="0"/>
        <v>#N/A</v>
      </c>
      <c r="AC4" s="1" t="e">
        <f t="shared" si="1"/>
        <v>#N/A</v>
      </c>
      <c r="AD4" s="1" t="e">
        <f t="shared" si="2"/>
        <v>#N/A</v>
      </c>
      <c r="AE4" s="1" t="e">
        <f t="shared" si="3"/>
        <v>#N/A</v>
      </c>
      <c r="AF4" s="1" t="e" cm="1">
        <f t="array" ref="AF4">_xlfn.FILTERXML(AB4,"//distance/value")/1000</f>
        <v>#N/A</v>
      </c>
      <c r="AG4" s="1" t="e" cm="1">
        <f t="array" ref="AG4">_xlfn.FILTERXML(AC4,"//distance/value")/1000</f>
        <v>#N/A</v>
      </c>
      <c r="AH4" s="1" t="e" cm="1">
        <f t="array" ref="AH4">_xlfn.FILTERXML(AD4,"//distance/value")/1000</f>
        <v>#N/A</v>
      </c>
      <c r="AI4" s="1" t="e" cm="1">
        <f t="array" ref="AI4">_xlfn.FILTERXML(AE4,"//distance/value")/1000</f>
        <v>#N/A</v>
      </c>
      <c r="AJ4" s="1" t="e">
        <f t="shared" si="4"/>
        <v>#N/A</v>
      </c>
      <c r="AK4" s="19" t="e" cm="1">
        <f t="array" ref="AK4">_xlfn.FILTERXML(AB4,"//duration/value")/60/60/24</f>
        <v>#N/A</v>
      </c>
      <c r="AL4" s="19" t="e" cm="1">
        <f t="array" ref="AL4">_xlfn.FILTERXML(AC4,"//duration/value")/60/60/24</f>
        <v>#N/A</v>
      </c>
      <c r="AM4" s="19" t="e" cm="1">
        <f t="array" ref="AM4">_xlfn.FILTERXML(AD4,"//duration/value")/60/60/24</f>
        <v>#N/A</v>
      </c>
      <c r="AN4" s="19" t="e" cm="1">
        <f t="array" ref="AN4">_xlfn.FILTERXML(AE4,"//duration/value")/60/60/24</f>
        <v>#N/A</v>
      </c>
      <c r="AO4" s="3" t="e">
        <f t="shared" si="5"/>
        <v>#N/A</v>
      </c>
      <c r="AP4" s="3" t="e">
        <f t="shared" si="6"/>
        <v>#N/A</v>
      </c>
      <c r="AQ4" s="19" t="e" cm="1">
        <f t="array" ref="AQ4">_xlfn.FILTERXML(_xlfn.XLOOKUP(AJ4,$AF4:$AI4,AB4:AE4),"//duration/value")/60/60/24</f>
        <v>#N/A</v>
      </c>
      <c r="AS4" s="1" t="s">
        <v>291</v>
      </c>
      <c r="AT4" s="1" t="s">
        <v>292</v>
      </c>
      <c r="AU4" s="1" t="s">
        <v>293</v>
      </c>
      <c r="AV4" s="1" t="s">
        <v>294</v>
      </c>
      <c r="AW4" s="1">
        <v>256.59199999999998</v>
      </c>
      <c r="AX4" s="1">
        <v>18.004000000000001</v>
      </c>
      <c r="AY4" s="1">
        <v>4555.9250000000002</v>
      </c>
      <c r="AZ4" s="1">
        <v>549.28700000000003</v>
      </c>
      <c r="BA4" s="1">
        <v>18.004000000000001</v>
      </c>
      <c r="BB4" s="19">
        <v>0.10686342592592592</v>
      </c>
      <c r="BC4" s="19">
        <v>1.638888888888889E-2</v>
      </c>
      <c r="BD4" s="19">
        <v>1.8686342592592593</v>
      </c>
      <c r="BE4" s="19">
        <v>0.21784722222222222</v>
      </c>
      <c r="BF4" s="3" t="s">
        <v>281</v>
      </c>
      <c r="BG4" s="3" t="s">
        <v>281</v>
      </c>
      <c r="BH4" s="19">
        <v>1.638888888888889E-2</v>
      </c>
    </row>
    <row r="5" spans="1:60">
      <c r="A5" s="58" t="s">
        <v>42</v>
      </c>
      <c r="B5" s="59" t="s">
        <v>175</v>
      </c>
      <c r="C5" s="59" t="s">
        <v>176</v>
      </c>
      <c r="D5" s="83">
        <v>44881</v>
      </c>
      <c r="E5" s="83">
        <v>45052</v>
      </c>
      <c r="F5" s="59" t="s">
        <v>26</v>
      </c>
      <c r="G5" s="61">
        <v>33</v>
      </c>
      <c r="H5" s="61">
        <v>3.5</v>
      </c>
      <c r="I5" s="84">
        <f>'Projets Jerome'!$G5*Projets_cherif!$O5*1.15</f>
        <v>39100</v>
      </c>
      <c r="J5" s="61" t="s">
        <v>177</v>
      </c>
      <c r="K5" s="59" t="s">
        <v>266</v>
      </c>
      <c r="L5" s="61">
        <v>29685304</v>
      </c>
      <c r="M5" s="60">
        <v>44886</v>
      </c>
      <c r="N5" s="59" t="s">
        <v>30</v>
      </c>
      <c r="O5" s="61">
        <v>170</v>
      </c>
      <c r="P5" s="61" t="s">
        <v>27</v>
      </c>
      <c r="Q5" s="63" t="s">
        <v>179</v>
      </c>
      <c r="R5" s="59">
        <v>45.2710103</v>
      </c>
      <c r="S5" s="59">
        <v>-73.607335899999995</v>
      </c>
      <c r="T5" s="88" t="s">
        <v>180</v>
      </c>
      <c r="U5" s="85" t="s">
        <v>265</v>
      </c>
      <c r="X5" s="1" t="e">
        <f>_xlfn.XLOOKUP(Projets_cherif!$J5,'Projets Jerome'!$J$2:$J$22,'Projets Jerome'!$AC$2:$AC$22)</f>
        <v>#N/A</v>
      </c>
      <c r="Y5" s="1" t="e">
        <f>_xlfn.XLOOKUP(Projets_cherif!$J5,'Projets Jerome'!$J$2:$J$22,'Projets Jerome'!$AD$2:$AD$22)</f>
        <v>#N/A</v>
      </c>
      <c r="AB5" s="1" t="e">
        <f t="shared" si="0"/>
        <v>#N/A</v>
      </c>
      <c r="AC5" s="1" t="e">
        <f t="shared" si="1"/>
        <v>#N/A</v>
      </c>
      <c r="AD5" s="1" t="e">
        <f t="shared" si="2"/>
        <v>#N/A</v>
      </c>
      <c r="AE5" s="1" t="e">
        <f t="shared" si="3"/>
        <v>#N/A</v>
      </c>
      <c r="AF5" s="1" t="e" cm="1">
        <f t="array" ref="AF5">_xlfn.FILTERXML(AB5,"//distance/value")/1000</f>
        <v>#N/A</v>
      </c>
      <c r="AG5" s="1" t="e" cm="1">
        <f t="array" ref="AG5">_xlfn.FILTERXML(AC5,"//distance/value")/1000</f>
        <v>#N/A</v>
      </c>
      <c r="AH5" s="1" t="e" cm="1">
        <f t="array" ref="AH5">_xlfn.FILTERXML(AD5,"//distance/value")/1000</f>
        <v>#N/A</v>
      </c>
      <c r="AI5" s="1" t="e" cm="1">
        <f t="array" ref="AI5">_xlfn.FILTERXML(AE5,"//distance/value")/1000</f>
        <v>#N/A</v>
      </c>
      <c r="AJ5" s="1" t="e">
        <f t="shared" si="4"/>
        <v>#N/A</v>
      </c>
      <c r="AK5" s="19" t="e" cm="1">
        <f t="array" ref="AK5">_xlfn.FILTERXML(AB5,"//duration/value")/60/60/24</f>
        <v>#N/A</v>
      </c>
      <c r="AL5" s="19" t="e" cm="1">
        <f t="array" ref="AL5">_xlfn.FILTERXML(AC5,"//duration/value")/60/60/24</f>
        <v>#N/A</v>
      </c>
      <c r="AM5" s="19" t="e" cm="1">
        <f t="array" ref="AM5">_xlfn.FILTERXML(AD5,"//duration/value")/60/60/24</f>
        <v>#N/A</v>
      </c>
      <c r="AN5" s="19" t="e" cm="1">
        <f t="array" ref="AN5">_xlfn.FILTERXML(AE5,"//duration/value")/60/60/24</f>
        <v>#N/A</v>
      </c>
      <c r="AO5" s="3" t="e">
        <f t="shared" si="5"/>
        <v>#N/A</v>
      </c>
      <c r="AP5" s="3" t="e">
        <f t="shared" si="6"/>
        <v>#N/A</v>
      </c>
      <c r="AQ5" s="19" t="e" cm="1">
        <f t="array" ref="AQ5">_xlfn.FILTERXML(_xlfn.XLOOKUP(AJ5,$AF5:$AI5,AB5:AE5),"//duration/value")/60/60/24</f>
        <v>#N/A</v>
      </c>
      <c r="AS5" s="1" t="s">
        <v>295</v>
      </c>
      <c r="AT5" s="1" t="s">
        <v>296</v>
      </c>
      <c r="AU5" s="1" t="s">
        <v>297</v>
      </c>
      <c r="AV5" s="1" t="s">
        <v>298</v>
      </c>
      <c r="AW5" s="1">
        <v>271.24200000000002</v>
      </c>
      <c r="AX5" s="1">
        <v>35.259</v>
      </c>
      <c r="AY5" s="1">
        <v>4563.9459999999999</v>
      </c>
      <c r="AZ5" s="1">
        <v>547.11300000000006</v>
      </c>
      <c r="BA5" s="1">
        <v>35.259</v>
      </c>
      <c r="BB5" s="19">
        <v>0.11243055555555555</v>
      </c>
      <c r="BC5" s="19">
        <v>2.9953703703703705E-2</v>
      </c>
      <c r="BD5" s="19">
        <v>1.8708333333333333</v>
      </c>
      <c r="BE5" s="19">
        <v>0.21583333333333335</v>
      </c>
      <c r="BF5" s="3" t="s">
        <v>281</v>
      </c>
      <c r="BG5" s="3" t="s">
        <v>281</v>
      </c>
      <c r="BH5" s="19">
        <v>2.9953703703703705E-2</v>
      </c>
    </row>
    <row r="6" spans="1:60">
      <c r="A6" s="51" t="s">
        <v>42</v>
      </c>
      <c r="B6" s="52" t="s">
        <v>267</v>
      </c>
      <c r="C6" s="52" t="s">
        <v>268</v>
      </c>
      <c r="D6" s="53">
        <v>44944</v>
      </c>
      <c r="E6" s="53">
        <v>45078</v>
      </c>
      <c r="F6" s="52" t="s">
        <v>26</v>
      </c>
      <c r="G6" s="54">
        <v>71.5</v>
      </c>
      <c r="H6" s="54">
        <v>0</v>
      </c>
      <c r="I6" s="81">
        <f>'Projets Jerome'!$G6*Projets_cherif!$O6*1.15</f>
        <v>46322</v>
      </c>
      <c r="J6" s="99" t="s">
        <v>269</v>
      </c>
      <c r="K6" s="52" t="s">
        <v>270</v>
      </c>
      <c r="L6" s="54">
        <v>29685305</v>
      </c>
      <c r="M6" s="80">
        <v>44944</v>
      </c>
      <c r="N6" s="52" t="s">
        <v>271</v>
      </c>
      <c r="O6" s="54">
        <v>190</v>
      </c>
      <c r="P6" s="54" t="s">
        <v>27</v>
      </c>
      <c r="Q6" s="56" t="s">
        <v>280</v>
      </c>
      <c r="R6" s="52">
        <v>45.593649300000003</v>
      </c>
      <c r="S6" s="52">
        <v>-73.174735100000007</v>
      </c>
      <c r="T6" s="87" t="s">
        <v>279</v>
      </c>
      <c r="U6" s="82" t="s">
        <v>278</v>
      </c>
      <c r="X6" s="20">
        <v>45.593649300000003</v>
      </c>
      <c r="Y6" s="20">
        <v>-73.174735100000007</v>
      </c>
      <c r="AB6" s="1" t="str">
        <f>_xlfn.WEBSERVICE("https://maps.googleapis.com/maps/api/distancematrix/xml?destinations="&amp;$X6&amp;"%2C"&amp;$Y6&amp;"&amp;origins=46.7677269%2C-71.2887151&amp;key=AIzaSyCHth-wrbaKBruFJQMWpdpeHAtAzdbcKh4")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6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6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6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6" s="1" t="e" cm="1">
        <f t="array" ref="AF6">_xlfn.FILTERXML(AB6,"//distance/value")/1000</f>
        <v>#VALUE!</v>
      </c>
      <c r="AG6" s="1" t="e" cm="1">
        <f t="array" ref="AG6">_xlfn.FILTERXML(AC6,"//distance/value")/1000</f>
        <v>#VALUE!</v>
      </c>
      <c r="AH6" s="1" t="e" cm="1">
        <f t="array" ref="AH6">_xlfn.FILTERXML(AD6,"//distance/value")/1000</f>
        <v>#VALUE!</v>
      </c>
      <c r="AI6" s="1" t="e" cm="1">
        <f t="array" ref="AI6">_xlfn.FILTERXML(AE6,"//distance/value")/1000</f>
        <v>#VALUE!</v>
      </c>
      <c r="AJ6" s="1" t="e">
        <f t="shared" si="4"/>
        <v>#VALUE!</v>
      </c>
      <c r="AK6" s="19" t="e" cm="1">
        <f t="array" ref="AK6">_xlfn.FILTERXML(AB6,"//duration/value")/60/60/24</f>
        <v>#VALUE!</v>
      </c>
      <c r="AL6" s="19" t="e" cm="1">
        <f t="array" ref="AL6">_xlfn.FILTERXML(AC6,"//duration/value")/60/60/24</f>
        <v>#VALUE!</v>
      </c>
      <c r="AM6" s="19" t="e" cm="1">
        <f t="array" ref="AM6">_xlfn.FILTERXML(AD6,"//duration/value")/60/60/24</f>
        <v>#VALUE!</v>
      </c>
      <c r="AN6" s="19" t="e" cm="1">
        <f t="array" ref="AN6">_xlfn.FILTERXML(AE6,"//duration/value")/60/60/24</f>
        <v>#VALUE!</v>
      </c>
      <c r="AO6" s="3" t="e">
        <f t="shared" si="5"/>
        <v>#VALUE!</v>
      </c>
      <c r="AP6" s="3" t="e">
        <f t="shared" si="6"/>
        <v>#VALUE!</v>
      </c>
      <c r="AQ6" s="19" t="e" cm="1">
        <f t="array" ref="AQ6">_xlfn.FILTERXML(_xlfn.XLOOKUP(AJ6,$AF6:$AI6,AB6:AE6),"//duration/value")/60/60/24</f>
        <v>#VALUE!</v>
      </c>
      <c r="AS6" s="1" t="s">
        <v>299</v>
      </c>
      <c r="AT6" s="1" t="s">
        <v>300</v>
      </c>
      <c r="AU6" s="1" t="s">
        <v>301</v>
      </c>
      <c r="AV6" s="1" t="s">
        <v>302</v>
      </c>
      <c r="AW6" s="1">
        <v>206.74600000000001</v>
      </c>
      <c r="AX6" s="1">
        <v>41.738999999999997</v>
      </c>
      <c r="AY6" s="1">
        <v>4589.47</v>
      </c>
      <c r="AZ6" s="1">
        <v>591.48400000000004</v>
      </c>
      <c r="BA6" s="1">
        <v>41.738999999999997</v>
      </c>
      <c r="BB6" s="19">
        <v>8.4502314814814808E-2</v>
      </c>
      <c r="BC6" s="19">
        <v>3.0914351851851849E-2</v>
      </c>
      <c r="BD6" s="19">
        <v>1.8853703703703706</v>
      </c>
      <c r="BE6" s="19">
        <v>0.23245370370370369</v>
      </c>
      <c r="BF6" s="3" t="s">
        <v>281</v>
      </c>
      <c r="BG6" s="3" t="s">
        <v>281</v>
      </c>
      <c r="BH6" s="19">
        <v>3.0914351851851849E-2</v>
      </c>
    </row>
    <row r="7" spans="1:60">
      <c r="A7" s="58"/>
      <c r="B7" s="59"/>
      <c r="C7" s="59" t="s">
        <v>181</v>
      </c>
      <c r="D7" s="60"/>
      <c r="E7" s="60"/>
      <c r="F7" s="59"/>
      <c r="G7" s="61"/>
      <c r="H7" s="61"/>
      <c r="I7" s="84"/>
      <c r="J7" s="61"/>
      <c r="K7" s="59"/>
      <c r="L7" s="61"/>
      <c r="M7" s="83"/>
      <c r="N7" s="59"/>
      <c r="O7" s="59"/>
      <c r="P7" s="59"/>
      <c r="Q7" s="63" t="s">
        <v>182</v>
      </c>
      <c r="R7" s="59">
        <v>46.767808299999999</v>
      </c>
      <c r="S7" s="59">
        <v>-71.288811699999997</v>
      </c>
      <c r="T7" s="88" t="s">
        <v>183</v>
      </c>
      <c r="U7" s="91"/>
      <c r="X7" s="1">
        <f>_xlfn.XLOOKUP(Projets_cherif!$C7,'Projets Jerome'!$C$34:$C$37,'Projets Jerome'!$AC$34:$AC$37)</f>
        <v>46.767808299999999</v>
      </c>
      <c r="Y7" s="1">
        <f>_xlfn.XLOOKUP(Projets_cherif!$C7,'Projets Jerome'!$C$34:$C$37,'Projets Jerome'!$AD$34:$AD$37)</f>
        <v>-71.288811699999997</v>
      </c>
      <c r="AB7" s="1" t="str">
        <f t="shared" ref="AB7:AB10" si="7">_xlfn.WEBSERVICE("https://maps.googleapis.com/maps/api/distancematrix/xml?destinations="&amp;$X7&amp;"%2C"&amp;$Y7&amp;"&amp;origins=46.7677269%2C-71.2887151&amp;key=AIzaSyCHth-wrbaKBruFJQMWpdpeHAtAzdbcKh4")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7" s="1" t="str">
        <f t="shared" ref="AC7:AC10" si="8">_xlfn.WEBSERVICE("https://maps.googleapis.com/maps/api/distancematrix/xml?destinations="&amp;$X7&amp;"%2C"&amp;$Y7&amp;"&amp;origins=45.5219584%2C-73.6130896&amp;key=AIzaSyCHth-wrbaKBruFJQMWpdpeHAtAzdbcKh4")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7" s="1" t="str">
        <f t="shared" ref="AD7:AD10" si="9">_xlfn.WEBSERVICE("https://maps.googleapis.com/maps/api/distancematrix/xml?destinations="&amp;$X7&amp;"%2C"&amp;$Y7&amp;"&amp;origins=49.2838546%2C-123.1196403&amp;key=AIzaSyCHth-wrbaKBruFJQMWpdpeHAtAzdbcKh4")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7" s="1" t="str">
        <f t="shared" ref="AE7:AE10" si="10">_xlfn.WEBSERVICE("https://maps.googleapis.com/maps/api/distancematrix/xml?destinations="&amp;$X7&amp;"%2C"&amp;$Y7&amp;"&amp;origins=43.6410825%2C-79.3787196&amp;key=AIzaSyCHth-wrbaKBruFJQMWpdpeHAtAzdbcKh4")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7" s="1" t="e" cm="1">
        <f t="array" ref="AF7">_xlfn.FILTERXML(AB7,"//distance/value")/1000</f>
        <v>#VALUE!</v>
      </c>
      <c r="AG7" s="1" t="e" cm="1">
        <f t="array" ref="AG7">_xlfn.FILTERXML(AC7,"//distance/value")/1000</f>
        <v>#VALUE!</v>
      </c>
      <c r="AH7" s="1" t="e" cm="1">
        <f t="array" ref="AH7">_xlfn.FILTERXML(AD7,"//distance/value")/1000</f>
        <v>#VALUE!</v>
      </c>
      <c r="AI7" s="1" t="e" cm="1">
        <f t="array" ref="AI7">_xlfn.FILTERXML(AE7,"//distance/value")/1000</f>
        <v>#VALUE!</v>
      </c>
      <c r="AJ7" s="1" t="e">
        <f t="shared" ref="AJ7:AJ10" si="11">MIN(AF7:AI7)</f>
        <v>#VALUE!</v>
      </c>
      <c r="AK7" s="19" t="e" cm="1">
        <f t="array" ref="AK7">_xlfn.FILTERXML(AB7,"//duration/value")/60/60/24</f>
        <v>#VALUE!</v>
      </c>
      <c r="AL7" s="19" t="e" cm="1">
        <f t="array" ref="AL7">_xlfn.FILTERXML(AC7,"//duration/value")/60/60/24</f>
        <v>#VALUE!</v>
      </c>
      <c r="AM7" s="19" t="e" cm="1">
        <f t="array" ref="AM7">_xlfn.FILTERXML(AD7,"//duration/value")/60/60/24</f>
        <v>#VALUE!</v>
      </c>
      <c r="AN7" s="19" t="e" cm="1">
        <f t="array" ref="AN7">_xlfn.FILTERXML(AE7,"//duration/value")/60/60/24</f>
        <v>#VALUE!</v>
      </c>
      <c r="AO7" s="3" t="e">
        <f t="shared" ref="AO7:AO10" si="12">REPLACE(_xlfn.XLOOKUP(AJ7,$AF7:$AI7,$AF$1:$AI$1), 1, 9, "")</f>
        <v>#VALUE!</v>
      </c>
      <c r="AP7" s="3" t="e">
        <f t="shared" ref="AP7:AP10" si="13">REPLACE(_xlfn.XLOOKUP(AQ7,$AK7:$AN7,$AF$1:$AI$1), 1, 9, "")</f>
        <v>#VALUE!</v>
      </c>
      <c r="AQ7" s="19" t="e" cm="1">
        <f t="array" ref="AQ7">_xlfn.FILTERXML(_xlfn.XLOOKUP(AJ7,$AF7:$AI7,AB7:AE7),"//duration/value")/60/60/24</f>
        <v>#VALUE!</v>
      </c>
      <c r="AS7" s="1" t="s">
        <v>303</v>
      </c>
      <c r="AT7" s="1" t="s">
        <v>304</v>
      </c>
      <c r="AU7" s="1" t="s">
        <v>305</v>
      </c>
      <c r="AV7" s="1" t="s">
        <v>306</v>
      </c>
      <c r="AW7" s="1">
        <v>0</v>
      </c>
      <c r="AX7" s="1">
        <v>246.27600000000001</v>
      </c>
      <c r="AY7" s="1">
        <v>4794.0069999999996</v>
      </c>
      <c r="AZ7" s="1">
        <v>796.02099999999996</v>
      </c>
      <c r="BA7" s="1">
        <v>0</v>
      </c>
      <c r="BB7" s="19">
        <v>0</v>
      </c>
      <c r="BC7" s="19">
        <v>0.11369212962962964</v>
      </c>
      <c r="BD7" s="19">
        <v>1.9681481481481482</v>
      </c>
      <c r="BE7" s="19">
        <v>0.3152314814814815</v>
      </c>
      <c r="BF7" s="3" t="s">
        <v>286</v>
      </c>
      <c r="BG7" s="3" t="s">
        <v>286</v>
      </c>
      <c r="BH7" s="19">
        <v>0</v>
      </c>
    </row>
    <row r="8" spans="1:60">
      <c r="A8" s="51"/>
      <c r="B8" s="52"/>
      <c r="C8" s="52" t="s">
        <v>184</v>
      </c>
      <c r="D8" s="53"/>
      <c r="E8" s="53"/>
      <c r="F8" s="52"/>
      <c r="G8" s="54"/>
      <c r="H8" s="54"/>
      <c r="I8" s="81"/>
      <c r="J8" s="54"/>
      <c r="K8" s="52"/>
      <c r="L8" s="54"/>
      <c r="M8" s="80"/>
      <c r="N8" s="52"/>
      <c r="O8" s="52"/>
      <c r="P8" s="52"/>
      <c r="Q8" s="56" t="s">
        <v>185</v>
      </c>
      <c r="R8" s="52">
        <v>45.521958400000003</v>
      </c>
      <c r="S8" s="52">
        <v>-73.613089599999995</v>
      </c>
      <c r="T8" s="100" t="s">
        <v>186</v>
      </c>
      <c r="U8" s="89"/>
      <c r="X8" s="1">
        <f>_xlfn.XLOOKUP(Projets_cherif!$C8,'Projets Jerome'!$C$34:$C$37,'Projets Jerome'!$AC$34:$AC$37)</f>
        <v>45.521958400000003</v>
      </c>
      <c r="Y8" s="1">
        <f>_xlfn.XLOOKUP(Projets_cherif!$C8,'Projets Jerome'!$C$34:$C$37,'Projets Jerome'!$AD$34:$AD$37)</f>
        <v>-73.613089599999995</v>
      </c>
      <c r="AB8" s="1" t="str">
        <f t="shared" si="7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8" s="1" t="str">
        <f t="shared" si="8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8" s="1" t="str">
        <f t="shared" si="9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8" s="1" t="str">
        <f t="shared" si="10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8" s="1" t="e" cm="1">
        <f t="array" ref="AF8">_xlfn.FILTERXML(AB8,"//distance/value")/1000</f>
        <v>#VALUE!</v>
      </c>
      <c r="AG8" s="1" t="e" cm="1">
        <f t="array" ref="AG8">_xlfn.FILTERXML(AC8,"//distance/value")/1000</f>
        <v>#VALUE!</v>
      </c>
      <c r="AH8" s="1" t="e" cm="1">
        <f t="array" ref="AH8">_xlfn.FILTERXML(AD8,"//distance/value")/1000</f>
        <v>#VALUE!</v>
      </c>
      <c r="AI8" s="1" t="e" cm="1">
        <f t="array" ref="AI8">_xlfn.FILTERXML(AE8,"//distance/value")/1000</f>
        <v>#VALUE!</v>
      </c>
      <c r="AJ8" s="1" t="e">
        <f t="shared" si="11"/>
        <v>#VALUE!</v>
      </c>
      <c r="AK8" s="19" t="e" cm="1">
        <f t="array" ref="AK8">_xlfn.FILTERXML(AB8,"//duration/value")/60/60/24</f>
        <v>#VALUE!</v>
      </c>
      <c r="AL8" s="19" t="e" cm="1">
        <f t="array" ref="AL8">_xlfn.FILTERXML(AC8,"//duration/value")/60/60/24</f>
        <v>#VALUE!</v>
      </c>
      <c r="AM8" s="19" t="e" cm="1">
        <f t="array" ref="AM8">_xlfn.FILTERXML(AD8,"//duration/value")/60/60/24</f>
        <v>#VALUE!</v>
      </c>
      <c r="AN8" s="19" t="e" cm="1">
        <f t="array" ref="AN8">_xlfn.FILTERXML(AE8,"//duration/value")/60/60/24</f>
        <v>#VALUE!</v>
      </c>
      <c r="AO8" s="3" t="e">
        <f t="shared" si="12"/>
        <v>#VALUE!</v>
      </c>
      <c r="AP8" s="3" t="e">
        <f t="shared" si="13"/>
        <v>#VALUE!</v>
      </c>
      <c r="AQ8" s="19" t="e" cm="1">
        <f t="array" ref="AQ8">_xlfn.FILTERXML(_xlfn.XLOOKUP(AJ8,$AF8:$AI8,AB8:AE8),"//duration/value")/60/60/24</f>
        <v>#VALUE!</v>
      </c>
      <c r="AS8" s="1" t="s">
        <v>307</v>
      </c>
      <c r="AT8" s="1" t="s">
        <v>308</v>
      </c>
      <c r="AU8" s="1" t="s">
        <v>309</v>
      </c>
      <c r="AV8" s="1" t="s">
        <v>310</v>
      </c>
      <c r="AW8" s="1">
        <v>250.77799999999999</v>
      </c>
      <c r="AX8" s="1">
        <v>0</v>
      </c>
      <c r="AY8" s="1">
        <v>4550.1419999999998</v>
      </c>
      <c r="AZ8" s="1">
        <v>543.50400000000002</v>
      </c>
      <c r="BA8" s="1">
        <v>0</v>
      </c>
      <c r="BB8" s="19">
        <v>0.11163194444444445</v>
      </c>
      <c r="BC8" s="19">
        <v>0</v>
      </c>
      <c r="BD8" s="19">
        <v>1.8698495370370372</v>
      </c>
      <c r="BE8" s="19">
        <v>0.21906249999999997</v>
      </c>
      <c r="BF8" s="3" t="s">
        <v>281</v>
      </c>
      <c r="BG8" s="3" t="s">
        <v>281</v>
      </c>
      <c r="BH8" s="19">
        <v>0</v>
      </c>
    </row>
    <row r="9" spans="1:60" ht="28.8">
      <c r="A9" s="58"/>
      <c r="B9" s="59"/>
      <c r="C9" s="59" t="s">
        <v>187</v>
      </c>
      <c r="D9" s="60"/>
      <c r="E9" s="60"/>
      <c r="F9" s="59"/>
      <c r="G9" s="61"/>
      <c r="H9" s="61"/>
      <c r="I9" s="84"/>
      <c r="J9" s="61"/>
      <c r="K9" s="59"/>
      <c r="L9" s="61"/>
      <c r="M9" s="83"/>
      <c r="N9" s="59"/>
      <c r="O9" s="59"/>
      <c r="P9" s="59"/>
      <c r="Q9" s="63" t="s">
        <v>188</v>
      </c>
      <c r="R9" s="59">
        <v>49.283854599999998</v>
      </c>
      <c r="S9" s="59">
        <v>-123.1196403</v>
      </c>
      <c r="T9" s="69" t="s">
        <v>189</v>
      </c>
      <c r="U9" s="91"/>
      <c r="X9" s="1">
        <f>_xlfn.XLOOKUP(Projets_cherif!$C9,'Projets Jerome'!$C$34:$C$37,'Projets Jerome'!$AC$34:$AC$37)</f>
        <v>49.283854599999998</v>
      </c>
      <c r="Y9" s="1">
        <f>_xlfn.XLOOKUP(Projets_cherif!$C9,'Projets Jerome'!$C$34:$C$37,'Projets Jerome'!$AD$34:$AD$37)</f>
        <v>-123.1196403</v>
      </c>
      <c r="AB9" s="1" t="str">
        <f t="shared" si="7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9" s="1" t="str">
        <f t="shared" si="8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9" s="1" t="str">
        <f t="shared" si="9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9" s="1" t="str">
        <f t="shared" si="10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9" s="1" t="e" cm="1">
        <f t="array" ref="AF9">_xlfn.FILTERXML(AB9,"//distance/value")/1000</f>
        <v>#VALUE!</v>
      </c>
      <c r="AG9" s="1" t="e" cm="1">
        <f t="array" ref="AG9">_xlfn.FILTERXML(AC9,"//distance/value")/1000</f>
        <v>#VALUE!</v>
      </c>
      <c r="AH9" s="1" t="e" cm="1">
        <f t="array" ref="AH9">_xlfn.FILTERXML(AD9,"//distance/value")/1000</f>
        <v>#VALUE!</v>
      </c>
      <c r="AI9" s="1" t="e" cm="1">
        <f t="array" ref="AI9">_xlfn.FILTERXML(AE9,"//distance/value")/1000</f>
        <v>#VALUE!</v>
      </c>
      <c r="AJ9" s="1" t="e">
        <f t="shared" si="11"/>
        <v>#VALUE!</v>
      </c>
      <c r="AK9" s="19" t="e" cm="1">
        <f t="array" ref="AK9">_xlfn.FILTERXML(AB9,"//duration/value")/60/60/24</f>
        <v>#VALUE!</v>
      </c>
      <c r="AL9" s="19" t="e" cm="1">
        <f t="array" ref="AL9">_xlfn.FILTERXML(AC9,"//duration/value")/60/60/24</f>
        <v>#VALUE!</v>
      </c>
      <c r="AM9" s="19" t="e" cm="1">
        <f t="array" ref="AM9">_xlfn.FILTERXML(AD9,"//duration/value")/60/60/24</f>
        <v>#VALUE!</v>
      </c>
      <c r="AN9" s="19" t="e" cm="1">
        <f t="array" ref="AN9">_xlfn.FILTERXML(AE9,"//duration/value")/60/60/24</f>
        <v>#VALUE!</v>
      </c>
      <c r="AO9" s="3" t="e">
        <f t="shared" si="12"/>
        <v>#VALUE!</v>
      </c>
      <c r="AP9" s="3" t="e">
        <f t="shared" si="13"/>
        <v>#VALUE!</v>
      </c>
      <c r="AQ9" s="19" t="e" cm="1">
        <f t="array" ref="AQ9">_xlfn.FILTERXML(_xlfn.XLOOKUP(AJ9,$AF9:$AI9,AB9:AE9),"//duration/value")/60/60/24</f>
        <v>#VALUE!</v>
      </c>
      <c r="AS9" s="1" t="s">
        <v>311</v>
      </c>
      <c r="AT9" s="1" t="s">
        <v>312</v>
      </c>
      <c r="AU9" s="1" t="s">
        <v>313</v>
      </c>
      <c r="AV9" s="1" t="s">
        <v>314</v>
      </c>
      <c r="AW9" s="1">
        <v>4793.125</v>
      </c>
      <c r="AX9" s="1">
        <v>4550.8980000000001</v>
      </c>
      <c r="AY9" s="1">
        <v>0</v>
      </c>
      <c r="AZ9" s="1">
        <v>4373.8940000000002</v>
      </c>
      <c r="BA9" s="1">
        <v>0</v>
      </c>
      <c r="BB9" s="19">
        <v>1.964872685185185</v>
      </c>
      <c r="BC9" s="19">
        <v>1.8693055555555558</v>
      </c>
      <c r="BD9" s="19">
        <v>0</v>
      </c>
      <c r="BE9" s="19">
        <v>1.6691898148148148</v>
      </c>
      <c r="BF9" s="3" t="s">
        <v>248</v>
      </c>
      <c r="BG9" s="3" t="s">
        <v>248</v>
      </c>
      <c r="BH9" s="19">
        <v>0</v>
      </c>
    </row>
    <row r="10" spans="1:60" ht="28.8">
      <c r="A10" s="101"/>
      <c r="B10" s="102"/>
      <c r="C10" s="102" t="s">
        <v>190</v>
      </c>
      <c r="D10" s="103"/>
      <c r="E10" s="103"/>
      <c r="F10" s="102"/>
      <c r="G10" s="104"/>
      <c r="H10" s="104"/>
      <c r="I10" s="105"/>
      <c r="J10" s="104"/>
      <c r="K10" s="102"/>
      <c r="L10" s="104"/>
      <c r="M10" s="106"/>
      <c r="N10" s="102"/>
      <c r="O10" s="102"/>
      <c r="P10" s="102"/>
      <c r="Q10" s="107" t="s">
        <v>191</v>
      </c>
      <c r="R10" s="102">
        <v>43.641082500000003</v>
      </c>
      <c r="S10" s="102">
        <v>-79.378719599999997</v>
      </c>
      <c r="T10" s="108" t="s">
        <v>192</v>
      </c>
      <c r="U10" s="109"/>
      <c r="X10" s="1">
        <f>_xlfn.XLOOKUP(Projets_cherif!$C10,'Projets Jerome'!$C$34:$C$37,'Projets Jerome'!$AC$34:$AC$37)</f>
        <v>43.641082500000003</v>
      </c>
      <c r="Y10" s="1">
        <f>_xlfn.XLOOKUP(Projets_cherif!$C10,'Projets Jerome'!$C$34:$C$37,'Projets Jerome'!$AD$34:$AD$37)</f>
        <v>-79.378719599999997</v>
      </c>
      <c r="AB10" s="1" t="str">
        <f t="shared" si="7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10" s="1" t="str">
        <f t="shared" si="8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10" s="1" t="str">
        <f t="shared" si="9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10" s="1" t="str">
        <f t="shared" si="10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10" s="1" t="e" cm="1">
        <f t="array" ref="AF10">_xlfn.FILTERXML(AB10,"//distance/value")/1000</f>
        <v>#VALUE!</v>
      </c>
      <c r="AG10" s="1" t="e" cm="1">
        <f t="array" ref="AG10">_xlfn.FILTERXML(AC10,"//distance/value")/1000</f>
        <v>#VALUE!</v>
      </c>
      <c r="AH10" s="1" t="e" cm="1">
        <f t="array" ref="AH10">_xlfn.FILTERXML(AD10,"//distance/value")/1000</f>
        <v>#VALUE!</v>
      </c>
      <c r="AI10" s="1" t="e" cm="1">
        <f t="array" ref="AI10">_xlfn.FILTERXML(AE10,"//distance/value")/1000</f>
        <v>#VALUE!</v>
      </c>
      <c r="AJ10" s="1" t="e">
        <f t="shared" si="11"/>
        <v>#VALUE!</v>
      </c>
      <c r="AK10" s="19" t="e" cm="1">
        <f t="array" ref="AK10">_xlfn.FILTERXML(AB10,"//duration/value")/60/60/24</f>
        <v>#VALUE!</v>
      </c>
      <c r="AL10" s="19" t="e" cm="1">
        <f t="array" ref="AL10">_xlfn.FILTERXML(AC10,"//duration/value")/60/60/24</f>
        <v>#VALUE!</v>
      </c>
      <c r="AM10" s="19" t="e" cm="1">
        <f t="array" ref="AM10">_xlfn.FILTERXML(AD10,"//duration/value")/60/60/24</f>
        <v>#VALUE!</v>
      </c>
      <c r="AN10" s="19" t="e" cm="1">
        <f t="array" ref="AN10">_xlfn.FILTERXML(AE10,"//duration/value")/60/60/24</f>
        <v>#VALUE!</v>
      </c>
      <c r="AO10" s="3" t="e">
        <f t="shared" si="12"/>
        <v>#VALUE!</v>
      </c>
      <c r="AP10" s="3" t="e">
        <f t="shared" si="13"/>
        <v>#VALUE!</v>
      </c>
      <c r="AQ10" s="19" t="e" cm="1">
        <f t="array" ref="AQ10">_xlfn.FILTERXML(_xlfn.XLOOKUP(AJ10,$AF10:$AI10,AB10:AE10),"//duration/value")/60/60/24</f>
        <v>#VALUE!</v>
      </c>
      <c r="AS10" s="1" t="s">
        <v>315</v>
      </c>
      <c r="AT10" s="1" t="s">
        <v>316</v>
      </c>
      <c r="AU10" s="1" t="s">
        <v>317</v>
      </c>
      <c r="AV10" s="1" t="s">
        <v>318</v>
      </c>
      <c r="AW10" s="1">
        <v>797.11</v>
      </c>
      <c r="AX10" s="1">
        <v>545.09</v>
      </c>
      <c r="AY10" s="1">
        <v>4381.317</v>
      </c>
      <c r="AZ10" s="1">
        <v>0</v>
      </c>
      <c r="BA10" s="1">
        <v>0</v>
      </c>
      <c r="BB10" s="19">
        <v>0.31759259259259259</v>
      </c>
      <c r="BC10" s="19">
        <v>0.22378472222222223</v>
      </c>
      <c r="BD10" s="19">
        <v>1.6718865740740743</v>
      </c>
      <c r="BE10" s="19">
        <v>0</v>
      </c>
      <c r="BF10" s="3" t="s">
        <v>249</v>
      </c>
      <c r="BG10" s="3" t="s">
        <v>249</v>
      </c>
      <c r="BH10" s="19">
        <v>0</v>
      </c>
    </row>
    <row r="12" spans="1:60">
      <c r="AT12" s="1" t="s">
        <v>254</v>
      </c>
    </row>
    <row r="13" spans="1:60">
      <c r="AS13" s="1" t="s">
        <v>246</v>
      </c>
      <c r="AT13" s="1" t="str">
        <f>"https://maps.googleapis.com/maps/api/distancematrix/xml?destinations="&amp;"40.659569"&amp;"%2C"&amp;"-73.933783"&amp;"&amp;origins="&amp;$R7&amp;"%2C"&amp;$S7&amp;"&amp;key=AIzaSyCHth-wrbaKBruFJQMWpdpeHAtAzdbcKh4"</f>
        <v>https://maps.googleapis.com/maps/api/distancematrix/xml?destinations=40.659569%2C-73.933783&amp;origins=46.7678083%2C-71.2888117&amp;key=AIzaSyCHth-wrbaKBruFJQMWpdpeHAtAzdbcKh4</v>
      </c>
    </row>
    <row r="14" spans="1:60">
      <c r="AS14" s="1" t="s">
        <v>247</v>
      </c>
      <c r="AT14" s="1" t="str">
        <f>"https://maps.googleapis.com/maps/api/distancematrix/xml?destinations="&amp;"40.659569"&amp;"%2C"&amp;"-73.933783"&amp;"&amp;origins="&amp;$R8&amp;"%2C"&amp;$S8&amp;"&amp;key=AIzaSyCHth-wrbaKBruFJQMWpdpeHAtAzdbcKh4"</f>
        <v>https://maps.googleapis.com/maps/api/distancematrix/xml?destinations=40.659569%2C-73.933783&amp;origins=45.5219584%2C-73.6130896&amp;key=AIzaSyCHth-wrbaKBruFJQMWpdpeHAtAzdbcKh4</v>
      </c>
    </row>
    <row r="15" spans="1:60">
      <c r="AS15" s="1" t="s">
        <v>248</v>
      </c>
      <c r="AT15" s="1" t="str">
        <f>"https://maps.googleapis.com/maps/api/distancematrix/xml?destinations="&amp;"40.659569"&amp;"%2C"&amp;"-73.933783"&amp;"&amp;origins="&amp;$R9&amp;"%2C"&amp;$S9&amp;"&amp;key=AIzaSyCHth-wrbaKBruFJQMWpdpeHAtAzdbcKh4"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16" spans="1:60">
      <c r="AS16" s="1" t="s">
        <v>249</v>
      </c>
      <c r="AT16" s="1" t="str">
        <f>"https://maps.googleapis.com/maps/api/distancematrix/xml?destinations="&amp;"40.659569"&amp;"%2C"&amp;"-73.933783"&amp;"&amp;origins="&amp;$R10&amp;"%2C"&amp;$S10&amp;"&amp;key=AIzaSyCHth-wrbaKBruFJQMWpdpeHAtAzdbcKh4"</f>
        <v>https://maps.googleapis.com/maps/api/distancematrix/xml?destinations=40.659569%2C-73.933783&amp;origins=43.6410825%2C-79.3787196&amp;key=AIzaSyCHth-wrbaKBruFJQMWpdpeHAtAzdbcKh4</v>
      </c>
    </row>
    <row r="19" spans="45:46">
      <c r="AS19" s="1" t="s">
        <v>246</v>
      </c>
      <c r="AT19" s="1" t="s">
        <v>255</v>
      </c>
    </row>
    <row r="20" spans="45:46">
      <c r="AS20" s="1" t="s">
        <v>247</v>
      </c>
      <c r="AT20" s="1" t="s">
        <v>256</v>
      </c>
    </row>
    <row r="21" spans="45:46">
      <c r="AS21" s="1" t="s">
        <v>248</v>
      </c>
      <c r="AT21" s="1" t="s">
        <v>257</v>
      </c>
    </row>
    <row r="22" spans="45:46">
      <c r="AS22" s="1" t="s">
        <v>249</v>
      </c>
      <c r="AT22" s="1" t="s">
        <v>258</v>
      </c>
    </row>
    <row r="24" spans="45:46">
      <c r="AS24" s="1" t="s">
        <v>246</v>
      </c>
      <c r="AT24" s="1" t="s">
        <v>255</v>
      </c>
    </row>
    <row r="25" spans="45:46">
      <c r="AS25" s="1" t="s">
        <v>247</v>
      </c>
      <c r="AT25" s="1" t="s">
        <v>256</v>
      </c>
    </row>
    <row r="26" spans="45:46">
      <c r="AS26" s="1" t="s">
        <v>248</v>
      </c>
      <c r="AT26" s="1" t="s">
        <v>257</v>
      </c>
    </row>
    <row r="27" spans="45:46">
      <c r="AS27" s="1" t="s">
        <v>249</v>
      </c>
      <c r="AT27" s="1" t="s">
        <v>258</v>
      </c>
    </row>
    <row r="29" spans="45:46">
      <c r="AS29" s="1" t="s">
        <v>246</v>
      </c>
      <c r="AT29" s="1" t="str">
        <f>"https://maps.googleapis.com/maps/api/distancematrix/xml?destinations="&amp;"40.659569"&amp;"%2C"&amp;"-73.933783"&amp;"&amp;origins=46.7677269%2C-71.2887151&amp;key=AIzaSyCHth-wrbaKBruFJQMWpdpeHAtAzdbcKh4"</f>
        <v>https://maps.googleapis.com/maps/api/distancematrix/xml?destinations=40.659569%2C-73.933783&amp;origins=46.7677269%2C-71.2887151&amp;key=AIzaSyCHth-wrbaKBruFJQMWpdpeHAtAzdbcKh4</v>
      </c>
    </row>
    <row r="30" spans="45:46">
      <c r="AS30" s="1" t="s">
        <v>247</v>
      </c>
      <c r="AT30" s="1" t="str">
        <f>"https://maps.googleapis.com/maps/api/distancematrix/xml?destinations="&amp;"40.659569"&amp;"%2C"&amp;"-73.933783"&amp;"&amp;origins=45.52193%2C-73.6130697&amp;key=AIzaSyCHth-wrbaKBruFJQMWpdpeHAtAzdbcKh4"</f>
        <v>https://maps.googleapis.com/maps/api/distancematrix/xml?destinations=40.659569%2C-73.933783&amp;origins=45.52193%2C-73.6130697&amp;key=AIzaSyCHth-wrbaKBruFJQMWpdpeHAtAzdbcKh4</v>
      </c>
    </row>
    <row r="31" spans="45:46">
      <c r="AS31" s="1" t="s">
        <v>248</v>
      </c>
      <c r="AT31" s="1" t="str">
        <f>"https://maps.googleapis.com/maps/api/distancematrix/xml?destinations="&amp;"40.659569"&amp;"%2C"&amp;"-73.933783"&amp;"&amp;origins=49.2838546%2C-123.1196403&amp;key=AIzaSyCHth-wrbaKBruFJQMWpdpeHAtAzdbcKh4"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32" spans="45:46">
      <c r="AS32" s="1" t="s">
        <v>249</v>
      </c>
      <c r="AT32" s="1" t="str">
        <f>"https://maps.googleapis.com/maps/api/distancematrix/xml?destinations="&amp;"40.659569"&amp;"%2C"&amp;"-73.933783"&amp;"&amp;origins=43.6410825%2C-79.3787196&amp;key=AIzaSyCHth-wrbaKBruFJQMWpdpeHAtAzdbcKh4"</f>
        <v>https://maps.googleapis.com/maps/api/distancematrix/xml?destinations=40.659569%2C-73.933783&amp;origins=43.6410825%2C-79.3787196&amp;key=AIzaSyCHth-wrbaKBruFJQMWpdpeHAtAzdbcKh4</v>
      </c>
    </row>
  </sheetData>
  <conditionalFormatting sqref="AO2:AP10 BF2:BG10">
    <cfRule type="cellIs" dxfId="5" priority="3" operator="equal">
      <formula>"Montreal"</formula>
    </cfRule>
  </conditionalFormatting>
  <conditionalFormatting sqref="AR2:AR10">
    <cfRule type="cellIs" dxfId="4" priority="2" operator="equal">
      <formula>"Montreal"</formula>
    </cfRule>
  </conditionalFormatting>
  <hyperlinks>
    <hyperlink ref="Q3" r:id="rId1" xr:uid="{5722C768-74F1-466F-8F91-2DE7A0826416}"/>
    <hyperlink ref="Q2" r:id="rId2" xr:uid="{A286C370-CB2E-409E-9C41-EE521E2580D1}"/>
    <hyperlink ref="Q7" r:id="rId3" xr:uid="{E7915609-0D68-46C1-80C9-2B959106B5C3}"/>
    <hyperlink ref="Q8" r:id="rId4" xr:uid="{D1EC23F5-082F-4D03-9094-0619FEA3BA55}"/>
    <hyperlink ref="Q9" r:id="rId5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F24E64A8-E048-41D9-91D4-5B0E927B05F3}"/>
    <hyperlink ref="Q10" r:id="rId6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DB7B5105-C107-47E3-9A4B-4F4D451A962D}"/>
    <hyperlink ref="U2" r:id="rId7" xr:uid="{43FE1EE2-1307-4626-A12B-F2B936EBE415}"/>
    <hyperlink ref="U3" r:id="rId8" xr:uid="{7E82FB42-8B47-4EA0-B045-5E6E5BE679C2}"/>
    <hyperlink ref="Q4" r:id="rId9" display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xr:uid="{D283D1C1-AEBE-4F7C-B82D-B55422983BFA}"/>
    <hyperlink ref="U6" r:id="rId10" xr:uid="{6EFFD983-698F-43FE-9C64-4CD8D2F74E85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C600-68DD-4221-8A78-45F5FE24ACDD}">
  <dimension ref="A1:BH29"/>
  <sheetViews>
    <sheetView zoomScale="73" zoomScaleNormal="85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ColWidth="8.88671875" defaultRowHeight="14.4" outlineLevelCol="1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3" customWidth="1" outlineLevel="1"/>
    <col min="8" max="8" width="11" style="3" customWidth="1" outlineLevel="1"/>
    <col min="9" max="9" width="30.6640625" style="3" customWidth="1" outlineLevel="1"/>
    <col min="10" max="10" width="21.6640625" style="3" bestFit="1" customWidth="1" outlineLevel="1"/>
    <col min="11" max="11" width="35.6640625" style="1" customWidth="1" outlineLevel="1"/>
    <col min="12" max="12" width="16.88671875" style="3" customWidth="1" outlineLevel="1"/>
    <col min="13" max="13" width="19" style="1" customWidth="1" outlineLevel="1"/>
    <col min="14" max="14" width="17.88671875" style="1" customWidth="1" outlineLevel="1"/>
    <col min="15" max="16" width="17.88671875" style="3" customWidth="1" outlineLevel="1"/>
    <col min="17" max="17" width="53.5546875" style="1" customWidth="1" outlineLevel="1"/>
    <col min="18" max="18" width="27.21875" style="1" customWidth="1" outlineLevel="1"/>
    <col min="19" max="19" width="13" style="1" customWidth="1" outlineLevel="1"/>
    <col min="20" max="20" width="30.6640625" style="1" customWidth="1" outlineLevel="1"/>
    <col min="21" max="27" width="8.88671875" style="1"/>
    <col min="28" max="28" width="18.21875" style="1" customWidth="1"/>
    <col min="29" max="30" width="8.88671875" style="1"/>
    <col min="31" max="31" width="22.6640625" style="1" customWidth="1"/>
    <col min="32" max="35" width="9.88671875" style="1" customWidth="1"/>
    <col min="36" max="36" width="8.88671875" style="1"/>
    <col min="37" max="40" width="12.33203125" style="1" bestFit="1" customWidth="1"/>
    <col min="41" max="41" width="10" style="3" bestFit="1" customWidth="1"/>
    <col min="42" max="42" width="10" style="3" customWidth="1"/>
    <col min="43" max="43" width="13.33203125" style="1" bestFit="1" customWidth="1"/>
    <col min="44" max="48" width="8.88671875" style="1"/>
    <col min="49" max="49" width="11.5546875" style="1" customWidth="1"/>
    <col min="50" max="50" width="10.6640625" style="1" bestFit="1" customWidth="1"/>
    <col min="51" max="51" width="11.33203125" style="1" bestFit="1" customWidth="1"/>
    <col min="52" max="52" width="11.5546875" style="1" customWidth="1"/>
    <col min="53" max="53" width="11.33203125" style="1" bestFit="1" customWidth="1"/>
    <col min="54" max="57" width="12.33203125" style="1" bestFit="1" customWidth="1"/>
    <col min="58" max="58" width="11.109375" style="1" bestFit="1" customWidth="1"/>
    <col min="59" max="59" width="11.44140625" style="1" bestFit="1" customWidth="1"/>
    <col min="60" max="60" width="12.33203125" style="1" bestFit="1" customWidth="1"/>
    <col min="61" max="16384" width="8.88671875" style="1"/>
  </cols>
  <sheetData>
    <row r="1" spans="1:60" s="2" customFormat="1" ht="43.8" thickBot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10</v>
      </c>
      <c r="J1" s="78" t="s">
        <v>11</v>
      </c>
      <c r="K1" s="78" t="s">
        <v>12</v>
      </c>
      <c r="L1" s="78" t="s">
        <v>13</v>
      </c>
      <c r="M1" s="78" t="s">
        <v>14</v>
      </c>
      <c r="N1" s="78" t="s">
        <v>15</v>
      </c>
      <c r="O1" s="78" t="s">
        <v>321</v>
      </c>
      <c r="P1" s="78" t="s">
        <v>9</v>
      </c>
      <c r="Q1" s="78" t="s">
        <v>16</v>
      </c>
      <c r="R1" s="78" t="s">
        <v>17</v>
      </c>
      <c r="S1" s="78" t="s">
        <v>18</v>
      </c>
      <c r="T1" s="78" t="s">
        <v>19</v>
      </c>
      <c r="U1" s="79" t="s">
        <v>20</v>
      </c>
      <c r="X1" s="2" t="s">
        <v>238</v>
      </c>
      <c r="Y1" s="2" t="s">
        <v>239</v>
      </c>
      <c r="AB1" s="15" t="s">
        <v>250</v>
      </c>
      <c r="AC1" s="16" t="s">
        <v>251</v>
      </c>
      <c r="AD1" s="16" t="s">
        <v>252</v>
      </c>
      <c r="AE1" s="17" t="s">
        <v>253</v>
      </c>
      <c r="AF1" s="15" t="s">
        <v>241</v>
      </c>
      <c r="AG1" s="16" t="s">
        <v>263</v>
      </c>
      <c r="AH1" s="16" t="s">
        <v>240</v>
      </c>
      <c r="AI1" s="17" t="s">
        <v>242</v>
      </c>
      <c r="AJ1" s="2" t="s">
        <v>243</v>
      </c>
      <c r="AK1" s="15" t="s">
        <v>259</v>
      </c>
      <c r="AL1" s="16" t="s">
        <v>260</v>
      </c>
      <c r="AM1" s="16" t="s">
        <v>261</v>
      </c>
      <c r="AN1" s="17" t="s">
        <v>262</v>
      </c>
      <c r="AO1" s="2" t="s">
        <v>244</v>
      </c>
      <c r="AP1" s="2" t="s">
        <v>264</v>
      </c>
      <c r="AQ1" s="2" t="s">
        <v>245</v>
      </c>
      <c r="AS1" s="15" t="s">
        <v>250</v>
      </c>
      <c r="AT1" s="16" t="s">
        <v>251</v>
      </c>
      <c r="AU1" s="16" t="s">
        <v>252</v>
      </c>
      <c r="AV1" s="17" t="s">
        <v>253</v>
      </c>
      <c r="AW1" s="15" t="s">
        <v>241</v>
      </c>
      <c r="AX1" s="16" t="s">
        <v>263</v>
      </c>
      <c r="AY1" s="16" t="s">
        <v>240</v>
      </c>
      <c r="AZ1" s="17" t="s">
        <v>242</v>
      </c>
      <c r="BA1" s="2" t="s">
        <v>243</v>
      </c>
      <c r="BB1" s="15" t="s">
        <v>259</v>
      </c>
      <c r="BC1" s="16" t="s">
        <v>260</v>
      </c>
      <c r="BD1" s="16" t="s">
        <v>261</v>
      </c>
      <c r="BE1" s="17" t="s">
        <v>262</v>
      </c>
      <c r="BF1" s="2" t="s">
        <v>244</v>
      </c>
      <c r="BG1" s="2" t="s">
        <v>264</v>
      </c>
      <c r="BH1" s="2" t="s">
        <v>245</v>
      </c>
    </row>
    <row r="2" spans="1:60">
      <c r="A2" s="51" t="s">
        <v>42</v>
      </c>
      <c r="B2" s="52" t="s">
        <v>323</v>
      </c>
      <c r="C2" s="52" t="s">
        <v>325</v>
      </c>
      <c r="D2" s="53">
        <v>44938</v>
      </c>
      <c r="E2" s="53">
        <v>45077</v>
      </c>
      <c r="F2" s="52" t="s">
        <v>26</v>
      </c>
      <c r="G2" s="54">
        <v>141</v>
      </c>
      <c r="H2" s="54">
        <v>19.5</v>
      </c>
      <c r="I2" s="81">
        <f>'Projets Jerome'!$G2*Projets_nathalie!$O2*1.15</f>
        <v>86526</v>
      </c>
      <c r="J2" s="55" t="s">
        <v>327</v>
      </c>
      <c r="K2" s="52" t="s">
        <v>323</v>
      </c>
      <c r="L2" s="54">
        <v>29685302</v>
      </c>
      <c r="M2" s="80">
        <v>44938</v>
      </c>
      <c r="N2" s="52" t="s">
        <v>30</v>
      </c>
      <c r="O2" s="54">
        <v>165</v>
      </c>
      <c r="P2" s="54" t="s">
        <v>27</v>
      </c>
      <c r="Q2" s="56" t="s">
        <v>358</v>
      </c>
      <c r="R2" s="52">
        <v>45.440882000000002</v>
      </c>
      <c r="S2" s="52">
        <v>-73.643160499999993</v>
      </c>
      <c r="T2" s="65" t="s">
        <v>357</v>
      </c>
      <c r="U2" s="42" t="s">
        <v>359</v>
      </c>
      <c r="X2" s="1" t="e">
        <f>_xlfn.XLOOKUP(Projets_nathalie!$J2,'Projets Jerome'!$J$2:$J$37,'Projets Jerome'!$AC$2:$AC$37)</f>
        <v>#N/A</v>
      </c>
      <c r="Y2" s="1" t="e">
        <f>_xlfn.XLOOKUP(Projets_nathalie!$J2,'Projets Jerome'!$J$2:$J$37,'Projets Jerome'!$AD$2:$AD$37)</f>
        <v>#N/A</v>
      </c>
      <c r="AB2" s="1" t="e">
        <f t="shared" ref="AB2:AB3" si="0">_xlfn.WEBSERVICE("https://maps.googleapis.com/maps/api/distancematrix/xml?destinations="&amp;$X2&amp;"%2C"&amp;$Y2&amp;"&amp;origins=46.7677269%2C-71.2887151&amp;key=AIzaSyCHth-wrbaKBruFJQMWpdpeHAtAzdbcKh4")</f>
        <v>#N/A</v>
      </c>
      <c r="AC2" s="1" t="e">
        <f t="shared" ref="AC2:AC7" si="1">_xlfn.WEBSERVICE("https://maps.googleapis.com/maps/api/distancematrix/xml?destinations="&amp;$X2&amp;"%2C"&amp;$Y2&amp;"&amp;origins=45.5219584%2C-73.6130896&amp;key=AIzaSyCHth-wrbaKBruFJQMWpdpeHAtAzdbcKh4")</f>
        <v>#N/A</v>
      </c>
      <c r="AD2" s="1" t="e">
        <f t="shared" ref="AD2:AD7" si="2">_xlfn.WEBSERVICE("https://maps.googleapis.com/maps/api/distancematrix/xml?destinations="&amp;$X2&amp;"%2C"&amp;$Y2&amp;"&amp;origins=49.2838546%2C-123.1196403&amp;key=AIzaSyCHth-wrbaKBruFJQMWpdpeHAtAzdbcKh4")</f>
        <v>#N/A</v>
      </c>
      <c r="AE2" s="1" t="e">
        <f t="shared" ref="AE2:AE7" si="3">_xlfn.WEBSERVICE("https://maps.googleapis.com/maps/api/distancematrix/xml?destinations="&amp;$X2&amp;"%2C"&amp;$Y2&amp;"&amp;origins=43.6410825%2C-79.3787196&amp;key=AIzaSyCHth-wrbaKBruFJQMWpdpeHAtAzdbcKh4")</f>
        <v>#N/A</v>
      </c>
      <c r="AF2" s="1" t="e" cm="1">
        <f t="array" ref="AF2">_xlfn.FILTERXML(AB2,"//distance/value")/1000</f>
        <v>#N/A</v>
      </c>
      <c r="AG2" s="1" t="e" cm="1">
        <f t="array" ref="AG2">_xlfn.FILTERXML(AC2,"//distance/value")/1000</f>
        <v>#N/A</v>
      </c>
      <c r="AH2" s="1" t="e" cm="1">
        <f t="array" ref="AH2">_xlfn.FILTERXML(AD2,"//distance/value")/1000</f>
        <v>#N/A</v>
      </c>
      <c r="AI2" s="1" t="e" cm="1">
        <f t="array" ref="AI2">_xlfn.FILTERXML(AE2,"//distance/value")/1000</f>
        <v>#N/A</v>
      </c>
      <c r="AJ2" s="1" t="e">
        <f t="shared" ref="AJ2:AJ7" si="4">MIN(AF2:AI2)</f>
        <v>#N/A</v>
      </c>
      <c r="AK2" s="19" t="e" cm="1">
        <f t="array" ref="AK2">_xlfn.FILTERXML(AB2,"//duration/value")/60/60/24</f>
        <v>#N/A</v>
      </c>
      <c r="AL2" s="19" t="e" cm="1">
        <f t="array" ref="AL2">_xlfn.FILTERXML(AC2,"//duration/value")/60/60/24</f>
        <v>#N/A</v>
      </c>
      <c r="AM2" s="19" t="e" cm="1">
        <f t="array" ref="AM2">_xlfn.FILTERXML(AD2,"//duration/value")/60/60/24</f>
        <v>#N/A</v>
      </c>
      <c r="AN2" s="19" t="e" cm="1">
        <f t="array" ref="AN2">_xlfn.FILTERXML(AE2,"//duration/value")/60/60/24</f>
        <v>#N/A</v>
      </c>
      <c r="AO2" s="3" t="e">
        <f t="shared" ref="AO2:AO7" si="5">REPLACE(_xlfn.XLOOKUP(AJ2,$AF2:$AI2,$AF$1:$AI$1), 1, 9, "")</f>
        <v>#N/A</v>
      </c>
      <c r="AP2" s="3" t="e">
        <f t="shared" ref="AP2:AP7" si="6">REPLACE(_xlfn.XLOOKUP(AQ2,$AK2:$AN2,$AF$1:$AI$1), 1, 9, "")</f>
        <v>#N/A</v>
      </c>
      <c r="AQ2" s="19" t="e" cm="1">
        <f t="array" ref="AQ2">_xlfn.FILTERXML(_xlfn.XLOOKUP(AJ2,$AF2:$AI2,AB2:AE2),"//duration/value")/60/60/24</f>
        <v>#N/A</v>
      </c>
      <c r="AS2" s="1" t="s">
        <v>448</v>
      </c>
      <c r="AT2" s="1" t="s">
        <v>449</v>
      </c>
      <c r="AU2" s="1" t="s">
        <v>450</v>
      </c>
      <c r="AV2" s="1" t="s">
        <v>451</v>
      </c>
      <c r="AW2" s="1">
        <v>257.12599999999998</v>
      </c>
      <c r="AX2" s="1">
        <v>13.699</v>
      </c>
      <c r="AY2" s="1">
        <v>4861.0339999999997</v>
      </c>
      <c r="AZ2" s="1">
        <v>534.67700000000002</v>
      </c>
      <c r="BA2" s="1">
        <v>13.699</v>
      </c>
      <c r="BB2" s="19">
        <v>0.10817129629629631</v>
      </c>
      <c r="BC2" s="19">
        <v>1.8842592592592591E-2</v>
      </c>
      <c r="BD2" s="19">
        <v>1.8912500000000001</v>
      </c>
      <c r="BE2" s="19">
        <v>0.21534722222222225</v>
      </c>
      <c r="BF2" s="3" t="s">
        <v>281</v>
      </c>
      <c r="BG2" s="3" t="s">
        <v>281</v>
      </c>
      <c r="BH2" s="19">
        <v>1.8842592592592591E-2</v>
      </c>
    </row>
    <row r="3" spans="1:60">
      <c r="A3" s="58" t="s">
        <v>42</v>
      </c>
      <c r="B3" s="59" t="s">
        <v>341</v>
      </c>
      <c r="C3" s="59" t="s">
        <v>342</v>
      </c>
      <c r="D3" s="60">
        <v>44348</v>
      </c>
      <c r="E3" s="60">
        <v>45167</v>
      </c>
      <c r="F3" s="59" t="s">
        <v>36</v>
      </c>
      <c r="G3" s="61">
        <v>1701.75</v>
      </c>
      <c r="H3" s="61">
        <v>1756</v>
      </c>
      <c r="I3" s="84">
        <f>'Projets Jerome'!$G3*Projets_nathalie!$O3*1.15</f>
        <v>71478.25</v>
      </c>
      <c r="J3" s="62" t="s">
        <v>343</v>
      </c>
      <c r="K3" s="59" t="s">
        <v>344</v>
      </c>
      <c r="L3" s="61">
        <v>29684792</v>
      </c>
      <c r="M3" s="83">
        <v>44358</v>
      </c>
      <c r="N3" s="59" t="s">
        <v>30</v>
      </c>
      <c r="O3" s="61">
        <v>155</v>
      </c>
      <c r="P3" s="61" t="s">
        <v>27</v>
      </c>
      <c r="Q3" s="63" t="s">
        <v>365</v>
      </c>
      <c r="R3" s="59">
        <v>45.378867700000001</v>
      </c>
      <c r="S3" s="59">
        <v>-72.769051599999997</v>
      </c>
      <c r="T3" s="110" t="s">
        <v>363</v>
      </c>
      <c r="U3" s="43" t="s">
        <v>364</v>
      </c>
      <c r="X3" s="1" t="e">
        <f>_xlfn.XLOOKUP(Projets_nathalie!$J3,'Projets Jerome'!$J$2:$J$37,'Projets Jerome'!$AC$2:$AC$37)</f>
        <v>#N/A</v>
      </c>
      <c r="Y3" s="1" t="e">
        <f>_xlfn.XLOOKUP(Projets_nathalie!$J3,'Projets Jerome'!$J$2:$J$37,'Projets Jerome'!$AD$2:$AD$37)</f>
        <v>#N/A</v>
      </c>
      <c r="AB3" s="1" t="e">
        <f t="shared" si="0"/>
        <v>#N/A</v>
      </c>
      <c r="AC3" s="1" t="e">
        <f t="shared" si="1"/>
        <v>#N/A</v>
      </c>
      <c r="AD3" s="1" t="e">
        <f t="shared" si="2"/>
        <v>#N/A</v>
      </c>
      <c r="AE3" s="1" t="e">
        <f t="shared" si="3"/>
        <v>#N/A</v>
      </c>
      <c r="AF3" s="1" t="e" cm="1">
        <f t="array" ref="AF3">_xlfn.FILTERXML(AB3,"//distance/value")/1000</f>
        <v>#N/A</v>
      </c>
      <c r="AG3" s="1" t="e" cm="1">
        <f t="array" ref="AG3">_xlfn.FILTERXML(AC3,"//distance/value")/1000</f>
        <v>#N/A</v>
      </c>
      <c r="AH3" s="1" t="e" cm="1">
        <f t="array" ref="AH3">_xlfn.FILTERXML(AD3,"//distance/value")/1000</f>
        <v>#N/A</v>
      </c>
      <c r="AI3" s="1" t="e" cm="1">
        <f t="array" ref="AI3">_xlfn.FILTERXML(AE3,"//distance/value")/1000</f>
        <v>#N/A</v>
      </c>
      <c r="AJ3" s="1" t="e">
        <f t="shared" si="4"/>
        <v>#N/A</v>
      </c>
      <c r="AK3" s="19" t="e" cm="1">
        <f t="array" ref="AK3">_xlfn.FILTERXML(AB3,"//duration/value")/60/60/24</f>
        <v>#N/A</v>
      </c>
      <c r="AL3" s="19" t="e" cm="1">
        <f t="array" ref="AL3">_xlfn.FILTERXML(AC3,"//duration/value")/60/60/24</f>
        <v>#N/A</v>
      </c>
      <c r="AM3" s="19" t="e" cm="1">
        <f t="array" ref="AM3">_xlfn.FILTERXML(AD3,"//duration/value")/60/60/24</f>
        <v>#N/A</v>
      </c>
      <c r="AN3" s="19" t="e" cm="1">
        <f t="array" ref="AN3">_xlfn.FILTERXML(AE3,"//duration/value")/60/60/24</f>
        <v>#N/A</v>
      </c>
      <c r="AO3" s="3" t="e">
        <f t="shared" si="5"/>
        <v>#N/A</v>
      </c>
      <c r="AP3" s="3" t="e">
        <f t="shared" si="6"/>
        <v>#N/A</v>
      </c>
      <c r="AQ3" s="19" t="e" cm="1">
        <f t="array" ref="AQ3">_xlfn.FILTERXML(_xlfn.XLOOKUP(AJ3,$AF3:$AI3,AB3:AE3),"//duration/value")/60/60/24</f>
        <v>#N/A</v>
      </c>
      <c r="AS3" s="1" t="s">
        <v>464</v>
      </c>
      <c r="AT3" s="1" t="s">
        <v>465</v>
      </c>
      <c r="AU3" s="1" t="s">
        <v>466</v>
      </c>
      <c r="AV3" s="1" t="s">
        <v>467</v>
      </c>
      <c r="AW3" s="1">
        <v>219.48699999999999</v>
      </c>
      <c r="AX3" s="1">
        <v>83.897000000000006</v>
      </c>
      <c r="AY3" s="1">
        <v>4946.46</v>
      </c>
      <c r="AZ3" s="1">
        <v>620.10400000000004</v>
      </c>
      <c r="BA3" s="1">
        <v>83.897000000000006</v>
      </c>
      <c r="BB3" s="19">
        <v>9.6203703703703694E-2</v>
      </c>
      <c r="BC3" s="19">
        <v>4.7476851851851846E-2</v>
      </c>
      <c r="BD3" s="19">
        <v>1.9213310185185186</v>
      </c>
      <c r="BE3" s="19">
        <v>0.24543981481481481</v>
      </c>
      <c r="BF3" s="3" t="s">
        <v>281</v>
      </c>
      <c r="BG3" s="3" t="s">
        <v>281</v>
      </c>
      <c r="BH3" s="19">
        <v>4.7476851851851846E-2</v>
      </c>
    </row>
    <row r="4" spans="1:60">
      <c r="A4" s="51"/>
      <c r="B4" s="52"/>
      <c r="C4" s="52" t="s">
        <v>181</v>
      </c>
      <c r="D4" s="53"/>
      <c r="E4" s="53"/>
      <c r="F4" s="52"/>
      <c r="G4" s="54"/>
      <c r="H4" s="54"/>
      <c r="I4" s="81"/>
      <c r="J4" s="54"/>
      <c r="K4" s="52"/>
      <c r="L4" s="54"/>
      <c r="M4" s="80"/>
      <c r="N4" s="52"/>
      <c r="O4" s="54"/>
      <c r="P4" s="54"/>
      <c r="Q4" s="56" t="s">
        <v>182</v>
      </c>
      <c r="R4" s="52">
        <v>46.767808299999999</v>
      </c>
      <c r="S4" s="52">
        <v>-71.288811699999997</v>
      </c>
      <c r="T4" s="87" t="s">
        <v>183</v>
      </c>
      <c r="U4" s="89"/>
      <c r="X4" s="1">
        <f>_xlfn.XLOOKUP(Projets_nathalie!$J4,'Projets Jerome'!$J$2:$J$37,'Projets Jerome'!$AC$2:$AC$37)</f>
        <v>46.767808299999999</v>
      </c>
      <c r="Y4" s="1">
        <f>_xlfn.XLOOKUP(Projets_nathalie!$J4,'Projets Jerome'!$J$2:$J$37,'Projets Jerome'!$AD$2:$AD$37)</f>
        <v>-71.288811699999997</v>
      </c>
      <c r="AB4" s="1" t="str">
        <f t="shared" ref="AB4:AB7" si="7">_xlfn.WEBSERVICE("https://maps.googleapis.com/maps/api/distancematrix/xml?destinations="&amp;$X4&amp;"%2C"&amp;$Y4&amp;"&amp;origins=46.7677269%2C-71.2887151&amp;key=AIzaSyCHth-wrbaKBruFJQMWpdpeHAtAzdbcKh4")</f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4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4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4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4" s="1" t="e" cm="1">
        <f t="array" ref="AF4">_xlfn.FILTERXML(AB4,"//distance/value")/1000</f>
        <v>#VALUE!</v>
      </c>
      <c r="AG4" s="1" t="e" cm="1">
        <f t="array" ref="AG4">_xlfn.FILTERXML(AC4,"//distance/value")/1000</f>
        <v>#VALUE!</v>
      </c>
      <c r="AH4" s="1" t="e" cm="1">
        <f t="array" ref="AH4">_xlfn.FILTERXML(AD4,"//distance/value")/1000</f>
        <v>#VALUE!</v>
      </c>
      <c r="AI4" s="1" t="e" cm="1">
        <f t="array" ref="AI4">_xlfn.FILTERXML(AE4,"//distance/value")/1000</f>
        <v>#VALUE!</v>
      </c>
      <c r="AJ4" s="1" t="e">
        <f t="shared" si="4"/>
        <v>#VALUE!</v>
      </c>
      <c r="AK4" s="19" t="e" cm="1">
        <f t="array" ref="AK4">_xlfn.FILTERXML(AB4,"//duration/value")/60/60/24</f>
        <v>#VALUE!</v>
      </c>
      <c r="AL4" s="19" t="e" cm="1">
        <f t="array" ref="AL4">_xlfn.FILTERXML(AC4,"//duration/value")/60/60/24</f>
        <v>#VALUE!</v>
      </c>
      <c r="AM4" s="19" t="e" cm="1">
        <f t="array" ref="AM4">_xlfn.FILTERXML(AD4,"//duration/value")/60/60/24</f>
        <v>#VALUE!</v>
      </c>
      <c r="AN4" s="19" t="e" cm="1">
        <f t="array" ref="AN4">_xlfn.FILTERXML(AE4,"//duration/value")/60/60/24</f>
        <v>#VALUE!</v>
      </c>
      <c r="AO4" s="3" t="e">
        <f t="shared" si="5"/>
        <v>#VALUE!</v>
      </c>
      <c r="AP4" s="3" t="e">
        <f t="shared" si="6"/>
        <v>#VALUE!</v>
      </c>
      <c r="AQ4" s="19" t="e" cm="1">
        <f t="array" ref="AQ4">_xlfn.FILTERXML(_xlfn.XLOOKUP(AJ4,$AF4:$AI4,AB4:AE4),"//duration/value")/60/60/24</f>
        <v>#VALUE!</v>
      </c>
      <c r="AS4" s="1" t="s">
        <v>472</v>
      </c>
      <c r="AT4" s="1" t="s">
        <v>473</v>
      </c>
      <c r="AU4" s="1" t="s">
        <v>474</v>
      </c>
      <c r="AV4" s="1" t="s">
        <v>475</v>
      </c>
      <c r="AW4" s="1">
        <v>0</v>
      </c>
      <c r="AX4" s="1">
        <v>246.27600000000001</v>
      </c>
      <c r="AY4" s="1">
        <v>5122.3789999999999</v>
      </c>
      <c r="AZ4" s="1">
        <v>796.02200000000005</v>
      </c>
      <c r="BA4" s="1">
        <v>0</v>
      </c>
      <c r="BB4" s="19">
        <v>0</v>
      </c>
      <c r="BC4" s="19">
        <v>0.11262731481481482</v>
      </c>
      <c r="BD4" s="19">
        <v>1.9909490740740743</v>
      </c>
      <c r="BE4" s="19">
        <v>0.31505787037037036</v>
      </c>
      <c r="BF4" s="3" t="s">
        <v>286</v>
      </c>
      <c r="BG4" s="3" t="s">
        <v>286</v>
      </c>
      <c r="BH4" s="19">
        <v>0</v>
      </c>
    </row>
    <row r="5" spans="1:60">
      <c r="A5" s="58"/>
      <c r="B5" s="59"/>
      <c r="C5" s="59" t="s">
        <v>184</v>
      </c>
      <c r="D5" s="60"/>
      <c r="E5" s="60"/>
      <c r="F5" s="59"/>
      <c r="G5" s="61"/>
      <c r="H5" s="61"/>
      <c r="I5" s="84"/>
      <c r="J5" s="61"/>
      <c r="K5" s="59"/>
      <c r="L5" s="61"/>
      <c r="M5" s="83"/>
      <c r="N5" s="59"/>
      <c r="O5" s="61"/>
      <c r="P5" s="61"/>
      <c r="Q5" s="63" t="s">
        <v>185</v>
      </c>
      <c r="R5" s="59">
        <v>45.521958400000003</v>
      </c>
      <c r="S5" s="59">
        <v>-73.613089599999995</v>
      </c>
      <c r="T5" s="90" t="s">
        <v>186</v>
      </c>
      <c r="U5" s="91"/>
      <c r="X5" s="1">
        <f>_xlfn.XLOOKUP(Projets_nathalie!$J5,'Projets Jerome'!$J$2:$J$37,'Projets Jerome'!$AC$2:$AC$37)</f>
        <v>46.767808299999999</v>
      </c>
      <c r="Y5" s="1">
        <f>_xlfn.XLOOKUP(Projets_nathalie!$J5,'Projets Jerome'!$J$2:$J$37,'Projets Jerome'!$AD$2:$AD$37)</f>
        <v>-71.288811699999997</v>
      </c>
      <c r="AB5" s="1" t="str">
        <f t="shared" si="7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5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5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5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5" s="1" t="e" cm="1">
        <f t="array" ref="AF5">_xlfn.FILTERXML(AB5,"//distance/value")/1000</f>
        <v>#VALUE!</v>
      </c>
      <c r="AG5" s="1" t="e" cm="1">
        <f t="array" ref="AG5">_xlfn.FILTERXML(AC5,"//distance/value")/1000</f>
        <v>#VALUE!</v>
      </c>
      <c r="AH5" s="1" t="e" cm="1">
        <f t="array" ref="AH5">_xlfn.FILTERXML(AD5,"//distance/value")/1000</f>
        <v>#VALUE!</v>
      </c>
      <c r="AI5" s="1" t="e" cm="1">
        <f t="array" ref="AI5">_xlfn.FILTERXML(AE5,"//distance/value")/1000</f>
        <v>#VALUE!</v>
      </c>
      <c r="AJ5" s="1" t="e">
        <f t="shared" si="4"/>
        <v>#VALUE!</v>
      </c>
      <c r="AK5" s="19" t="e" cm="1">
        <f t="array" ref="AK5">_xlfn.FILTERXML(AB5,"//duration/value")/60/60/24</f>
        <v>#VALUE!</v>
      </c>
      <c r="AL5" s="19" t="e" cm="1">
        <f t="array" ref="AL5">_xlfn.FILTERXML(AC5,"//duration/value")/60/60/24</f>
        <v>#VALUE!</v>
      </c>
      <c r="AM5" s="19" t="e" cm="1">
        <f t="array" ref="AM5">_xlfn.FILTERXML(AD5,"//duration/value")/60/60/24</f>
        <v>#VALUE!</v>
      </c>
      <c r="AN5" s="19" t="e" cm="1">
        <f t="array" ref="AN5">_xlfn.FILTERXML(AE5,"//duration/value")/60/60/24</f>
        <v>#VALUE!</v>
      </c>
      <c r="AO5" s="3" t="e">
        <f t="shared" si="5"/>
        <v>#VALUE!</v>
      </c>
      <c r="AP5" s="3" t="e">
        <f t="shared" si="6"/>
        <v>#VALUE!</v>
      </c>
      <c r="AQ5" s="19" t="e" cm="1">
        <f t="array" ref="AQ5">_xlfn.FILTERXML(_xlfn.XLOOKUP(AJ5,$AF5:$AI5,AB5:AE5),"//duration/value")/60/60/24</f>
        <v>#VALUE!</v>
      </c>
      <c r="AS5" s="1" t="s">
        <v>472</v>
      </c>
      <c r="AT5" s="1" t="s">
        <v>473</v>
      </c>
      <c r="AU5" s="1" t="s">
        <v>474</v>
      </c>
      <c r="AV5" s="1" t="s">
        <v>475</v>
      </c>
      <c r="AW5" s="1">
        <v>0</v>
      </c>
      <c r="AX5" s="1">
        <v>246.27600000000001</v>
      </c>
      <c r="AY5" s="1">
        <v>5122.3789999999999</v>
      </c>
      <c r="AZ5" s="1">
        <v>796.02200000000005</v>
      </c>
      <c r="BA5" s="1">
        <v>0</v>
      </c>
      <c r="BB5" s="19">
        <v>0</v>
      </c>
      <c r="BC5" s="19">
        <v>0.11262731481481482</v>
      </c>
      <c r="BD5" s="19">
        <v>1.9909490740740743</v>
      </c>
      <c r="BE5" s="19">
        <v>0.31505787037037036</v>
      </c>
      <c r="BF5" s="3" t="s">
        <v>286</v>
      </c>
      <c r="BG5" s="3" t="s">
        <v>286</v>
      </c>
      <c r="BH5" s="19">
        <v>0</v>
      </c>
    </row>
    <row r="6" spans="1:60" ht="28.8">
      <c r="A6" s="51"/>
      <c r="B6" s="52"/>
      <c r="C6" s="52" t="s">
        <v>187</v>
      </c>
      <c r="D6" s="53"/>
      <c r="E6" s="53"/>
      <c r="F6" s="52"/>
      <c r="G6" s="54"/>
      <c r="H6" s="54"/>
      <c r="I6" s="81"/>
      <c r="J6" s="54"/>
      <c r="K6" s="52"/>
      <c r="L6" s="54"/>
      <c r="M6" s="80"/>
      <c r="N6" s="52"/>
      <c r="O6" s="54"/>
      <c r="P6" s="54"/>
      <c r="Q6" s="56" t="s">
        <v>188</v>
      </c>
      <c r="R6" s="52">
        <v>49.283854599999998</v>
      </c>
      <c r="S6" s="52">
        <v>-123.1196403</v>
      </c>
      <c r="T6" s="70" t="s">
        <v>189</v>
      </c>
      <c r="U6" s="89"/>
      <c r="X6" s="1">
        <f>_xlfn.XLOOKUP(Projets_nathalie!$J6,'Projets Jerome'!$J$2:$J$37,'Projets Jerome'!$AC$2:$AC$37)</f>
        <v>46.767808299999999</v>
      </c>
      <c r="Y6" s="1">
        <f>_xlfn.XLOOKUP(Projets_nathalie!$J6,'Projets Jerome'!$J$2:$J$37,'Projets Jerome'!$AD$2:$AD$37)</f>
        <v>-71.288811699999997</v>
      </c>
      <c r="AB6" s="1" t="str">
        <f t="shared" si="7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6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6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6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6" s="1" t="e" cm="1">
        <f t="array" ref="AF6">_xlfn.FILTERXML(AB6,"//distance/value")/1000</f>
        <v>#VALUE!</v>
      </c>
      <c r="AG6" s="1" t="e" cm="1">
        <f t="array" ref="AG6">_xlfn.FILTERXML(AC6,"//distance/value")/1000</f>
        <v>#VALUE!</v>
      </c>
      <c r="AH6" s="1" t="e" cm="1">
        <f t="array" ref="AH6">_xlfn.FILTERXML(AD6,"//distance/value")/1000</f>
        <v>#VALUE!</v>
      </c>
      <c r="AI6" s="1" t="e" cm="1">
        <f t="array" ref="AI6">_xlfn.FILTERXML(AE6,"//distance/value")/1000</f>
        <v>#VALUE!</v>
      </c>
      <c r="AJ6" s="1" t="e">
        <f t="shared" si="4"/>
        <v>#VALUE!</v>
      </c>
      <c r="AK6" s="19" t="e" cm="1">
        <f t="array" ref="AK6">_xlfn.FILTERXML(AB6,"//duration/value")/60/60/24</f>
        <v>#VALUE!</v>
      </c>
      <c r="AL6" s="19" t="e" cm="1">
        <f t="array" ref="AL6">_xlfn.FILTERXML(AC6,"//duration/value")/60/60/24</f>
        <v>#VALUE!</v>
      </c>
      <c r="AM6" s="19" t="e" cm="1">
        <f t="array" ref="AM6">_xlfn.FILTERXML(AD6,"//duration/value")/60/60/24</f>
        <v>#VALUE!</v>
      </c>
      <c r="AN6" s="19" t="e" cm="1">
        <f t="array" ref="AN6">_xlfn.FILTERXML(AE6,"//duration/value")/60/60/24</f>
        <v>#VALUE!</v>
      </c>
      <c r="AO6" s="3" t="e">
        <f t="shared" si="5"/>
        <v>#VALUE!</v>
      </c>
      <c r="AP6" s="3" t="e">
        <f t="shared" si="6"/>
        <v>#VALUE!</v>
      </c>
      <c r="AQ6" s="19" t="e" cm="1">
        <f t="array" ref="AQ6">_xlfn.FILTERXML(_xlfn.XLOOKUP(AJ6,$AF6:$AI6,AB6:AE6),"//duration/value")/60/60/24</f>
        <v>#VALUE!</v>
      </c>
      <c r="AS6" s="1" t="s">
        <v>472</v>
      </c>
      <c r="AT6" s="1" t="s">
        <v>473</v>
      </c>
      <c r="AU6" s="1" t="s">
        <v>474</v>
      </c>
      <c r="AV6" s="1" t="s">
        <v>475</v>
      </c>
      <c r="AW6" s="1">
        <v>0</v>
      </c>
      <c r="AX6" s="1">
        <v>246.27600000000001</v>
      </c>
      <c r="AY6" s="1">
        <v>5122.3789999999999</v>
      </c>
      <c r="AZ6" s="1">
        <v>796.02200000000005</v>
      </c>
      <c r="BA6" s="1">
        <v>0</v>
      </c>
      <c r="BB6" s="19">
        <v>0</v>
      </c>
      <c r="BC6" s="19">
        <v>0.11262731481481482</v>
      </c>
      <c r="BD6" s="19">
        <v>1.9909490740740743</v>
      </c>
      <c r="BE6" s="19">
        <v>0.31505787037037036</v>
      </c>
      <c r="BF6" s="3" t="s">
        <v>286</v>
      </c>
      <c r="BG6" s="3" t="s">
        <v>286</v>
      </c>
      <c r="BH6" s="19">
        <v>0</v>
      </c>
    </row>
    <row r="7" spans="1:60" ht="28.8">
      <c r="A7" s="71"/>
      <c r="B7" s="20"/>
      <c r="C7" s="20" t="s">
        <v>190</v>
      </c>
      <c r="D7" s="72"/>
      <c r="E7" s="72"/>
      <c r="F7" s="20"/>
      <c r="G7" s="73"/>
      <c r="H7" s="73"/>
      <c r="I7" s="92"/>
      <c r="J7" s="73"/>
      <c r="K7" s="20"/>
      <c r="L7" s="73"/>
      <c r="M7" s="93"/>
      <c r="N7" s="20"/>
      <c r="O7" s="73"/>
      <c r="P7" s="73"/>
      <c r="Q7" s="94" t="s">
        <v>191</v>
      </c>
      <c r="R7" s="20">
        <v>43.641082500000003</v>
      </c>
      <c r="S7" s="20">
        <v>-79.378719599999997</v>
      </c>
      <c r="T7" s="75" t="s">
        <v>192</v>
      </c>
      <c r="U7" s="95"/>
      <c r="X7" s="1">
        <f>_xlfn.XLOOKUP(Projets_nathalie!$J7,'Projets Jerome'!$J$2:$J$37,'Projets Jerome'!$AC$2:$AC$37)</f>
        <v>46.767808299999999</v>
      </c>
      <c r="Y7" s="1">
        <f>_xlfn.XLOOKUP(Projets_nathalie!$J7,'Projets Jerome'!$J$2:$J$37,'Projets Jerome'!$AD$2:$AD$37)</f>
        <v>-71.288811699999997</v>
      </c>
      <c r="AB7" s="1" t="str">
        <f t="shared" si="7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C7" s="1" t="str">
        <f t="shared" si="1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D7" s="1" t="str">
        <f t="shared" si="2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E7" s="1" t="str">
        <f t="shared" si="3"/>
        <v xml:space="preserve">&lt;?xml version="1.0" encoding="UTF-8"?&gt;
&lt;DistanceMatrixResponse&gt;
 &lt;status&gt;OVER_QUERY_LIMIT&lt;/status&gt;
 &lt;error_message&gt;You have exceeded your daily request quota for this API. If you did not set a custom daily request quota, verify your project has an active billing account: http://g.co/dev/maps-no-account&lt;/error_message&gt;
&lt;/DistanceMatrixResponse&gt;
</v>
      </c>
      <c r="AF7" s="1" t="e" cm="1">
        <f t="array" ref="AF7">_xlfn.FILTERXML(AB7,"//distance/value")/1000</f>
        <v>#VALUE!</v>
      </c>
      <c r="AG7" s="1" t="e" cm="1">
        <f t="array" ref="AG7">_xlfn.FILTERXML(AC7,"//distance/value")/1000</f>
        <v>#VALUE!</v>
      </c>
      <c r="AH7" s="1" t="e" cm="1">
        <f t="array" ref="AH7">_xlfn.FILTERXML(AD7,"//distance/value")/1000</f>
        <v>#VALUE!</v>
      </c>
      <c r="AI7" s="1" t="e" cm="1">
        <f t="array" ref="AI7">_xlfn.FILTERXML(AE7,"//distance/value")/1000</f>
        <v>#VALUE!</v>
      </c>
      <c r="AJ7" s="1" t="e">
        <f t="shared" si="4"/>
        <v>#VALUE!</v>
      </c>
      <c r="AK7" s="19" t="e" cm="1">
        <f t="array" ref="AK7">_xlfn.FILTERXML(AB7,"//duration/value")/60/60/24</f>
        <v>#VALUE!</v>
      </c>
      <c r="AL7" s="19" t="e" cm="1">
        <f t="array" ref="AL7">_xlfn.FILTERXML(AC7,"//duration/value")/60/60/24</f>
        <v>#VALUE!</v>
      </c>
      <c r="AM7" s="19" t="e" cm="1">
        <f t="array" ref="AM7">_xlfn.FILTERXML(AD7,"//duration/value")/60/60/24</f>
        <v>#VALUE!</v>
      </c>
      <c r="AN7" s="19" t="e" cm="1">
        <f t="array" ref="AN7">_xlfn.FILTERXML(AE7,"//duration/value")/60/60/24</f>
        <v>#VALUE!</v>
      </c>
      <c r="AO7" s="3" t="e">
        <f t="shared" si="5"/>
        <v>#VALUE!</v>
      </c>
      <c r="AP7" s="3" t="e">
        <f t="shared" si="6"/>
        <v>#VALUE!</v>
      </c>
      <c r="AQ7" s="19" t="e" cm="1">
        <f t="array" ref="AQ7">_xlfn.FILTERXML(_xlfn.XLOOKUP(AJ7,$AF7:$AI7,AB7:AE7),"//duration/value")/60/60/24</f>
        <v>#VALUE!</v>
      </c>
      <c r="AS7" s="1" t="s">
        <v>472</v>
      </c>
      <c r="AT7" s="1" t="s">
        <v>473</v>
      </c>
      <c r="AU7" s="1" t="s">
        <v>474</v>
      </c>
      <c r="AV7" s="1" t="s">
        <v>475</v>
      </c>
      <c r="AW7" s="1">
        <v>0</v>
      </c>
      <c r="AX7" s="1">
        <v>246.27600000000001</v>
      </c>
      <c r="AY7" s="1">
        <v>5122.3789999999999</v>
      </c>
      <c r="AZ7" s="1">
        <v>796.02200000000005</v>
      </c>
      <c r="BA7" s="1">
        <v>0</v>
      </c>
      <c r="BB7" s="19">
        <v>0</v>
      </c>
      <c r="BC7" s="19">
        <v>0.11262731481481482</v>
      </c>
      <c r="BD7" s="19">
        <v>1.9909490740740743</v>
      </c>
      <c r="BE7" s="19">
        <v>0.31505787037037036</v>
      </c>
      <c r="BF7" s="3" t="s">
        <v>286</v>
      </c>
      <c r="BG7" s="3" t="s">
        <v>286</v>
      </c>
      <c r="BH7" s="19">
        <v>0</v>
      </c>
    </row>
    <row r="9" spans="1:60">
      <c r="AT9" s="1" t="s">
        <v>254</v>
      </c>
    </row>
    <row r="10" spans="1:60">
      <c r="AS10" s="1" t="s">
        <v>246</v>
      </c>
      <c r="AT10" s="1" t="str">
        <f>"https://maps.googleapis.com/maps/api/distancematrix/xml?destinations="&amp;"40.659569"&amp;"%2C"&amp;"-73.933783"&amp;"&amp;origins="&amp;$R4&amp;"%2C"&amp;$S4&amp;"&amp;key=AIzaSyCHth-wrbaKBruFJQMWpdpeHAtAzdbcKh4"</f>
        <v>https://maps.googleapis.com/maps/api/distancematrix/xml?destinations=40.659569%2C-73.933783&amp;origins=46.7678083%2C-71.2888117&amp;key=AIzaSyCHth-wrbaKBruFJQMWpdpeHAtAzdbcKh4</v>
      </c>
    </row>
    <row r="11" spans="1:60">
      <c r="AS11" s="1" t="s">
        <v>247</v>
      </c>
      <c r="AT11" s="1" t="str">
        <f>"https://maps.googleapis.com/maps/api/distancematrix/xml?destinations="&amp;"40.659569"&amp;"%2C"&amp;"-73.933783"&amp;"&amp;origins="&amp;$R5&amp;"%2C"&amp;$S5&amp;"&amp;key=AIzaSyCHth-wrbaKBruFJQMWpdpeHAtAzdbcKh4"</f>
        <v>https://maps.googleapis.com/maps/api/distancematrix/xml?destinations=40.659569%2C-73.933783&amp;origins=45.5219584%2C-73.6130896&amp;key=AIzaSyCHth-wrbaKBruFJQMWpdpeHAtAzdbcKh4</v>
      </c>
    </row>
    <row r="12" spans="1:60">
      <c r="AS12" s="1" t="s">
        <v>248</v>
      </c>
      <c r="AT12" s="1" t="str">
        <f>"https://maps.googleapis.com/maps/api/distancematrix/xml?destinations="&amp;"40.659569"&amp;"%2C"&amp;"-73.933783"&amp;"&amp;origins="&amp;$R6&amp;"%2C"&amp;$S6&amp;"&amp;key=AIzaSyCHth-wrbaKBruFJQMWpdpeHAtAzdbcKh4"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13" spans="1:60">
      <c r="AS13" s="1" t="s">
        <v>249</v>
      </c>
      <c r="AT13" s="1" t="str">
        <f>"https://maps.googleapis.com/maps/api/distancematrix/xml?destinations="&amp;"40.659569"&amp;"%2C"&amp;"-73.933783"&amp;"&amp;origins="&amp;$R7&amp;"%2C"&amp;$S7&amp;"&amp;key=AIzaSyCHth-wrbaKBruFJQMWpdpeHAtAzdbcKh4"</f>
        <v>https://maps.googleapis.com/maps/api/distancematrix/xml?destinations=40.659569%2C-73.933783&amp;origins=43.6410825%2C-79.3787196&amp;key=AIzaSyCHth-wrbaKBruFJQMWpdpeHAtAzdbcKh4</v>
      </c>
    </row>
    <row r="16" spans="1:60">
      <c r="AS16" s="1" t="s">
        <v>246</v>
      </c>
      <c r="AT16" s="1" t="s">
        <v>255</v>
      </c>
    </row>
    <row r="17" spans="45:46">
      <c r="AS17" s="1" t="s">
        <v>247</v>
      </c>
      <c r="AT17" s="1" t="s">
        <v>256</v>
      </c>
    </row>
    <row r="18" spans="45:46">
      <c r="AS18" s="1" t="s">
        <v>248</v>
      </c>
      <c r="AT18" s="1" t="s">
        <v>257</v>
      </c>
    </row>
    <row r="19" spans="45:46">
      <c r="AS19" s="1" t="s">
        <v>249</v>
      </c>
      <c r="AT19" s="1" t="s">
        <v>258</v>
      </c>
    </row>
    <row r="21" spans="45:46">
      <c r="AS21" s="1" t="s">
        <v>246</v>
      </c>
      <c r="AT21" s="1" t="s">
        <v>255</v>
      </c>
    </row>
    <row r="22" spans="45:46">
      <c r="AS22" s="1" t="s">
        <v>247</v>
      </c>
      <c r="AT22" s="1" t="s">
        <v>256</v>
      </c>
    </row>
    <row r="23" spans="45:46">
      <c r="AS23" s="1" t="s">
        <v>248</v>
      </c>
      <c r="AT23" s="1" t="s">
        <v>257</v>
      </c>
    </row>
    <row r="24" spans="45:46">
      <c r="AS24" s="1" t="s">
        <v>249</v>
      </c>
      <c r="AT24" s="1" t="s">
        <v>258</v>
      </c>
    </row>
    <row r="26" spans="45:46">
      <c r="AS26" s="1" t="s">
        <v>246</v>
      </c>
      <c r="AT26" s="1" t="str">
        <f>"https://maps.googleapis.com/maps/api/distancematrix/xml?destinations="&amp;"40.659569"&amp;"%2C"&amp;"-73.933783"&amp;"&amp;origins=46.7677269%2C-71.2887151&amp;key=AIzaSyCHth-wrbaKBruFJQMWpdpeHAtAzdbcKh4"</f>
        <v>https://maps.googleapis.com/maps/api/distancematrix/xml?destinations=40.659569%2C-73.933783&amp;origins=46.7677269%2C-71.2887151&amp;key=AIzaSyCHth-wrbaKBruFJQMWpdpeHAtAzdbcKh4</v>
      </c>
    </row>
    <row r="27" spans="45:46">
      <c r="AS27" s="1" t="s">
        <v>247</v>
      </c>
      <c r="AT27" s="1" t="str">
        <f>"https://maps.googleapis.com/maps/api/distancematrix/xml?destinations="&amp;"40.659569"&amp;"%2C"&amp;"-73.933783"&amp;"&amp;origins=45.52193%2C-73.6130697&amp;key=AIzaSyCHth-wrbaKBruFJQMWpdpeHAtAzdbcKh4"</f>
        <v>https://maps.googleapis.com/maps/api/distancematrix/xml?destinations=40.659569%2C-73.933783&amp;origins=45.52193%2C-73.6130697&amp;key=AIzaSyCHth-wrbaKBruFJQMWpdpeHAtAzdbcKh4</v>
      </c>
    </row>
    <row r="28" spans="45:46">
      <c r="AS28" s="1" t="s">
        <v>248</v>
      </c>
      <c r="AT28" s="1" t="str">
        <f>"https://maps.googleapis.com/maps/api/distancematrix/xml?destinations="&amp;"40.659569"&amp;"%2C"&amp;"-73.933783"&amp;"&amp;origins=49.2838546%2C-123.1196403&amp;key=AIzaSyCHth-wrbaKBruFJQMWpdpeHAtAzdbcKh4"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29" spans="45:46">
      <c r="AS29" s="1" t="s">
        <v>249</v>
      </c>
      <c r="AT29" s="1" t="str">
        <f>"https://maps.googleapis.com/maps/api/distancematrix/xml?destinations="&amp;"40.659569"&amp;"%2C"&amp;"-73.933783"&amp;"&amp;origins=43.6410825%2C-79.3787196&amp;key=AIzaSyCHth-wrbaKBruFJQMWpdpeHAtAzdbcKh4"</f>
        <v>https://maps.googleapis.com/maps/api/distancematrix/xml?destinations=40.659569%2C-73.933783&amp;origins=43.6410825%2C-79.3787196&amp;key=AIzaSyCHth-wrbaKBruFJQMWpdpeHAtAzdbcKh4</v>
      </c>
    </row>
  </sheetData>
  <conditionalFormatting sqref="AO2:AP7 BF2:BG7">
    <cfRule type="cellIs" dxfId="3" priority="2" operator="equal">
      <formula>"Montreal"</formula>
    </cfRule>
  </conditionalFormatting>
  <conditionalFormatting sqref="AR2:AR7">
    <cfRule type="cellIs" dxfId="2" priority="1" operator="equal">
      <formula>"Montreal"</formula>
    </cfRule>
  </conditionalFormatting>
  <hyperlinks>
    <hyperlink ref="Q4" r:id="rId1" xr:uid="{CBDCB6C1-63A7-43A7-846F-5AEA777317B3}"/>
    <hyperlink ref="Q5" r:id="rId2" xr:uid="{02AADD50-1E55-4B98-802A-ADA109704491}"/>
    <hyperlink ref="Q6" r:id="rId3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FB0374E0-81CD-4E2E-ABDC-90AB074577C8}"/>
    <hyperlink ref="Q7" r:id="rId4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FE642C6C-832F-4D4B-8F82-8869A7B06ECC}"/>
    <hyperlink ref="U2" r:id="rId5" xr:uid="{EE6ED95F-1B25-413E-AFFE-FB7E4007BC53}"/>
    <hyperlink ref="U3" r:id="rId6" xr:uid="{E0D97A9E-885C-4DCF-961B-1AB7122EB91F}"/>
    <hyperlink ref="T2" r:id="rId7" display="https://www.google.fr/maps/place/Cosme+Inc/@45.440882,-73.6453492,17z/data=!4m13!1m7!3m6!1s0x4cc916d2b7db13a3:0xb50dfb44b7a5031!2s8500+Rue+Saint-Patrick,+LaSalle,+QC+H8N+1V1!3b1!8m2!3d45.440882!4d-73.6431605!3m4!1s0x4cc916d2dd48cfe3:0x972626215612887!8m2!3d45.4409834!4d-73.643482!5m1!1e1?hl=fr" xr:uid="{53024134-FA52-4C8D-8894-CF8C4E3E79C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Projets Jerome</vt:lpstr>
      <vt:lpstr>import</vt:lpstr>
      <vt:lpstr>Projets Jerome_2</vt:lpstr>
      <vt:lpstr>Projets Jerome_2_test</vt:lpstr>
      <vt:lpstr>Projets_cherif</vt:lpstr>
      <vt:lpstr>Projets_nathalie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Jérôme Cholewa</dc:creator>
  <cp:keywords/>
  <dc:description/>
  <cp:lastModifiedBy>Jérôme Cholewa</cp:lastModifiedBy>
  <cp:revision/>
  <dcterms:created xsi:type="dcterms:W3CDTF">2022-11-16T16:04:21Z</dcterms:created>
  <dcterms:modified xsi:type="dcterms:W3CDTF">2023-04-13T16:05:18Z</dcterms:modified>
  <cp:category/>
  <cp:contentStatus/>
</cp:coreProperties>
</file>